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wlos/Downloads/"/>
    </mc:Choice>
  </mc:AlternateContent>
  <xr:revisionPtr revIDLastSave="0" documentId="13_ncr:1_{EA9B84AA-4891-CF45-B254-E5DFF730D4E4}" xr6:coauthVersionLast="47" xr6:coauthVersionMax="47" xr10:uidLastSave="{00000000-0000-0000-0000-000000000000}"/>
  <bookViews>
    <workbookView xWindow="0" yWindow="760" windowWidth="30240" windowHeight="18880" tabRatio="934" firstSheet="1" activeTab="3" xr2:uid="{00000000-000D-0000-FFFF-FFFF00000000}"/>
  </bookViews>
  <sheets>
    <sheet name="Instructions" sheetId="43" r:id="rId1"/>
    <sheet name="Settings" sheetId="38" r:id="rId2"/>
    <sheet name="POS Ranks" sheetId="44" r:id="rId3"/>
    <sheet name="POS Data" sheetId="57" r:id="rId4"/>
    <sheet name="OVR &amp; VORP Ranks" sheetId="48" r:id="rId5"/>
    <sheet name="Ranks w Proj" sheetId="54" r:id="rId6"/>
    <sheet name="Jake's Ranks" sheetId="55" r:id="rId7"/>
    <sheet name="ARI" sheetId="32" r:id="rId8"/>
    <sheet name="ATL" sheetId="4" r:id="rId9"/>
    <sheet name="BAL" sheetId="5" r:id="rId10"/>
    <sheet name="BUF" sheetId="6" r:id="rId11"/>
    <sheet name="CAR" sheetId="1" r:id="rId12"/>
    <sheet name="CHI" sheetId="7" r:id="rId13"/>
    <sheet name="CIN" sheetId="8" r:id="rId14"/>
    <sheet name="CLE" sheetId="9" r:id="rId15"/>
    <sheet name="DAL" sheetId="10" r:id="rId16"/>
    <sheet name="DEN" sheetId="11" r:id="rId17"/>
    <sheet name="DET" sheetId="12" r:id="rId18"/>
    <sheet name="GB" sheetId="13" r:id="rId19"/>
    <sheet name="HOU" sheetId="14" r:id="rId20"/>
    <sheet name="IND" sheetId="15" r:id="rId21"/>
    <sheet name="JAX" sheetId="16" r:id="rId22"/>
    <sheet name="KC" sheetId="17" r:id="rId23"/>
    <sheet name="LV" sheetId="25" r:id="rId24"/>
    <sheet name="LAC" sheetId="3" r:id="rId25"/>
    <sheet name="LAR" sheetId="18" r:id="rId26"/>
    <sheet name="MIA" sheetId="19" r:id="rId27"/>
    <sheet name="MIN" sheetId="20" r:id="rId28"/>
    <sheet name="NE" sheetId="21" r:id="rId29"/>
    <sheet name="NO" sheetId="22" r:id="rId30"/>
    <sheet name="NYG" sheetId="23" r:id="rId31"/>
    <sheet name="NYJ" sheetId="24" r:id="rId32"/>
    <sheet name="PHI" sheetId="26" r:id="rId33"/>
    <sheet name="PIT" sheetId="27" r:id="rId34"/>
    <sheet name="SF" sheetId="2" r:id="rId35"/>
    <sheet name="SEA" sheetId="28" r:id="rId36"/>
    <sheet name="TB" sheetId="29" r:id="rId37"/>
    <sheet name="TEN" sheetId="30" r:id="rId38"/>
    <sheet name="WSH" sheetId="31" r:id="rId39"/>
    <sheet name="DST" sheetId="37" r:id="rId40"/>
    <sheet name="Calculated Points" sheetId="47" state="hidden" r:id="rId41"/>
    <sheet name="Rankings" sheetId="56" state="hidden" r:id="rId42"/>
    <sheet name="QB" sheetId="33" state="hidden" r:id="rId43"/>
    <sheet name="RB" sheetId="36" state="hidden" r:id="rId44"/>
    <sheet name="WR" sheetId="35" state="hidden" r:id="rId45"/>
    <sheet name="TE" sheetId="34" state="hidden" r:id="rId46"/>
    <sheet name="DST1" sheetId="46" state="hidden" r:id="rId47"/>
  </sheets>
  <externalReferences>
    <externalReference r:id="rId48"/>
  </externalReferences>
  <definedNames>
    <definedName name="_xlnm._FilterDatabase" localSheetId="3" hidden="1">'POS Data'!$B$441:$D$473</definedName>
    <definedName name="COMPLETIONS" localSheetId="40">[1]Settings!$B$3</definedName>
    <definedName name="COMPLETIONS" localSheetId="4">[1]Settings!$B$3</definedName>
    <definedName name="COMPLETIONS">Settings!$B$3</definedName>
    <definedName name="DEF_0_PTS_ALLOW">Settings!$B$22</definedName>
    <definedName name="DEF_1_6_PTS_ALLOW">Settings!$B$23</definedName>
    <definedName name="DEF_14_21_PTS_ALLOW">Settings!$B$25</definedName>
    <definedName name="DEF_22_27_PTS_ALLOW">Settings!$B$26</definedName>
    <definedName name="DEF_28_35_PTS_ALLOW">Settings!$B$27</definedName>
    <definedName name="DEF_35__PTS_ALLOW">Settings!$B$28</definedName>
    <definedName name="DEF_7_13_PTS_ALLOW">Settings!$B$24</definedName>
    <definedName name="DEF_FORCE_FUMBLE">Settings!$B$18</definedName>
    <definedName name="DEF_INT">Settings!$B$17</definedName>
    <definedName name="DEF_RECOVER_FUMBLE">Settings!$B$19</definedName>
    <definedName name="DEF_SACKS">Settings!$B$16</definedName>
    <definedName name="DEF_SAFETIES">Settings!$B$20</definedName>
    <definedName name="DEF_TOUCHDOWN">Settings!$B$21</definedName>
    <definedName name="DEF_YD_ALLOW_PER">Settings!#REF!</definedName>
    <definedName name="FLEXVORPCalc">'OVR &amp; VORP Ranks'!$AD$6</definedName>
    <definedName name="INTERCEPTIONS" localSheetId="40">[1]Settings!$B$6</definedName>
    <definedName name="INTERCEPTIONS" localSheetId="4">[1]Settings!$B$6</definedName>
    <definedName name="INTERCEPTIONS">Settings!$B$6</definedName>
    <definedName name="PASS_ATTEMPTS" localSheetId="40">[1]Settings!$B$2</definedName>
    <definedName name="PASS_ATTEMPTS" localSheetId="4">[1]Settings!$B$2</definedName>
    <definedName name="PASS_ATTEMPTS">Settings!$B$2</definedName>
    <definedName name="PASS_TDS" localSheetId="40">[1]Settings!$B$5</definedName>
    <definedName name="PASS_TDS" localSheetId="4">[1]Settings!$B$5</definedName>
    <definedName name="PASS_TDS">Settings!$B$5</definedName>
    <definedName name="PASS_YARDS" localSheetId="40">[1]Settings!$B$4</definedName>
    <definedName name="PASS_YARDS" localSheetId="4">[1]Settings!$B$4</definedName>
    <definedName name="PASS_YARDS">Settings!$B$4</definedName>
    <definedName name="QBVORPCalc">'OVR &amp; VORP Ranks'!$AD$2</definedName>
    <definedName name="RBVORPCalc">'OVR &amp; VORP Ranks'!$AD$3</definedName>
    <definedName name="RECEPTIONS_RB" localSheetId="40">[1]Settings!$B$11</definedName>
    <definedName name="RECEPTIONS_RB" localSheetId="4">[1]Settings!$B$11</definedName>
    <definedName name="RECEPTIONS_RB">Settings!$B$11</definedName>
    <definedName name="RECEPTIONS_TE" localSheetId="40">[1]Settings!$B$13</definedName>
    <definedName name="RECEPTIONS_TE" localSheetId="4">[1]Settings!$B$13</definedName>
    <definedName name="RECEPTIONS_TE">Settings!$B$13</definedName>
    <definedName name="RECEPTIONS_WR" localSheetId="40">[1]Settings!$B$12</definedName>
    <definedName name="RECEPTIONS_WR" localSheetId="4">[1]Settings!$B$12</definedName>
    <definedName name="RECEPTIONS_WR">Settings!$B$12</definedName>
    <definedName name="RECV_TDS" localSheetId="40">[1]Settings!$B$15</definedName>
    <definedName name="RECV_TDS" localSheetId="4">[1]Settings!$B$15</definedName>
    <definedName name="RECV_TDS">Settings!$B$15</definedName>
    <definedName name="RECV_YARDS" localSheetId="40">[1]Settings!$B$14</definedName>
    <definedName name="RECV_YARDS" localSheetId="4">[1]Settings!$B$14</definedName>
    <definedName name="RECV_YARDS">Settings!$B$14</definedName>
    <definedName name="RUSH_ATTEMPTS" localSheetId="40">[1]Settings!$B$7</definedName>
    <definedName name="RUSH_ATTEMPTS" localSheetId="4">[1]Settings!$B$7</definedName>
    <definedName name="RUSH_ATTEMPTS">Settings!$B$7</definedName>
    <definedName name="RUSH_TDS" localSheetId="40">[1]Settings!$B$9</definedName>
    <definedName name="RUSH_TDS" localSheetId="4">[1]Settings!$B$9</definedName>
    <definedName name="RUSH_TDS">Settings!$B$9</definedName>
    <definedName name="RUSH_YARDS" localSheetId="40">[1]Settings!$B$8</definedName>
    <definedName name="RUSH_YARDS" localSheetId="4">[1]Settings!$B$8</definedName>
    <definedName name="RUSH_YARDS">Settings!$B$8</definedName>
    <definedName name="SFLEXVORPCalc">'OVR &amp; VORP Ranks'!$AD$7</definedName>
    <definedName name="STARTING_DST">Settings!$E$7</definedName>
    <definedName name="STARTING_FLEX">Settings!$E$9</definedName>
    <definedName name="STARTING_QB">Settings!$E$3</definedName>
    <definedName name="STARTING_RB">Settings!$E$4</definedName>
    <definedName name="STARTING_SUPERFLEX">Settings!$E$8</definedName>
    <definedName name="STARTING_TE">Settings!$E$6</definedName>
    <definedName name="STARTING_WR">Settings!$E$5</definedName>
    <definedName name="TARGETS" localSheetId="40">[1]Settings!$B$10</definedName>
    <definedName name="TARGETS" localSheetId="4">[1]Settings!$B$10</definedName>
    <definedName name="TARGETS">Settings!$B$10</definedName>
    <definedName name="TEAMS">Settings!$E$2</definedName>
    <definedName name="TEVORPCalc">'OVR &amp; VORP Ranks'!$AD$5</definedName>
    <definedName name="WRTEVORPCalc">'OVR &amp; VORP Ranks'!$AD$8</definedName>
    <definedName name="WRVORPCalc">'OVR &amp; VORP Ranks'!$AD$4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30" l="1"/>
  <c r="I16" i="30" s="1"/>
  <c r="AA16" i="30"/>
  <c r="AC16" i="30"/>
  <c r="J17" i="30"/>
  <c r="W17" i="30"/>
  <c r="I17" i="30" s="1"/>
  <c r="K17" i="30" s="1"/>
  <c r="AA17" i="30"/>
  <c r="AC17" i="30"/>
  <c r="W18" i="30"/>
  <c r="I18" i="30" s="1"/>
  <c r="AA18" i="30"/>
  <c r="AC18" i="30"/>
  <c r="I19" i="30"/>
  <c r="J19" i="30" s="1"/>
  <c r="K19" i="30"/>
  <c r="W19" i="30"/>
  <c r="AA19" i="30"/>
  <c r="AC19" i="30"/>
  <c r="W14" i="23"/>
  <c r="I14" i="23" s="1"/>
  <c r="AC19" i="16"/>
  <c r="AA19" i="16"/>
  <c r="W19" i="16"/>
  <c r="I19" i="16" s="1"/>
  <c r="AC18" i="16"/>
  <c r="AA18" i="16"/>
  <c r="W18" i="16"/>
  <c r="I18" i="16"/>
  <c r="J18" i="16" s="1"/>
  <c r="AC17" i="16"/>
  <c r="AA17" i="16"/>
  <c r="W17" i="16"/>
  <c r="I17" i="16" s="1"/>
  <c r="AC16" i="16"/>
  <c r="AA16" i="16"/>
  <c r="W16" i="16"/>
  <c r="I16" i="16" s="1"/>
  <c r="J16" i="16" s="1"/>
  <c r="AC17" i="6"/>
  <c r="AC16" i="6"/>
  <c r="AC17" i="2"/>
  <c r="AC17" i="7"/>
  <c r="AA8" i="32"/>
  <c r="W8" i="32"/>
  <c r="I8" i="32" s="1"/>
  <c r="K8" i="32" s="1"/>
  <c r="AA24" i="32"/>
  <c r="AA24" i="31"/>
  <c r="W15" i="15"/>
  <c r="I15" i="15" s="1"/>
  <c r="AA15" i="15"/>
  <c r="W16" i="15"/>
  <c r="I16" i="15" s="1"/>
  <c r="AA16" i="15"/>
  <c r="W17" i="15"/>
  <c r="I17" i="15" s="1"/>
  <c r="AA17" i="15"/>
  <c r="W8" i="1"/>
  <c r="I8" i="1" s="1"/>
  <c r="J8" i="1" s="1"/>
  <c r="AA8" i="1"/>
  <c r="W9" i="1"/>
  <c r="I9" i="1" s="1"/>
  <c r="AA9" i="1"/>
  <c r="AA17" i="21"/>
  <c r="W17" i="21"/>
  <c r="I17" i="21" s="1"/>
  <c r="W14" i="3"/>
  <c r="I14" i="3" s="1"/>
  <c r="AA14" i="3"/>
  <c r="W15" i="3"/>
  <c r="I15" i="3" s="1"/>
  <c r="AA15" i="3"/>
  <c r="W16" i="3"/>
  <c r="I16" i="3" s="1"/>
  <c r="AA16" i="3"/>
  <c r="W17" i="3"/>
  <c r="I17" i="3" s="1"/>
  <c r="AA17" i="3"/>
  <c r="W15" i="6"/>
  <c r="I15" i="6" s="1"/>
  <c r="AA15" i="6"/>
  <c r="W16" i="6"/>
  <c r="I16" i="6" s="1"/>
  <c r="AA16" i="6"/>
  <c r="W17" i="6"/>
  <c r="I17" i="6" s="1"/>
  <c r="AA17" i="6"/>
  <c r="W18" i="6"/>
  <c r="I18" i="6" s="1"/>
  <c r="AA18" i="6"/>
  <c r="W15" i="1"/>
  <c r="I15" i="1" s="1"/>
  <c r="AA15" i="1"/>
  <c r="W16" i="1"/>
  <c r="I16" i="1" s="1"/>
  <c r="AA16" i="1"/>
  <c r="W17" i="1"/>
  <c r="I17" i="1" s="1"/>
  <c r="AA17" i="1"/>
  <c r="W18" i="1"/>
  <c r="I18" i="1" s="1"/>
  <c r="AA18" i="1"/>
  <c r="AA15" i="17"/>
  <c r="W15" i="17"/>
  <c r="W16" i="2"/>
  <c r="I16" i="2" s="1"/>
  <c r="AA16" i="2"/>
  <c r="W17" i="2"/>
  <c r="I17" i="2" s="1"/>
  <c r="AA17" i="2"/>
  <c r="W18" i="2"/>
  <c r="I18" i="2" s="1"/>
  <c r="AA18" i="2"/>
  <c r="W13" i="17"/>
  <c r="AA13" i="17"/>
  <c r="W14" i="17"/>
  <c r="AA14" i="17"/>
  <c r="W17" i="17"/>
  <c r="AA17" i="17"/>
  <c r="W16" i="17"/>
  <c r="AA16" i="17"/>
  <c r="W18" i="17"/>
  <c r="AA18" i="17"/>
  <c r="W14" i="16"/>
  <c r="I14" i="16" s="1"/>
  <c r="J14" i="16" s="1"/>
  <c r="AA14" i="16"/>
  <c r="W15" i="16"/>
  <c r="I15" i="16" s="1"/>
  <c r="AA15" i="16"/>
  <c r="AA23" i="25"/>
  <c r="AA24" i="25"/>
  <c r="W4" i="11"/>
  <c r="I4" i="11" s="1"/>
  <c r="Q4" i="11"/>
  <c r="D4" i="11" s="1"/>
  <c r="G4" i="11" s="1"/>
  <c r="Q3" i="20"/>
  <c r="D3" i="20" s="1"/>
  <c r="G3" i="20" s="1"/>
  <c r="W3" i="20"/>
  <c r="I3" i="20" s="1"/>
  <c r="Q4" i="20"/>
  <c r="D4" i="20" s="1"/>
  <c r="G4" i="20" s="1"/>
  <c r="W4" i="20"/>
  <c r="I4" i="20" s="1"/>
  <c r="AA14" i="23"/>
  <c r="W15" i="23"/>
  <c r="I15" i="23" s="1"/>
  <c r="AA15" i="23"/>
  <c r="W16" i="23"/>
  <c r="I16" i="23" s="1"/>
  <c r="AA16" i="23"/>
  <c r="W17" i="23"/>
  <c r="I17" i="23" s="1"/>
  <c r="AA17" i="23"/>
  <c r="W18" i="23"/>
  <c r="I18" i="23" s="1"/>
  <c r="AA18" i="23"/>
  <c r="W14" i="32"/>
  <c r="I14" i="32" s="1"/>
  <c r="AA14" i="32"/>
  <c r="W15" i="32"/>
  <c r="I15" i="32" s="1"/>
  <c r="AA15" i="32"/>
  <c r="W16" i="32"/>
  <c r="I16" i="32" s="1"/>
  <c r="AA16" i="32"/>
  <c r="W17" i="32"/>
  <c r="I17" i="32" s="1"/>
  <c r="AA17" i="32"/>
  <c r="W16" i="7"/>
  <c r="I16" i="7" s="1"/>
  <c r="AA16" i="7"/>
  <c r="W17" i="7"/>
  <c r="I17" i="7" s="1"/>
  <c r="AA17" i="7"/>
  <c r="F29" i="32"/>
  <c r="Q3" i="4"/>
  <c r="Q4" i="4"/>
  <c r="Q3" i="5"/>
  <c r="Q4" i="5"/>
  <c r="Q3" i="6"/>
  <c r="Q4" i="6"/>
  <c r="Q3" i="1"/>
  <c r="Q4" i="1"/>
  <c r="Q3" i="7"/>
  <c r="Q4" i="7"/>
  <c r="Q3" i="8"/>
  <c r="Q4" i="8"/>
  <c r="Q3" i="9"/>
  <c r="Q4" i="9"/>
  <c r="Q3" i="10"/>
  <c r="Q4" i="10"/>
  <c r="Q3" i="11"/>
  <c r="Q3" i="12"/>
  <c r="Q4" i="12"/>
  <c r="Q3" i="13"/>
  <c r="Q4" i="13"/>
  <c r="Q3" i="14"/>
  <c r="Q4" i="14"/>
  <c r="Q3" i="15"/>
  <c r="Q4" i="15"/>
  <c r="Q3" i="16"/>
  <c r="Q4" i="16"/>
  <c r="Q3" i="17"/>
  <c r="Q4" i="17"/>
  <c r="Q3" i="25"/>
  <c r="Q4" i="25"/>
  <c r="Q3" i="3"/>
  <c r="Q4" i="3"/>
  <c r="Q3" i="18"/>
  <c r="Q4" i="18"/>
  <c r="Q3" i="19"/>
  <c r="Q4" i="19"/>
  <c r="Q3" i="21"/>
  <c r="Q4" i="21"/>
  <c r="Q3" i="22"/>
  <c r="Q4" i="22"/>
  <c r="Q3" i="23"/>
  <c r="Q4" i="23"/>
  <c r="Q3" i="24"/>
  <c r="Q4" i="24"/>
  <c r="Q3" i="26"/>
  <c r="Q4" i="26"/>
  <c r="Q3" i="27"/>
  <c r="Q4" i="27"/>
  <c r="Q3" i="2"/>
  <c r="Q4" i="2"/>
  <c r="Q3" i="28"/>
  <c r="Q4" i="28"/>
  <c r="Q3" i="29"/>
  <c r="Q4" i="29"/>
  <c r="Q3" i="30"/>
  <c r="Q4" i="30"/>
  <c r="Q3" i="31"/>
  <c r="Q4" i="31"/>
  <c r="Q3" i="32"/>
  <c r="Q4" i="32"/>
  <c r="Q2" i="4"/>
  <c r="Q2" i="5"/>
  <c r="Q2" i="6"/>
  <c r="Q2" i="1"/>
  <c r="Q2" i="7"/>
  <c r="Q2" i="8"/>
  <c r="Q2" i="9"/>
  <c r="Q2" i="10"/>
  <c r="Q2" i="11"/>
  <c r="Q2" i="12"/>
  <c r="Q2" i="13"/>
  <c r="Q2" i="14"/>
  <c r="Q2" i="15"/>
  <c r="Q2" i="16"/>
  <c r="Q2" i="17"/>
  <c r="Q2" i="25"/>
  <c r="Q2" i="3"/>
  <c r="Q2" i="18"/>
  <c r="Q2" i="19"/>
  <c r="Q2" i="20"/>
  <c r="Q2" i="21"/>
  <c r="Q2" i="22"/>
  <c r="Q2" i="23"/>
  <c r="Q2" i="24"/>
  <c r="Q2" i="26"/>
  <c r="Q2" i="27"/>
  <c r="Q2" i="2"/>
  <c r="Q2" i="28"/>
  <c r="Q2" i="29"/>
  <c r="Q2" i="30"/>
  <c r="Q2" i="31"/>
  <c r="Q2" i="32"/>
  <c r="J18" i="30" l="1"/>
  <c r="K18" i="30"/>
  <c r="J16" i="30"/>
  <c r="K16" i="30"/>
  <c r="J17" i="16"/>
  <c r="K17" i="16"/>
  <c r="J19" i="16"/>
  <c r="K19" i="16"/>
  <c r="K18" i="16"/>
  <c r="K16" i="16"/>
  <c r="AC24" i="25"/>
  <c r="AC15" i="17"/>
  <c r="AC17" i="17"/>
  <c r="AC8" i="1"/>
  <c r="AC15" i="1"/>
  <c r="AC17" i="3"/>
  <c r="AC9" i="1"/>
  <c r="AC16" i="17"/>
  <c r="AC24" i="31"/>
  <c r="AC16" i="1"/>
  <c r="AC17" i="21"/>
  <c r="AC13" i="17"/>
  <c r="AC17" i="1"/>
  <c r="AC15" i="16"/>
  <c r="AC16" i="32"/>
  <c r="AC16" i="2"/>
  <c r="AC15" i="15"/>
  <c r="AC23" i="25"/>
  <c r="K17" i="21"/>
  <c r="J16" i="2"/>
  <c r="J14" i="3"/>
  <c r="AC14" i="16"/>
  <c r="AC17" i="32"/>
  <c r="AC16" i="3"/>
  <c r="AC16" i="7"/>
  <c r="AC18" i="2"/>
  <c r="AC15" i="3"/>
  <c r="AC18" i="6"/>
  <c r="AC14" i="23"/>
  <c r="AC14" i="3"/>
  <c r="AC14" i="17"/>
  <c r="AC15" i="32"/>
  <c r="AC18" i="17"/>
  <c r="AC15" i="6"/>
  <c r="AC17" i="15"/>
  <c r="AC14" i="32"/>
  <c r="AC18" i="1"/>
  <c r="AC16" i="15"/>
  <c r="AC18" i="23"/>
  <c r="AC17" i="23"/>
  <c r="AC16" i="23"/>
  <c r="AC24" i="32"/>
  <c r="AC15" i="23"/>
  <c r="AC8" i="32"/>
  <c r="E3" i="20"/>
  <c r="H3" i="20" s="1"/>
  <c r="E4" i="20"/>
  <c r="F4" i="20" s="1"/>
  <c r="E4" i="11"/>
  <c r="H4" i="11" s="1"/>
  <c r="J16" i="23"/>
  <c r="K16" i="23"/>
  <c r="J8" i="32"/>
  <c r="K15" i="15"/>
  <c r="J15" i="15"/>
  <c r="K17" i="15"/>
  <c r="J17" i="15"/>
  <c r="K16" i="15"/>
  <c r="J16" i="15"/>
  <c r="J17" i="1"/>
  <c r="K17" i="1"/>
  <c r="J9" i="1"/>
  <c r="K9" i="1"/>
  <c r="K8" i="1"/>
  <c r="J17" i="21"/>
  <c r="J16" i="3"/>
  <c r="K16" i="3"/>
  <c r="J17" i="3"/>
  <c r="K17" i="3"/>
  <c r="J15" i="3"/>
  <c r="K15" i="3"/>
  <c r="K14" i="3"/>
  <c r="J17" i="6"/>
  <c r="K17" i="6"/>
  <c r="J18" i="6"/>
  <c r="K18" i="6"/>
  <c r="K16" i="6"/>
  <c r="J16" i="6"/>
  <c r="J15" i="6"/>
  <c r="K15" i="6"/>
  <c r="J18" i="1"/>
  <c r="K18" i="1"/>
  <c r="J16" i="1"/>
  <c r="K16" i="1"/>
  <c r="J15" i="1"/>
  <c r="K15" i="1"/>
  <c r="K18" i="2"/>
  <c r="J18" i="2"/>
  <c r="J17" i="2"/>
  <c r="K17" i="2"/>
  <c r="K16" i="2"/>
  <c r="J15" i="16"/>
  <c r="K15" i="16"/>
  <c r="K14" i="16"/>
  <c r="J4" i="11"/>
  <c r="K4" i="11"/>
  <c r="K4" i="20"/>
  <c r="J4" i="20"/>
  <c r="J3" i="20"/>
  <c r="K3" i="20"/>
  <c r="J18" i="23"/>
  <c r="K18" i="23"/>
  <c r="J17" i="23"/>
  <c r="K17" i="23"/>
  <c r="J15" i="23"/>
  <c r="K15" i="23"/>
  <c r="J14" i="23"/>
  <c r="K14" i="23"/>
  <c r="K14" i="32"/>
  <c r="J14" i="32"/>
  <c r="J17" i="32"/>
  <c r="K17" i="32"/>
  <c r="J16" i="32"/>
  <c r="K16" i="32"/>
  <c r="J15" i="32"/>
  <c r="K15" i="32"/>
  <c r="J17" i="7"/>
  <c r="K17" i="7"/>
  <c r="J16" i="7"/>
  <c r="K16" i="7"/>
  <c r="D3" i="46"/>
  <c r="AG4" i="47" s="1"/>
  <c r="D4" i="46"/>
  <c r="AG5" i="47" s="1"/>
  <c r="D5" i="46"/>
  <c r="D6" i="46"/>
  <c r="AG7" i="47" s="1"/>
  <c r="D7" i="46"/>
  <c r="D8" i="46"/>
  <c r="AG9" i="47" s="1"/>
  <c r="D9" i="46"/>
  <c r="AG10" i="47" s="1"/>
  <c r="D10" i="46"/>
  <c r="AG11" i="47" s="1"/>
  <c r="D11" i="46"/>
  <c r="AG12" i="47" s="1"/>
  <c r="D12" i="46"/>
  <c r="AG13" i="47" s="1"/>
  <c r="D13" i="46"/>
  <c r="AG14" i="47" s="1"/>
  <c r="D14" i="46"/>
  <c r="AG15" i="47" s="1"/>
  <c r="D15" i="46"/>
  <c r="AG16" i="47" s="1"/>
  <c r="D16" i="46"/>
  <c r="AG17" i="47" s="1"/>
  <c r="D17" i="46"/>
  <c r="AG18" i="47" s="1"/>
  <c r="D18" i="46"/>
  <c r="AG19" i="47" s="1"/>
  <c r="D19" i="46"/>
  <c r="AG20" i="47" s="1"/>
  <c r="D20" i="46"/>
  <c r="AG21" i="47" s="1"/>
  <c r="D21" i="46"/>
  <c r="AG22" i="47" s="1"/>
  <c r="D22" i="46"/>
  <c r="AG23" i="47" s="1"/>
  <c r="D23" i="46"/>
  <c r="AG24" i="47" s="1"/>
  <c r="D24" i="46"/>
  <c r="AG25" i="47" s="1"/>
  <c r="D25" i="46"/>
  <c r="D26" i="46"/>
  <c r="AG27" i="47" s="1"/>
  <c r="D27" i="46"/>
  <c r="AG28" i="47" s="1"/>
  <c r="D28" i="46"/>
  <c r="D29" i="46"/>
  <c r="D30" i="46"/>
  <c r="D31" i="46"/>
  <c r="D32" i="46"/>
  <c r="AG33" i="47" s="1"/>
  <c r="D33" i="46"/>
  <c r="AG34" i="47" s="1"/>
  <c r="D2" i="46"/>
  <c r="AG3" i="47" s="1"/>
  <c r="AG26" i="47"/>
  <c r="B4" i="33"/>
  <c r="D4" i="33"/>
  <c r="AD6" i="48"/>
  <c r="AD3" i="48" s="1"/>
  <c r="AR2" i="55"/>
  <c r="AR3" i="55"/>
  <c r="AR4" i="55"/>
  <c r="AR5" i="55"/>
  <c r="AR6" i="55"/>
  <c r="AR7" i="55"/>
  <c r="AR8" i="55"/>
  <c r="AR9" i="55"/>
  <c r="AR10" i="55"/>
  <c r="AR11" i="55"/>
  <c r="AR12" i="55"/>
  <c r="AR13" i="55"/>
  <c r="AR14" i="55"/>
  <c r="AR15" i="55"/>
  <c r="AR16" i="55"/>
  <c r="AR17" i="55"/>
  <c r="AR18" i="55"/>
  <c r="AR19" i="55"/>
  <c r="AR20" i="55"/>
  <c r="AR21" i="55"/>
  <c r="AR22" i="55"/>
  <c r="AR23" i="55"/>
  <c r="AR24" i="55"/>
  <c r="AR25" i="55"/>
  <c r="AR26" i="55"/>
  <c r="AR27" i="55"/>
  <c r="AR28" i="55"/>
  <c r="AR29" i="55"/>
  <c r="AR30" i="55"/>
  <c r="AR31" i="55"/>
  <c r="AR32" i="55"/>
  <c r="AR33" i="55"/>
  <c r="AR34" i="55"/>
  <c r="AR35" i="55"/>
  <c r="AR36" i="55"/>
  <c r="AR37" i="55"/>
  <c r="AR38" i="55"/>
  <c r="AR39" i="55"/>
  <c r="AR40" i="55"/>
  <c r="AR41" i="55"/>
  <c r="AR42" i="55"/>
  <c r="AR43" i="55"/>
  <c r="AR44" i="55"/>
  <c r="AR45" i="55"/>
  <c r="AR46" i="55"/>
  <c r="AR47" i="55"/>
  <c r="AR48" i="55"/>
  <c r="AR49" i="55"/>
  <c r="AR50" i="55"/>
  <c r="AR51" i="55"/>
  <c r="AR52" i="55"/>
  <c r="AR53" i="55"/>
  <c r="AR54" i="55"/>
  <c r="AR55" i="55"/>
  <c r="AR56" i="55"/>
  <c r="AR57" i="55"/>
  <c r="AR58" i="55"/>
  <c r="AR59" i="55"/>
  <c r="AR60" i="55"/>
  <c r="AR61" i="55"/>
  <c r="AR62" i="55"/>
  <c r="AR63" i="55"/>
  <c r="AR64" i="55"/>
  <c r="AR65" i="55"/>
  <c r="AR66" i="55"/>
  <c r="AR67" i="55"/>
  <c r="AR68" i="55"/>
  <c r="AR69" i="55"/>
  <c r="AR70" i="55"/>
  <c r="AR71" i="55"/>
  <c r="AR72" i="55"/>
  <c r="AR73" i="55"/>
  <c r="AR74" i="55"/>
  <c r="AR75" i="55"/>
  <c r="AR76" i="55"/>
  <c r="AR77" i="55"/>
  <c r="AR78" i="55"/>
  <c r="AR79" i="55"/>
  <c r="AR80" i="55"/>
  <c r="AR81" i="55"/>
  <c r="AR82" i="55"/>
  <c r="AR83" i="55"/>
  <c r="AR84" i="55"/>
  <c r="AR85" i="55"/>
  <c r="AR86" i="55"/>
  <c r="AR87" i="55"/>
  <c r="AR88" i="55"/>
  <c r="AR89" i="55"/>
  <c r="AR90" i="55"/>
  <c r="AR91" i="55"/>
  <c r="AR92" i="55"/>
  <c r="AR93" i="55"/>
  <c r="AR94" i="55"/>
  <c r="AR95" i="55"/>
  <c r="AR96" i="55"/>
  <c r="AR97" i="55"/>
  <c r="AR98" i="55"/>
  <c r="AR99" i="55"/>
  <c r="AR100" i="55"/>
  <c r="AR101" i="55"/>
  <c r="AE2" i="55"/>
  <c r="AE3" i="55"/>
  <c r="AE4" i="55"/>
  <c r="AE5" i="55"/>
  <c r="AE6" i="55"/>
  <c r="AE7" i="55"/>
  <c r="AE8" i="55"/>
  <c r="AE9" i="55"/>
  <c r="AE10" i="55"/>
  <c r="AE11" i="55"/>
  <c r="AE12" i="55"/>
  <c r="AE13" i="55"/>
  <c r="AE14" i="55"/>
  <c r="AE15" i="55"/>
  <c r="AE16" i="55"/>
  <c r="AE17" i="55"/>
  <c r="AE18" i="55"/>
  <c r="AE19" i="55"/>
  <c r="AE20" i="55"/>
  <c r="AE21" i="55"/>
  <c r="AE22" i="55"/>
  <c r="AE23" i="55"/>
  <c r="AE24" i="55"/>
  <c r="AE25" i="55"/>
  <c r="AE26" i="55"/>
  <c r="AE27" i="55"/>
  <c r="AE28" i="55"/>
  <c r="AE29" i="55"/>
  <c r="AE30" i="55"/>
  <c r="AE31" i="55"/>
  <c r="AE32" i="55"/>
  <c r="AE33" i="55"/>
  <c r="AE34" i="55"/>
  <c r="AE35" i="55"/>
  <c r="AE36" i="55"/>
  <c r="AE37" i="55"/>
  <c r="AE38" i="55"/>
  <c r="AE39" i="55"/>
  <c r="AE40" i="55"/>
  <c r="AE41" i="55"/>
  <c r="AE42" i="55"/>
  <c r="AE43" i="55"/>
  <c r="AE44" i="55"/>
  <c r="AE45" i="55"/>
  <c r="AE46" i="55"/>
  <c r="AE47" i="55"/>
  <c r="AE48" i="55"/>
  <c r="AE49" i="55"/>
  <c r="AE50" i="55"/>
  <c r="AE51" i="55"/>
  <c r="AE52" i="55"/>
  <c r="AE53" i="55"/>
  <c r="AE54" i="55"/>
  <c r="AE55" i="55"/>
  <c r="AE56" i="55"/>
  <c r="AE57" i="55"/>
  <c r="AE58" i="55"/>
  <c r="AE59" i="55"/>
  <c r="AE60" i="55"/>
  <c r="AE61" i="55"/>
  <c r="AE62" i="55"/>
  <c r="AE63" i="55"/>
  <c r="AE64" i="55"/>
  <c r="AE65" i="55"/>
  <c r="AE66" i="55"/>
  <c r="AE67" i="55"/>
  <c r="AE68" i="55"/>
  <c r="AE69" i="55"/>
  <c r="AE70" i="55"/>
  <c r="AE71" i="55"/>
  <c r="AE72" i="55"/>
  <c r="AE73" i="55"/>
  <c r="AE74" i="55"/>
  <c r="AE75" i="55"/>
  <c r="AE76" i="55"/>
  <c r="AE77" i="55"/>
  <c r="AE78" i="55"/>
  <c r="AE79" i="55"/>
  <c r="AE80" i="55"/>
  <c r="AE81" i="55"/>
  <c r="AE82" i="55"/>
  <c r="AE83" i="55"/>
  <c r="AE84" i="55"/>
  <c r="AE85" i="55"/>
  <c r="AE86" i="55"/>
  <c r="AE87" i="55"/>
  <c r="AE88" i="55"/>
  <c r="AE89" i="55"/>
  <c r="AE90" i="55"/>
  <c r="AE91" i="55"/>
  <c r="AE92" i="55"/>
  <c r="AE93" i="55"/>
  <c r="AE94" i="55"/>
  <c r="AE95" i="55"/>
  <c r="AE96" i="55"/>
  <c r="AE97" i="55"/>
  <c r="AE98" i="55"/>
  <c r="AE99" i="55"/>
  <c r="AE100" i="55"/>
  <c r="AE101" i="55"/>
  <c r="AE102" i="55"/>
  <c r="AE103" i="55"/>
  <c r="AE104" i="55"/>
  <c r="AE105" i="55"/>
  <c r="AE106" i="55"/>
  <c r="AE107" i="55"/>
  <c r="AE108" i="55"/>
  <c r="AE109" i="55"/>
  <c r="AE110" i="55"/>
  <c r="AE111" i="55"/>
  <c r="AE112" i="55"/>
  <c r="AE113" i="55"/>
  <c r="AE114" i="55"/>
  <c r="AE115" i="55"/>
  <c r="AE116" i="55"/>
  <c r="AE117" i="55"/>
  <c r="AE118" i="55"/>
  <c r="AE119" i="55"/>
  <c r="AE120" i="55"/>
  <c r="AE121" i="55"/>
  <c r="AE122" i="55"/>
  <c r="AE123" i="55"/>
  <c r="AE124" i="55"/>
  <c r="AE125" i="55"/>
  <c r="AE126" i="55"/>
  <c r="AE127" i="55"/>
  <c r="AE128" i="55"/>
  <c r="AE129" i="55"/>
  <c r="AE130" i="55"/>
  <c r="AE131" i="55"/>
  <c r="AE132" i="55"/>
  <c r="AE133" i="55"/>
  <c r="AE134" i="55"/>
  <c r="AE135" i="55"/>
  <c r="AE136" i="55"/>
  <c r="AE137" i="55"/>
  <c r="AE138" i="55"/>
  <c r="AE139" i="55"/>
  <c r="AE140" i="55"/>
  <c r="AE141" i="55"/>
  <c r="AE142" i="55"/>
  <c r="AE143" i="55"/>
  <c r="AE144" i="55"/>
  <c r="AE145" i="55"/>
  <c r="AE146" i="55"/>
  <c r="AE147" i="55"/>
  <c r="AE148" i="55"/>
  <c r="AE149" i="55"/>
  <c r="AE150" i="55"/>
  <c r="AE151" i="55"/>
  <c r="AE152" i="55"/>
  <c r="AE153" i="55"/>
  <c r="AE154" i="55"/>
  <c r="AE155" i="55"/>
  <c r="AE156" i="55"/>
  <c r="AE157" i="55"/>
  <c r="AE158" i="55"/>
  <c r="AE159" i="55"/>
  <c r="AE160" i="55"/>
  <c r="AE161" i="55"/>
  <c r="AE162" i="55"/>
  <c r="AE163" i="55"/>
  <c r="AE164" i="55"/>
  <c r="AE165" i="55"/>
  <c r="AE166" i="55"/>
  <c r="AE167" i="55"/>
  <c r="AE168" i="55"/>
  <c r="AE169" i="55"/>
  <c r="AE170" i="55"/>
  <c r="AE171" i="55"/>
  <c r="AE172" i="55"/>
  <c r="AE173" i="55"/>
  <c r="AE174" i="55"/>
  <c r="AE175" i="55"/>
  <c r="AE176" i="55"/>
  <c r="AE177" i="55"/>
  <c r="AE178" i="55"/>
  <c r="AE179" i="55"/>
  <c r="AE180" i="55"/>
  <c r="AE181" i="55"/>
  <c r="AE182" i="55"/>
  <c r="AE183" i="55"/>
  <c r="AE184" i="55"/>
  <c r="AE185" i="55"/>
  <c r="AE186" i="55"/>
  <c r="AE187" i="55"/>
  <c r="AK187" i="55" s="1"/>
  <c r="AE188" i="55"/>
  <c r="AN188" i="55" s="1"/>
  <c r="AE189" i="55"/>
  <c r="AJ189" i="55" s="1"/>
  <c r="AE190" i="55"/>
  <c r="AI190" i="55" s="1"/>
  <c r="AE191" i="55"/>
  <c r="AF191" i="55" s="1"/>
  <c r="AE192" i="55"/>
  <c r="AK192" i="55" s="1"/>
  <c r="AE193" i="55"/>
  <c r="AF193" i="55" s="1"/>
  <c r="AE194" i="55"/>
  <c r="AJ194" i="55" s="1"/>
  <c r="AE195" i="55"/>
  <c r="AG195" i="55" s="1"/>
  <c r="AE196" i="55"/>
  <c r="AM196" i="55" s="1"/>
  <c r="AE197" i="55"/>
  <c r="AF197" i="55" s="1"/>
  <c r="AE198" i="55"/>
  <c r="AJ198" i="55" s="1"/>
  <c r="AE199" i="55"/>
  <c r="AJ199" i="55" s="1"/>
  <c r="AE200" i="55"/>
  <c r="AG200" i="55" s="1"/>
  <c r="AE201" i="55"/>
  <c r="AH201" i="55" s="1"/>
  <c r="AE202" i="55"/>
  <c r="AF202" i="55" s="1"/>
  <c r="AE203" i="55"/>
  <c r="AF203" i="55" s="1"/>
  <c r="AE204" i="55"/>
  <c r="AF204" i="55" s="1"/>
  <c r="AE205" i="55"/>
  <c r="AH205" i="55" s="1"/>
  <c r="AE206" i="55"/>
  <c r="AI206" i="55" s="1"/>
  <c r="AE207" i="55"/>
  <c r="AG207" i="55" s="1"/>
  <c r="AE208" i="55"/>
  <c r="AG208" i="55" s="1"/>
  <c r="AE209" i="55"/>
  <c r="AM209" i="55" s="1"/>
  <c r="AE210" i="55"/>
  <c r="AF210" i="55" s="1"/>
  <c r="AE211" i="55"/>
  <c r="AL211" i="55" s="1"/>
  <c r="AE212" i="55"/>
  <c r="AJ212" i="55" s="1"/>
  <c r="AE213" i="55"/>
  <c r="AI213" i="55" s="1"/>
  <c r="AE214" i="55"/>
  <c r="AH214" i="55" s="1"/>
  <c r="AE215" i="55"/>
  <c r="AG215" i="55" s="1"/>
  <c r="AE216" i="55"/>
  <c r="AF216" i="55" s="1"/>
  <c r="AE217" i="55"/>
  <c r="AI217" i="55" s="1"/>
  <c r="AE218" i="55"/>
  <c r="AN218" i="55" s="1"/>
  <c r="AE219" i="55"/>
  <c r="AJ219" i="55" s="1"/>
  <c r="AE220" i="55"/>
  <c r="AG220" i="55" s="1"/>
  <c r="AE221" i="55"/>
  <c r="AI221" i="55" s="1"/>
  <c r="Q2" i="55"/>
  <c r="Q3" i="55"/>
  <c r="Q4" i="55"/>
  <c r="Q5" i="55"/>
  <c r="Q6" i="55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D32" i="31"/>
  <c r="D3" i="31" s="1"/>
  <c r="E73" i="33" s="1"/>
  <c r="F29" i="31"/>
  <c r="D35" i="31" s="1"/>
  <c r="AG28" i="31"/>
  <c r="AF28" i="31"/>
  <c r="AE28" i="31"/>
  <c r="AB28" i="31"/>
  <c r="AC25" i="31"/>
  <c r="AA25" i="31"/>
  <c r="AC23" i="31"/>
  <c r="AA23" i="31"/>
  <c r="AC22" i="31"/>
  <c r="AA22" i="31"/>
  <c r="AC20" i="31"/>
  <c r="AA20" i="31"/>
  <c r="W20" i="31"/>
  <c r="AC19" i="31"/>
  <c r="AA19" i="31"/>
  <c r="W19" i="31"/>
  <c r="AC15" i="31"/>
  <c r="AA15" i="31"/>
  <c r="W15" i="31"/>
  <c r="AC17" i="31"/>
  <c r="AA17" i="31"/>
  <c r="W17" i="31"/>
  <c r="AC18" i="31"/>
  <c r="AA18" i="31"/>
  <c r="W18" i="31"/>
  <c r="AC16" i="31"/>
  <c r="AA16" i="31"/>
  <c r="W16" i="31"/>
  <c r="AC14" i="31"/>
  <c r="AA14" i="31"/>
  <c r="W14" i="31"/>
  <c r="AC13" i="31"/>
  <c r="AA13" i="31"/>
  <c r="W13" i="31"/>
  <c r="AC11" i="31"/>
  <c r="AA11" i="31"/>
  <c r="W11" i="31"/>
  <c r="AC10" i="31"/>
  <c r="AA10" i="31"/>
  <c r="W10" i="31"/>
  <c r="AC9" i="31"/>
  <c r="AA9" i="31"/>
  <c r="W9" i="31"/>
  <c r="AC8" i="31"/>
  <c r="AA8" i="31"/>
  <c r="W8" i="31"/>
  <c r="AC7" i="31"/>
  <c r="AA7" i="31"/>
  <c r="W7" i="31"/>
  <c r="AC6" i="31"/>
  <c r="AA6" i="31"/>
  <c r="W6" i="31"/>
  <c r="W4" i="31"/>
  <c r="W3" i="31"/>
  <c r="W2" i="31"/>
  <c r="D32" i="30"/>
  <c r="F29" i="30"/>
  <c r="D35" i="30" s="1"/>
  <c r="AG28" i="30"/>
  <c r="AF28" i="30"/>
  <c r="AE28" i="30"/>
  <c r="AB28" i="30"/>
  <c r="AC25" i="30"/>
  <c r="AA25" i="30"/>
  <c r="AC24" i="30"/>
  <c r="AA24" i="30"/>
  <c r="AC23" i="30"/>
  <c r="AA23" i="30"/>
  <c r="AC22" i="30"/>
  <c r="AA22" i="30"/>
  <c r="AC20" i="30"/>
  <c r="AA20" i="30"/>
  <c r="W20" i="30"/>
  <c r="AC15" i="30"/>
  <c r="AA15" i="30"/>
  <c r="W15" i="30"/>
  <c r="AC14" i="30"/>
  <c r="AA14" i="30"/>
  <c r="W14" i="30"/>
  <c r="AC13" i="30"/>
  <c r="AA13" i="30"/>
  <c r="W13" i="30"/>
  <c r="AC11" i="30"/>
  <c r="AA11" i="30"/>
  <c r="W11" i="30"/>
  <c r="AC10" i="30"/>
  <c r="AA10" i="30"/>
  <c r="W10" i="30"/>
  <c r="AC9" i="30"/>
  <c r="AA9" i="30"/>
  <c r="W9" i="30"/>
  <c r="AC8" i="30"/>
  <c r="AA8" i="30"/>
  <c r="W8" i="30"/>
  <c r="AC7" i="30"/>
  <c r="AA7" i="30"/>
  <c r="W7" i="30"/>
  <c r="AC6" i="30"/>
  <c r="AA6" i="30"/>
  <c r="W6" i="30"/>
  <c r="W4" i="30"/>
  <c r="W3" i="30"/>
  <c r="W2" i="30"/>
  <c r="D32" i="29"/>
  <c r="D3" i="29" s="1"/>
  <c r="F29" i="29"/>
  <c r="D35" i="29" s="1"/>
  <c r="F35" i="29" s="1"/>
  <c r="AG28" i="29"/>
  <c r="AF28" i="29"/>
  <c r="AE28" i="29"/>
  <c r="AB28" i="29"/>
  <c r="AC25" i="29"/>
  <c r="AA25" i="29"/>
  <c r="AC24" i="29"/>
  <c r="AA24" i="29"/>
  <c r="AC23" i="29"/>
  <c r="AA23" i="29"/>
  <c r="AC22" i="29"/>
  <c r="AA22" i="29"/>
  <c r="AC20" i="29"/>
  <c r="AA20" i="29"/>
  <c r="W20" i="29"/>
  <c r="AC19" i="29"/>
  <c r="AA19" i="29"/>
  <c r="W19" i="29"/>
  <c r="AC18" i="29"/>
  <c r="AA18" i="29"/>
  <c r="W18" i="29"/>
  <c r="AC17" i="29"/>
  <c r="AA17" i="29"/>
  <c r="W17" i="29"/>
  <c r="AC16" i="29"/>
  <c r="AA16" i="29"/>
  <c r="W16" i="29"/>
  <c r="AC15" i="29"/>
  <c r="AA15" i="29"/>
  <c r="W15" i="29"/>
  <c r="AC14" i="29"/>
  <c r="AA14" i="29"/>
  <c r="W14" i="29"/>
  <c r="AC13" i="29"/>
  <c r="AA13" i="29"/>
  <c r="W13" i="29"/>
  <c r="AC11" i="29"/>
  <c r="AA11" i="29"/>
  <c r="W11" i="29"/>
  <c r="AC10" i="29"/>
  <c r="AA10" i="29"/>
  <c r="W10" i="29"/>
  <c r="AC9" i="29"/>
  <c r="AA9" i="29"/>
  <c r="W9" i="29"/>
  <c r="AC8" i="29"/>
  <c r="AA8" i="29"/>
  <c r="W8" i="29"/>
  <c r="AC7" i="29"/>
  <c r="AA7" i="29"/>
  <c r="W7" i="29"/>
  <c r="AC6" i="29"/>
  <c r="AA6" i="29"/>
  <c r="W6" i="29"/>
  <c r="W4" i="29"/>
  <c r="W3" i="29"/>
  <c r="W2" i="29"/>
  <c r="D32" i="28"/>
  <c r="D2" i="28" s="1"/>
  <c r="G2" i="28" s="1"/>
  <c r="F29" i="28"/>
  <c r="D35" i="28" s="1"/>
  <c r="AG28" i="28"/>
  <c r="AF28" i="28"/>
  <c r="AB28" i="28"/>
  <c r="AC25" i="28"/>
  <c r="AA25" i="28"/>
  <c r="AC24" i="28"/>
  <c r="AA24" i="28"/>
  <c r="AC23" i="28"/>
  <c r="AA23" i="28"/>
  <c r="AC22" i="28"/>
  <c r="AA22" i="28"/>
  <c r="AC20" i="28"/>
  <c r="AA20" i="28"/>
  <c r="W20" i="28"/>
  <c r="AC19" i="28"/>
  <c r="AA19" i="28"/>
  <c r="W19" i="28"/>
  <c r="AC18" i="28"/>
  <c r="AA18" i="28"/>
  <c r="W18" i="28"/>
  <c r="AC17" i="28"/>
  <c r="AA17" i="28"/>
  <c r="W17" i="28"/>
  <c r="AC16" i="28"/>
  <c r="AA16" i="28"/>
  <c r="W16" i="28"/>
  <c r="AC15" i="28"/>
  <c r="AA15" i="28"/>
  <c r="W15" i="28"/>
  <c r="AC14" i="28"/>
  <c r="AA14" i="28"/>
  <c r="W14" i="28"/>
  <c r="AC13" i="28"/>
  <c r="AA13" i="28"/>
  <c r="W13" i="28"/>
  <c r="AC11" i="28"/>
  <c r="AA11" i="28"/>
  <c r="W11" i="28"/>
  <c r="AC10" i="28"/>
  <c r="AA10" i="28"/>
  <c r="W10" i="28"/>
  <c r="AC9" i="28"/>
  <c r="AA9" i="28"/>
  <c r="W9" i="28"/>
  <c r="AC8" i="28"/>
  <c r="AA8" i="28"/>
  <c r="W8" i="28"/>
  <c r="AC7" i="28"/>
  <c r="AA7" i="28"/>
  <c r="W7" i="28"/>
  <c r="AC6" i="28"/>
  <c r="AA6" i="28"/>
  <c r="W6" i="28"/>
  <c r="W4" i="28"/>
  <c r="AE28" i="28"/>
  <c r="W3" i="28"/>
  <c r="W2" i="28"/>
  <c r="D32" i="2"/>
  <c r="D2" i="2" s="1"/>
  <c r="G2" i="2" s="1"/>
  <c r="F29" i="2"/>
  <c r="D35" i="2" s="1"/>
  <c r="AG28" i="2"/>
  <c r="AF28" i="2"/>
  <c r="AE28" i="2"/>
  <c r="AB28" i="2"/>
  <c r="AC25" i="2"/>
  <c r="AA25" i="2"/>
  <c r="AC24" i="2"/>
  <c r="AA24" i="2"/>
  <c r="AC23" i="2"/>
  <c r="AA23" i="2"/>
  <c r="AC22" i="2"/>
  <c r="AA22" i="2"/>
  <c r="AC20" i="2"/>
  <c r="AA20" i="2"/>
  <c r="W20" i="2"/>
  <c r="AC19" i="2"/>
  <c r="AA19" i="2"/>
  <c r="W19" i="2"/>
  <c r="AC15" i="2"/>
  <c r="AA15" i="2"/>
  <c r="W15" i="2"/>
  <c r="AC14" i="2"/>
  <c r="AA14" i="2"/>
  <c r="W14" i="2"/>
  <c r="AC13" i="2"/>
  <c r="AA13" i="2"/>
  <c r="W13" i="2"/>
  <c r="AC11" i="2"/>
  <c r="AA11" i="2"/>
  <c r="W11" i="2"/>
  <c r="AC10" i="2"/>
  <c r="AA10" i="2"/>
  <c r="W10" i="2"/>
  <c r="AC9" i="2"/>
  <c r="AA9" i="2"/>
  <c r="W9" i="2"/>
  <c r="AC8" i="2"/>
  <c r="AA8" i="2"/>
  <c r="W8" i="2"/>
  <c r="AC7" i="2"/>
  <c r="AA7" i="2"/>
  <c r="W7" i="2"/>
  <c r="AC6" i="2"/>
  <c r="AA6" i="2"/>
  <c r="W6" i="2"/>
  <c r="W4" i="2"/>
  <c r="W3" i="2"/>
  <c r="W2" i="2"/>
  <c r="D32" i="27"/>
  <c r="D3" i="27" s="1"/>
  <c r="F29" i="27"/>
  <c r="D35" i="27" s="1"/>
  <c r="AG28" i="27"/>
  <c r="AF28" i="27"/>
  <c r="AB28" i="27"/>
  <c r="AC25" i="27"/>
  <c r="AA25" i="27"/>
  <c r="AC24" i="27"/>
  <c r="AA24" i="27"/>
  <c r="AC23" i="27"/>
  <c r="AA23" i="27"/>
  <c r="AC22" i="27"/>
  <c r="AA22" i="27"/>
  <c r="AC20" i="27"/>
  <c r="AA20" i="27"/>
  <c r="W20" i="27"/>
  <c r="AC19" i="27"/>
  <c r="AA19" i="27"/>
  <c r="W19" i="27"/>
  <c r="AC18" i="27"/>
  <c r="AA18" i="27"/>
  <c r="W18" i="27"/>
  <c r="AC14" i="27"/>
  <c r="AA14" i="27"/>
  <c r="W14" i="27"/>
  <c r="AC17" i="27"/>
  <c r="AA17" i="27"/>
  <c r="W17" i="27"/>
  <c r="AC16" i="27"/>
  <c r="AA16" i="27"/>
  <c r="W16" i="27"/>
  <c r="AC15" i="27"/>
  <c r="AA15" i="27"/>
  <c r="W15" i="27"/>
  <c r="AC13" i="27"/>
  <c r="AA13" i="27"/>
  <c r="W13" i="27"/>
  <c r="AC11" i="27"/>
  <c r="AA11" i="27"/>
  <c r="W11" i="27"/>
  <c r="AC10" i="27"/>
  <c r="AA10" i="27"/>
  <c r="W10" i="27"/>
  <c r="AC9" i="27"/>
  <c r="AA9" i="27"/>
  <c r="W9" i="27"/>
  <c r="AC8" i="27"/>
  <c r="AA8" i="27"/>
  <c r="W8" i="27"/>
  <c r="AC7" i="27"/>
  <c r="AA7" i="27"/>
  <c r="W7" i="27"/>
  <c r="AC6" i="27"/>
  <c r="AA6" i="27"/>
  <c r="W6" i="27"/>
  <c r="W4" i="27"/>
  <c r="AE28" i="27"/>
  <c r="W3" i="27"/>
  <c r="W2" i="27"/>
  <c r="D32" i="26"/>
  <c r="D2" i="26" s="1"/>
  <c r="G2" i="26" s="1"/>
  <c r="F29" i="26"/>
  <c r="D35" i="26" s="1"/>
  <c r="AG28" i="26"/>
  <c r="AF28" i="26"/>
  <c r="AB28" i="26"/>
  <c r="AC25" i="26"/>
  <c r="AA25" i="26"/>
  <c r="AC24" i="26"/>
  <c r="AA24" i="26"/>
  <c r="AC23" i="26"/>
  <c r="AA23" i="26"/>
  <c r="AC22" i="26"/>
  <c r="AA22" i="26"/>
  <c r="AC20" i="26"/>
  <c r="AA20" i="26"/>
  <c r="W20" i="26"/>
  <c r="AC19" i="26"/>
  <c r="AA19" i="26"/>
  <c r="W19" i="26"/>
  <c r="AC18" i="26"/>
  <c r="AA18" i="26"/>
  <c r="W18" i="26"/>
  <c r="AC17" i="26"/>
  <c r="AA17" i="26"/>
  <c r="W17" i="26"/>
  <c r="AC16" i="26"/>
  <c r="AA16" i="26"/>
  <c r="W16" i="26"/>
  <c r="AC15" i="26"/>
  <c r="AA15" i="26"/>
  <c r="W15" i="26"/>
  <c r="AC14" i="26"/>
  <c r="AA14" i="26"/>
  <c r="W14" i="26"/>
  <c r="AC13" i="26"/>
  <c r="AA13" i="26"/>
  <c r="W13" i="26"/>
  <c r="AC11" i="26"/>
  <c r="AA11" i="26"/>
  <c r="W11" i="26"/>
  <c r="AC10" i="26"/>
  <c r="AA10" i="26"/>
  <c r="W10" i="26"/>
  <c r="AC9" i="26"/>
  <c r="AA9" i="26"/>
  <c r="W9" i="26"/>
  <c r="AC8" i="26"/>
  <c r="AA8" i="26"/>
  <c r="W8" i="26"/>
  <c r="AC7" i="26"/>
  <c r="AA7" i="26"/>
  <c r="W7" i="26"/>
  <c r="AC6" i="26"/>
  <c r="AA6" i="26"/>
  <c r="W6" i="26"/>
  <c r="W4" i="26"/>
  <c r="W3" i="26"/>
  <c r="W2" i="26"/>
  <c r="D32" i="24"/>
  <c r="D2" i="24" s="1"/>
  <c r="G2" i="24" s="1"/>
  <c r="F29" i="24"/>
  <c r="D35" i="24" s="1"/>
  <c r="E35" i="24" s="1"/>
  <c r="AG28" i="24"/>
  <c r="AF28" i="24"/>
  <c r="AB28" i="24"/>
  <c r="AC25" i="24"/>
  <c r="AA25" i="24"/>
  <c r="AC24" i="24"/>
  <c r="AA24" i="24"/>
  <c r="AC23" i="24"/>
  <c r="AA23" i="24"/>
  <c r="AC22" i="24"/>
  <c r="AA22" i="24"/>
  <c r="AC20" i="24"/>
  <c r="AA20" i="24"/>
  <c r="W20" i="24"/>
  <c r="AC19" i="24"/>
  <c r="AA19" i="24"/>
  <c r="W19" i="24"/>
  <c r="AC15" i="24"/>
  <c r="AA15" i="24"/>
  <c r="W15" i="24"/>
  <c r="AC17" i="24"/>
  <c r="AA17" i="24"/>
  <c r="W17" i="24"/>
  <c r="AC16" i="24"/>
  <c r="AA16" i="24"/>
  <c r="W16" i="24"/>
  <c r="AC18" i="24"/>
  <c r="AA18" i="24"/>
  <c r="W18" i="24"/>
  <c r="AC14" i="24"/>
  <c r="AA14" i="24"/>
  <c r="W14" i="24"/>
  <c r="AC13" i="24"/>
  <c r="AA13" i="24"/>
  <c r="W13" i="24"/>
  <c r="AC11" i="24"/>
  <c r="AA11" i="24"/>
  <c r="W11" i="24"/>
  <c r="AC10" i="24"/>
  <c r="AA10" i="24"/>
  <c r="W10" i="24"/>
  <c r="AC9" i="24"/>
  <c r="AA9" i="24"/>
  <c r="W9" i="24"/>
  <c r="AC8" i="24"/>
  <c r="AA8" i="24"/>
  <c r="W8" i="24"/>
  <c r="AC7" i="24"/>
  <c r="AA7" i="24"/>
  <c r="W7" i="24"/>
  <c r="AC6" i="24"/>
  <c r="AA6" i="24"/>
  <c r="W6" i="24"/>
  <c r="W4" i="24"/>
  <c r="W3" i="24"/>
  <c r="W2" i="24"/>
  <c r="D32" i="23"/>
  <c r="D4" i="23" s="1"/>
  <c r="F29" i="23"/>
  <c r="D35" i="23" s="1"/>
  <c r="AG28" i="23"/>
  <c r="AF28" i="23"/>
  <c r="AB28" i="23"/>
  <c r="AC25" i="23"/>
  <c r="AA25" i="23"/>
  <c r="AC24" i="23"/>
  <c r="AA24" i="23"/>
  <c r="AC23" i="23"/>
  <c r="AA23" i="23"/>
  <c r="AC22" i="23"/>
  <c r="AA22" i="23"/>
  <c r="AC20" i="23"/>
  <c r="AA20" i="23"/>
  <c r="W20" i="23"/>
  <c r="AC19" i="23"/>
  <c r="AA19" i="23"/>
  <c r="W19" i="23"/>
  <c r="AC13" i="23"/>
  <c r="AA13" i="23"/>
  <c r="W13" i="23"/>
  <c r="AC11" i="23"/>
  <c r="AA11" i="23"/>
  <c r="W11" i="23"/>
  <c r="AC10" i="23"/>
  <c r="AA10" i="23"/>
  <c r="W10" i="23"/>
  <c r="AC9" i="23"/>
  <c r="AA9" i="23"/>
  <c r="W9" i="23"/>
  <c r="AC8" i="23"/>
  <c r="AA8" i="23"/>
  <c r="W8" i="23"/>
  <c r="AC7" i="23"/>
  <c r="AA7" i="23"/>
  <c r="W7" i="23"/>
  <c r="AC6" i="23"/>
  <c r="AA6" i="23"/>
  <c r="W6" i="23"/>
  <c r="W4" i="23"/>
  <c r="AE28" i="23"/>
  <c r="W3" i="23"/>
  <c r="W2" i="23"/>
  <c r="D32" i="22"/>
  <c r="F29" i="22"/>
  <c r="D35" i="22" s="1"/>
  <c r="AG28" i="22"/>
  <c r="AF28" i="22"/>
  <c r="AE28" i="22"/>
  <c r="AB28" i="22"/>
  <c r="AC25" i="22"/>
  <c r="AA25" i="22"/>
  <c r="AC24" i="22"/>
  <c r="AA24" i="22"/>
  <c r="W24" i="22"/>
  <c r="AC23" i="22"/>
  <c r="AA23" i="22"/>
  <c r="AC22" i="22"/>
  <c r="AA22" i="22"/>
  <c r="AC20" i="22"/>
  <c r="AA20" i="22"/>
  <c r="W20" i="22"/>
  <c r="AC19" i="22"/>
  <c r="AA19" i="22"/>
  <c r="W19" i="22"/>
  <c r="AC17" i="22"/>
  <c r="AA17" i="22"/>
  <c r="W17" i="22"/>
  <c r="AC18" i="22"/>
  <c r="AA18" i="22"/>
  <c r="W18" i="22"/>
  <c r="AC16" i="22"/>
  <c r="AA16" i="22"/>
  <c r="W16" i="22"/>
  <c r="AC15" i="22"/>
  <c r="AA15" i="22"/>
  <c r="W15" i="22"/>
  <c r="AC14" i="22"/>
  <c r="AA14" i="22"/>
  <c r="W14" i="22"/>
  <c r="AC13" i="22"/>
  <c r="AA13" i="22"/>
  <c r="W13" i="22"/>
  <c r="AC11" i="22"/>
  <c r="AA11" i="22"/>
  <c r="W11" i="22"/>
  <c r="AC10" i="22"/>
  <c r="AA10" i="22"/>
  <c r="W10" i="22"/>
  <c r="AC9" i="22"/>
  <c r="AA9" i="22"/>
  <c r="W9" i="22"/>
  <c r="AC8" i="22"/>
  <c r="AA8" i="22"/>
  <c r="W8" i="22"/>
  <c r="AC7" i="22"/>
  <c r="AA7" i="22"/>
  <c r="W7" i="22"/>
  <c r="AC6" i="22"/>
  <c r="AA6" i="22"/>
  <c r="W6" i="22"/>
  <c r="W4" i="22"/>
  <c r="W3" i="22"/>
  <c r="W2" i="22"/>
  <c r="D32" i="21"/>
  <c r="D4" i="21" s="1"/>
  <c r="G4" i="21" s="1"/>
  <c r="F29" i="21"/>
  <c r="D35" i="21" s="1"/>
  <c r="AG28" i="21"/>
  <c r="AF28" i="21"/>
  <c r="AB28" i="21"/>
  <c r="AC25" i="21"/>
  <c r="AA25" i="21"/>
  <c r="AC24" i="21"/>
  <c r="AA24" i="21"/>
  <c r="AC23" i="21"/>
  <c r="AA23" i="21"/>
  <c r="AC22" i="21"/>
  <c r="AA22" i="21"/>
  <c r="AC20" i="21"/>
  <c r="AA20" i="21"/>
  <c r="W20" i="21"/>
  <c r="AC19" i="21"/>
  <c r="AA19" i="21"/>
  <c r="W19" i="21"/>
  <c r="AC18" i="21"/>
  <c r="AA18" i="21"/>
  <c r="W18" i="21"/>
  <c r="AC16" i="21"/>
  <c r="AA16" i="21"/>
  <c r="W16" i="21"/>
  <c r="AC15" i="21"/>
  <c r="AA15" i="21"/>
  <c r="W15" i="21"/>
  <c r="AC14" i="21"/>
  <c r="AA14" i="21"/>
  <c r="W14" i="21"/>
  <c r="AC13" i="21"/>
  <c r="AA13" i="21"/>
  <c r="W13" i="21"/>
  <c r="AC11" i="21"/>
  <c r="AA11" i="21"/>
  <c r="W11" i="21"/>
  <c r="AC10" i="21"/>
  <c r="AA10" i="21"/>
  <c r="W10" i="21"/>
  <c r="AC9" i="21"/>
  <c r="AA9" i="21"/>
  <c r="W9" i="21"/>
  <c r="AC8" i="21"/>
  <c r="AA8" i="21"/>
  <c r="W8" i="21"/>
  <c r="AC7" i="21"/>
  <c r="AA7" i="21"/>
  <c r="W7" i="21"/>
  <c r="AC6" i="21"/>
  <c r="AA6" i="21"/>
  <c r="W6" i="21"/>
  <c r="W4" i="21"/>
  <c r="AE28" i="21"/>
  <c r="W3" i="21"/>
  <c r="W2" i="21"/>
  <c r="D32" i="20"/>
  <c r="F29" i="20"/>
  <c r="D35" i="20" s="1"/>
  <c r="E35" i="20" s="1"/>
  <c r="AG28" i="20"/>
  <c r="AF28" i="20"/>
  <c r="AB28" i="20"/>
  <c r="AC25" i="20"/>
  <c r="AA25" i="20"/>
  <c r="AC24" i="20"/>
  <c r="AA24" i="20"/>
  <c r="AC23" i="20"/>
  <c r="AA23" i="20"/>
  <c r="AC22" i="20"/>
  <c r="AA22" i="20"/>
  <c r="AC20" i="20"/>
  <c r="AA20" i="20"/>
  <c r="W20" i="20"/>
  <c r="AC19" i="20"/>
  <c r="AA19" i="20"/>
  <c r="W19" i="20"/>
  <c r="AC18" i="20"/>
  <c r="AA18" i="20"/>
  <c r="W18" i="20"/>
  <c r="AC17" i="20"/>
  <c r="AA17" i="20"/>
  <c r="W17" i="20"/>
  <c r="AC16" i="20"/>
  <c r="AA16" i="20"/>
  <c r="W16" i="20"/>
  <c r="AC15" i="20"/>
  <c r="AA15" i="20"/>
  <c r="W15" i="20"/>
  <c r="AC14" i="20"/>
  <c r="AA14" i="20"/>
  <c r="W14" i="20"/>
  <c r="AC13" i="20"/>
  <c r="AA13" i="20"/>
  <c r="W13" i="20"/>
  <c r="AC11" i="20"/>
  <c r="AA11" i="20"/>
  <c r="W11" i="20"/>
  <c r="AC10" i="20"/>
  <c r="AA10" i="20"/>
  <c r="W10" i="20"/>
  <c r="AC9" i="20"/>
  <c r="AA9" i="20"/>
  <c r="W9" i="20"/>
  <c r="AC8" i="20"/>
  <c r="AA8" i="20"/>
  <c r="W8" i="20"/>
  <c r="AC7" i="20"/>
  <c r="AA7" i="20"/>
  <c r="W7" i="20"/>
  <c r="AC6" i="20"/>
  <c r="AA6" i="20"/>
  <c r="W6" i="20"/>
  <c r="AE28" i="20"/>
  <c r="W2" i="20"/>
  <c r="D32" i="19"/>
  <c r="D4" i="19" s="1"/>
  <c r="F29" i="19"/>
  <c r="D35" i="19" s="1"/>
  <c r="AG28" i="19"/>
  <c r="AF28" i="19"/>
  <c r="AB28" i="19"/>
  <c r="AC25" i="19"/>
  <c r="AA25" i="19"/>
  <c r="AC24" i="19"/>
  <c r="AA24" i="19"/>
  <c r="AC23" i="19"/>
  <c r="AA23" i="19"/>
  <c r="AC22" i="19"/>
  <c r="AA22" i="19"/>
  <c r="AC20" i="19"/>
  <c r="AA20" i="19"/>
  <c r="W20" i="19"/>
  <c r="AC19" i="19"/>
  <c r="AA19" i="19"/>
  <c r="W19" i="19"/>
  <c r="AC18" i="19"/>
  <c r="AA18" i="19"/>
  <c r="W18" i="19"/>
  <c r="AC16" i="19"/>
  <c r="AA16" i="19"/>
  <c r="W16" i="19"/>
  <c r="AC15" i="19"/>
  <c r="AA15" i="19"/>
  <c r="W15" i="19"/>
  <c r="AC17" i="19"/>
  <c r="AA17" i="19"/>
  <c r="W17" i="19"/>
  <c r="AC14" i="19"/>
  <c r="AA14" i="19"/>
  <c r="W14" i="19"/>
  <c r="AC13" i="19"/>
  <c r="AA13" i="19"/>
  <c r="W13" i="19"/>
  <c r="AC11" i="19"/>
  <c r="AA11" i="19"/>
  <c r="W11" i="19"/>
  <c r="AC10" i="19"/>
  <c r="AA10" i="19"/>
  <c r="W10" i="19"/>
  <c r="AC8" i="19"/>
  <c r="AA8" i="19"/>
  <c r="W8" i="19"/>
  <c r="AC9" i="19"/>
  <c r="AA9" i="19"/>
  <c r="W9" i="19"/>
  <c r="AC7" i="19"/>
  <c r="AA7" i="19"/>
  <c r="W7" i="19"/>
  <c r="AC6" i="19"/>
  <c r="AA6" i="19"/>
  <c r="W6" i="19"/>
  <c r="W4" i="19"/>
  <c r="AE28" i="19"/>
  <c r="W3" i="19"/>
  <c r="W2" i="19"/>
  <c r="D32" i="18"/>
  <c r="D4" i="18" s="1"/>
  <c r="F29" i="18"/>
  <c r="D35" i="18" s="1"/>
  <c r="F35" i="18" s="1"/>
  <c r="AG28" i="18"/>
  <c r="AF28" i="18"/>
  <c r="AB28" i="18"/>
  <c r="AC25" i="18"/>
  <c r="AA25" i="18"/>
  <c r="AC24" i="18"/>
  <c r="AA24" i="18"/>
  <c r="AC23" i="18"/>
  <c r="AA23" i="18"/>
  <c r="AC22" i="18"/>
  <c r="AA22" i="18"/>
  <c r="AC20" i="18"/>
  <c r="AA20" i="18"/>
  <c r="W20" i="18"/>
  <c r="AC19" i="18"/>
  <c r="AA19" i="18"/>
  <c r="W19" i="18"/>
  <c r="AC18" i="18"/>
  <c r="AA18" i="18"/>
  <c r="W18" i="18"/>
  <c r="AC17" i="18"/>
  <c r="AA17" i="18"/>
  <c r="W17" i="18"/>
  <c r="AC16" i="18"/>
  <c r="AA16" i="18"/>
  <c r="W16" i="18"/>
  <c r="AC15" i="18"/>
  <c r="AA15" i="18"/>
  <c r="W15" i="18"/>
  <c r="AC14" i="18"/>
  <c r="AA14" i="18"/>
  <c r="W14" i="18"/>
  <c r="AC13" i="18"/>
  <c r="AA13" i="18"/>
  <c r="W13" i="18"/>
  <c r="AC11" i="18"/>
  <c r="AA11" i="18"/>
  <c r="W11" i="18"/>
  <c r="AC10" i="18"/>
  <c r="AA10" i="18"/>
  <c r="W10" i="18"/>
  <c r="AC9" i="18"/>
  <c r="AA9" i="18"/>
  <c r="W9" i="18"/>
  <c r="AC8" i="18"/>
  <c r="AA8" i="18"/>
  <c r="W8" i="18"/>
  <c r="AC7" i="18"/>
  <c r="AA7" i="18"/>
  <c r="W7" i="18"/>
  <c r="AC6" i="18"/>
  <c r="AA6" i="18"/>
  <c r="W6" i="18"/>
  <c r="W4" i="18"/>
  <c r="AE28" i="18"/>
  <c r="W3" i="18"/>
  <c r="W2" i="18"/>
  <c r="D32" i="3"/>
  <c r="D4" i="3" s="1"/>
  <c r="F29" i="3"/>
  <c r="D35" i="3" s="1"/>
  <c r="AG28" i="3"/>
  <c r="AF28" i="3"/>
  <c r="AB28" i="3"/>
  <c r="AC25" i="3"/>
  <c r="AA25" i="3"/>
  <c r="AC24" i="3"/>
  <c r="AA24" i="3"/>
  <c r="AC23" i="3"/>
  <c r="AA23" i="3"/>
  <c r="AC22" i="3"/>
  <c r="AA22" i="3"/>
  <c r="AC20" i="3"/>
  <c r="AA20" i="3"/>
  <c r="W20" i="3"/>
  <c r="AC19" i="3"/>
  <c r="AA19" i="3"/>
  <c r="W19" i="3"/>
  <c r="AC18" i="3"/>
  <c r="AA18" i="3"/>
  <c r="W18" i="3"/>
  <c r="AC13" i="3"/>
  <c r="AA13" i="3"/>
  <c r="W13" i="3"/>
  <c r="AC11" i="3"/>
  <c r="AA11" i="3"/>
  <c r="W11" i="3"/>
  <c r="AC10" i="3"/>
  <c r="AA10" i="3"/>
  <c r="W10" i="3"/>
  <c r="AC7" i="3"/>
  <c r="AA7" i="3"/>
  <c r="W7" i="3"/>
  <c r="AC8" i="3"/>
  <c r="AA8" i="3"/>
  <c r="W8" i="3"/>
  <c r="AC9" i="3"/>
  <c r="AA9" i="3"/>
  <c r="W9" i="3"/>
  <c r="AC6" i="3"/>
  <c r="AA6" i="3"/>
  <c r="W6" i="3"/>
  <c r="W4" i="3"/>
  <c r="AE28" i="3"/>
  <c r="W3" i="3"/>
  <c r="W2" i="3"/>
  <c r="D32" i="25"/>
  <c r="F29" i="25"/>
  <c r="D35" i="25" s="1"/>
  <c r="E35" i="25" s="1"/>
  <c r="AG28" i="25"/>
  <c r="AF28" i="25"/>
  <c r="AB28" i="25"/>
  <c r="AC25" i="25"/>
  <c r="AA25" i="25"/>
  <c r="AC22" i="25"/>
  <c r="AA22" i="25"/>
  <c r="AC20" i="25"/>
  <c r="AA20" i="25"/>
  <c r="W20" i="25"/>
  <c r="AC19" i="25"/>
  <c r="AA19" i="25"/>
  <c r="W19" i="25"/>
  <c r="AC18" i="25"/>
  <c r="AA18" i="25"/>
  <c r="W18" i="25"/>
  <c r="AC16" i="25"/>
  <c r="AA16" i="25"/>
  <c r="W16" i="25"/>
  <c r="AC17" i="25"/>
  <c r="AA17" i="25"/>
  <c r="W17" i="25"/>
  <c r="AC15" i="25"/>
  <c r="AA15" i="25"/>
  <c r="W15" i="25"/>
  <c r="AC14" i="25"/>
  <c r="AA14" i="25"/>
  <c r="W14" i="25"/>
  <c r="AC13" i="25"/>
  <c r="AA13" i="25"/>
  <c r="W13" i="25"/>
  <c r="AC11" i="25"/>
  <c r="AA11" i="25"/>
  <c r="W11" i="25"/>
  <c r="AC10" i="25"/>
  <c r="AA10" i="25"/>
  <c r="W10" i="25"/>
  <c r="AC9" i="25"/>
  <c r="AA9" i="25"/>
  <c r="W9" i="25"/>
  <c r="AC8" i="25"/>
  <c r="AA8" i="25"/>
  <c r="W8" i="25"/>
  <c r="AC7" i="25"/>
  <c r="AA7" i="25"/>
  <c r="W7" i="25"/>
  <c r="AC6" i="25"/>
  <c r="AA6" i="25"/>
  <c r="W6" i="25"/>
  <c r="W4" i="25"/>
  <c r="AE28" i="25"/>
  <c r="W3" i="25"/>
  <c r="W2" i="25"/>
  <c r="D32" i="17"/>
  <c r="D2" i="17" s="1"/>
  <c r="G2" i="17" s="1"/>
  <c r="F29" i="17"/>
  <c r="D35" i="17" s="1"/>
  <c r="F35" i="17" s="1"/>
  <c r="AG28" i="17"/>
  <c r="AF28" i="17"/>
  <c r="AB28" i="17"/>
  <c r="AC25" i="17"/>
  <c r="AA25" i="17"/>
  <c r="AC24" i="17"/>
  <c r="AA24" i="17"/>
  <c r="AC23" i="17"/>
  <c r="AA23" i="17"/>
  <c r="AC22" i="17"/>
  <c r="AA22" i="17"/>
  <c r="AC20" i="17"/>
  <c r="AA20" i="17"/>
  <c r="W20" i="17"/>
  <c r="AC19" i="17"/>
  <c r="AA19" i="17"/>
  <c r="W19" i="17"/>
  <c r="AC11" i="17"/>
  <c r="AA11" i="17"/>
  <c r="W11" i="17"/>
  <c r="AC10" i="17"/>
  <c r="AA10" i="17"/>
  <c r="W10" i="17"/>
  <c r="AC9" i="17"/>
  <c r="AA9" i="17"/>
  <c r="W9" i="17"/>
  <c r="AC8" i="17"/>
  <c r="AA8" i="17"/>
  <c r="W8" i="17"/>
  <c r="AC7" i="17"/>
  <c r="AA7" i="17"/>
  <c r="W7" i="17"/>
  <c r="AC6" i="17"/>
  <c r="AA6" i="17"/>
  <c r="W6" i="17"/>
  <c r="W4" i="17"/>
  <c r="AE28" i="17"/>
  <c r="W3" i="17"/>
  <c r="W2" i="17"/>
  <c r="D32" i="16"/>
  <c r="D3" i="16" s="1"/>
  <c r="F29" i="16"/>
  <c r="D35" i="16" s="1"/>
  <c r="AG28" i="16"/>
  <c r="AF28" i="16"/>
  <c r="AB28" i="16"/>
  <c r="AC25" i="16"/>
  <c r="AA25" i="16"/>
  <c r="AC24" i="16"/>
  <c r="AA24" i="16"/>
  <c r="AC23" i="16"/>
  <c r="AA23" i="16"/>
  <c r="AC22" i="16"/>
  <c r="AA22" i="16"/>
  <c r="AC20" i="16"/>
  <c r="AA20" i="16"/>
  <c r="W20" i="16"/>
  <c r="AC13" i="16"/>
  <c r="AA13" i="16"/>
  <c r="W13" i="16"/>
  <c r="AC11" i="16"/>
  <c r="AA11" i="16"/>
  <c r="W11" i="16"/>
  <c r="AC10" i="16"/>
  <c r="AA10" i="16"/>
  <c r="W10" i="16"/>
  <c r="AC9" i="16"/>
  <c r="AA9" i="16"/>
  <c r="W9" i="16"/>
  <c r="AC8" i="16"/>
  <c r="AA8" i="16"/>
  <c r="W8" i="16"/>
  <c r="AC7" i="16"/>
  <c r="AA7" i="16"/>
  <c r="W7" i="16"/>
  <c r="AC6" i="16"/>
  <c r="AA6" i="16"/>
  <c r="W6" i="16"/>
  <c r="W4" i="16"/>
  <c r="AE28" i="16"/>
  <c r="W3" i="16"/>
  <c r="W2" i="16"/>
  <c r="D32" i="15"/>
  <c r="D3" i="15" s="1"/>
  <c r="F29" i="15"/>
  <c r="D35" i="15" s="1"/>
  <c r="E35" i="15" s="1"/>
  <c r="AG28" i="15"/>
  <c r="AF28" i="15"/>
  <c r="AB28" i="15"/>
  <c r="AC25" i="15"/>
  <c r="AA25" i="15"/>
  <c r="AC24" i="15"/>
  <c r="AA24" i="15"/>
  <c r="AC23" i="15"/>
  <c r="AA23" i="15"/>
  <c r="AC22" i="15"/>
  <c r="AA22" i="15"/>
  <c r="AC20" i="15"/>
  <c r="AA20" i="15"/>
  <c r="W20" i="15"/>
  <c r="AC19" i="15"/>
  <c r="AA19" i="15"/>
  <c r="W19" i="15"/>
  <c r="AC18" i="15"/>
  <c r="AA18" i="15"/>
  <c r="W18" i="15"/>
  <c r="AC14" i="15"/>
  <c r="AA14" i="15"/>
  <c r="W14" i="15"/>
  <c r="AC13" i="15"/>
  <c r="AA13" i="15"/>
  <c r="W13" i="15"/>
  <c r="AC11" i="15"/>
  <c r="AA11" i="15"/>
  <c r="W11" i="15"/>
  <c r="AC10" i="15"/>
  <c r="AA10" i="15"/>
  <c r="W10" i="15"/>
  <c r="AC9" i="15"/>
  <c r="AA9" i="15"/>
  <c r="W9" i="15"/>
  <c r="AC8" i="15"/>
  <c r="AA8" i="15"/>
  <c r="W8" i="15"/>
  <c r="AC7" i="15"/>
  <c r="AA7" i="15"/>
  <c r="W7" i="15"/>
  <c r="AC6" i="15"/>
  <c r="AA6" i="15"/>
  <c r="W6" i="15"/>
  <c r="W4" i="15"/>
  <c r="AE28" i="15"/>
  <c r="W3" i="15"/>
  <c r="W2" i="15"/>
  <c r="D32" i="14"/>
  <c r="D4" i="14" s="1"/>
  <c r="F29" i="14"/>
  <c r="D35" i="14" s="1"/>
  <c r="AG28" i="14"/>
  <c r="AF28" i="14"/>
  <c r="AB28" i="14"/>
  <c r="AC25" i="14"/>
  <c r="AA25" i="14"/>
  <c r="AC24" i="14"/>
  <c r="AA24" i="14"/>
  <c r="AC23" i="14"/>
  <c r="AA23" i="14"/>
  <c r="AC22" i="14"/>
  <c r="AA22" i="14"/>
  <c r="W20" i="14"/>
  <c r="AC19" i="14"/>
  <c r="AA19" i="14"/>
  <c r="W19" i="14"/>
  <c r="AC18" i="14"/>
  <c r="AA18" i="14"/>
  <c r="W18" i="14"/>
  <c r="AC17" i="14"/>
  <c r="AA17" i="14"/>
  <c r="W17" i="14"/>
  <c r="AC16" i="14"/>
  <c r="AA16" i="14"/>
  <c r="W16" i="14"/>
  <c r="AC15" i="14"/>
  <c r="AA15" i="14"/>
  <c r="W15" i="14"/>
  <c r="AC14" i="14"/>
  <c r="AA14" i="14"/>
  <c r="W14" i="14"/>
  <c r="AC13" i="14"/>
  <c r="AA13" i="14"/>
  <c r="W13" i="14"/>
  <c r="AC11" i="14"/>
  <c r="AA11" i="14"/>
  <c r="W11" i="14"/>
  <c r="AC10" i="14"/>
  <c r="AA10" i="14"/>
  <c r="W10" i="14"/>
  <c r="AC9" i="14"/>
  <c r="AA9" i="14"/>
  <c r="W9" i="14"/>
  <c r="AC8" i="14"/>
  <c r="AA8" i="14"/>
  <c r="W8" i="14"/>
  <c r="AC7" i="14"/>
  <c r="AA7" i="14"/>
  <c r="W7" i="14"/>
  <c r="AC6" i="14"/>
  <c r="AA6" i="14"/>
  <c r="W6" i="14"/>
  <c r="W4" i="14"/>
  <c r="AE28" i="14"/>
  <c r="W3" i="14"/>
  <c r="W2" i="14"/>
  <c r="D32" i="13"/>
  <c r="D2" i="13" s="1"/>
  <c r="F29" i="13"/>
  <c r="D35" i="13" s="1"/>
  <c r="E35" i="13" s="1"/>
  <c r="AG28" i="13"/>
  <c r="AF28" i="13"/>
  <c r="AB28" i="13"/>
  <c r="AC25" i="13"/>
  <c r="AA25" i="13"/>
  <c r="AC24" i="13"/>
  <c r="AA24" i="13"/>
  <c r="AC23" i="13"/>
  <c r="AA23" i="13"/>
  <c r="AC22" i="13"/>
  <c r="AA22" i="13"/>
  <c r="AC20" i="13"/>
  <c r="AA20" i="13"/>
  <c r="W20" i="13"/>
  <c r="AC19" i="13"/>
  <c r="AA19" i="13"/>
  <c r="W19" i="13"/>
  <c r="AC18" i="13"/>
  <c r="AA18" i="13"/>
  <c r="W18" i="13"/>
  <c r="AC17" i="13"/>
  <c r="AA17" i="13"/>
  <c r="W17" i="13"/>
  <c r="AC16" i="13"/>
  <c r="AA16" i="13"/>
  <c r="W16" i="13"/>
  <c r="AC15" i="13"/>
  <c r="AA15" i="13"/>
  <c r="W15" i="13"/>
  <c r="AC14" i="13"/>
  <c r="AA14" i="13"/>
  <c r="W14" i="13"/>
  <c r="AC13" i="13"/>
  <c r="AA13" i="13"/>
  <c r="W13" i="13"/>
  <c r="AC11" i="13"/>
  <c r="AA11" i="13"/>
  <c r="W11" i="13"/>
  <c r="AC10" i="13"/>
  <c r="AA10" i="13"/>
  <c r="W10" i="13"/>
  <c r="AC9" i="13"/>
  <c r="AA9" i="13"/>
  <c r="W9" i="13"/>
  <c r="AC8" i="13"/>
  <c r="AA8" i="13"/>
  <c r="W8" i="13"/>
  <c r="AC7" i="13"/>
  <c r="AA7" i="13"/>
  <c r="W7" i="13"/>
  <c r="AC6" i="13"/>
  <c r="AA6" i="13"/>
  <c r="W6" i="13"/>
  <c r="W4" i="13"/>
  <c r="W3" i="13"/>
  <c r="W2" i="13"/>
  <c r="D32" i="12"/>
  <c r="D4" i="12" s="1"/>
  <c r="F29" i="12"/>
  <c r="D35" i="12" s="1"/>
  <c r="AG28" i="12"/>
  <c r="AF28" i="12"/>
  <c r="AB28" i="12"/>
  <c r="AC25" i="12"/>
  <c r="AA25" i="12"/>
  <c r="AC24" i="12"/>
  <c r="AA24" i="12"/>
  <c r="AC23" i="12"/>
  <c r="AA23" i="12"/>
  <c r="AC22" i="12"/>
  <c r="AA22" i="12"/>
  <c r="AC20" i="12"/>
  <c r="AA20" i="12"/>
  <c r="W20" i="12"/>
  <c r="AC19" i="12"/>
  <c r="AA19" i="12"/>
  <c r="W19" i="12"/>
  <c r="AC18" i="12"/>
  <c r="AA18" i="12"/>
  <c r="W18" i="12"/>
  <c r="AC17" i="12"/>
  <c r="AA17" i="12"/>
  <c r="W17" i="12"/>
  <c r="AC16" i="12"/>
  <c r="AA16" i="12"/>
  <c r="W16" i="12"/>
  <c r="AC15" i="12"/>
  <c r="AA15" i="12"/>
  <c r="W15" i="12"/>
  <c r="AC14" i="12"/>
  <c r="AA14" i="12"/>
  <c r="W14" i="12"/>
  <c r="AC13" i="12"/>
  <c r="AA13" i="12"/>
  <c r="W13" i="12"/>
  <c r="AC11" i="12"/>
  <c r="AA11" i="12"/>
  <c r="W11" i="12"/>
  <c r="AC10" i="12"/>
  <c r="AA10" i="12"/>
  <c r="W10" i="12"/>
  <c r="AC9" i="12"/>
  <c r="AA9" i="12"/>
  <c r="W9" i="12"/>
  <c r="AC8" i="12"/>
  <c r="AA8" i="12"/>
  <c r="W8" i="12"/>
  <c r="AC7" i="12"/>
  <c r="AA7" i="12"/>
  <c r="W7" i="12"/>
  <c r="AC6" i="12"/>
  <c r="AA6" i="12"/>
  <c r="W6" i="12"/>
  <c r="W4" i="12"/>
  <c r="AE28" i="12"/>
  <c r="W3" i="12"/>
  <c r="W2" i="12"/>
  <c r="D32" i="11"/>
  <c r="F29" i="11"/>
  <c r="D35" i="11" s="1"/>
  <c r="AG28" i="11"/>
  <c r="AF28" i="11"/>
  <c r="AB28" i="11"/>
  <c r="AC25" i="11"/>
  <c r="AA25" i="11"/>
  <c r="AC24" i="11"/>
  <c r="AA24" i="11"/>
  <c r="AC23" i="11"/>
  <c r="AA23" i="11"/>
  <c r="AC22" i="11"/>
  <c r="AA22" i="11"/>
  <c r="AC20" i="11"/>
  <c r="AA20" i="11"/>
  <c r="W20" i="11"/>
  <c r="AC19" i="11"/>
  <c r="AA19" i="11"/>
  <c r="W19" i="11"/>
  <c r="AC16" i="11"/>
  <c r="AA16" i="11"/>
  <c r="W16" i="11"/>
  <c r="AC17" i="11"/>
  <c r="AA17" i="11"/>
  <c r="W17" i="11"/>
  <c r="AC18" i="11"/>
  <c r="AA18" i="11"/>
  <c r="W18" i="11"/>
  <c r="AC14" i="11"/>
  <c r="AA14" i="11"/>
  <c r="W14" i="11"/>
  <c r="AC15" i="11"/>
  <c r="AA15" i="11"/>
  <c r="W15" i="11"/>
  <c r="AC13" i="11"/>
  <c r="AA13" i="11"/>
  <c r="W13" i="11"/>
  <c r="AC11" i="11"/>
  <c r="AA11" i="11"/>
  <c r="W11" i="11"/>
  <c r="AC10" i="11"/>
  <c r="AA10" i="11"/>
  <c r="W10" i="11"/>
  <c r="AC7" i="11"/>
  <c r="AA7" i="11"/>
  <c r="W7" i="11"/>
  <c r="AC9" i="11"/>
  <c r="AA9" i="11"/>
  <c r="W9" i="11"/>
  <c r="AC8" i="11"/>
  <c r="AA8" i="11"/>
  <c r="W8" i="11"/>
  <c r="AC6" i="11"/>
  <c r="AA6" i="11"/>
  <c r="W6" i="11"/>
  <c r="AE28" i="11"/>
  <c r="W3" i="11"/>
  <c r="W2" i="11"/>
  <c r="D32" i="10"/>
  <c r="D4" i="10" s="1"/>
  <c r="F29" i="10"/>
  <c r="D35" i="10" s="1"/>
  <c r="AG28" i="10"/>
  <c r="AF28" i="10"/>
  <c r="AB28" i="10"/>
  <c r="AC25" i="10"/>
  <c r="AA25" i="10"/>
  <c r="AC24" i="10"/>
  <c r="AA24" i="10"/>
  <c r="AC23" i="10"/>
  <c r="AA23" i="10"/>
  <c r="AC22" i="10"/>
  <c r="AA22" i="10"/>
  <c r="AC20" i="10"/>
  <c r="AA20" i="10"/>
  <c r="W20" i="10"/>
  <c r="AC19" i="10"/>
  <c r="AA19" i="10"/>
  <c r="W19" i="10"/>
  <c r="AC18" i="10"/>
  <c r="AA18" i="10"/>
  <c r="W18" i="10"/>
  <c r="AC17" i="10"/>
  <c r="AA17" i="10"/>
  <c r="W17" i="10"/>
  <c r="AC16" i="10"/>
  <c r="AA16" i="10"/>
  <c r="W16" i="10"/>
  <c r="AC15" i="10"/>
  <c r="AA15" i="10"/>
  <c r="W15" i="10"/>
  <c r="AC14" i="10"/>
  <c r="AA14" i="10"/>
  <c r="W14" i="10"/>
  <c r="AC13" i="10"/>
  <c r="AA13" i="10"/>
  <c r="W13" i="10"/>
  <c r="AC11" i="10"/>
  <c r="AA11" i="10"/>
  <c r="W11" i="10"/>
  <c r="AC10" i="10"/>
  <c r="AA10" i="10"/>
  <c r="W10" i="10"/>
  <c r="AC8" i="10"/>
  <c r="AA8" i="10"/>
  <c r="W8" i="10"/>
  <c r="AC6" i="10"/>
  <c r="AA6" i="10"/>
  <c r="W6" i="10"/>
  <c r="AC9" i="10"/>
  <c r="AA9" i="10"/>
  <c r="W9" i="10"/>
  <c r="AC7" i="10"/>
  <c r="AA7" i="10"/>
  <c r="W7" i="10"/>
  <c r="W4" i="10"/>
  <c r="W3" i="10"/>
  <c r="W2" i="10"/>
  <c r="D32" i="9"/>
  <c r="D3" i="9" s="1"/>
  <c r="G3" i="9" s="1"/>
  <c r="F29" i="9"/>
  <c r="D35" i="9" s="1"/>
  <c r="AG28" i="9"/>
  <c r="AF28" i="9"/>
  <c r="AB28" i="9"/>
  <c r="AC25" i="9"/>
  <c r="AA25" i="9"/>
  <c r="AC24" i="9"/>
  <c r="AA24" i="9"/>
  <c r="AC23" i="9"/>
  <c r="AA23" i="9"/>
  <c r="AC22" i="9"/>
  <c r="AA22" i="9"/>
  <c r="AC20" i="9"/>
  <c r="AA20" i="9"/>
  <c r="W20" i="9"/>
  <c r="AC19" i="9"/>
  <c r="AA19" i="9"/>
  <c r="W19" i="9"/>
  <c r="AC18" i="9"/>
  <c r="AA18" i="9"/>
  <c r="W18" i="9"/>
  <c r="AC17" i="9"/>
  <c r="AA17" i="9"/>
  <c r="W17" i="9"/>
  <c r="AC16" i="9"/>
  <c r="AA16" i="9"/>
  <c r="W16" i="9"/>
  <c r="AC15" i="9"/>
  <c r="AA15" i="9"/>
  <c r="W15" i="9"/>
  <c r="AC14" i="9"/>
  <c r="AA14" i="9"/>
  <c r="W14" i="9"/>
  <c r="AC13" i="9"/>
  <c r="AA13" i="9"/>
  <c r="W13" i="9"/>
  <c r="AC11" i="9"/>
  <c r="AA11" i="9"/>
  <c r="W11" i="9"/>
  <c r="AC10" i="9"/>
  <c r="AA10" i="9"/>
  <c r="W10" i="9"/>
  <c r="AC9" i="9"/>
  <c r="AA9" i="9"/>
  <c r="W9" i="9"/>
  <c r="AC8" i="9"/>
  <c r="AA8" i="9"/>
  <c r="W8" i="9"/>
  <c r="AC7" i="9"/>
  <c r="AA7" i="9"/>
  <c r="W7" i="9"/>
  <c r="AC6" i="9"/>
  <c r="AA6" i="9"/>
  <c r="W6" i="9"/>
  <c r="W4" i="9"/>
  <c r="AE28" i="9"/>
  <c r="W3" i="9"/>
  <c r="W2" i="9"/>
  <c r="D32" i="8"/>
  <c r="D2" i="8" s="1"/>
  <c r="F29" i="8"/>
  <c r="D35" i="8" s="1"/>
  <c r="F35" i="8" s="1"/>
  <c r="AG28" i="8"/>
  <c r="AF28" i="8"/>
  <c r="AB28" i="8"/>
  <c r="AC25" i="8"/>
  <c r="AA25" i="8"/>
  <c r="AC24" i="8"/>
  <c r="AA24" i="8"/>
  <c r="AC23" i="8"/>
  <c r="AA23" i="8"/>
  <c r="AC22" i="8"/>
  <c r="AA22" i="8"/>
  <c r="AC20" i="8"/>
  <c r="AA20" i="8"/>
  <c r="W20" i="8"/>
  <c r="AC19" i="8"/>
  <c r="AA19" i="8"/>
  <c r="W19" i="8"/>
  <c r="AC18" i="8"/>
  <c r="AA18" i="8"/>
  <c r="W18" i="8"/>
  <c r="AC17" i="8"/>
  <c r="AA17" i="8"/>
  <c r="W17" i="8"/>
  <c r="AC16" i="8"/>
  <c r="AA16" i="8"/>
  <c r="W16" i="8"/>
  <c r="AC15" i="8"/>
  <c r="AA15" i="8"/>
  <c r="W15" i="8"/>
  <c r="AC14" i="8"/>
  <c r="AA14" i="8"/>
  <c r="W14" i="8"/>
  <c r="AC13" i="8"/>
  <c r="AA13" i="8"/>
  <c r="W13" i="8"/>
  <c r="AC11" i="8"/>
  <c r="AA11" i="8"/>
  <c r="W11" i="8"/>
  <c r="AC10" i="8"/>
  <c r="AA10" i="8"/>
  <c r="W10" i="8"/>
  <c r="AC9" i="8"/>
  <c r="AA9" i="8"/>
  <c r="W9" i="8"/>
  <c r="AC8" i="8"/>
  <c r="AA8" i="8"/>
  <c r="W8" i="8"/>
  <c r="AC7" i="8"/>
  <c r="AA7" i="8"/>
  <c r="W7" i="8"/>
  <c r="AC6" i="8"/>
  <c r="AA6" i="8"/>
  <c r="W6" i="8"/>
  <c r="W4" i="8"/>
  <c r="AE28" i="8"/>
  <c r="W3" i="8"/>
  <c r="W2" i="8"/>
  <c r="D32" i="7"/>
  <c r="D4" i="7" s="1"/>
  <c r="F29" i="7"/>
  <c r="D35" i="7" s="1"/>
  <c r="AG28" i="7"/>
  <c r="AF28" i="7"/>
  <c r="AB28" i="7"/>
  <c r="AC25" i="7"/>
  <c r="AA25" i="7"/>
  <c r="AC24" i="7"/>
  <c r="AA24" i="7"/>
  <c r="AC23" i="7"/>
  <c r="AA23" i="7"/>
  <c r="AC22" i="7"/>
  <c r="AA22" i="7"/>
  <c r="AC20" i="7"/>
  <c r="AA20" i="7"/>
  <c r="W20" i="7"/>
  <c r="AC19" i="7"/>
  <c r="AA19" i="7"/>
  <c r="W19" i="7"/>
  <c r="AC18" i="7"/>
  <c r="AA18" i="7"/>
  <c r="W18" i="7"/>
  <c r="AC15" i="7"/>
  <c r="AA15" i="7"/>
  <c r="W15" i="7"/>
  <c r="AC14" i="7"/>
  <c r="AA14" i="7"/>
  <c r="W14" i="7"/>
  <c r="AC13" i="7"/>
  <c r="AA13" i="7"/>
  <c r="W13" i="7"/>
  <c r="AC11" i="7"/>
  <c r="AA11" i="7"/>
  <c r="W11" i="7"/>
  <c r="AC10" i="7"/>
  <c r="AA10" i="7"/>
  <c r="W10" i="7"/>
  <c r="AC9" i="7"/>
  <c r="AA9" i="7"/>
  <c r="W9" i="7"/>
  <c r="AC8" i="7"/>
  <c r="AA8" i="7"/>
  <c r="W8" i="7"/>
  <c r="AC7" i="7"/>
  <c r="AA7" i="7"/>
  <c r="W7" i="7"/>
  <c r="AC6" i="7"/>
  <c r="AA6" i="7"/>
  <c r="W6" i="7"/>
  <c r="W4" i="7"/>
  <c r="AE28" i="7"/>
  <c r="W3" i="7"/>
  <c r="W2" i="7"/>
  <c r="D32" i="1"/>
  <c r="D3" i="1" s="1"/>
  <c r="F29" i="1"/>
  <c r="D35" i="1" s="1"/>
  <c r="E35" i="1" s="1"/>
  <c r="AG28" i="1"/>
  <c r="AF28" i="1"/>
  <c r="AE28" i="1"/>
  <c r="AB28" i="1"/>
  <c r="AC25" i="1"/>
  <c r="AA25" i="1"/>
  <c r="AC24" i="1"/>
  <c r="AA24" i="1"/>
  <c r="AC23" i="1"/>
  <c r="AA23" i="1"/>
  <c r="AC22" i="1"/>
  <c r="AA22" i="1"/>
  <c r="AC20" i="1"/>
  <c r="AA20" i="1"/>
  <c r="W20" i="1"/>
  <c r="AC19" i="1"/>
  <c r="AA19" i="1"/>
  <c r="W19" i="1"/>
  <c r="AC14" i="1"/>
  <c r="AA14" i="1"/>
  <c r="W14" i="1"/>
  <c r="AC13" i="1"/>
  <c r="AA13" i="1"/>
  <c r="W13" i="1"/>
  <c r="AC11" i="1"/>
  <c r="AA11" i="1"/>
  <c r="W11" i="1"/>
  <c r="AC10" i="1"/>
  <c r="AA10" i="1"/>
  <c r="W10" i="1"/>
  <c r="AC7" i="1"/>
  <c r="AA7" i="1"/>
  <c r="W7" i="1"/>
  <c r="AC6" i="1"/>
  <c r="AA6" i="1"/>
  <c r="W6" i="1"/>
  <c r="W4" i="1"/>
  <c r="W3" i="1"/>
  <c r="W2" i="1"/>
  <c r="D32" i="6"/>
  <c r="D4" i="6" s="1"/>
  <c r="F29" i="6"/>
  <c r="D35" i="6"/>
  <c r="F35" i="6" s="1"/>
  <c r="AG28" i="6"/>
  <c r="AF28" i="6"/>
  <c r="AB28" i="6"/>
  <c r="AC25" i="6"/>
  <c r="AA25" i="6"/>
  <c r="AC24" i="6"/>
  <c r="AA24" i="6"/>
  <c r="AC23" i="6"/>
  <c r="AA23" i="6"/>
  <c r="AC22" i="6"/>
  <c r="AA22" i="6"/>
  <c r="AC20" i="6"/>
  <c r="AA20" i="6"/>
  <c r="W20" i="6"/>
  <c r="AC19" i="6"/>
  <c r="AA19" i="6"/>
  <c r="W19" i="6"/>
  <c r="AC14" i="6"/>
  <c r="AA14" i="6"/>
  <c r="W14" i="6"/>
  <c r="AC13" i="6"/>
  <c r="AA13" i="6"/>
  <c r="W13" i="6"/>
  <c r="AC11" i="6"/>
  <c r="AA11" i="6"/>
  <c r="W11" i="6"/>
  <c r="AC10" i="6"/>
  <c r="AA10" i="6"/>
  <c r="W10" i="6"/>
  <c r="AC9" i="6"/>
  <c r="AA9" i="6"/>
  <c r="W9" i="6"/>
  <c r="AC8" i="6"/>
  <c r="AA8" i="6"/>
  <c r="W8" i="6"/>
  <c r="AC7" i="6"/>
  <c r="AA7" i="6"/>
  <c r="W7" i="6"/>
  <c r="AC6" i="6"/>
  <c r="AA6" i="6"/>
  <c r="W6" i="6"/>
  <c r="W4" i="6"/>
  <c r="AE28" i="6"/>
  <c r="W3" i="6"/>
  <c r="W2" i="6"/>
  <c r="D32" i="5"/>
  <c r="D4" i="5" s="1"/>
  <c r="F29" i="5"/>
  <c r="D35" i="5" s="1"/>
  <c r="AG28" i="5"/>
  <c r="AF28" i="5"/>
  <c r="AB28" i="5"/>
  <c r="AC25" i="5"/>
  <c r="AA25" i="5"/>
  <c r="AC24" i="5"/>
  <c r="AA24" i="5"/>
  <c r="AC23" i="5"/>
  <c r="AA23" i="5"/>
  <c r="AC22" i="5"/>
  <c r="AA22" i="5"/>
  <c r="AC20" i="5"/>
  <c r="AA20" i="5"/>
  <c r="W20" i="5"/>
  <c r="AC19" i="5"/>
  <c r="AA19" i="5"/>
  <c r="W19" i="5"/>
  <c r="AC18" i="5"/>
  <c r="AA18" i="5"/>
  <c r="W18" i="5"/>
  <c r="AC17" i="5"/>
  <c r="AA17" i="5"/>
  <c r="W17" i="5"/>
  <c r="AC16" i="5"/>
  <c r="AA16" i="5"/>
  <c r="W16" i="5"/>
  <c r="AC15" i="5"/>
  <c r="AA15" i="5"/>
  <c r="W15" i="5"/>
  <c r="AC14" i="5"/>
  <c r="AA14" i="5"/>
  <c r="W14" i="5"/>
  <c r="AC13" i="5"/>
  <c r="AA13" i="5"/>
  <c r="W13" i="5"/>
  <c r="AC11" i="5"/>
  <c r="AA11" i="5"/>
  <c r="W11" i="5"/>
  <c r="AC10" i="5"/>
  <c r="AA10" i="5"/>
  <c r="W10" i="5"/>
  <c r="AC7" i="5"/>
  <c r="AA7" i="5"/>
  <c r="W7" i="5"/>
  <c r="AC9" i="5"/>
  <c r="AA9" i="5"/>
  <c r="W9" i="5"/>
  <c r="AC8" i="5"/>
  <c r="AA8" i="5"/>
  <c r="W8" i="5"/>
  <c r="AC6" i="5"/>
  <c r="AA6" i="5"/>
  <c r="W6" i="5"/>
  <c r="W4" i="5"/>
  <c r="AE28" i="5"/>
  <c r="W3" i="5"/>
  <c r="W2" i="5"/>
  <c r="D32" i="4"/>
  <c r="D3" i="4" s="1"/>
  <c r="F29" i="4"/>
  <c r="D35" i="4" s="1"/>
  <c r="AG28" i="4"/>
  <c r="AF28" i="4"/>
  <c r="AB28" i="4"/>
  <c r="AC25" i="4"/>
  <c r="AA25" i="4"/>
  <c r="AC24" i="4"/>
  <c r="AA24" i="4"/>
  <c r="AC23" i="4"/>
  <c r="AA23" i="4"/>
  <c r="AC22" i="4"/>
  <c r="AA22" i="4"/>
  <c r="AC20" i="4"/>
  <c r="AA20" i="4"/>
  <c r="W20" i="4"/>
  <c r="AC19" i="4"/>
  <c r="AA19" i="4"/>
  <c r="W19" i="4"/>
  <c r="AC18" i="4"/>
  <c r="AA18" i="4"/>
  <c r="W18" i="4"/>
  <c r="AC17" i="4"/>
  <c r="AA17" i="4"/>
  <c r="W17" i="4"/>
  <c r="AC16" i="4"/>
  <c r="AA16" i="4"/>
  <c r="W16" i="4"/>
  <c r="AC15" i="4"/>
  <c r="AA15" i="4"/>
  <c r="W15" i="4"/>
  <c r="AC14" i="4"/>
  <c r="AA14" i="4"/>
  <c r="W14" i="4"/>
  <c r="AC13" i="4"/>
  <c r="AA13" i="4"/>
  <c r="W13" i="4"/>
  <c r="AC11" i="4"/>
  <c r="AA11" i="4"/>
  <c r="W11" i="4"/>
  <c r="AC10" i="4"/>
  <c r="AA10" i="4"/>
  <c r="W10" i="4"/>
  <c r="AC9" i="4"/>
  <c r="AA9" i="4"/>
  <c r="W9" i="4"/>
  <c r="AC8" i="4"/>
  <c r="AA8" i="4"/>
  <c r="W8" i="4"/>
  <c r="AC7" i="4"/>
  <c r="AA7" i="4"/>
  <c r="W7" i="4"/>
  <c r="AC6" i="4"/>
  <c r="AA6" i="4"/>
  <c r="W6" i="4"/>
  <c r="W4" i="4"/>
  <c r="W3" i="4"/>
  <c r="W2" i="4"/>
  <c r="D32" i="32"/>
  <c r="D3" i="32" s="1"/>
  <c r="D35" i="32"/>
  <c r="AG28" i="32"/>
  <c r="AF28" i="32"/>
  <c r="AE28" i="32"/>
  <c r="AB28" i="32"/>
  <c r="AC25" i="32"/>
  <c r="AA25" i="32"/>
  <c r="AC23" i="32"/>
  <c r="AA23" i="32"/>
  <c r="AC22" i="32"/>
  <c r="AA22" i="32"/>
  <c r="AC20" i="32"/>
  <c r="AA20" i="32"/>
  <c r="W20" i="32"/>
  <c r="AC19" i="32"/>
  <c r="AA19" i="32"/>
  <c r="W19" i="32"/>
  <c r="AC18" i="32"/>
  <c r="AA18" i="32"/>
  <c r="W18" i="32"/>
  <c r="AC13" i="32"/>
  <c r="AA13" i="32"/>
  <c r="W13" i="32"/>
  <c r="AC11" i="32"/>
  <c r="AA11" i="32"/>
  <c r="W11" i="32"/>
  <c r="AC10" i="32"/>
  <c r="AA10" i="32"/>
  <c r="W10" i="32"/>
  <c r="AC9" i="32"/>
  <c r="AA9" i="32"/>
  <c r="W9" i="32"/>
  <c r="AC7" i="32"/>
  <c r="AA7" i="32"/>
  <c r="W7" i="32"/>
  <c r="AC6" i="32"/>
  <c r="AA6" i="32"/>
  <c r="W6" i="32"/>
  <c r="W4" i="32"/>
  <c r="W3" i="32"/>
  <c r="W2" i="32"/>
  <c r="B102" i="35"/>
  <c r="D102" i="35"/>
  <c r="AD10" i="48"/>
  <c r="AD2" i="48" s="1"/>
  <c r="B66" i="33"/>
  <c r="D66" i="33"/>
  <c r="B71" i="33"/>
  <c r="D71" i="33"/>
  <c r="B48" i="33"/>
  <c r="D3" i="23"/>
  <c r="D3" i="21"/>
  <c r="E46" i="33"/>
  <c r="D3" i="17"/>
  <c r="D3" i="14"/>
  <c r="D56" i="33"/>
  <c r="B56" i="33"/>
  <c r="D74" i="33"/>
  <c r="B74" i="33"/>
  <c r="B199" i="35"/>
  <c r="D199" i="35"/>
  <c r="B200" i="35"/>
  <c r="D200" i="35"/>
  <c r="B201" i="35"/>
  <c r="D201" i="35"/>
  <c r="B202" i="35"/>
  <c r="D202" i="35"/>
  <c r="B203" i="35"/>
  <c r="D203" i="35"/>
  <c r="B192" i="35"/>
  <c r="D192" i="35"/>
  <c r="B193" i="35"/>
  <c r="D193" i="35"/>
  <c r="B194" i="35"/>
  <c r="D194" i="35"/>
  <c r="B195" i="35"/>
  <c r="D195" i="35"/>
  <c r="B196" i="35"/>
  <c r="D196" i="35"/>
  <c r="B186" i="35"/>
  <c r="D186" i="35"/>
  <c r="B187" i="35"/>
  <c r="D187" i="35"/>
  <c r="B188" i="35"/>
  <c r="D188" i="35"/>
  <c r="B189" i="35"/>
  <c r="D189" i="35"/>
  <c r="B180" i="35"/>
  <c r="D180" i="35"/>
  <c r="B181" i="35"/>
  <c r="D181" i="35"/>
  <c r="B182" i="35"/>
  <c r="D182" i="35"/>
  <c r="B183" i="35"/>
  <c r="D183" i="35"/>
  <c r="B175" i="35"/>
  <c r="D175" i="35"/>
  <c r="B176" i="35"/>
  <c r="D176" i="35"/>
  <c r="B177" i="35"/>
  <c r="D177" i="35"/>
  <c r="B169" i="35"/>
  <c r="D169" i="35"/>
  <c r="B170" i="35"/>
  <c r="D170" i="35"/>
  <c r="B171" i="35"/>
  <c r="D171" i="35"/>
  <c r="B172" i="35"/>
  <c r="D172" i="35"/>
  <c r="B163" i="35"/>
  <c r="D163" i="35"/>
  <c r="B164" i="35"/>
  <c r="D164" i="35"/>
  <c r="B165" i="35"/>
  <c r="D165" i="35"/>
  <c r="B166" i="35"/>
  <c r="D166" i="35"/>
  <c r="B156" i="35"/>
  <c r="D156" i="35"/>
  <c r="B157" i="35"/>
  <c r="D157" i="35"/>
  <c r="B158" i="35"/>
  <c r="D158" i="35"/>
  <c r="B159" i="35"/>
  <c r="D159" i="35"/>
  <c r="B160" i="35"/>
  <c r="D160" i="35"/>
  <c r="B153" i="35"/>
  <c r="D153" i="35"/>
  <c r="B149" i="35"/>
  <c r="D149" i="35"/>
  <c r="B150" i="35"/>
  <c r="D150" i="35"/>
  <c r="B151" i="35"/>
  <c r="D151" i="35"/>
  <c r="B152" i="35"/>
  <c r="D152" i="35"/>
  <c r="B143" i="35"/>
  <c r="D143" i="35"/>
  <c r="B144" i="35"/>
  <c r="D144" i="35"/>
  <c r="B145" i="35"/>
  <c r="D145" i="35"/>
  <c r="B146" i="35"/>
  <c r="D146" i="35"/>
  <c r="B137" i="35"/>
  <c r="D137" i="35"/>
  <c r="B138" i="35"/>
  <c r="D138" i="35"/>
  <c r="B139" i="35"/>
  <c r="D139" i="35"/>
  <c r="B140" i="35"/>
  <c r="D140" i="35"/>
  <c r="B131" i="35"/>
  <c r="D131" i="35"/>
  <c r="B132" i="35"/>
  <c r="D132" i="35"/>
  <c r="B133" i="35"/>
  <c r="D133" i="35"/>
  <c r="B134" i="35"/>
  <c r="D134" i="35"/>
  <c r="B127" i="35"/>
  <c r="D127" i="35"/>
  <c r="B128" i="35"/>
  <c r="D128" i="35"/>
  <c r="B120" i="35"/>
  <c r="D120" i="35"/>
  <c r="B121" i="35"/>
  <c r="D121" i="35"/>
  <c r="B114" i="35"/>
  <c r="D114" i="35"/>
  <c r="B115" i="35"/>
  <c r="D115" i="35"/>
  <c r="B112" i="35"/>
  <c r="D112" i="35"/>
  <c r="B113" i="35"/>
  <c r="D113" i="35"/>
  <c r="B105" i="35"/>
  <c r="D105" i="35"/>
  <c r="B106" i="35"/>
  <c r="D106" i="35"/>
  <c r="B107" i="35"/>
  <c r="D107" i="35"/>
  <c r="B108" i="35"/>
  <c r="D108" i="35"/>
  <c r="B109" i="35"/>
  <c r="D109" i="35"/>
  <c r="B99" i="35"/>
  <c r="D99" i="35"/>
  <c r="B100" i="35"/>
  <c r="D100" i="35"/>
  <c r="B101" i="35"/>
  <c r="D101" i="35"/>
  <c r="B92" i="35"/>
  <c r="D92" i="35"/>
  <c r="B93" i="35"/>
  <c r="D93" i="35"/>
  <c r="B94" i="35"/>
  <c r="D94" i="35"/>
  <c r="B95" i="35"/>
  <c r="D95" i="35"/>
  <c r="B96" i="35"/>
  <c r="D96" i="35"/>
  <c r="B86" i="35"/>
  <c r="D86" i="35"/>
  <c r="B87" i="35"/>
  <c r="D87" i="35"/>
  <c r="B88" i="35"/>
  <c r="D88" i="35"/>
  <c r="B89" i="35"/>
  <c r="D89" i="35"/>
  <c r="D85" i="35"/>
  <c r="B85" i="35"/>
  <c r="D84" i="35"/>
  <c r="B84" i="35"/>
  <c r="B79" i="35"/>
  <c r="D79" i="35"/>
  <c r="B80" i="35"/>
  <c r="D80" i="35"/>
  <c r="B81" i="35"/>
  <c r="D81" i="35"/>
  <c r="B82" i="35"/>
  <c r="D82" i="35"/>
  <c r="B83" i="35"/>
  <c r="D83" i="35"/>
  <c r="B72" i="35"/>
  <c r="D72" i="35"/>
  <c r="B73" i="35"/>
  <c r="D73" i="35"/>
  <c r="B74" i="35"/>
  <c r="D74" i="35"/>
  <c r="B75" i="35"/>
  <c r="D75" i="35"/>
  <c r="B76" i="35"/>
  <c r="D76" i="35"/>
  <c r="D71" i="35"/>
  <c r="B71" i="35"/>
  <c r="B66" i="35"/>
  <c r="D66" i="35"/>
  <c r="B67" i="35"/>
  <c r="D67" i="35"/>
  <c r="B68" i="35"/>
  <c r="D68" i="35"/>
  <c r="B69" i="35"/>
  <c r="D69" i="35"/>
  <c r="B60" i="35"/>
  <c r="D60" i="35"/>
  <c r="B61" i="35"/>
  <c r="D61" i="35"/>
  <c r="B62" i="35"/>
  <c r="D62" i="35"/>
  <c r="B63" i="35"/>
  <c r="D63" i="35"/>
  <c r="D198" i="35"/>
  <c r="D197" i="35"/>
  <c r="D191" i="35"/>
  <c r="D190" i="35"/>
  <c r="D185" i="35"/>
  <c r="D184" i="35"/>
  <c r="D179" i="35"/>
  <c r="D178" i="35"/>
  <c r="D174" i="35"/>
  <c r="D173" i="35"/>
  <c r="D168" i="35"/>
  <c r="D167" i="35"/>
  <c r="D162" i="35"/>
  <c r="D161" i="35"/>
  <c r="D155" i="35"/>
  <c r="D154" i="35"/>
  <c r="D148" i="35"/>
  <c r="D147" i="35"/>
  <c r="D142" i="35"/>
  <c r="D141" i="35"/>
  <c r="D136" i="35"/>
  <c r="D135" i="35"/>
  <c r="D130" i="35"/>
  <c r="D129" i="35"/>
  <c r="D126" i="35"/>
  <c r="D125" i="35"/>
  <c r="D124" i="35"/>
  <c r="D123" i="35"/>
  <c r="D122" i="35"/>
  <c r="D119" i="35"/>
  <c r="D118" i="35"/>
  <c r="D117" i="35"/>
  <c r="D116" i="35"/>
  <c r="D111" i="35"/>
  <c r="D110" i="35"/>
  <c r="D104" i="35"/>
  <c r="D103" i="35"/>
  <c r="D98" i="35"/>
  <c r="D97" i="35"/>
  <c r="D91" i="35"/>
  <c r="D90" i="35"/>
  <c r="D78" i="35"/>
  <c r="D77" i="35"/>
  <c r="D70" i="35"/>
  <c r="D65" i="35"/>
  <c r="D64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S3" i="47" s="1"/>
  <c r="B54" i="35"/>
  <c r="B55" i="35"/>
  <c r="B56" i="35"/>
  <c r="B57" i="35"/>
  <c r="B48" i="35"/>
  <c r="B49" i="35"/>
  <c r="B50" i="35"/>
  <c r="B51" i="35"/>
  <c r="B43" i="35"/>
  <c r="B44" i="35"/>
  <c r="B45" i="35"/>
  <c r="B36" i="35"/>
  <c r="B37" i="35"/>
  <c r="B38" i="35"/>
  <c r="B39" i="35"/>
  <c r="B40" i="35"/>
  <c r="B29" i="35"/>
  <c r="B30" i="35"/>
  <c r="B31" i="35"/>
  <c r="B32" i="35"/>
  <c r="B33" i="35"/>
  <c r="B22" i="35"/>
  <c r="B23" i="35"/>
  <c r="B24" i="35"/>
  <c r="B25" i="35"/>
  <c r="B26" i="35"/>
  <c r="B16" i="35"/>
  <c r="B17" i="35"/>
  <c r="B18" i="35"/>
  <c r="B19" i="35"/>
  <c r="B10" i="35"/>
  <c r="B11" i="35"/>
  <c r="B12" i="35"/>
  <c r="B13" i="35"/>
  <c r="B4" i="35"/>
  <c r="B5" i="35"/>
  <c r="B6" i="35"/>
  <c r="B7" i="35"/>
  <c r="B198" i="35"/>
  <c r="B197" i="35"/>
  <c r="B191" i="35"/>
  <c r="B190" i="35"/>
  <c r="B185" i="35"/>
  <c r="B184" i="35"/>
  <c r="B179" i="35"/>
  <c r="B178" i="35"/>
  <c r="B174" i="35"/>
  <c r="B173" i="35"/>
  <c r="B168" i="35"/>
  <c r="B167" i="35"/>
  <c r="B162" i="35"/>
  <c r="B161" i="35"/>
  <c r="B155" i="35"/>
  <c r="B154" i="35"/>
  <c r="B148" i="35"/>
  <c r="B147" i="35"/>
  <c r="B142" i="35"/>
  <c r="B141" i="35"/>
  <c r="B136" i="35"/>
  <c r="B135" i="35"/>
  <c r="B130" i="35"/>
  <c r="B129" i="35"/>
  <c r="B126" i="35"/>
  <c r="B125" i="35"/>
  <c r="B124" i="35"/>
  <c r="B123" i="35"/>
  <c r="B122" i="35"/>
  <c r="B119" i="35"/>
  <c r="B118" i="35"/>
  <c r="B117" i="35"/>
  <c r="B116" i="35"/>
  <c r="B111" i="35"/>
  <c r="B110" i="35"/>
  <c r="B104" i="35"/>
  <c r="B103" i="35"/>
  <c r="B98" i="35"/>
  <c r="B97" i="35"/>
  <c r="B91" i="35"/>
  <c r="B90" i="35"/>
  <c r="B78" i="35"/>
  <c r="B77" i="35"/>
  <c r="B70" i="35"/>
  <c r="B65" i="35"/>
  <c r="B64" i="35"/>
  <c r="B59" i="35"/>
  <c r="B58" i="35"/>
  <c r="B53" i="35"/>
  <c r="B52" i="35"/>
  <c r="B47" i="35"/>
  <c r="B46" i="35"/>
  <c r="B42" i="35"/>
  <c r="B41" i="35"/>
  <c r="B35" i="35"/>
  <c r="B34" i="35"/>
  <c r="B28" i="35"/>
  <c r="B27" i="35"/>
  <c r="B21" i="35"/>
  <c r="B20" i="35"/>
  <c r="B15" i="35"/>
  <c r="B14" i="35"/>
  <c r="B9" i="35"/>
  <c r="B8" i="35"/>
  <c r="B3" i="35"/>
  <c r="A3" i="35" s="1"/>
  <c r="B2" i="35"/>
  <c r="B13" i="33"/>
  <c r="D13" i="33"/>
  <c r="B2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B49" i="55"/>
  <c r="B50" i="55"/>
  <c r="B51" i="55"/>
  <c r="B52" i="55"/>
  <c r="B53" i="55"/>
  <c r="B54" i="55"/>
  <c r="B55" i="55"/>
  <c r="B56" i="55"/>
  <c r="B57" i="55"/>
  <c r="B58" i="55"/>
  <c r="B59" i="55"/>
  <c r="B60" i="55"/>
  <c r="B61" i="55"/>
  <c r="B62" i="55"/>
  <c r="B63" i="55"/>
  <c r="B64" i="55"/>
  <c r="B65" i="55"/>
  <c r="B66" i="55"/>
  <c r="B67" i="55"/>
  <c r="B68" i="55"/>
  <c r="B69" i="55"/>
  <c r="B70" i="55"/>
  <c r="B71" i="55"/>
  <c r="B72" i="55"/>
  <c r="B73" i="55"/>
  <c r="B74" i="55"/>
  <c r="B75" i="55"/>
  <c r="B76" i="55"/>
  <c r="B77" i="55"/>
  <c r="B78" i="55"/>
  <c r="B79" i="55"/>
  <c r="B80" i="55"/>
  <c r="AD8" i="48"/>
  <c r="AN103" i="47"/>
  <c r="AN3" i="47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AO3" i="47" s="1"/>
  <c r="BG273" i="48"/>
  <c r="BG19" i="48"/>
  <c r="BG105" i="48"/>
  <c r="BG117" i="48"/>
  <c r="BG83" i="48"/>
  <c r="BG42" i="48"/>
  <c r="BG91" i="48"/>
  <c r="BG70" i="48"/>
  <c r="BG156" i="48"/>
  <c r="BG50" i="48"/>
  <c r="BG67" i="48"/>
  <c r="BG193" i="48"/>
  <c r="BG208" i="48"/>
  <c r="BG261" i="48"/>
  <c r="BG124" i="48"/>
  <c r="BG240" i="48"/>
  <c r="BG244" i="48"/>
  <c r="BG277" i="48"/>
  <c r="BG185" i="48"/>
  <c r="BG241" i="48"/>
  <c r="BG99" i="48"/>
  <c r="BG54" i="48"/>
  <c r="BG187" i="48"/>
  <c r="BG179" i="48"/>
  <c r="BG72" i="48"/>
  <c r="BG267" i="48"/>
  <c r="BG92" i="48"/>
  <c r="BG65" i="48"/>
  <c r="BG149" i="48"/>
  <c r="BG232" i="48"/>
  <c r="BG247" i="48"/>
  <c r="BG142" i="48"/>
  <c r="BG127" i="48"/>
  <c r="BG219" i="48"/>
  <c r="BG5" i="48"/>
  <c r="BG119" i="48"/>
  <c r="BG14" i="48"/>
  <c r="BG272" i="48"/>
  <c r="BG94" i="48"/>
  <c r="BG266" i="48"/>
  <c r="BG102" i="48"/>
  <c r="BG136" i="48"/>
  <c r="BG43" i="48"/>
  <c r="BG130" i="48"/>
  <c r="BG147" i="48"/>
  <c r="BG171" i="48"/>
  <c r="BG51" i="48"/>
  <c r="BG263" i="48"/>
  <c r="BG186" i="48"/>
  <c r="BG226" i="48"/>
  <c r="BG197" i="48"/>
  <c r="BG218" i="48"/>
  <c r="BG27" i="48"/>
  <c r="BG16" i="48"/>
  <c r="BG48" i="48"/>
  <c r="BG180" i="48"/>
  <c r="BG175" i="48"/>
  <c r="BG113" i="48"/>
  <c r="BG228" i="48"/>
  <c r="BG116" i="48"/>
  <c r="BG161" i="48"/>
  <c r="BG249" i="48"/>
  <c r="BG35" i="48"/>
  <c r="BG157" i="48"/>
  <c r="BG128" i="48"/>
  <c r="BG101" i="48"/>
  <c r="BG38" i="48"/>
  <c r="BG120" i="48"/>
  <c r="BG269" i="48"/>
  <c r="BG260" i="48"/>
  <c r="BG122" i="48"/>
  <c r="BG86" i="48"/>
  <c r="BG45" i="48"/>
  <c r="BG276" i="48"/>
  <c r="BG62" i="48"/>
  <c r="BG90" i="48"/>
  <c r="BG177" i="48"/>
  <c r="BG153" i="48"/>
  <c r="BG198" i="48"/>
  <c r="BG80" i="48"/>
  <c r="BG133" i="48"/>
  <c r="BG275" i="48"/>
  <c r="BG112" i="48"/>
  <c r="BG165" i="48"/>
  <c r="BG148" i="48"/>
  <c r="BG78" i="48"/>
  <c r="BG201" i="48"/>
  <c r="BG166" i="48"/>
  <c r="BG96" i="48"/>
  <c r="BG24" i="48"/>
  <c r="BG4" i="48"/>
  <c r="BG163" i="48"/>
  <c r="BG15" i="48"/>
  <c r="BG190" i="48"/>
  <c r="BG184" i="48"/>
  <c r="BG58" i="48"/>
  <c r="BG159" i="48"/>
  <c r="BG61" i="48"/>
  <c r="BG123" i="48"/>
  <c r="BG71" i="48"/>
  <c r="BG154" i="48"/>
  <c r="BG242" i="48"/>
  <c r="BG47" i="48"/>
  <c r="BG281" i="48"/>
  <c r="BG150" i="48"/>
  <c r="BG60" i="48"/>
  <c r="BG168" i="48"/>
  <c r="BG131" i="48"/>
  <c r="BG115" i="48"/>
  <c r="BG32" i="48"/>
  <c r="BG158" i="48"/>
  <c r="BG251" i="48"/>
  <c r="BG211" i="48"/>
  <c r="BG37" i="48"/>
  <c r="BG25" i="48"/>
  <c r="BG114" i="48"/>
  <c r="BG164" i="48"/>
  <c r="BG225" i="48"/>
  <c r="BG129" i="48"/>
  <c r="BG264" i="48"/>
  <c r="BG189" i="48"/>
  <c r="BG221" i="48"/>
  <c r="BG229" i="48"/>
  <c r="BG199" i="48"/>
  <c r="BG268" i="48"/>
  <c r="BG258" i="48"/>
  <c r="BG207" i="48"/>
  <c r="BG110" i="48"/>
  <c r="BG167" i="48"/>
  <c r="BG274" i="48"/>
  <c r="BG28" i="48"/>
  <c r="BG279" i="48"/>
  <c r="BG100" i="48"/>
  <c r="BG10" i="48"/>
  <c r="BG224" i="48"/>
  <c r="BG141" i="48"/>
  <c r="BG132" i="48"/>
  <c r="BG134" i="48"/>
  <c r="BG173" i="48"/>
  <c r="BG21" i="48"/>
  <c r="BG146" i="48"/>
  <c r="BG26" i="48"/>
  <c r="BG151" i="48"/>
  <c r="BG98" i="48"/>
  <c r="BG13" i="48"/>
  <c r="BG85" i="48"/>
  <c r="BG87" i="48"/>
  <c r="BG192" i="48"/>
  <c r="BG256" i="48"/>
  <c r="BG188" i="48"/>
  <c r="BG280" i="48"/>
  <c r="BG259" i="48"/>
  <c r="BG107" i="48"/>
  <c r="BG220" i="48"/>
  <c r="BG140" i="48"/>
  <c r="BG172" i="48"/>
  <c r="BG8" i="48"/>
  <c r="BG84" i="48"/>
  <c r="BG121" i="48"/>
  <c r="BG235" i="48"/>
  <c r="BG144" i="48"/>
  <c r="BG176" i="48"/>
  <c r="BG138" i="48"/>
  <c r="BG170" i="48"/>
  <c r="BG69" i="48"/>
  <c r="BG82" i="48"/>
  <c r="BG106" i="48"/>
  <c r="BG217" i="48"/>
  <c r="BG214" i="48"/>
  <c r="BG253" i="48"/>
  <c r="BG183" i="48"/>
  <c r="BG2" i="48"/>
  <c r="BG178" i="48"/>
  <c r="BG230" i="48"/>
  <c r="BG270" i="48"/>
  <c r="BG238" i="48"/>
  <c r="BG126" i="48"/>
  <c r="BG152" i="48"/>
  <c r="BG18" i="48"/>
  <c r="BG262" i="48"/>
  <c r="BG95" i="48"/>
  <c r="BG252" i="48"/>
  <c r="BG145" i="48"/>
  <c r="BG174" i="48"/>
  <c r="BG257" i="48"/>
  <c r="BG31" i="48"/>
  <c r="BG222" i="48"/>
  <c r="BG271" i="48"/>
  <c r="BG11" i="48"/>
  <c r="BG44" i="48"/>
  <c r="BG79" i="48"/>
  <c r="BG36" i="48"/>
  <c r="BG39" i="48"/>
  <c r="BG265" i="48"/>
  <c r="BG162" i="48"/>
  <c r="BG40" i="48"/>
  <c r="BG205" i="48"/>
  <c r="BG196" i="48"/>
  <c r="BG169" i="48"/>
  <c r="BG237" i="48"/>
  <c r="BG246" i="48"/>
  <c r="BG213" i="48"/>
  <c r="BG206" i="48"/>
  <c r="BG160" i="48"/>
  <c r="BG33" i="48"/>
  <c r="BG104" i="48"/>
  <c r="BG182" i="48"/>
  <c r="BG77" i="48"/>
  <c r="BG68" i="48"/>
  <c r="BG248" i="48"/>
  <c r="BG109" i="48"/>
  <c r="BG46" i="48"/>
  <c r="BG137" i="48"/>
  <c r="BG93" i="48"/>
  <c r="BG236" i="48"/>
  <c r="BG17" i="48"/>
  <c r="BG89" i="48"/>
  <c r="BG233" i="48"/>
  <c r="BG66" i="48"/>
  <c r="BG118" i="48"/>
  <c r="BG243" i="48"/>
  <c r="BG231" i="48"/>
  <c r="BG56" i="48"/>
  <c r="BG41" i="48"/>
  <c r="BG23" i="48"/>
  <c r="BG52" i="48"/>
  <c r="BG57" i="48"/>
  <c r="BG55" i="48"/>
  <c r="BG125" i="48"/>
  <c r="BG6" i="48"/>
  <c r="BG202" i="48"/>
  <c r="BG155" i="48"/>
  <c r="BG203" i="48"/>
  <c r="BG22" i="48"/>
  <c r="BG63" i="48"/>
  <c r="BG88" i="48"/>
  <c r="BG74" i="48"/>
  <c r="BG223" i="48"/>
  <c r="BG103" i="48"/>
  <c r="BG59" i="48"/>
  <c r="BG250" i="48"/>
  <c r="BG135" i="48"/>
  <c r="BG245" i="48"/>
  <c r="BG49" i="48"/>
  <c r="BG254" i="48"/>
  <c r="BG278" i="48"/>
  <c r="BG53" i="48"/>
  <c r="BG9" i="48"/>
  <c r="BG20" i="48"/>
  <c r="BG7" i="48"/>
  <c r="BG30" i="48"/>
  <c r="BG64" i="48"/>
  <c r="BG73" i="48"/>
  <c r="BG255" i="48"/>
  <c r="BG29" i="48"/>
  <c r="BG204" i="48"/>
  <c r="BG194" i="48"/>
  <c r="BG143" i="48"/>
  <c r="BG239" i="48"/>
  <c r="BG212" i="48"/>
  <c r="BG34" i="48"/>
  <c r="BG81" i="48"/>
  <c r="BG76" i="48"/>
  <c r="BG108" i="48"/>
  <c r="BG181" i="48"/>
  <c r="BG3" i="48"/>
  <c r="BG139" i="48"/>
  <c r="BG111" i="48"/>
  <c r="BG195" i="48"/>
  <c r="BG209" i="48"/>
  <c r="BG200" i="48"/>
  <c r="BG227" i="48"/>
  <c r="BG216" i="48"/>
  <c r="BG97" i="48"/>
  <c r="BG234" i="48"/>
  <c r="BG210" i="48"/>
  <c r="BG215" i="48"/>
  <c r="BG12" i="48"/>
  <c r="BG191" i="48"/>
  <c r="BG75" i="48"/>
  <c r="D161" i="36"/>
  <c r="B161" i="36"/>
  <c r="D160" i="36"/>
  <c r="B160" i="36"/>
  <c r="D159" i="36"/>
  <c r="B159" i="36"/>
  <c r="D158" i="36"/>
  <c r="B158" i="36"/>
  <c r="D157" i="36"/>
  <c r="B157" i="36"/>
  <c r="D156" i="36"/>
  <c r="B156" i="36"/>
  <c r="D155" i="36"/>
  <c r="B155" i="36"/>
  <c r="D154" i="36"/>
  <c r="B154" i="36"/>
  <c r="D153" i="36"/>
  <c r="B153" i="36"/>
  <c r="D152" i="36"/>
  <c r="B152" i="36"/>
  <c r="D151" i="36"/>
  <c r="B151" i="36"/>
  <c r="D150" i="36"/>
  <c r="B150" i="36"/>
  <c r="D149" i="36"/>
  <c r="B149" i="36"/>
  <c r="D148" i="36"/>
  <c r="B148" i="36"/>
  <c r="D147" i="36"/>
  <c r="B147" i="36"/>
  <c r="D146" i="36"/>
  <c r="B146" i="36"/>
  <c r="D145" i="36"/>
  <c r="B145" i="36"/>
  <c r="D144" i="36"/>
  <c r="B144" i="36"/>
  <c r="D143" i="36"/>
  <c r="B143" i="36"/>
  <c r="D142" i="36"/>
  <c r="B142" i="36"/>
  <c r="D141" i="36"/>
  <c r="B141" i="36"/>
  <c r="D140" i="36"/>
  <c r="B140" i="36"/>
  <c r="D139" i="36"/>
  <c r="B139" i="36"/>
  <c r="D138" i="36"/>
  <c r="B138" i="36"/>
  <c r="D137" i="36"/>
  <c r="B137" i="36"/>
  <c r="D136" i="36"/>
  <c r="B136" i="36"/>
  <c r="D135" i="36"/>
  <c r="B135" i="36"/>
  <c r="D134" i="36"/>
  <c r="B134" i="36"/>
  <c r="D133" i="36"/>
  <c r="B133" i="36"/>
  <c r="D132" i="36"/>
  <c r="B132" i="36"/>
  <c r="D131" i="36"/>
  <c r="B131" i="36"/>
  <c r="D130" i="36"/>
  <c r="B130" i="36"/>
  <c r="D129" i="36"/>
  <c r="B129" i="36"/>
  <c r="D128" i="36"/>
  <c r="B128" i="36"/>
  <c r="D127" i="36"/>
  <c r="B127" i="36"/>
  <c r="D126" i="36"/>
  <c r="B126" i="36"/>
  <c r="D125" i="36"/>
  <c r="B125" i="36"/>
  <c r="D124" i="36"/>
  <c r="B124" i="36"/>
  <c r="D123" i="36"/>
  <c r="B123" i="36"/>
  <c r="D122" i="36"/>
  <c r="B122" i="36"/>
  <c r="D121" i="36"/>
  <c r="B121" i="36"/>
  <c r="D120" i="36"/>
  <c r="B120" i="36"/>
  <c r="D119" i="36"/>
  <c r="B119" i="36"/>
  <c r="D118" i="36"/>
  <c r="B118" i="36"/>
  <c r="D117" i="36"/>
  <c r="B117" i="36"/>
  <c r="D116" i="36"/>
  <c r="B116" i="36"/>
  <c r="D115" i="36"/>
  <c r="B115" i="36"/>
  <c r="D114" i="36"/>
  <c r="B114" i="36"/>
  <c r="D113" i="36"/>
  <c r="B113" i="36"/>
  <c r="D112" i="36"/>
  <c r="B112" i="36"/>
  <c r="D111" i="36"/>
  <c r="B111" i="36"/>
  <c r="D110" i="36"/>
  <c r="B110" i="36"/>
  <c r="D109" i="36"/>
  <c r="B109" i="36"/>
  <c r="D108" i="36"/>
  <c r="B108" i="36"/>
  <c r="D107" i="36"/>
  <c r="B107" i="36"/>
  <c r="D106" i="36"/>
  <c r="B106" i="36"/>
  <c r="D105" i="36"/>
  <c r="B105" i="36"/>
  <c r="D104" i="36"/>
  <c r="B104" i="36"/>
  <c r="D103" i="36"/>
  <c r="B103" i="36"/>
  <c r="D102" i="36"/>
  <c r="B102" i="36"/>
  <c r="D101" i="36"/>
  <c r="B101" i="36"/>
  <c r="D100" i="36"/>
  <c r="B100" i="36"/>
  <c r="D99" i="36"/>
  <c r="B99" i="36"/>
  <c r="D98" i="36"/>
  <c r="B98" i="36"/>
  <c r="D97" i="36"/>
  <c r="B97" i="36"/>
  <c r="D96" i="36"/>
  <c r="B96" i="36"/>
  <c r="D95" i="36"/>
  <c r="B95" i="36"/>
  <c r="D94" i="36"/>
  <c r="B94" i="36"/>
  <c r="D93" i="36"/>
  <c r="B93" i="36"/>
  <c r="D92" i="36"/>
  <c r="B92" i="36"/>
  <c r="D91" i="36"/>
  <c r="B91" i="36"/>
  <c r="D90" i="36"/>
  <c r="B90" i="36"/>
  <c r="D89" i="36"/>
  <c r="B89" i="36"/>
  <c r="D88" i="36"/>
  <c r="B88" i="36"/>
  <c r="D87" i="36"/>
  <c r="B87" i="36"/>
  <c r="D86" i="36"/>
  <c r="B86" i="36"/>
  <c r="D85" i="36"/>
  <c r="B85" i="36"/>
  <c r="D84" i="36"/>
  <c r="B84" i="36"/>
  <c r="D83" i="36"/>
  <c r="B83" i="36"/>
  <c r="D82" i="36"/>
  <c r="B82" i="36"/>
  <c r="D81" i="36"/>
  <c r="B81" i="36"/>
  <c r="D80" i="36"/>
  <c r="B80" i="36"/>
  <c r="D79" i="36"/>
  <c r="B79" i="36"/>
  <c r="D78" i="36"/>
  <c r="B78" i="36"/>
  <c r="D77" i="36"/>
  <c r="B77" i="36"/>
  <c r="D76" i="36"/>
  <c r="B76" i="36"/>
  <c r="D75" i="36"/>
  <c r="B75" i="36"/>
  <c r="D74" i="36"/>
  <c r="B74" i="36"/>
  <c r="D73" i="36"/>
  <c r="B73" i="36"/>
  <c r="D72" i="36"/>
  <c r="B72" i="36"/>
  <c r="D71" i="36"/>
  <c r="B71" i="36"/>
  <c r="D70" i="36"/>
  <c r="B70" i="36"/>
  <c r="D69" i="36"/>
  <c r="B69" i="36"/>
  <c r="D68" i="36"/>
  <c r="B68" i="36"/>
  <c r="D67" i="36"/>
  <c r="B67" i="36"/>
  <c r="D66" i="36"/>
  <c r="B66" i="36"/>
  <c r="D65" i="36"/>
  <c r="B65" i="36"/>
  <c r="D64" i="36"/>
  <c r="B64" i="36"/>
  <c r="D63" i="36"/>
  <c r="B63" i="36"/>
  <c r="D62" i="36"/>
  <c r="B62" i="36"/>
  <c r="D61" i="36"/>
  <c r="B61" i="36"/>
  <c r="D60" i="36"/>
  <c r="B60" i="36"/>
  <c r="D59" i="36"/>
  <c r="B59" i="36"/>
  <c r="D58" i="36"/>
  <c r="B58" i="36"/>
  <c r="D57" i="36"/>
  <c r="B57" i="36"/>
  <c r="D56" i="36"/>
  <c r="B56" i="36"/>
  <c r="D55" i="36"/>
  <c r="B55" i="36"/>
  <c r="D54" i="36"/>
  <c r="B54" i="36"/>
  <c r="D53" i="36"/>
  <c r="B53" i="36"/>
  <c r="D52" i="36"/>
  <c r="B52" i="36"/>
  <c r="D51" i="36"/>
  <c r="B51" i="36"/>
  <c r="D50" i="36"/>
  <c r="B50" i="36"/>
  <c r="D49" i="36"/>
  <c r="B49" i="36"/>
  <c r="D48" i="36"/>
  <c r="B48" i="36"/>
  <c r="D47" i="36"/>
  <c r="B47" i="36"/>
  <c r="D46" i="36"/>
  <c r="B46" i="36"/>
  <c r="D45" i="36"/>
  <c r="B45" i="36"/>
  <c r="D44" i="36"/>
  <c r="B44" i="36"/>
  <c r="D43" i="36"/>
  <c r="B43" i="36"/>
  <c r="D42" i="36"/>
  <c r="B42" i="36"/>
  <c r="D41" i="36"/>
  <c r="B41" i="36"/>
  <c r="D40" i="36"/>
  <c r="B40" i="36"/>
  <c r="D39" i="36"/>
  <c r="B39" i="36"/>
  <c r="D38" i="36"/>
  <c r="B38" i="36"/>
  <c r="D37" i="36"/>
  <c r="B37" i="36"/>
  <c r="D36" i="36"/>
  <c r="B36" i="36"/>
  <c r="D35" i="36"/>
  <c r="B35" i="36"/>
  <c r="D34" i="36"/>
  <c r="B34" i="36"/>
  <c r="D33" i="36"/>
  <c r="B33" i="36"/>
  <c r="D32" i="36"/>
  <c r="B32" i="36"/>
  <c r="D31" i="36"/>
  <c r="B31" i="36"/>
  <c r="D30" i="36"/>
  <c r="B30" i="36"/>
  <c r="D29" i="36"/>
  <c r="B29" i="36"/>
  <c r="D28" i="36"/>
  <c r="B28" i="36"/>
  <c r="D27" i="36"/>
  <c r="B27" i="36"/>
  <c r="D26" i="36"/>
  <c r="B26" i="36"/>
  <c r="D25" i="36"/>
  <c r="B25" i="36"/>
  <c r="D24" i="36"/>
  <c r="B24" i="36"/>
  <c r="D23" i="36"/>
  <c r="B23" i="36"/>
  <c r="D22" i="36"/>
  <c r="B22" i="36"/>
  <c r="D21" i="36"/>
  <c r="B21" i="36"/>
  <c r="D20" i="36"/>
  <c r="B20" i="36"/>
  <c r="D19" i="36"/>
  <c r="B19" i="36"/>
  <c r="D18" i="36"/>
  <c r="B18" i="36"/>
  <c r="D17" i="36"/>
  <c r="B17" i="36"/>
  <c r="D16" i="36"/>
  <c r="B16" i="36"/>
  <c r="D15" i="36"/>
  <c r="B15" i="36"/>
  <c r="D14" i="36"/>
  <c r="B14" i="36"/>
  <c r="D13" i="36"/>
  <c r="B13" i="36"/>
  <c r="D12" i="36"/>
  <c r="B12" i="36"/>
  <c r="B9" i="36"/>
  <c r="B8" i="36"/>
  <c r="B7" i="36"/>
  <c r="D7" i="36"/>
  <c r="D8" i="36"/>
  <c r="D9" i="36"/>
  <c r="B10" i="36"/>
  <c r="D10" i="36"/>
  <c r="B11" i="36"/>
  <c r="D11" i="36"/>
  <c r="B2" i="36"/>
  <c r="J3" i="47" s="1"/>
  <c r="B3" i="36"/>
  <c r="A3" i="36" s="1"/>
  <c r="D2" i="36"/>
  <c r="L3" i="47" s="1"/>
  <c r="B4" i="36"/>
  <c r="B5" i="36"/>
  <c r="B6" i="36"/>
  <c r="D3" i="36"/>
  <c r="D4" i="36"/>
  <c r="D5" i="36"/>
  <c r="D6" i="36"/>
  <c r="Y3" i="47"/>
  <c r="R3" i="47"/>
  <c r="D3" i="47"/>
  <c r="AD7" i="48"/>
  <c r="AD4" i="48"/>
  <c r="AD5" i="48"/>
  <c r="AJ3" i="48"/>
  <c r="AJ4" i="48"/>
  <c r="AJ5" i="48"/>
  <c r="AJ6" i="48"/>
  <c r="AJ7" i="48"/>
  <c r="AJ8" i="48"/>
  <c r="AJ9" i="48"/>
  <c r="AJ10" i="48"/>
  <c r="AJ11" i="48"/>
  <c r="AJ12" i="48"/>
  <c r="AJ13" i="48"/>
  <c r="AJ14" i="48"/>
  <c r="AJ15" i="48"/>
  <c r="AJ16" i="48"/>
  <c r="AJ17" i="48"/>
  <c r="AJ18" i="48"/>
  <c r="AJ19" i="48"/>
  <c r="AJ20" i="48"/>
  <c r="AJ21" i="48"/>
  <c r="AJ22" i="48"/>
  <c r="AJ23" i="48"/>
  <c r="AJ24" i="48"/>
  <c r="AJ25" i="48"/>
  <c r="AJ26" i="48"/>
  <c r="AJ27" i="48"/>
  <c r="AJ28" i="48"/>
  <c r="AJ29" i="48"/>
  <c r="AJ30" i="48"/>
  <c r="AJ31" i="48"/>
  <c r="AJ32" i="48"/>
  <c r="AJ33" i="48"/>
  <c r="AJ34" i="48"/>
  <c r="AJ35" i="48"/>
  <c r="AJ36" i="48"/>
  <c r="AJ37" i="48"/>
  <c r="AJ38" i="48"/>
  <c r="AJ39" i="48"/>
  <c r="AJ40" i="48"/>
  <c r="AJ41" i="48"/>
  <c r="AJ42" i="48"/>
  <c r="AJ43" i="48"/>
  <c r="AJ44" i="48"/>
  <c r="AJ45" i="48"/>
  <c r="AJ46" i="48"/>
  <c r="AJ47" i="48"/>
  <c r="AJ48" i="48"/>
  <c r="AJ49" i="48"/>
  <c r="AJ50" i="48"/>
  <c r="AJ51" i="48"/>
  <c r="AJ52" i="48"/>
  <c r="AJ53" i="48"/>
  <c r="AJ54" i="48"/>
  <c r="AJ55" i="48"/>
  <c r="AJ56" i="48"/>
  <c r="AJ57" i="48"/>
  <c r="AJ58" i="48"/>
  <c r="AJ59" i="48"/>
  <c r="AJ60" i="48"/>
  <c r="AJ61" i="48"/>
  <c r="AJ62" i="48"/>
  <c r="AJ63" i="48"/>
  <c r="AJ64" i="48"/>
  <c r="AJ65" i="48"/>
  <c r="AJ66" i="48"/>
  <c r="AJ67" i="48"/>
  <c r="AJ68" i="48"/>
  <c r="AJ69" i="48"/>
  <c r="AJ70" i="48"/>
  <c r="AJ71" i="48"/>
  <c r="AJ72" i="48"/>
  <c r="AJ73" i="48"/>
  <c r="AJ74" i="48"/>
  <c r="AJ75" i="48"/>
  <c r="AJ76" i="48"/>
  <c r="AJ77" i="48"/>
  <c r="AJ78" i="48"/>
  <c r="AJ79" i="48"/>
  <c r="AJ80" i="48"/>
  <c r="AJ81" i="48"/>
  <c r="AJ82" i="48"/>
  <c r="AJ83" i="48"/>
  <c r="AJ84" i="48"/>
  <c r="AJ85" i="48"/>
  <c r="AJ86" i="48"/>
  <c r="AJ87" i="48"/>
  <c r="AJ88" i="48"/>
  <c r="AJ89" i="48"/>
  <c r="AJ90" i="48"/>
  <c r="AJ91" i="48"/>
  <c r="AJ92" i="48"/>
  <c r="AJ93" i="48"/>
  <c r="AJ94" i="48"/>
  <c r="AJ95" i="48"/>
  <c r="AJ96" i="48"/>
  <c r="AJ97" i="48"/>
  <c r="AJ98" i="48"/>
  <c r="AJ99" i="48"/>
  <c r="AJ100" i="48"/>
  <c r="AJ101" i="48"/>
  <c r="AJ102" i="48"/>
  <c r="AJ103" i="48"/>
  <c r="AJ104" i="48"/>
  <c r="AJ105" i="48"/>
  <c r="AJ106" i="48"/>
  <c r="AJ107" i="48"/>
  <c r="AJ108" i="48"/>
  <c r="AJ109" i="48"/>
  <c r="AJ110" i="48"/>
  <c r="AJ111" i="48"/>
  <c r="AJ112" i="48"/>
  <c r="AJ113" i="48"/>
  <c r="AJ114" i="48"/>
  <c r="AJ115" i="48"/>
  <c r="AJ116" i="48"/>
  <c r="AJ117" i="48"/>
  <c r="AJ118" i="48"/>
  <c r="AJ119" i="48"/>
  <c r="AJ120" i="48"/>
  <c r="AJ121" i="48"/>
  <c r="AJ122" i="48"/>
  <c r="AJ123" i="48"/>
  <c r="AJ124" i="48"/>
  <c r="AJ125" i="48"/>
  <c r="AJ126" i="48"/>
  <c r="AJ127" i="48"/>
  <c r="AJ128" i="48"/>
  <c r="AJ129" i="48"/>
  <c r="AJ130" i="48"/>
  <c r="AJ131" i="48"/>
  <c r="AJ132" i="48"/>
  <c r="AJ133" i="48"/>
  <c r="AJ134" i="48"/>
  <c r="AJ135" i="48"/>
  <c r="AJ136" i="48"/>
  <c r="AJ137" i="48"/>
  <c r="AJ138" i="48"/>
  <c r="AJ139" i="48"/>
  <c r="AJ140" i="48"/>
  <c r="AJ141" i="48"/>
  <c r="AJ142" i="48"/>
  <c r="AJ143" i="48"/>
  <c r="AJ144" i="48"/>
  <c r="AJ145" i="48"/>
  <c r="AJ146" i="48"/>
  <c r="AJ147" i="48"/>
  <c r="AJ148" i="48"/>
  <c r="AJ149" i="48"/>
  <c r="AJ150" i="48"/>
  <c r="AJ151" i="48"/>
  <c r="AJ152" i="48"/>
  <c r="AJ153" i="48"/>
  <c r="AJ154" i="48"/>
  <c r="AJ155" i="48"/>
  <c r="AJ156" i="48"/>
  <c r="AJ157" i="48"/>
  <c r="AJ158" i="48"/>
  <c r="AJ159" i="48"/>
  <c r="AJ160" i="48"/>
  <c r="AJ161" i="48"/>
  <c r="AJ162" i="48"/>
  <c r="AJ163" i="48"/>
  <c r="AJ164" i="48"/>
  <c r="AJ165" i="48"/>
  <c r="AJ166" i="48"/>
  <c r="AJ167" i="48"/>
  <c r="AJ168" i="48"/>
  <c r="AJ169" i="48"/>
  <c r="AJ170" i="48"/>
  <c r="AJ171" i="48"/>
  <c r="AJ172" i="48"/>
  <c r="AJ173" i="48"/>
  <c r="AJ174" i="48"/>
  <c r="AJ175" i="48"/>
  <c r="AJ176" i="48"/>
  <c r="AJ177" i="48"/>
  <c r="AJ178" i="48"/>
  <c r="AJ179" i="48"/>
  <c r="AJ180" i="48"/>
  <c r="AJ181" i="48"/>
  <c r="AJ182" i="48"/>
  <c r="AJ183" i="48"/>
  <c r="AJ184" i="48"/>
  <c r="AJ185" i="48"/>
  <c r="AJ186" i="48"/>
  <c r="AJ187" i="48"/>
  <c r="AJ188" i="48"/>
  <c r="AJ189" i="48"/>
  <c r="AJ190" i="48"/>
  <c r="AJ191" i="48"/>
  <c r="AJ192" i="48"/>
  <c r="AJ193" i="48"/>
  <c r="AJ194" i="48"/>
  <c r="AJ195" i="48"/>
  <c r="AJ196" i="48"/>
  <c r="AJ197" i="48"/>
  <c r="AJ198" i="48"/>
  <c r="AJ199" i="48"/>
  <c r="AJ200" i="48"/>
  <c r="AJ201" i="48"/>
  <c r="AJ202" i="48"/>
  <c r="AJ203" i="48"/>
  <c r="AJ204" i="48"/>
  <c r="AJ205" i="48"/>
  <c r="AJ206" i="48"/>
  <c r="AJ207" i="48"/>
  <c r="AJ208" i="48"/>
  <c r="AJ209" i="48"/>
  <c r="AJ210" i="48"/>
  <c r="AJ211" i="48"/>
  <c r="AJ212" i="48"/>
  <c r="AJ213" i="48"/>
  <c r="AJ214" i="48"/>
  <c r="AJ215" i="48"/>
  <c r="AJ216" i="48"/>
  <c r="AJ217" i="48"/>
  <c r="AJ218" i="48"/>
  <c r="AJ219" i="48"/>
  <c r="AJ220" i="48"/>
  <c r="AJ221" i="48"/>
  <c r="AJ222" i="48"/>
  <c r="AJ223" i="48"/>
  <c r="AJ224" i="48"/>
  <c r="AJ225" i="48"/>
  <c r="AJ226" i="48"/>
  <c r="AJ227" i="48"/>
  <c r="AJ228" i="48"/>
  <c r="AJ229" i="48"/>
  <c r="AJ230" i="48"/>
  <c r="AJ231" i="48"/>
  <c r="AJ232" i="48"/>
  <c r="AJ233" i="48"/>
  <c r="AJ234" i="48"/>
  <c r="AJ235" i="48"/>
  <c r="AJ236" i="48"/>
  <c r="AJ237" i="48"/>
  <c r="AJ238" i="48"/>
  <c r="AJ239" i="48"/>
  <c r="AJ240" i="48"/>
  <c r="AJ241" i="48"/>
  <c r="AJ242" i="48"/>
  <c r="AJ243" i="48"/>
  <c r="AJ244" i="48"/>
  <c r="AJ245" i="48"/>
  <c r="AJ246" i="48"/>
  <c r="AJ247" i="48"/>
  <c r="AJ248" i="48"/>
  <c r="AJ249" i="48"/>
  <c r="AJ250" i="48"/>
  <c r="AJ251" i="48"/>
  <c r="AJ252" i="48"/>
  <c r="AJ253" i="48"/>
  <c r="AJ254" i="48"/>
  <c r="AJ255" i="48"/>
  <c r="AJ256" i="48"/>
  <c r="AJ257" i="48"/>
  <c r="AJ258" i="48"/>
  <c r="AJ259" i="48"/>
  <c r="AJ260" i="48"/>
  <c r="AJ261" i="48"/>
  <c r="AJ262" i="48"/>
  <c r="AJ263" i="48"/>
  <c r="AJ264" i="48"/>
  <c r="AJ265" i="48"/>
  <c r="AJ266" i="48"/>
  <c r="AJ267" i="48"/>
  <c r="AJ268" i="48"/>
  <c r="AJ269" i="48"/>
  <c r="AJ270" i="48"/>
  <c r="AJ271" i="48"/>
  <c r="AJ272" i="48"/>
  <c r="AJ273" i="48"/>
  <c r="AJ274" i="48"/>
  <c r="AJ275" i="48"/>
  <c r="AJ276" i="48"/>
  <c r="AJ277" i="48"/>
  <c r="AJ278" i="48"/>
  <c r="AJ279" i="48"/>
  <c r="AJ280" i="48"/>
  <c r="AJ281" i="48"/>
  <c r="AJ282" i="48"/>
  <c r="AJ283" i="48"/>
  <c r="AJ284" i="48"/>
  <c r="AJ285" i="48"/>
  <c r="AJ286" i="48"/>
  <c r="AJ287" i="48"/>
  <c r="AJ288" i="48"/>
  <c r="AJ289" i="48"/>
  <c r="AJ290" i="48"/>
  <c r="AJ291" i="48"/>
  <c r="AJ292" i="48"/>
  <c r="AJ293" i="48"/>
  <c r="AJ294" i="48"/>
  <c r="AJ295" i="48"/>
  <c r="AJ296" i="48"/>
  <c r="AJ297" i="48"/>
  <c r="AJ298" i="48"/>
  <c r="AJ299" i="48"/>
  <c r="AJ300" i="48"/>
  <c r="AJ301" i="48"/>
  <c r="C33" i="46"/>
  <c r="AF34" i="47" s="1"/>
  <c r="B33" i="46"/>
  <c r="AE34" i="47" s="1"/>
  <c r="C32" i="46"/>
  <c r="AF33" i="47"/>
  <c r="B32" i="46"/>
  <c r="AE33" i="47"/>
  <c r="AG32" i="47"/>
  <c r="C31" i="46"/>
  <c r="AF32" i="47" s="1"/>
  <c r="B31" i="46"/>
  <c r="AE32" i="47" s="1"/>
  <c r="AG31" i="47"/>
  <c r="C30" i="46"/>
  <c r="AF31" i="47" s="1"/>
  <c r="B30" i="46"/>
  <c r="AE31" i="47" s="1"/>
  <c r="AG30" i="47"/>
  <c r="C29" i="46"/>
  <c r="AF30" i="47" s="1"/>
  <c r="B29" i="46"/>
  <c r="AE30" i="47" s="1"/>
  <c r="AG29" i="47"/>
  <c r="C28" i="46"/>
  <c r="AF29" i="47" s="1"/>
  <c r="B28" i="46"/>
  <c r="AE29" i="47" s="1"/>
  <c r="C27" i="46"/>
  <c r="AF28" i="47" s="1"/>
  <c r="B27" i="46"/>
  <c r="AE28" i="47" s="1"/>
  <c r="C26" i="46"/>
  <c r="AF27" i="47" s="1"/>
  <c r="B26" i="46"/>
  <c r="AE27" i="47" s="1"/>
  <c r="C25" i="46"/>
  <c r="AF26" i="47" s="1"/>
  <c r="B25" i="46"/>
  <c r="AE26" i="47" s="1"/>
  <c r="C24" i="46"/>
  <c r="AF25" i="47" s="1"/>
  <c r="B24" i="46"/>
  <c r="AE25" i="47"/>
  <c r="C23" i="46"/>
  <c r="AF24" i="47" s="1"/>
  <c r="B23" i="46"/>
  <c r="AE24" i="47" s="1"/>
  <c r="C22" i="46"/>
  <c r="AF23" i="47" s="1"/>
  <c r="B22" i="46"/>
  <c r="AE23" i="47" s="1"/>
  <c r="C21" i="46"/>
  <c r="AF22" i="47" s="1"/>
  <c r="B21" i="46"/>
  <c r="AE22" i="47" s="1"/>
  <c r="C20" i="46"/>
  <c r="AF21" i="47" s="1"/>
  <c r="B20" i="46"/>
  <c r="AE21" i="47" s="1"/>
  <c r="C19" i="46"/>
  <c r="AF20" i="47"/>
  <c r="B19" i="46"/>
  <c r="AE20" i="47" s="1"/>
  <c r="C18" i="46"/>
  <c r="AF19" i="47" s="1"/>
  <c r="B18" i="46"/>
  <c r="AE19" i="47" s="1"/>
  <c r="C17" i="46"/>
  <c r="AF18" i="47" s="1"/>
  <c r="B17" i="46"/>
  <c r="AE18" i="47" s="1"/>
  <c r="C16" i="46"/>
  <c r="AF17" i="47" s="1"/>
  <c r="B16" i="46"/>
  <c r="AE17" i="47" s="1"/>
  <c r="C15" i="46"/>
  <c r="AF16" i="47" s="1"/>
  <c r="B15" i="46"/>
  <c r="AE16" i="47" s="1"/>
  <c r="C14" i="46"/>
  <c r="AF15" i="47" s="1"/>
  <c r="B14" i="46"/>
  <c r="AE15" i="47" s="1"/>
  <c r="C13" i="46"/>
  <c r="AF14" i="47" s="1"/>
  <c r="B13" i="46"/>
  <c r="AE14" i="47" s="1"/>
  <c r="C12" i="46"/>
  <c r="AF13" i="47" s="1"/>
  <c r="B12" i="46"/>
  <c r="AE13" i="47" s="1"/>
  <c r="C11" i="46"/>
  <c r="AF12" i="47" s="1"/>
  <c r="B11" i="46"/>
  <c r="AE12" i="47" s="1"/>
  <c r="C10" i="46"/>
  <c r="AF11" i="47" s="1"/>
  <c r="B10" i="46"/>
  <c r="AE11" i="47" s="1"/>
  <c r="C9" i="46"/>
  <c r="AF10" i="47" s="1"/>
  <c r="B9" i="46"/>
  <c r="AE10" i="47" s="1"/>
  <c r="C8" i="46"/>
  <c r="AF9" i="47" s="1"/>
  <c r="B8" i="46"/>
  <c r="AE9" i="47" s="1"/>
  <c r="AG8" i="47"/>
  <c r="C7" i="46"/>
  <c r="AF8" i="47" s="1"/>
  <c r="B7" i="46"/>
  <c r="AE8" i="47" s="1"/>
  <c r="C6" i="46"/>
  <c r="AF7" i="47" s="1"/>
  <c r="B6" i="46"/>
  <c r="AE7" i="47" s="1"/>
  <c r="AG6" i="47"/>
  <c r="C5" i="46"/>
  <c r="AF6" i="47"/>
  <c r="B5" i="46"/>
  <c r="AE6" i="47" s="1"/>
  <c r="C4" i="46"/>
  <c r="AF5" i="47" s="1"/>
  <c r="B4" i="46"/>
  <c r="AE5" i="47" s="1"/>
  <c r="C3" i="46"/>
  <c r="AF4" i="47" s="1"/>
  <c r="B3" i="46"/>
  <c r="AE4" i="47" s="1"/>
  <c r="C2" i="46"/>
  <c r="AF3" i="47" s="1"/>
  <c r="B2" i="46"/>
  <c r="AE3" i="47" s="1"/>
  <c r="D73" i="33"/>
  <c r="D72" i="33"/>
  <c r="D70" i="33"/>
  <c r="D69" i="33"/>
  <c r="D68" i="33"/>
  <c r="D67" i="33"/>
  <c r="D65" i="33"/>
  <c r="D64" i="33"/>
  <c r="D63" i="33"/>
  <c r="D62" i="33"/>
  <c r="D61" i="33"/>
  <c r="D60" i="33"/>
  <c r="D59" i="33"/>
  <c r="D58" i="33"/>
  <c r="D57" i="33"/>
  <c r="D42" i="33"/>
  <c r="D41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0" i="33"/>
  <c r="D39" i="33"/>
  <c r="D38" i="33"/>
  <c r="D37" i="33"/>
  <c r="D36" i="33"/>
  <c r="D35" i="33"/>
  <c r="D34" i="33"/>
  <c r="D33" i="33"/>
  <c r="D32" i="33"/>
  <c r="D31" i="33"/>
  <c r="D30" i="33"/>
  <c r="D28" i="33"/>
  <c r="D29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2" i="33"/>
  <c r="D11" i="33"/>
  <c r="D10" i="33"/>
  <c r="D9" i="33"/>
  <c r="D8" i="33"/>
  <c r="D7" i="33"/>
  <c r="D6" i="33"/>
  <c r="D5" i="33"/>
  <c r="D3" i="33"/>
  <c r="D2" i="33"/>
  <c r="E3" i="47"/>
  <c r="B61" i="33"/>
  <c r="B51" i="33"/>
  <c r="B30" i="33"/>
  <c r="B3" i="33"/>
  <c r="A3" i="33" s="1"/>
  <c r="A4" i="33" s="1"/>
  <c r="B2" i="33"/>
  <c r="C3" i="47" s="1"/>
  <c r="B73" i="33"/>
  <c r="B70" i="33"/>
  <c r="B68" i="33"/>
  <c r="B65" i="33"/>
  <c r="B63" i="33"/>
  <c r="B60" i="33"/>
  <c r="B58" i="33"/>
  <c r="B42" i="33"/>
  <c r="B55" i="33"/>
  <c r="B53" i="33"/>
  <c r="B50" i="33"/>
  <c r="B46" i="33"/>
  <c r="B44" i="33"/>
  <c r="B40" i="33"/>
  <c r="B38" i="33"/>
  <c r="B36" i="33"/>
  <c r="B34" i="33"/>
  <c r="B32" i="33"/>
  <c r="B28" i="33"/>
  <c r="B27" i="33"/>
  <c r="B25" i="33"/>
  <c r="B23" i="33"/>
  <c r="B21" i="33"/>
  <c r="B19" i="33"/>
  <c r="B17" i="33"/>
  <c r="B15" i="33"/>
  <c r="B12" i="33"/>
  <c r="B10" i="33"/>
  <c r="B8" i="33"/>
  <c r="B6" i="33"/>
  <c r="B72" i="33"/>
  <c r="B69" i="33"/>
  <c r="B67" i="33"/>
  <c r="B64" i="33"/>
  <c r="B62" i="33"/>
  <c r="B59" i="33"/>
  <c r="B57" i="33"/>
  <c r="B41" i="33"/>
  <c r="B54" i="33"/>
  <c r="B52" i="33"/>
  <c r="B49" i="33"/>
  <c r="B47" i="33"/>
  <c r="B45" i="33"/>
  <c r="B43" i="33"/>
  <c r="B39" i="33"/>
  <c r="B37" i="33"/>
  <c r="B35" i="33"/>
  <c r="B33" i="33"/>
  <c r="B31" i="33"/>
  <c r="B29" i="33"/>
  <c r="B26" i="33"/>
  <c r="B24" i="33"/>
  <c r="B22" i="33"/>
  <c r="B20" i="33"/>
  <c r="B18" i="33"/>
  <c r="B16" i="33"/>
  <c r="B14" i="33"/>
  <c r="B11" i="33"/>
  <c r="B9" i="33"/>
  <c r="B7" i="33"/>
  <c r="B5" i="33"/>
  <c r="Q3" i="47"/>
  <c r="AL103" i="47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A3" i="34" s="1"/>
  <c r="Z4" i="47" s="1"/>
  <c r="B2" i="34"/>
  <c r="AL3" i="47" s="1"/>
  <c r="AJ2" i="48"/>
  <c r="K3" i="47"/>
  <c r="I8" i="31" l="1"/>
  <c r="I17" i="31"/>
  <c r="J17" i="31" s="1"/>
  <c r="E201" i="35" s="1"/>
  <c r="I13" i="17"/>
  <c r="I14" i="17"/>
  <c r="I17" i="17"/>
  <c r="I16" i="17"/>
  <c r="I18" i="17"/>
  <c r="I15" i="17"/>
  <c r="D3" i="12"/>
  <c r="E25" i="33" s="1"/>
  <c r="E4" i="19"/>
  <c r="H4" i="19" s="1"/>
  <c r="G4" i="19"/>
  <c r="E4" i="23"/>
  <c r="F4" i="23" s="1"/>
  <c r="G4" i="23"/>
  <c r="E4" i="3"/>
  <c r="G4" i="3"/>
  <c r="E3" i="31"/>
  <c r="H3" i="31" s="1"/>
  <c r="I73" i="33" s="1"/>
  <c r="G3" i="31"/>
  <c r="E3" i="14"/>
  <c r="F3" i="14" s="1"/>
  <c r="G28" i="33" s="1"/>
  <c r="G3" i="14"/>
  <c r="E36" i="33"/>
  <c r="G3" i="17"/>
  <c r="E4" i="7"/>
  <c r="F4" i="7" s="1"/>
  <c r="G4" i="7"/>
  <c r="E4" i="14"/>
  <c r="H4" i="14" s="1"/>
  <c r="I30" i="33" s="1"/>
  <c r="G4" i="14"/>
  <c r="H30" i="33" s="1"/>
  <c r="E3" i="27"/>
  <c r="F3" i="27" s="1"/>
  <c r="G60" i="33" s="1"/>
  <c r="G7" i="55" s="1"/>
  <c r="G3" i="27"/>
  <c r="H60" i="33" s="1"/>
  <c r="H7" i="55" s="1"/>
  <c r="E3" i="29"/>
  <c r="H3" i="29" s="1"/>
  <c r="I68" i="33" s="1"/>
  <c r="I35" i="55" s="1"/>
  <c r="G3" i="29"/>
  <c r="E48" i="33"/>
  <c r="G3" i="21"/>
  <c r="E4" i="5"/>
  <c r="F4" i="5" s="1"/>
  <c r="G4" i="5"/>
  <c r="E4" i="6"/>
  <c r="H4" i="6" s="1"/>
  <c r="G4" i="6"/>
  <c r="E3" i="15"/>
  <c r="H3" i="15" s="1"/>
  <c r="I32" i="33" s="1"/>
  <c r="G3" i="15"/>
  <c r="H32" i="33" s="1"/>
  <c r="E13" i="33"/>
  <c r="G3" i="1"/>
  <c r="E53" i="33"/>
  <c r="G3" i="23"/>
  <c r="E3" i="16"/>
  <c r="H3" i="16" s="1"/>
  <c r="I34" i="33" s="1"/>
  <c r="I31" i="55" s="1"/>
  <c r="G3" i="16"/>
  <c r="H34" i="33" s="1"/>
  <c r="H31" i="55" s="1"/>
  <c r="E4" i="10"/>
  <c r="F4" i="10" s="1"/>
  <c r="G4" i="10"/>
  <c r="E4" i="12"/>
  <c r="F4" i="12" s="1"/>
  <c r="G4" i="12"/>
  <c r="E4" i="18"/>
  <c r="F4" i="18" s="1"/>
  <c r="G4" i="18"/>
  <c r="E2" i="8"/>
  <c r="H16" i="33" s="1"/>
  <c r="G2" i="8"/>
  <c r="E3" i="32"/>
  <c r="F3" i="32" s="1"/>
  <c r="G3" i="33" s="1"/>
  <c r="G3" i="32"/>
  <c r="H3" i="33" s="1"/>
  <c r="E3" i="4"/>
  <c r="H3" i="4" s="1"/>
  <c r="I6" i="33" s="1"/>
  <c r="I36" i="55" s="1"/>
  <c r="G3" i="4"/>
  <c r="H6" i="33" s="1"/>
  <c r="E2" i="13"/>
  <c r="G2" i="13"/>
  <c r="F3" i="20"/>
  <c r="G46" i="33" s="1"/>
  <c r="F4" i="11"/>
  <c r="H4" i="20"/>
  <c r="I11" i="30"/>
  <c r="K11" i="30" s="1"/>
  <c r="I3" i="26"/>
  <c r="J58" i="33" s="1"/>
  <c r="J25" i="55" s="1"/>
  <c r="I15" i="9"/>
  <c r="J15" i="9" s="1"/>
  <c r="E48" i="35" s="1"/>
  <c r="E2" i="2"/>
  <c r="F64" i="33" s="1"/>
  <c r="F24" i="55" s="1"/>
  <c r="E194" i="35"/>
  <c r="AH118" i="55" s="1"/>
  <c r="I4" i="29"/>
  <c r="J4" i="29" s="1"/>
  <c r="D2" i="29"/>
  <c r="G2" i="29" s="1"/>
  <c r="I18" i="29"/>
  <c r="K18" i="29" s="1"/>
  <c r="F189" i="35" s="1"/>
  <c r="I9" i="29"/>
  <c r="E150" i="36" s="1"/>
  <c r="I14" i="29"/>
  <c r="J14" i="29" s="1"/>
  <c r="E185" i="35" s="1"/>
  <c r="AH25" i="55" s="1"/>
  <c r="D4" i="29"/>
  <c r="D3" i="28"/>
  <c r="D3" i="26"/>
  <c r="E35" i="26"/>
  <c r="D3" i="19"/>
  <c r="I9" i="25"/>
  <c r="J9" i="25" s="1"/>
  <c r="F95" i="36" s="1"/>
  <c r="I10" i="25"/>
  <c r="K10" i="25" s="1"/>
  <c r="G96" i="36" s="1"/>
  <c r="I15" i="25"/>
  <c r="J15" i="25" s="1"/>
  <c r="E118" i="35" s="1"/>
  <c r="D3" i="18"/>
  <c r="I2" i="17"/>
  <c r="K2" i="17" s="1"/>
  <c r="L35" i="33" s="1"/>
  <c r="L2" i="55" s="1"/>
  <c r="I7" i="9"/>
  <c r="K7" i="9" s="1"/>
  <c r="G38" i="36" s="1"/>
  <c r="I16" i="9"/>
  <c r="K16" i="9" s="1"/>
  <c r="F49" i="35" s="1"/>
  <c r="E35" i="9"/>
  <c r="I13" i="9"/>
  <c r="J13" i="9" s="1"/>
  <c r="E46" i="35" s="1"/>
  <c r="AH21" i="55" s="1"/>
  <c r="I2" i="9"/>
  <c r="J2" i="9" s="1"/>
  <c r="K18" i="33" s="1"/>
  <c r="K14" i="55" s="1"/>
  <c r="D3" i="8"/>
  <c r="L16" i="8" s="1"/>
  <c r="M16" i="8" s="1"/>
  <c r="O16" i="8" s="1"/>
  <c r="J44" i="35" s="1"/>
  <c r="D4" i="8"/>
  <c r="D2" i="1"/>
  <c r="G2" i="1" s="1"/>
  <c r="F35" i="16"/>
  <c r="E35" i="16"/>
  <c r="E35" i="22"/>
  <c r="I8" i="22"/>
  <c r="J8" i="22" s="1"/>
  <c r="F114" i="36" s="1"/>
  <c r="U76" i="55" s="1"/>
  <c r="I13" i="22"/>
  <c r="K13" i="22" s="1"/>
  <c r="F141" i="35" s="1"/>
  <c r="F35" i="22"/>
  <c r="I7" i="26"/>
  <c r="K7" i="26" s="1"/>
  <c r="G128" i="36" s="1"/>
  <c r="I16" i="26"/>
  <c r="K16" i="26" s="1"/>
  <c r="F164" i="35" s="1"/>
  <c r="AI74" i="55" s="1"/>
  <c r="I8" i="26"/>
  <c r="E129" i="36" s="1"/>
  <c r="I17" i="26"/>
  <c r="J17" i="26" s="1"/>
  <c r="E165" i="35" s="1"/>
  <c r="I9" i="26"/>
  <c r="E130" i="36" s="1"/>
  <c r="I10" i="16"/>
  <c r="E76" i="36" s="1"/>
  <c r="E96" i="35"/>
  <c r="D4" i="27"/>
  <c r="G4" i="27" s="1"/>
  <c r="F35" i="26"/>
  <c r="I11" i="9"/>
  <c r="K11" i="9" s="1"/>
  <c r="I20" i="9"/>
  <c r="K20" i="9" s="1"/>
  <c r="I14" i="13"/>
  <c r="K14" i="13" s="1"/>
  <c r="F71" i="35" s="1"/>
  <c r="I10" i="26"/>
  <c r="E131" i="36" s="1"/>
  <c r="I19" i="26"/>
  <c r="J19" i="26" s="1"/>
  <c r="I11" i="29"/>
  <c r="K11" i="29" s="1"/>
  <c r="I20" i="29"/>
  <c r="J20" i="29" s="1"/>
  <c r="I13" i="18"/>
  <c r="K13" i="18" s="1"/>
  <c r="F111" i="35" s="1"/>
  <c r="I13" i="26"/>
  <c r="K13" i="26" s="1"/>
  <c r="F161" i="35" s="1"/>
  <c r="I18" i="26"/>
  <c r="J18" i="26" s="1"/>
  <c r="E166" i="35" s="1"/>
  <c r="I11" i="26"/>
  <c r="J11" i="26" s="1"/>
  <c r="I8" i="16"/>
  <c r="J8" i="16" s="1"/>
  <c r="F74" i="36" s="1"/>
  <c r="D4" i="4"/>
  <c r="I2" i="26"/>
  <c r="J57" i="33" s="1"/>
  <c r="J4" i="55" s="1"/>
  <c r="I14" i="26"/>
  <c r="J14" i="26" s="1"/>
  <c r="E162" i="35" s="1"/>
  <c r="AH15" i="55" s="1"/>
  <c r="Z3" i="47"/>
  <c r="I4" i="26"/>
  <c r="K4" i="26" s="1"/>
  <c r="I6" i="26"/>
  <c r="E127" i="36" s="1"/>
  <c r="I15" i="26"/>
  <c r="K15" i="26" s="1"/>
  <c r="F163" i="35" s="1"/>
  <c r="AI72" i="55" s="1"/>
  <c r="I16" i="29"/>
  <c r="J16" i="29" s="1"/>
  <c r="E187" i="35" s="1"/>
  <c r="AH123" i="55" s="1"/>
  <c r="F94" i="35"/>
  <c r="E64" i="33"/>
  <c r="E24" i="55" s="1"/>
  <c r="I3" i="9"/>
  <c r="J19" i="33" s="1"/>
  <c r="I19" i="25"/>
  <c r="J19" i="25" s="1"/>
  <c r="I3" i="3"/>
  <c r="J3" i="3" s="1"/>
  <c r="K38" i="33" s="1"/>
  <c r="I2" i="3"/>
  <c r="K2" i="3" s="1"/>
  <c r="L37" i="33" s="1"/>
  <c r="L9" i="55" s="1"/>
  <c r="E2" i="24"/>
  <c r="H54" i="33" s="1"/>
  <c r="H15" i="55" s="1"/>
  <c r="E54" i="33"/>
  <c r="E15" i="55" s="1"/>
  <c r="I10" i="9"/>
  <c r="K10" i="9" s="1"/>
  <c r="G41" i="36" s="1"/>
  <c r="F35" i="25"/>
  <c r="D2" i="4"/>
  <c r="G2" i="4" s="1"/>
  <c r="I2" i="22"/>
  <c r="J49" i="33" s="1"/>
  <c r="J26" i="55" s="1"/>
  <c r="D4" i="28"/>
  <c r="I24" i="22"/>
  <c r="J24" i="22" s="1"/>
  <c r="D3" i="5"/>
  <c r="D2" i="7"/>
  <c r="G2" i="7" s="1"/>
  <c r="I13" i="16"/>
  <c r="K13" i="16" s="1"/>
  <c r="F90" i="35" s="1"/>
  <c r="I8" i="17"/>
  <c r="J8" i="17" s="1"/>
  <c r="F79" i="36" s="1"/>
  <c r="I14" i="20"/>
  <c r="K14" i="20" s="1"/>
  <c r="F130" i="35" s="1"/>
  <c r="I15" i="22"/>
  <c r="J15" i="22" s="1"/>
  <c r="E143" i="35" s="1"/>
  <c r="E35" i="17"/>
  <c r="D4" i="9"/>
  <c r="G4" i="9" s="1"/>
  <c r="AO103" i="47"/>
  <c r="F35" i="9"/>
  <c r="F35" i="20"/>
  <c r="I4" i="9"/>
  <c r="J4" i="9" s="1"/>
  <c r="I6" i="9"/>
  <c r="K6" i="9" s="1"/>
  <c r="G37" i="36" s="1"/>
  <c r="V5" i="55" s="1"/>
  <c r="I6" i="16"/>
  <c r="J6" i="16" s="1"/>
  <c r="F72" i="36" s="1"/>
  <c r="F92" i="35"/>
  <c r="I7" i="16"/>
  <c r="E73" i="36" s="1"/>
  <c r="F93" i="35"/>
  <c r="D2" i="5"/>
  <c r="I9" i="24"/>
  <c r="E125" i="36" s="1"/>
  <c r="I9" i="9"/>
  <c r="J9" i="9" s="1"/>
  <c r="F40" i="36" s="1"/>
  <c r="I18" i="9"/>
  <c r="K18" i="9" s="1"/>
  <c r="F51" i="35" s="1"/>
  <c r="K4" i="47"/>
  <c r="L4" i="47"/>
  <c r="I20" i="21"/>
  <c r="K20" i="21" s="1"/>
  <c r="I4" i="21"/>
  <c r="K4" i="21" s="1"/>
  <c r="E35" i="21"/>
  <c r="I19" i="21"/>
  <c r="K19" i="21" s="1"/>
  <c r="I15" i="21"/>
  <c r="K15" i="21" s="1"/>
  <c r="F137" i="35" s="1"/>
  <c r="AI92" i="55" s="1"/>
  <c r="I10" i="21"/>
  <c r="E111" i="36" s="1"/>
  <c r="I6" i="21"/>
  <c r="K6" i="21" s="1"/>
  <c r="G107" i="36" s="1"/>
  <c r="V10" i="55" s="1"/>
  <c r="I11" i="21"/>
  <c r="K11" i="21" s="1"/>
  <c r="I18" i="21"/>
  <c r="K18" i="21" s="1"/>
  <c r="F140" i="35" s="1"/>
  <c r="F35" i="21"/>
  <c r="E35" i="27"/>
  <c r="I3" i="27"/>
  <c r="J60" i="33" s="1"/>
  <c r="J7" i="55" s="1"/>
  <c r="I19" i="27"/>
  <c r="K19" i="27" s="1"/>
  <c r="I16" i="27"/>
  <c r="K16" i="27" s="1"/>
  <c r="I10" i="27"/>
  <c r="E136" i="36" s="1"/>
  <c r="I6" i="27"/>
  <c r="K6" i="27" s="1"/>
  <c r="G132" i="36" s="1"/>
  <c r="I4" i="27"/>
  <c r="K4" i="27" s="1"/>
  <c r="L61" i="33" s="1"/>
  <c r="I15" i="27"/>
  <c r="K15" i="27" s="1"/>
  <c r="I2" i="27"/>
  <c r="K2" i="27" s="1"/>
  <c r="L59" i="33" s="1"/>
  <c r="L19" i="55" s="1"/>
  <c r="I13" i="27"/>
  <c r="K13" i="27" s="1"/>
  <c r="F167" i="35" s="1"/>
  <c r="F35" i="27"/>
  <c r="I7" i="11"/>
  <c r="I15" i="11"/>
  <c r="K15" i="11" s="1"/>
  <c r="E3" i="9"/>
  <c r="F19" i="33" s="1"/>
  <c r="E19" i="33"/>
  <c r="I9" i="14"/>
  <c r="K9" i="14" s="1"/>
  <c r="G65" i="36" s="1"/>
  <c r="I8" i="14"/>
  <c r="J8" i="14" s="1"/>
  <c r="F64" i="36" s="1"/>
  <c r="F35" i="14"/>
  <c r="I19" i="14"/>
  <c r="K19" i="14" s="1"/>
  <c r="F83" i="35" s="1"/>
  <c r="I6" i="14"/>
  <c r="J6" i="14" s="1"/>
  <c r="F62" i="36" s="1"/>
  <c r="F35" i="5"/>
  <c r="I10" i="5"/>
  <c r="E16" i="36" s="1"/>
  <c r="I11" i="5"/>
  <c r="J11" i="5" s="1"/>
  <c r="D3" i="3"/>
  <c r="G3" i="3" s="1"/>
  <c r="I19" i="8"/>
  <c r="K19" i="8" s="1"/>
  <c r="I6" i="11"/>
  <c r="E47" i="36" s="1"/>
  <c r="T25" i="55" s="1"/>
  <c r="I6" i="13"/>
  <c r="E57" i="36" s="1"/>
  <c r="I11" i="16"/>
  <c r="K11" i="16" s="1"/>
  <c r="I20" i="16"/>
  <c r="J20" i="16" s="1"/>
  <c r="D2" i="32"/>
  <c r="G2" i="32" s="1"/>
  <c r="I7" i="15"/>
  <c r="K7" i="15" s="1"/>
  <c r="G68" i="36" s="1"/>
  <c r="E87" i="35"/>
  <c r="I2" i="19"/>
  <c r="J43" i="33" s="1"/>
  <c r="J10" i="55" s="1"/>
  <c r="I13" i="20"/>
  <c r="J13" i="20" s="1"/>
  <c r="E129" i="35" s="1"/>
  <c r="AH2" i="55" s="1"/>
  <c r="D4" i="32"/>
  <c r="G4" i="32" s="1"/>
  <c r="I9" i="21"/>
  <c r="J9" i="21" s="1"/>
  <c r="F110" i="36" s="1"/>
  <c r="I14" i="5"/>
  <c r="J14" i="5" s="1"/>
  <c r="E15" i="35" s="1"/>
  <c r="I8" i="13"/>
  <c r="J8" i="13" s="1"/>
  <c r="F59" i="36" s="1"/>
  <c r="I9" i="6"/>
  <c r="E20" i="36" s="1"/>
  <c r="F25" i="35"/>
  <c r="I14" i="1"/>
  <c r="K14" i="1" s="1"/>
  <c r="F28" i="35" s="1"/>
  <c r="I9" i="17"/>
  <c r="K9" i="17" s="1"/>
  <c r="G80" i="36" s="1"/>
  <c r="I8" i="9"/>
  <c r="J8" i="9" s="1"/>
  <c r="F39" i="36" s="1"/>
  <c r="U90" i="55" s="1"/>
  <c r="I17" i="9"/>
  <c r="J17" i="9" s="1"/>
  <c r="E50" i="35" s="1"/>
  <c r="D2" i="9"/>
  <c r="D2" i="12"/>
  <c r="D3" i="11"/>
  <c r="I6" i="5"/>
  <c r="J6" i="5" s="1"/>
  <c r="F12" i="36" s="1"/>
  <c r="I15" i="5"/>
  <c r="J15" i="5" s="1"/>
  <c r="E16" i="35" s="1"/>
  <c r="I18" i="13"/>
  <c r="K18" i="13" s="1"/>
  <c r="F75" i="35" s="1"/>
  <c r="I20" i="26"/>
  <c r="K20" i="26" s="1"/>
  <c r="I7" i="27"/>
  <c r="E133" i="36" s="1"/>
  <c r="T43" i="55" s="1"/>
  <c r="I17" i="27"/>
  <c r="J17" i="27" s="1"/>
  <c r="I19" i="3"/>
  <c r="K19" i="3" s="1"/>
  <c r="F109" i="35" s="1"/>
  <c r="F35" i="13"/>
  <c r="I10" i="30"/>
  <c r="K10" i="30" s="1"/>
  <c r="G156" i="36" s="1"/>
  <c r="I8" i="27"/>
  <c r="E134" i="36" s="1"/>
  <c r="I20" i="3"/>
  <c r="J20" i="3" s="1"/>
  <c r="I7" i="14"/>
  <c r="E63" i="36" s="1"/>
  <c r="I16" i="14"/>
  <c r="K16" i="14" s="1"/>
  <c r="F80" i="35" s="1"/>
  <c r="AI81" i="55" s="1"/>
  <c r="F91" i="35"/>
  <c r="AI33" i="55" s="1"/>
  <c r="I18" i="25"/>
  <c r="K18" i="25" s="1"/>
  <c r="F121" i="35" s="1"/>
  <c r="I2" i="21"/>
  <c r="J47" i="33" s="1"/>
  <c r="I9" i="27"/>
  <c r="K9" i="27" s="1"/>
  <c r="G135" i="36" s="1"/>
  <c r="I18" i="27"/>
  <c r="K18" i="27" s="1"/>
  <c r="F172" i="35" s="1"/>
  <c r="I9" i="20"/>
  <c r="E105" i="36" s="1"/>
  <c r="I3" i="21"/>
  <c r="J3" i="21" s="1"/>
  <c r="K48" i="33" s="1"/>
  <c r="D2" i="15"/>
  <c r="G2" i="15" s="1"/>
  <c r="E35" i="6"/>
  <c r="I16" i="20"/>
  <c r="J16" i="20" s="1"/>
  <c r="E132" i="35" s="1"/>
  <c r="AH103" i="55" s="1"/>
  <c r="E25" i="36"/>
  <c r="E32" i="35"/>
  <c r="I3" i="15"/>
  <c r="J32" i="33" s="1"/>
  <c r="D3" i="6"/>
  <c r="F35" i="15"/>
  <c r="D4" i="17"/>
  <c r="L22" i="17" s="1"/>
  <c r="A4" i="34"/>
  <c r="A5" i="34" s="1"/>
  <c r="Y5" i="47" s="1"/>
  <c r="I19" i="5"/>
  <c r="K19" i="5" s="1"/>
  <c r="I4" i="6"/>
  <c r="J4" i="6" s="1"/>
  <c r="I4" i="17"/>
  <c r="K4" i="17" s="1"/>
  <c r="I11" i="22"/>
  <c r="J11" i="22" s="1"/>
  <c r="I20" i="22"/>
  <c r="J20" i="22" s="1"/>
  <c r="I11" i="27"/>
  <c r="J11" i="27" s="1"/>
  <c r="I20" i="27"/>
  <c r="J20" i="27" s="1"/>
  <c r="E35" i="8"/>
  <c r="F23" i="35"/>
  <c r="I10" i="1"/>
  <c r="K10" i="1" s="1"/>
  <c r="G26" i="36" s="1"/>
  <c r="I19" i="1"/>
  <c r="K19" i="1" s="1"/>
  <c r="F33" i="35" s="1"/>
  <c r="D4" i="13"/>
  <c r="I6" i="17"/>
  <c r="E77" i="36" s="1"/>
  <c r="T27" i="55" s="1"/>
  <c r="D2" i="6"/>
  <c r="I10" i="8"/>
  <c r="K10" i="8" s="1"/>
  <c r="G36" i="36" s="1"/>
  <c r="I14" i="9"/>
  <c r="K14" i="9" s="1"/>
  <c r="F47" i="35" s="1"/>
  <c r="I11" i="20"/>
  <c r="K11" i="20" s="1"/>
  <c r="I20" i="20"/>
  <c r="K20" i="20" s="1"/>
  <c r="E2" i="26"/>
  <c r="H57" i="33" s="1"/>
  <c r="H4" i="55" s="1"/>
  <c r="E57" i="33"/>
  <c r="E4" i="55" s="1"/>
  <c r="F35" i="4"/>
  <c r="E35" i="4"/>
  <c r="I14" i="4"/>
  <c r="K14" i="4" s="1"/>
  <c r="F9" i="35" s="1"/>
  <c r="I17" i="4"/>
  <c r="K17" i="4" s="1"/>
  <c r="F12" i="35" s="1"/>
  <c r="I8" i="23"/>
  <c r="J8" i="23" s="1"/>
  <c r="F119" i="36" s="1"/>
  <c r="U50" i="55" s="1"/>
  <c r="I13" i="23"/>
  <c r="K13" i="23" s="1"/>
  <c r="F147" i="35" s="1"/>
  <c r="F35" i="7"/>
  <c r="E35" i="7"/>
  <c r="I14" i="7"/>
  <c r="K14" i="7" s="1"/>
  <c r="F35" i="35" s="1"/>
  <c r="I2" i="7"/>
  <c r="J2" i="7" s="1"/>
  <c r="K14" i="33" s="1"/>
  <c r="E35" i="33"/>
  <c r="E2" i="55" s="1"/>
  <c r="E2" i="17"/>
  <c r="H2" i="17" s="1"/>
  <c r="I35" i="33" s="1"/>
  <c r="I2" i="55" s="1"/>
  <c r="A4" i="35"/>
  <c r="S5" i="47" s="1"/>
  <c r="Q4" i="47"/>
  <c r="R4" i="47"/>
  <c r="AO104" i="47"/>
  <c r="S4" i="47"/>
  <c r="E2" i="28"/>
  <c r="H2" i="28" s="1"/>
  <c r="I62" i="33" s="1"/>
  <c r="E62" i="33"/>
  <c r="I9" i="2"/>
  <c r="J9" i="2" s="1"/>
  <c r="F145" i="36" s="1"/>
  <c r="E35" i="2"/>
  <c r="F35" i="2"/>
  <c r="I18" i="14"/>
  <c r="J18" i="14" s="1"/>
  <c r="E82" i="35" s="1"/>
  <c r="I6" i="7"/>
  <c r="E27" i="36" s="1"/>
  <c r="T32" i="55" s="1"/>
  <c r="I15" i="7"/>
  <c r="K15" i="7" s="1"/>
  <c r="F36" i="35" s="1"/>
  <c r="I8" i="10"/>
  <c r="I2" i="11"/>
  <c r="K2" i="11" s="1"/>
  <c r="L22" i="33" s="1"/>
  <c r="D2" i="3"/>
  <c r="G2" i="3" s="1"/>
  <c r="E35" i="5"/>
  <c r="I9" i="4"/>
  <c r="E10" i="36" s="1"/>
  <c r="I18" i="4"/>
  <c r="J18" i="4" s="1"/>
  <c r="E13" i="35" s="1"/>
  <c r="I2" i="5"/>
  <c r="J7" i="33" s="1"/>
  <c r="J5" i="55" s="1"/>
  <c r="I8" i="6"/>
  <c r="E19" i="36" s="1"/>
  <c r="F24" i="35"/>
  <c r="I13" i="1"/>
  <c r="J13" i="1" s="1"/>
  <c r="E27" i="35" s="1"/>
  <c r="AH34" i="55" s="1"/>
  <c r="I3" i="11"/>
  <c r="J3" i="11" s="1"/>
  <c r="K23" i="33" s="1"/>
  <c r="I7" i="22"/>
  <c r="E113" i="36" s="1"/>
  <c r="I16" i="22"/>
  <c r="J16" i="22" s="1"/>
  <c r="E144" i="35" s="1"/>
  <c r="I3" i="5"/>
  <c r="K3" i="5" s="1"/>
  <c r="L8" i="33" s="1"/>
  <c r="I16" i="4"/>
  <c r="K16" i="4" s="1"/>
  <c r="F11" i="35" s="1"/>
  <c r="I7" i="7"/>
  <c r="J7" i="7" s="1"/>
  <c r="F28" i="36" s="1"/>
  <c r="F37" i="35"/>
  <c r="I10" i="2"/>
  <c r="K10" i="2" s="1"/>
  <c r="G146" i="36" s="1"/>
  <c r="I19" i="2"/>
  <c r="J19" i="2" s="1"/>
  <c r="I10" i="4"/>
  <c r="E11" i="36" s="1"/>
  <c r="I19" i="4"/>
  <c r="J19" i="4" s="1"/>
  <c r="I18" i="22"/>
  <c r="K18" i="22" s="1"/>
  <c r="I4" i="5"/>
  <c r="K4" i="5" s="1"/>
  <c r="I3" i="1"/>
  <c r="J3" i="1" s="1"/>
  <c r="I20" i="8"/>
  <c r="K20" i="8" s="1"/>
  <c r="I14" i="19"/>
  <c r="J14" i="19" s="1"/>
  <c r="E123" i="35" s="1"/>
  <c r="D2" i="21"/>
  <c r="E47" i="33" s="1"/>
  <c r="I20" i="23"/>
  <c r="K20" i="23" s="1"/>
  <c r="I11" i="10"/>
  <c r="J11" i="10" s="1"/>
  <c r="I20" i="10"/>
  <c r="K20" i="10" s="1"/>
  <c r="I4" i="3"/>
  <c r="K4" i="3" s="1"/>
  <c r="I11" i="2"/>
  <c r="K11" i="2" s="1"/>
  <c r="I20" i="2"/>
  <c r="J20" i="2" s="1"/>
  <c r="I11" i="4"/>
  <c r="K11" i="4" s="1"/>
  <c r="I20" i="4"/>
  <c r="J20" i="4" s="1"/>
  <c r="I10" i="6"/>
  <c r="E21" i="36" s="1"/>
  <c r="I19" i="6"/>
  <c r="J19" i="6" s="1"/>
  <c r="E26" i="35" s="1"/>
  <c r="I8" i="11"/>
  <c r="K8" i="11" s="1"/>
  <c r="I18" i="11"/>
  <c r="J18" i="11" s="1"/>
  <c r="I11" i="14"/>
  <c r="K11" i="14" s="1"/>
  <c r="I20" i="14"/>
  <c r="J20" i="14" s="1"/>
  <c r="I4" i="19"/>
  <c r="K4" i="19" s="1"/>
  <c r="I4" i="1"/>
  <c r="J4" i="1" s="1"/>
  <c r="I13" i="8"/>
  <c r="K13" i="8" s="1"/>
  <c r="F41" i="35" s="1"/>
  <c r="I7" i="17"/>
  <c r="E78" i="36" s="1"/>
  <c r="T69" i="55" s="1"/>
  <c r="I11" i="25"/>
  <c r="J11" i="25" s="1"/>
  <c r="I20" i="25"/>
  <c r="J20" i="25" s="1"/>
  <c r="I6" i="19"/>
  <c r="E97" i="36" s="1"/>
  <c r="I17" i="19"/>
  <c r="K17" i="19" s="1"/>
  <c r="I14" i="21"/>
  <c r="K14" i="21" s="1"/>
  <c r="F136" i="35" s="1"/>
  <c r="AI117" i="55" s="1"/>
  <c r="D2" i="23"/>
  <c r="G2" i="23" s="1"/>
  <c r="I8" i="5"/>
  <c r="I16" i="5"/>
  <c r="K16" i="5" s="1"/>
  <c r="F19" i="35" s="1"/>
  <c r="I9" i="7"/>
  <c r="K9" i="7" s="1"/>
  <c r="G30" i="36" s="1"/>
  <c r="I18" i="7"/>
  <c r="J18" i="7" s="1"/>
  <c r="E39" i="35" s="1"/>
  <c r="I2" i="8"/>
  <c r="J2" i="8" s="1"/>
  <c r="K16" i="33" s="1"/>
  <c r="K6" i="55" s="1"/>
  <c r="I13" i="10"/>
  <c r="K13" i="10" s="1"/>
  <c r="F52" i="35" s="1"/>
  <c r="AI8" i="55" s="1"/>
  <c r="I10" i="20"/>
  <c r="J10" i="20" s="1"/>
  <c r="F106" i="36" s="1"/>
  <c r="I19" i="20"/>
  <c r="K19" i="20" s="1"/>
  <c r="I14" i="27"/>
  <c r="K14" i="27" s="1"/>
  <c r="I13" i="2"/>
  <c r="J13" i="2" s="1"/>
  <c r="E178" i="35" s="1"/>
  <c r="I13" i="4"/>
  <c r="J13" i="4" s="1"/>
  <c r="E8" i="35" s="1"/>
  <c r="I3" i="8"/>
  <c r="J17" i="33" s="1"/>
  <c r="I13" i="14"/>
  <c r="J13" i="14" s="1"/>
  <c r="E77" i="35" s="1"/>
  <c r="AH5" i="55" s="1"/>
  <c r="I2" i="16"/>
  <c r="K2" i="16" s="1"/>
  <c r="L33" i="33" s="1"/>
  <c r="L8" i="55" s="1"/>
  <c r="I2" i="4"/>
  <c r="J2" i="4" s="1"/>
  <c r="K5" i="33" s="1"/>
  <c r="I14" i="8"/>
  <c r="K14" i="8" s="1"/>
  <c r="F42" i="35" s="1"/>
  <c r="AI16" i="55" s="1"/>
  <c r="I2" i="10"/>
  <c r="K2" i="10" s="1"/>
  <c r="L20" i="33" s="1"/>
  <c r="L16" i="55" s="1"/>
  <c r="I3" i="16"/>
  <c r="I13" i="25"/>
  <c r="K13" i="25" s="1"/>
  <c r="F116" i="35" s="1"/>
  <c r="I3" i="4"/>
  <c r="J6" i="33" s="1"/>
  <c r="I9" i="5"/>
  <c r="J9" i="5" s="1"/>
  <c r="I17" i="5"/>
  <c r="K17" i="5" s="1"/>
  <c r="F17" i="35" s="1"/>
  <c r="I10" i="7"/>
  <c r="J10" i="7" s="1"/>
  <c r="F31" i="36" s="1"/>
  <c r="I19" i="7"/>
  <c r="K19" i="7" s="1"/>
  <c r="F40" i="35" s="1"/>
  <c r="I14" i="10"/>
  <c r="K14" i="10" s="1"/>
  <c r="F53" i="35" s="1"/>
  <c r="I3" i="2"/>
  <c r="J65" i="33" s="1"/>
  <c r="I14" i="2"/>
  <c r="K14" i="2" s="1"/>
  <c r="F179" i="35" s="1"/>
  <c r="AI31" i="55" s="1"/>
  <c r="E35" i="14"/>
  <c r="I13" i="6"/>
  <c r="J13" i="6" s="1"/>
  <c r="E20" i="35" s="1"/>
  <c r="I4" i="8"/>
  <c r="K4" i="8" s="1"/>
  <c r="D3" i="10"/>
  <c r="I14" i="14"/>
  <c r="K14" i="14" s="1"/>
  <c r="F78" i="35" s="1"/>
  <c r="I2" i="25"/>
  <c r="J2" i="25" s="1"/>
  <c r="K41" i="33" s="1"/>
  <c r="I4" i="23"/>
  <c r="K4" i="23" s="1"/>
  <c r="D4" i="2"/>
  <c r="I14" i="31"/>
  <c r="J14" i="31" s="1"/>
  <c r="E198" i="35" s="1"/>
  <c r="I18" i="8"/>
  <c r="K18" i="8" s="1"/>
  <c r="I3" i="14"/>
  <c r="K3" i="14" s="1"/>
  <c r="L28" i="33" s="1"/>
  <c r="I2" i="6"/>
  <c r="J2" i="6" s="1"/>
  <c r="K9" i="33" s="1"/>
  <c r="K3" i="55" s="1"/>
  <c r="D4" i="1"/>
  <c r="I6" i="8"/>
  <c r="E32" i="36" s="1"/>
  <c r="T48" i="55" s="1"/>
  <c r="I15" i="8"/>
  <c r="K15" i="8" s="1"/>
  <c r="F43" i="35" s="1"/>
  <c r="I4" i="10"/>
  <c r="K4" i="10" s="1"/>
  <c r="I14" i="12"/>
  <c r="J14" i="12" s="1"/>
  <c r="E64" i="35" s="1"/>
  <c r="I4" i="16"/>
  <c r="K4" i="16" s="1"/>
  <c r="I3" i="25"/>
  <c r="J42" i="33" s="1"/>
  <c r="I14" i="25"/>
  <c r="K14" i="25" s="1"/>
  <c r="F117" i="35" s="1"/>
  <c r="AI56" i="55" s="1"/>
  <c r="I7" i="21"/>
  <c r="K7" i="21" s="1"/>
  <c r="G108" i="36" s="1"/>
  <c r="I16" i="21"/>
  <c r="K16" i="21" s="1"/>
  <c r="F138" i="35" s="1"/>
  <c r="I19" i="24"/>
  <c r="J19" i="24" s="1"/>
  <c r="E160" i="35" s="1"/>
  <c r="I4" i="2"/>
  <c r="J4" i="2" s="1"/>
  <c r="K66" i="33" s="1"/>
  <c r="I4" i="4"/>
  <c r="K4" i="4" s="1"/>
  <c r="I7" i="5"/>
  <c r="E15" i="36" s="1"/>
  <c r="I18" i="5"/>
  <c r="K18" i="5" s="1"/>
  <c r="F18" i="35" s="1"/>
  <c r="I11" i="7"/>
  <c r="J11" i="7" s="1"/>
  <c r="I20" i="7"/>
  <c r="K20" i="7" s="1"/>
  <c r="I7" i="10"/>
  <c r="K7" i="10" s="1"/>
  <c r="G42" i="36" s="1"/>
  <c r="I15" i="10"/>
  <c r="J15" i="10" s="1"/>
  <c r="E54" i="35" s="1"/>
  <c r="AH128" i="55" s="1"/>
  <c r="I4" i="14"/>
  <c r="J30" i="33" s="1"/>
  <c r="D2" i="18"/>
  <c r="I6" i="2"/>
  <c r="E142" i="36" s="1"/>
  <c r="T2" i="55" s="1"/>
  <c r="I15" i="2"/>
  <c r="J15" i="2" s="1"/>
  <c r="E180" i="35" s="1"/>
  <c r="I4" i="31"/>
  <c r="J74" i="33" s="1"/>
  <c r="I6" i="4"/>
  <c r="E7" i="36" s="1"/>
  <c r="T6" i="55" s="1"/>
  <c r="I15" i="4"/>
  <c r="K15" i="4" s="1"/>
  <c r="F10" i="35" s="1"/>
  <c r="I3" i="6"/>
  <c r="J3" i="6" s="1"/>
  <c r="K10" i="33" s="1"/>
  <c r="K50" i="55" s="1"/>
  <c r="I14" i="6"/>
  <c r="K14" i="6" s="1"/>
  <c r="F21" i="35" s="1"/>
  <c r="I10" i="11"/>
  <c r="K10" i="11" s="1"/>
  <c r="G51" i="36" s="1"/>
  <c r="I4" i="25"/>
  <c r="K4" i="25" s="1"/>
  <c r="D2" i="20"/>
  <c r="J4" i="47"/>
  <c r="I11" i="8"/>
  <c r="J11" i="8" s="1"/>
  <c r="I10" i="14"/>
  <c r="E66" i="36" s="1"/>
  <c r="I15" i="14"/>
  <c r="K15" i="14" s="1"/>
  <c r="F79" i="35" s="1"/>
  <c r="I7" i="8"/>
  <c r="J7" i="8" s="1"/>
  <c r="F33" i="36" s="1"/>
  <c r="I16" i="8"/>
  <c r="J16" i="8" s="1"/>
  <c r="E44" i="35" s="1"/>
  <c r="I6" i="25"/>
  <c r="K6" i="25" s="1"/>
  <c r="G92" i="36" s="1"/>
  <c r="V64" i="55" s="1"/>
  <c r="I2" i="20"/>
  <c r="K2" i="20" s="1"/>
  <c r="L45" i="33" s="1"/>
  <c r="I8" i="21"/>
  <c r="E109" i="36" s="1"/>
  <c r="E139" i="35"/>
  <c r="I13" i="7"/>
  <c r="J13" i="7" s="1"/>
  <c r="E34" i="35" s="1"/>
  <c r="AH22" i="55" s="1"/>
  <c r="I7" i="2"/>
  <c r="K7" i="2" s="1"/>
  <c r="G143" i="36" s="1"/>
  <c r="V53" i="55" s="1"/>
  <c r="I7" i="31"/>
  <c r="K7" i="31" s="1"/>
  <c r="G158" i="36" s="1"/>
  <c r="I18" i="31"/>
  <c r="K18" i="31" s="1"/>
  <c r="I7" i="12"/>
  <c r="K7" i="12" s="1"/>
  <c r="G53" i="36" s="1"/>
  <c r="I16" i="12"/>
  <c r="J16" i="12" s="1"/>
  <c r="E66" i="35" s="1"/>
  <c r="I7" i="25"/>
  <c r="E93" i="36" s="1"/>
  <c r="I17" i="25"/>
  <c r="K17" i="25" s="1"/>
  <c r="I3" i="7"/>
  <c r="J15" i="33" s="1"/>
  <c r="I8" i="8"/>
  <c r="K8" i="8" s="1"/>
  <c r="G34" i="36" s="1"/>
  <c r="V89" i="55" s="1"/>
  <c r="I17" i="8"/>
  <c r="K17" i="8" s="1"/>
  <c r="F45" i="35" s="1"/>
  <c r="I17" i="14"/>
  <c r="K17" i="14" s="1"/>
  <c r="F81" i="35" s="1"/>
  <c r="AI84" i="55" s="1"/>
  <c r="I6" i="10"/>
  <c r="K6" i="10" s="1"/>
  <c r="I17" i="10"/>
  <c r="J17" i="10" s="1"/>
  <c r="E56" i="35" s="1"/>
  <c r="D2" i="27"/>
  <c r="I8" i="2"/>
  <c r="E182" i="35"/>
  <c r="I7" i="4"/>
  <c r="K7" i="4" s="1"/>
  <c r="G8" i="36" s="1"/>
  <c r="V54" i="55" s="1"/>
  <c r="I20" i="5"/>
  <c r="K20" i="5" s="1"/>
  <c r="I2" i="14"/>
  <c r="J29" i="33" s="1"/>
  <c r="J27" i="55" s="1"/>
  <c r="I8" i="4"/>
  <c r="J8" i="4" s="1"/>
  <c r="F9" i="36" s="1"/>
  <c r="I7" i="6"/>
  <c r="K7" i="6" s="1"/>
  <c r="G18" i="36" s="1"/>
  <c r="F22" i="35"/>
  <c r="I11" i="1"/>
  <c r="K11" i="1" s="1"/>
  <c r="E95" i="36"/>
  <c r="I4" i="7"/>
  <c r="K4" i="7" s="1"/>
  <c r="D2" i="11"/>
  <c r="I8" i="12"/>
  <c r="E54" i="36" s="1"/>
  <c r="I17" i="12"/>
  <c r="K17" i="12" s="1"/>
  <c r="F69" i="35" s="1"/>
  <c r="I8" i="25"/>
  <c r="I16" i="25"/>
  <c r="E26" i="33"/>
  <c r="E21" i="55" s="1"/>
  <c r="E3" i="26"/>
  <c r="E3" i="33"/>
  <c r="E30" i="55" s="1"/>
  <c r="E32" i="33"/>
  <c r="W28" i="12"/>
  <c r="W28" i="2"/>
  <c r="AA28" i="16"/>
  <c r="E34" i="33"/>
  <c r="E31" i="55" s="1"/>
  <c r="F87" i="35"/>
  <c r="E92" i="35"/>
  <c r="I9" i="13"/>
  <c r="J9" i="13" s="1"/>
  <c r="F60" i="36" s="1"/>
  <c r="E16" i="33"/>
  <c r="W28" i="23"/>
  <c r="W28" i="18"/>
  <c r="E68" i="33"/>
  <c r="E35" i="55" s="1"/>
  <c r="W28" i="28"/>
  <c r="E28" i="33"/>
  <c r="E17" i="33"/>
  <c r="E6" i="33"/>
  <c r="E36" i="55" s="1"/>
  <c r="F34" i="33"/>
  <c r="F31" i="55" s="1"/>
  <c r="K2" i="9"/>
  <c r="L18" i="33" s="1"/>
  <c r="L14" i="55" s="1"/>
  <c r="J18" i="33"/>
  <c r="J14" i="55" s="1"/>
  <c r="E23" i="35"/>
  <c r="W28" i="27"/>
  <c r="K3" i="26"/>
  <c r="L58" i="33" s="1"/>
  <c r="L25" i="55" s="1"/>
  <c r="W28" i="14"/>
  <c r="J3" i="26"/>
  <c r="K58" i="33" s="1"/>
  <c r="K25" i="55" s="1"/>
  <c r="I2" i="2"/>
  <c r="AA28" i="14"/>
  <c r="W28" i="13"/>
  <c r="E12" i="33"/>
  <c r="E44" i="55" s="1"/>
  <c r="E3" i="1"/>
  <c r="F13" i="33" s="1"/>
  <c r="L20" i="8"/>
  <c r="M20" i="8" s="1"/>
  <c r="O20" i="8" s="1"/>
  <c r="E60" i="33"/>
  <c r="E7" i="55" s="1"/>
  <c r="F28" i="33"/>
  <c r="AC28" i="24"/>
  <c r="AC28" i="14"/>
  <c r="W28" i="22"/>
  <c r="G4" i="36"/>
  <c r="L25" i="8"/>
  <c r="M25" i="8" s="1"/>
  <c r="O25" i="8" s="1"/>
  <c r="E4" i="21"/>
  <c r="L8" i="8"/>
  <c r="F4" i="6"/>
  <c r="F4" i="14"/>
  <c r="G30" i="33" s="1"/>
  <c r="L23" i="8"/>
  <c r="M23" i="8" s="1"/>
  <c r="N23" i="8" s="1"/>
  <c r="G21" i="34" s="1"/>
  <c r="L6" i="8"/>
  <c r="H32" i="36" s="1"/>
  <c r="L13" i="8"/>
  <c r="E30" i="33"/>
  <c r="L14" i="8"/>
  <c r="H28" i="33"/>
  <c r="L22" i="18"/>
  <c r="L13" i="18"/>
  <c r="G111" i="35" s="1"/>
  <c r="E40" i="33"/>
  <c r="L16" i="18"/>
  <c r="L14" i="6"/>
  <c r="M14" i="6" s="1"/>
  <c r="L19" i="6"/>
  <c r="M19" i="6" s="1"/>
  <c r="H26" i="35" s="1"/>
  <c r="H2" i="13"/>
  <c r="I26" i="33" s="1"/>
  <c r="I21" i="55" s="1"/>
  <c r="F26" i="33"/>
  <c r="F21" i="55" s="1"/>
  <c r="H26" i="33"/>
  <c r="H21" i="55" s="1"/>
  <c r="L7" i="29"/>
  <c r="H2" i="8"/>
  <c r="I16" i="33" s="1"/>
  <c r="I6" i="55" s="1"/>
  <c r="F2" i="8"/>
  <c r="G16" i="33" s="1"/>
  <c r="G6" i="55" s="1"/>
  <c r="F16" i="33"/>
  <c r="H4" i="10"/>
  <c r="F2" i="13"/>
  <c r="G26" i="33" s="1"/>
  <c r="G21" i="55" s="1"/>
  <c r="F3" i="15"/>
  <c r="G32" i="33" s="1"/>
  <c r="H3" i="14"/>
  <c r="I28" i="33" s="1"/>
  <c r="F3" i="4"/>
  <c r="G6" i="33" s="1"/>
  <c r="G36" i="55" s="1"/>
  <c r="F3" i="29"/>
  <c r="G68" i="33" s="1"/>
  <c r="G35" i="55" s="1"/>
  <c r="H4" i="18"/>
  <c r="X3" i="47"/>
  <c r="Q5" i="47"/>
  <c r="AN104" i="47"/>
  <c r="AL104" i="47"/>
  <c r="AC28" i="8"/>
  <c r="AA28" i="8"/>
  <c r="AC28" i="27"/>
  <c r="AA28" i="22"/>
  <c r="AC28" i="47"/>
  <c r="AC4" i="47"/>
  <c r="AC22" i="47"/>
  <c r="AC25" i="47"/>
  <c r="AC16" i="47"/>
  <c r="AC19" i="47"/>
  <c r="AC31" i="47"/>
  <c r="AC27" i="47"/>
  <c r="AC30" i="47"/>
  <c r="AC11" i="47"/>
  <c r="AC14" i="47"/>
  <c r="AC17" i="47"/>
  <c r="AC5" i="47"/>
  <c r="AC33" i="47"/>
  <c r="AC15" i="47"/>
  <c r="AC18" i="47"/>
  <c r="AC21" i="47"/>
  <c r="AC24" i="47"/>
  <c r="Y4" i="47"/>
  <c r="AN4" i="47"/>
  <c r="X4" i="47"/>
  <c r="AC3" i="47"/>
  <c r="AC6" i="47"/>
  <c r="AC9" i="47"/>
  <c r="AC12" i="47"/>
  <c r="AC23" i="47"/>
  <c r="AC26" i="47"/>
  <c r="AC29" i="47"/>
  <c r="AC32" i="47"/>
  <c r="AC20" i="47"/>
  <c r="AC8" i="47"/>
  <c r="AO4" i="47"/>
  <c r="AL4" i="47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C34" i="47"/>
  <c r="AC7" i="47"/>
  <c r="AC10" i="47"/>
  <c r="AC13" i="47"/>
  <c r="AL105" i="47"/>
  <c r="A5" i="35"/>
  <c r="AN106" i="47" s="1"/>
  <c r="E93" i="35"/>
  <c r="AO105" i="47"/>
  <c r="A4" i="36"/>
  <c r="K5" i="47" s="1"/>
  <c r="R5" i="47"/>
  <c r="E3" i="17"/>
  <c r="E4" i="9"/>
  <c r="L18" i="8"/>
  <c r="M18" i="8" s="1"/>
  <c r="L19" i="8"/>
  <c r="M19" i="8" s="1"/>
  <c r="I13" i="21"/>
  <c r="W28" i="21"/>
  <c r="I4" i="13"/>
  <c r="I3" i="13"/>
  <c r="E3" i="21"/>
  <c r="E3" i="23"/>
  <c r="W28" i="29"/>
  <c r="I7" i="29"/>
  <c r="I7" i="13"/>
  <c r="I13" i="13"/>
  <c r="I10" i="13"/>
  <c r="F35" i="32"/>
  <c r="E35" i="32"/>
  <c r="I11" i="13"/>
  <c r="I17" i="13"/>
  <c r="I15" i="13"/>
  <c r="AA28" i="4"/>
  <c r="D4" i="25"/>
  <c r="F4" i="3"/>
  <c r="H4" i="3"/>
  <c r="I7" i="3"/>
  <c r="I11" i="3"/>
  <c r="I10" i="3"/>
  <c r="I13" i="3"/>
  <c r="I9" i="3"/>
  <c r="I6" i="3"/>
  <c r="I8" i="3"/>
  <c r="I18" i="3"/>
  <c r="E35" i="3"/>
  <c r="F35" i="3"/>
  <c r="AE28" i="24"/>
  <c r="D3" i="24"/>
  <c r="G3" i="24" s="1"/>
  <c r="I6" i="24"/>
  <c r="I13" i="24"/>
  <c r="I3" i="24"/>
  <c r="J3" i="24" s="1"/>
  <c r="I8" i="24"/>
  <c r="E124" i="36" s="1"/>
  <c r="I4" i="24"/>
  <c r="F35" i="24"/>
  <c r="I15" i="24"/>
  <c r="I20" i="24"/>
  <c r="I14" i="24"/>
  <c r="I11" i="24"/>
  <c r="I18" i="24"/>
  <c r="I2" i="24"/>
  <c r="I10" i="24"/>
  <c r="I17" i="24"/>
  <c r="F35" i="28"/>
  <c r="I14" i="28"/>
  <c r="I11" i="28"/>
  <c r="I6" i="28"/>
  <c r="E35" i="28"/>
  <c r="I20" i="28"/>
  <c r="I15" i="28"/>
  <c r="I2" i="28"/>
  <c r="I18" i="28"/>
  <c r="I16" i="28"/>
  <c r="I10" i="28"/>
  <c r="I19" i="28"/>
  <c r="I3" i="28"/>
  <c r="I4" i="28"/>
  <c r="I17" i="28"/>
  <c r="I8" i="28"/>
  <c r="I9" i="28"/>
  <c r="I7" i="28"/>
  <c r="I13" i="28"/>
  <c r="I16" i="13"/>
  <c r="I2" i="13"/>
  <c r="I19" i="13"/>
  <c r="AC28" i="4"/>
  <c r="I20" i="13"/>
  <c r="W28" i="4"/>
  <c r="D2" i="25"/>
  <c r="G2" i="25" s="1"/>
  <c r="I8" i="30"/>
  <c r="I15" i="30"/>
  <c r="I10" i="32"/>
  <c r="J10" i="32" s="1"/>
  <c r="F6" i="36" s="1"/>
  <c r="U162" i="55" s="1"/>
  <c r="I19" i="32"/>
  <c r="K19" i="32" s="1"/>
  <c r="I19" i="11"/>
  <c r="I13" i="11"/>
  <c r="I20" i="11"/>
  <c r="I14" i="11"/>
  <c r="E35" i="11"/>
  <c r="I16" i="11"/>
  <c r="I17" i="11"/>
  <c r="AA28" i="25"/>
  <c r="W28" i="26"/>
  <c r="I10" i="29"/>
  <c r="I8" i="29"/>
  <c r="I3" i="29"/>
  <c r="I2" i="29"/>
  <c r="I6" i="29"/>
  <c r="I15" i="29"/>
  <c r="I13" i="29"/>
  <c r="I7" i="30"/>
  <c r="I13" i="30"/>
  <c r="E196" i="35"/>
  <c r="E3" i="35"/>
  <c r="AE28" i="4"/>
  <c r="AA28" i="6"/>
  <c r="W28" i="8"/>
  <c r="W28" i="11"/>
  <c r="I9" i="11"/>
  <c r="F35" i="11"/>
  <c r="I2" i="15"/>
  <c r="J31" i="33" s="1"/>
  <c r="I7" i="18"/>
  <c r="J7" i="18" s="1"/>
  <c r="F88" i="36" s="1"/>
  <c r="I16" i="18"/>
  <c r="K16" i="18" s="1"/>
  <c r="F113" i="35" s="1"/>
  <c r="AA28" i="21"/>
  <c r="D24" i="22"/>
  <c r="E24" i="22" s="1"/>
  <c r="D3" i="22"/>
  <c r="G3" i="22" s="1"/>
  <c r="D2" i="22"/>
  <c r="G2" i="22" s="1"/>
  <c r="AE28" i="26"/>
  <c r="D4" i="26"/>
  <c r="G4" i="26" s="1"/>
  <c r="E35" i="31"/>
  <c r="I6" i="31"/>
  <c r="F35" i="31"/>
  <c r="I3" i="30"/>
  <c r="J70" i="33" s="1"/>
  <c r="H73" i="33"/>
  <c r="I2" i="32"/>
  <c r="K2" i="32" s="1"/>
  <c r="L2" i="33" s="1"/>
  <c r="L34" i="55" s="1"/>
  <c r="I4" i="32"/>
  <c r="J4" i="33" s="1"/>
  <c r="J76" i="55" s="1"/>
  <c r="I11" i="32"/>
  <c r="K11" i="32" s="1"/>
  <c r="I20" i="32"/>
  <c r="K20" i="32" s="1"/>
  <c r="W28" i="25"/>
  <c r="I19" i="23"/>
  <c r="E35" i="23"/>
  <c r="E35" i="29"/>
  <c r="D3" i="30"/>
  <c r="G3" i="30" s="1"/>
  <c r="D4" i="30"/>
  <c r="G4" i="30" s="1"/>
  <c r="D2" i="30"/>
  <c r="I20" i="30"/>
  <c r="I9" i="30"/>
  <c r="I6" i="32"/>
  <c r="K6" i="32" s="1"/>
  <c r="G2" i="36" s="1"/>
  <c r="E29" i="35"/>
  <c r="F35" i="1"/>
  <c r="I2" i="1"/>
  <c r="K2" i="1" s="1"/>
  <c r="I6" i="1"/>
  <c r="I8" i="15"/>
  <c r="K8" i="15" s="1"/>
  <c r="G69" i="36" s="1"/>
  <c r="F88" i="35"/>
  <c r="D4" i="15"/>
  <c r="G4" i="15" s="1"/>
  <c r="AC28" i="25"/>
  <c r="I9" i="19"/>
  <c r="J9" i="19" s="1"/>
  <c r="I16" i="19"/>
  <c r="J16" i="19" s="1"/>
  <c r="I6" i="23"/>
  <c r="J6" i="23" s="1"/>
  <c r="F117" i="36" s="1"/>
  <c r="F149" i="35"/>
  <c r="F35" i="23"/>
  <c r="D4" i="24"/>
  <c r="G4" i="24" s="1"/>
  <c r="E3" i="28"/>
  <c r="F35" i="30"/>
  <c r="I9" i="32"/>
  <c r="J9" i="32" s="1"/>
  <c r="F5" i="36" s="1"/>
  <c r="I18" i="32"/>
  <c r="J18" i="32" s="1"/>
  <c r="E7" i="35" s="1"/>
  <c r="F35" i="10"/>
  <c r="E35" i="10"/>
  <c r="I11" i="11"/>
  <c r="AC28" i="16"/>
  <c r="D3" i="25"/>
  <c r="G3" i="25" s="1"/>
  <c r="W28" i="3"/>
  <c r="E35" i="18"/>
  <c r="AC28" i="21"/>
  <c r="I19" i="29"/>
  <c r="E35" i="30"/>
  <c r="I6" i="30"/>
  <c r="I13" i="32"/>
  <c r="K13" i="32" s="1"/>
  <c r="F2" i="35" s="1"/>
  <c r="I19" i="9"/>
  <c r="K19" i="9" s="1"/>
  <c r="D3" i="13"/>
  <c r="G3" i="13" s="1"/>
  <c r="AE28" i="13"/>
  <c r="I6" i="15"/>
  <c r="J6" i="15" s="1"/>
  <c r="F67" i="36" s="1"/>
  <c r="F86" i="35"/>
  <c r="AA28" i="3"/>
  <c r="I2" i="18"/>
  <c r="K2" i="18" s="1"/>
  <c r="L39" i="33" s="1"/>
  <c r="I6" i="18"/>
  <c r="J6" i="18" s="1"/>
  <c r="F87" i="36" s="1"/>
  <c r="I15" i="18"/>
  <c r="J15" i="18" s="1"/>
  <c r="E112" i="35" s="1"/>
  <c r="D2" i="19"/>
  <c r="F35" i="19"/>
  <c r="E35" i="19"/>
  <c r="AC28" i="22"/>
  <c r="I2" i="23"/>
  <c r="J52" i="33" s="1"/>
  <c r="J11" i="55" s="1"/>
  <c r="I17" i="29"/>
  <c r="I4" i="30"/>
  <c r="I3" i="32"/>
  <c r="K3" i="32" s="1"/>
  <c r="L3" i="33" s="1"/>
  <c r="L33" i="55" s="1"/>
  <c r="I7" i="32"/>
  <c r="J7" i="32" s="1"/>
  <c r="F3" i="36" s="1"/>
  <c r="F5" i="35"/>
  <c r="F35" i="12"/>
  <c r="E35" i="12"/>
  <c r="I9" i="15"/>
  <c r="K9" i="15" s="1"/>
  <c r="G70" i="36" s="1"/>
  <c r="V60" i="55" s="1"/>
  <c r="I18" i="15"/>
  <c r="J18" i="15" s="1"/>
  <c r="E89" i="35" s="1"/>
  <c r="D4" i="16"/>
  <c r="D2" i="16"/>
  <c r="AC28" i="3"/>
  <c r="I8" i="19"/>
  <c r="I18" i="19"/>
  <c r="K18" i="19" s="1"/>
  <c r="F128" i="35" s="1"/>
  <c r="D4" i="22"/>
  <c r="G4" i="22" s="1"/>
  <c r="I7" i="23"/>
  <c r="J7" i="23" s="1"/>
  <c r="F118" i="36" s="1"/>
  <c r="U72" i="55" s="1"/>
  <c r="F150" i="35"/>
  <c r="AI93" i="55" s="1"/>
  <c r="W28" i="24"/>
  <c r="I3" i="10"/>
  <c r="K3" i="10" s="1"/>
  <c r="I10" i="10"/>
  <c r="J10" i="10" s="1"/>
  <c r="F46" i="36" s="1"/>
  <c r="I19" i="10"/>
  <c r="K19" i="10" s="1"/>
  <c r="I13" i="12"/>
  <c r="K13" i="12" s="1"/>
  <c r="F65" i="35" s="1"/>
  <c r="I14" i="15"/>
  <c r="K14" i="15" s="1"/>
  <c r="F85" i="35" s="1"/>
  <c r="AI83" i="55" s="1"/>
  <c r="I11" i="17"/>
  <c r="K11" i="17" s="1"/>
  <c r="I20" i="17"/>
  <c r="J20" i="17" s="1"/>
  <c r="I4" i="18"/>
  <c r="K4" i="18" s="1"/>
  <c r="I11" i="18"/>
  <c r="J11" i="18" s="1"/>
  <c r="I20" i="18"/>
  <c r="J20" i="18" s="1"/>
  <c r="I18" i="20"/>
  <c r="J18" i="20" s="1"/>
  <c r="E134" i="35" s="1"/>
  <c r="I10" i="22"/>
  <c r="I19" i="22"/>
  <c r="I11" i="23"/>
  <c r="K11" i="23" s="1"/>
  <c r="D3" i="2"/>
  <c r="G3" i="2" s="1"/>
  <c r="I3" i="31"/>
  <c r="J73" i="33" s="1"/>
  <c r="I13" i="31"/>
  <c r="K13" i="31" s="1"/>
  <c r="F197" i="35" s="1"/>
  <c r="E24" i="36"/>
  <c r="T79" i="55" s="1"/>
  <c r="I10" i="12"/>
  <c r="K10" i="12" s="1"/>
  <c r="G56" i="36" s="1"/>
  <c r="I19" i="12"/>
  <c r="J19" i="12" s="1"/>
  <c r="I4" i="15"/>
  <c r="K4" i="15" s="1"/>
  <c r="I11" i="15"/>
  <c r="K11" i="15" s="1"/>
  <c r="I20" i="15"/>
  <c r="K20" i="15" s="1"/>
  <c r="I3" i="18"/>
  <c r="J3" i="18" s="1"/>
  <c r="K40" i="33" s="1"/>
  <c r="K29" i="55" s="1"/>
  <c r="I9" i="18"/>
  <c r="K9" i="18" s="1"/>
  <c r="G90" i="36" s="1"/>
  <c r="I18" i="18"/>
  <c r="J18" i="18" s="1"/>
  <c r="E115" i="35" s="1"/>
  <c r="I11" i="19"/>
  <c r="K11" i="19" s="1"/>
  <c r="I20" i="19"/>
  <c r="K20" i="19" s="1"/>
  <c r="I7" i="20"/>
  <c r="J7" i="20" s="1"/>
  <c r="F103" i="36" s="1"/>
  <c r="U49" i="55" s="1"/>
  <c r="I6" i="22"/>
  <c r="I9" i="22"/>
  <c r="I17" i="22"/>
  <c r="I3" i="23"/>
  <c r="K3" i="23" s="1"/>
  <c r="L53" i="33" s="1"/>
  <c r="I9" i="23"/>
  <c r="K9" i="23" s="1"/>
  <c r="G120" i="36" s="1"/>
  <c r="F152" i="35"/>
  <c r="D2" i="31"/>
  <c r="D4" i="31"/>
  <c r="G4" i="31" s="1"/>
  <c r="I10" i="31"/>
  <c r="K10" i="31" s="1"/>
  <c r="G161" i="36" s="1"/>
  <c r="I19" i="31"/>
  <c r="J19" i="31" s="1"/>
  <c r="E203" i="35" s="1"/>
  <c r="I13" i="5"/>
  <c r="J13" i="5" s="1"/>
  <c r="E14" i="35" s="1"/>
  <c r="I8" i="7"/>
  <c r="E29" i="36" s="1"/>
  <c r="T45" i="55" s="1"/>
  <c r="F38" i="35"/>
  <c r="I18" i="10"/>
  <c r="J18" i="10" s="1"/>
  <c r="E57" i="35" s="1"/>
  <c r="I4" i="12"/>
  <c r="I11" i="12"/>
  <c r="K11" i="12" s="1"/>
  <c r="I20" i="12"/>
  <c r="K20" i="12" s="1"/>
  <c r="I13" i="15"/>
  <c r="J13" i="15" s="1"/>
  <c r="E84" i="35" s="1"/>
  <c r="I9" i="16"/>
  <c r="J9" i="16" s="1"/>
  <c r="F75" i="36" s="1"/>
  <c r="F95" i="35"/>
  <c r="I10" i="17"/>
  <c r="I19" i="17"/>
  <c r="J19" i="17" s="1"/>
  <c r="I10" i="18"/>
  <c r="J10" i="18" s="1"/>
  <c r="F91" i="36" s="1"/>
  <c r="I19" i="18"/>
  <c r="K19" i="18" s="1"/>
  <c r="I13" i="19"/>
  <c r="K13" i="19" s="1"/>
  <c r="F122" i="35" s="1"/>
  <c r="AI3" i="55" s="1"/>
  <c r="I8" i="20"/>
  <c r="J8" i="20" s="1"/>
  <c r="F104" i="36" s="1"/>
  <c r="I17" i="20"/>
  <c r="J17" i="20" s="1"/>
  <c r="E133" i="35" s="1"/>
  <c r="I10" i="23"/>
  <c r="E121" i="36" s="1"/>
  <c r="I14" i="30"/>
  <c r="J14" i="30" s="1"/>
  <c r="E191" i="35" s="1"/>
  <c r="AH14" i="55" s="1"/>
  <c r="I11" i="31"/>
  <c r="K11" i="31" s="1"/>
  <c r="I20" i="31"/>
  <c r="K20" i="31" s="1"/>
  <c r="I11" i="6"/>
  <c r="K11" i="6" s="1"/>
  <c r="I20" i="6"/>
  <c r="K20" i="6" s="1"/>
  <c r="D2" i="10"/>
  <c r="G2" i="10" s="1"/>
  <c r="I2" i="12"/>
  <c r="J2" i="12" s="1"/>
  <c r="I6" i="12"/>
  <c r="K6" i="12" s="1"/>
  <c r="G52" i="36" s="1"/>
  <c r="V13" i="55" s="1"/>
  <c r="I15" i="12"/>
  <c r="K15" i="12" s="1"/>
  <c r="F67" i="35" s="1"/>
  <c r="D2" i="14"/>
  <c r="G2" i="14" s="1"/>
  <c r="L10" i="18"/>
  <c r="M10" i="18" s="1"/>
  <c r="N10" i="18" s="1"/>
  <c r="J91" i="36" s="1"/>
  <c r="I14" i="18"/>
  <c r="J14" i="18" s="1"/>
  <c r="E110" i="35" s="1"/>
  <c r="AH12" i="55" s="1"/>
  <c r="I3" i="19"/>
  <c r="K3" i="19" s="1"/>
  <c r="L44" i="33" s="1"/>
  <c r="I7" i="19"/>
  <c r="K7" i="19" s="1"/>
  <c r="G98" i="36" s="1"/>
  <c r="I15" i="19"/>
  <c r="K15" i="19" s="1"/>
  <c r="I3" i="22"/>
  <c r="I4" i="22"/>
  <c r="I14" i="22"/>
  <c r="E148" i="35"/>
  <c r="I7" i="24"/>
  <c r="J7" i="24" s="1"/>
  <c r="F123" i="36" s="1"/>
  <c r="I16" i="24"/>
  <c r="J16" i="24" s="1"/>
  <c r="E157" i="35" s="1"/>
  <c r="I16" i="31"/>
  <c r="J16" i="31" s="1"/>
  <c r="I6" i="6"/>
  <c r="J6" i="6" s="1"/>
  <c r="F17" i="36" s="1"/>
  <c r="I7" i="1"/>
  <c r="J7" i="1" s="1"/>
  <c r="F23" i="36" s="1"/>
  <c r="I20" i="1"/>
  <c r="K20" i="1" s="1"/>
  <c r="I9" i="10"/>
  <c r="J9" i="10" s="1"/>
  <c r="I16" i="10"/>
  <c r="K16" i="10" s="1"/>
  <c r="F55" i="35" s="1"/>
  <c r="I3" i="12"/>
  <c r="J3" i="12" s="1"/>
  <c r="K25" i="33" s="1"/>
  <c r="I9" i="12"/>
  <c r="E55" i="36" s="1"/>
  <c r="I18" i="12"/>
  <c r="K18" i="12" s="1"/>
  <c r="F68" i="35" s="1"/>
  <c r="I10" i="15"/>
  <c r="J10" i="15" s="1"/>
  <c r="F71" i="36" s="1"/>
  <c r="I19" i="15"/>
  <c r="K19" i="15" s="1"/>
  <c r="I3" i="17"/>
  <c r="K3" i="17" s="1"/>
  <c r="I8" i="18"/>
  <c r="J8" i="18" s="1"/>
  <c r="F89" i="36" s="1"/>
  <c r="I17" i="18"/>
  <c r="K17" i="18" s="1"/>
  <c r="F114" i="35" s="1"/>
  <c r="AI102" i="55" s="1"/>
  <c r="L24" i="18"/>
  <c r="M24" i="18" s="1"/>
  <c r="I10" i="19"/>
  <c r="I19" i="19"/>
  <c r="K19" i="19" s="1"/>
  <c r="F127" i="35" s="1"/>
  <c r="I6" i="20"/>
  <c r="J6" i="20" s="1"/>
  <c r="F102" i="36" s="1"/>
  <c r="I15" i="20"/>
  <c r="J15" i="20" s="1"/>
  <c r="E131" i="35" s="1"/>
  <c r="I9" i="31"/>
  <c r="K9" i="31" s="1"/>
  <c r="G160" i="36" s="1"/>
  <c r="I15" i="31"/>
  <c r="J15" i="31" s="1"/>
  <c r="U42" i="55"/>
  <c r="D4" i="47"/>
  <c r="E4" i="47"/>
  <c r="C4" i="47"/>
  <c r="F33" i="55"/>
  <c r="E39" i="55"/>
  <c r="AL209" i="55"/>
  <c r="AN201" i="55"/>
  <c r="AF217" i="55"/>
  <c r="AI209" i="55"/>
  <c r="E33" i="55"/>
  <c r="W28" i="19"/>
  <c r="AJ217" i="55"/>
  <c r="AM193" i="55"/>
  <c r="AH217" i="55"/>
  <c r="AF201" i="55"/>
  <c r="AM201" i="55"/>
  <c r="AK193" i="55"/>
  <c r="AL217" i="55"/>
  <c r="AH209" i="55"/>
  <c r="AF209" i="55"/>
  <c r="AK217" i="55"/>
  <c r="AN209" i="55"/>
  <c r="AH193" i="55"/>
  <c r="AN217" i="55"/>
  <c r="AG201" i="55"/>
  <c r="AG193" i="55"/>
  <c r="AI201" i="55"/>
  <c r="AJ193" i="55"/>
  <c r="AG217" i="55"/>
  <c r="AL201" i="55"/>
  <c r="AK201" i="55"/>
  <c r="AM217" i="55"/>
  <c r="AK209" i="55"/>
  <c r="AJ201" i="55"/>
  <c r="AL221" i="55"/>
  <c r="AL197" i="55"/>
  <c r="AL193" i="55"/>
  <c r="AJ209" i="55"/>
  <c r="AG209" i="55"/>
  <c r="AI193" i="55"/>
  <c r="AN213" i="55"/>
  <c r="G33" i="55"/>
  <c r="H33" i="55"/>
  <c r="AN193" i="55"/>
  <c r="AA28" i="12"/>
  <c r="AC28" i="15"/>
  <c r="AC28" i="5"/>
  <c r="AC28" i="20"/>
  <c r="W41" i="55"/>
  <c r="AH198" i="55"/>
  <c r="AJ214" i="55"/>
  <c r="AL208" i="55"/>
  <c r="AN219" i="55"/>
  <c r="AI200" i="55"/>
  <c r="AJ216" i="55"/>
  <c r="AM211" i="55"/>
  <c r="AH203" i="55"/>
  <c r="AF189" i="55"/>
  <c r="AI197" i="55"/>
  <c r="AH211" i="55"/>
  <c r="AJ203" i="55"/>
  <c r="AK219" i="55"/>
  <c r="AJ197" i="55"/>
  <c r="E42" i="55"/>
  <c r="AK213" i="55"/>
  <c r="AJ213" i="55"/>
  <c r="H6" i="55"/>
  <c r="AJ221" i="55"/>
  <c r="E6" i="55"/>
  <c r="AI189" i="55"/>
  <c r="AH204" i="55"/>
  <c r="AF212" i="55"/>
  <c r="AM189" i="55"/>
  <c r="AI205" i="55"/>
  <c r="AH197" i="55"/>
  <c r="AM213" i="55"/>
  <c r="AM197" i="55"/>
  <c r="AG196" i="55"/>
  <c r="AK189" i="55"/>
  <c r="AG189" i="55"/>
  <c r="AL204" i="55"/>
  <c r="AK196" i="55"/>
  <c r="AG221" i="55"/>
  <c r="AL189" i="55"/>
  <c r="AF213" i="55"/>
  <c r="AN204" i="55"/>
  <c r="AJ220" i="55"/>
  <c r="AI188" i="55"/>
  <c r="AC28" i="29"/>
  <c r="AA28" i="29"/>
  <c r="AC28" i="26"/>
  <c r="AA28" i="26"/>
  <c r="AA28" i="18"/>
  <c r="AC28" i="18"/>
  <c r="L6" i="18"/>
  <c r="AC28" i="17"/>
  <c r="W28" i="17"/>
  <c r="AC28" i="12"/>
  <c r="AJ82" i="55"/>
  <c r="AI109" i="55"/>
  <c r="AH76" i="55"/>
  <c r="AE28" i="10"/>
  <c r="H49" i="55"/>
  <c r="G49" i="55"/>
  <c r="D3" i="7"/>
  <c r="G3" i="7" s="1"/>
  <c r="F49" i="55"/>
  <c r="E41" i="55"/>
  <c r="E48" i="55"/>
  <c r="L40" i="55"/>
  <c r="AA28" i="1"/>
  <c r="AC28" i="1"/>
  <c r="W28" i="1"/>
  <c r="AI110" i="55"/>
  <c r="AI76" i="55"/>
  <c r="AI80" i="55"/>
  <c r="AI85" i="55"/>
  <c r="AH110" i="55"/>
  <c r="AH80" i="55"/>
  <c r="AH109" i="55"/>
  <c r="AI82" i="55"/>
  <c r="AH119" i="55"/>
  <c r="AH85" i="55"/>
  <c r="AH82" i="55"/>
  <c r="AI119" i="55"/>
  <c r="AJ110" i="55"/>
  <c r="AC28" i="6"/>
  <c r="W28" i="6"/>
  <c r="AA28" i="5"/>
  <c r="W28" i="5"/>
  <c r="F6" i="35"/>
  <c r="AI127" i="55" s="1"/>
  <c r="E6" i="35"/>
  <c r="AH127" i="55" s="1"/>
  <c r="AC28" i="32"/>
  <c r="W28" i="32"/>
  <c r="AA28" i="32"/>
  <c r="F4" i="36"/>
  <c r="E4" i="36"/>
  <c r="V82" i="55"/>
  <c r="AA28" i="20"/>
  <c r="AA28" i="15"/>
  <c r="E68" i="36"/>
  <c r="AC28" i="2"/>
  <c r="AA28" i="2"/>
  <c r="W28" i="30"/>
  <c r="I2" i="30"/>
  <c r="AC28" i="10"/>
  <c r="W28" i="31"/>
  <c r="E159" i="36"/>
  <c r="T88" i="55" s="1"/>
  <c r="K8" i="31"/>
  <c r="G159" i="36" s="1"/>
  <c r="J8" i="31"/>
  <c r="F159" i="36" s="1"/>
  <c r="K17" i="31"/>
  <c r="F201" i="35" s="1"/>
  <c r="I2" i="31"/>
  <c r="AC28" i="31"/>
  <c r="W68" i="55"/>
  <c r="U35" i="55"/>
  <c r="T42" i="55"/>
  <c r="AM214" i="55"/>
  <c r="AN198" i="55"/>
  <c r="AF190" i="55"/>
  <c r="AN214" i="55"/>
  <c r="AF214" i="55"/>
  <c r="AG198" i="55"/>
  <c r="AL190" i="55"/>
  <c r="AG214" i="55"/>
  <c r="AL206" i="55"/>
  <c r="AH190" i="55"/>
  <c r="K40" i="55"/>
  <c r="AM190" i="55"/>
  <c r="AI218" i="55"/>
  <c r="AK202" i="55"/>
  <c r="AL195" i="55"/>
  <c r="AM195" i="55"/>
  <c r="AF211" i="55"/>
  <c r="AG203" i="55"/>
  <c r="AL218" i="55"/>
  <c r="AN203" i="55"/>
  <c r="V42" i="55"/>
  <c r="U82" i="55"/>
  <c r="T82" i="55"/>
  <c r="AK208" i="55"/>
  <c r="AK197" i="55"/>
  <c r="AH221" i="55"/>
  <c r="AL214" i="55"/>
  <c r="AN197" i="55"/>
  <c r="AM221" i="55"/>
  <c r="AJ206" i="55"/>
  <c r="AF205" i="55"/>
  <c r="AG205" i="55"/>
  <c r="AG216" i="55"/>
  <c r="AG192" i="55"/>
  <c r="AG190" i="55"/>
  <c r="AJ190" i="55"/>
  <c r="AN208" i="55"/>
  <c r="AL205" i="55"/>
  <c r="AI216" i="55"/>
  <c r="AH208" i="55"/>
  <c r="AM198" i="55"/>
  <c r="AK206" i="55"/>
  <c r="AN205" i="55"/>
  <c r="AJ200" i="55"/>
  <c r="AF221" i="55"/>
  <c r="AG213" i="55"/>
  <c r="AM192" i="55"/>
  <c r="AI192" i="55"/>
  <c r="AN221" i="55"/>
  <c r="AF206" i="55"/>
  <c r="V68" i="55"/>
  <c r="T68" i="55"/>
  <c r="AL216" i="55"/>
  <c r="AK200" i="55"/>
  <c r="AI208" i="55"/>
  <c r="AH206" i="55"/>
  <c r="AK214" i="55"/>
  <c r="AM200" i="55"/>
  <c r="AJ208" i="55"/>
  <c r="AF198" i="55"/>
  <c r="AK190" i="55"/>
  <c r="AM205" i="55"/>
  <c r="AL200" i="55"/>
  <c r="AK221" i="55"/>
  <c r="AH213" i="55"/>
  <c r="AL198" i="55"/>
  <c r="AN206" i="55"/>
  <c r="AI198" i="55"/>
  <c r="AJ205" i="55"/>
  <c r="AF200" i="55"/>
  <c r="AG206" i="55"/>
  <c r="AN190" i="55"/>
  <c r="AJ192" i="55"/>
  <c r="AN189" i="55"/>
  <c r="AN216" i="55"/>
  <c r="AF192" i="55"/>
  <c r="J40" i="55"/>
  <c r="U68" i="55"/>
  <c r="AH200" i="55"/>
  <c r="AM216" i="55"/>
  <c r="AF208" i="55"/>
  <c r="AN192" i="55"/>
  <c r="AH192" i="55"/>
  <c r="AN200" i="55"/>
  <c r="AK216" i="55"/>
  <c r="AH216" i="55"/>
  <c r="AM206" i="55"/>
  <c r="AI214" i="55"/>
  <c r="AM208" i="55"/>
  <c r="AL192" i="55"/>
  <c r="AK198" i="55"/>
  <c r="AL213" i="55"/>
  <c r="AK205" i="55"/>
  <c r="AG197" i="55"/>
  <c r="AH189" i="55"/>
  <c r="AM187" i="55"/>
  <c r="J33" i="55"/>
  <c r="AI203" i="55"/>
  <c r="AM219" i="55"/>
  <c r="AK207" i="55"/>
  <c r="AG211" i="55"/>
  <c r="AL191" i="55"/>
  <c r="I33" i="55"/>
  <c r="I49" i="55"/>
  <c r="J41" i="55"/>
  <c r="AK203" i="55"/>
  <c r="AH219" i="55"/>
  <c r="AM215" i="55"/>
  <c r="AM203" i="55"/>
  <c r="AF199" i="55"/>
  <c r="AF195" i="55"/>
  <c r="AG219" i="55"/>
  <c r="AF187" i="55"/>
  <c r="AN211" i="55"/>
  <c r="E49" i="55"/>
  <c r="T35" i="55"/>
  <c r="AL203" i="55"/>
  <c r="AI219" i="55"/>
  <c r="AJ195" i="55"/>
  <c r="AG199" i="55"/>
  <c r="AK191" i="55"/>
  <c r="AI187" i="55"/>
  <c r="AI199" i="55"/>
  <c r="AJ187" i="55"/>
  <c r="AH187" i="55"/>
  <c r="AN187" i="55"/>
  <c r="AH195" i="55"/>
  <c r="AI211" i="55"/>
  <c r="AL219" i="55"/>
  <c r="AL215" i="55"/>
  <c r="AJ211" i="55"/>
  <c r="AF219" i="55"/>
  <c r="AJ191" i="55"/>
  <c r="AL207" i="55"/>
  <c r="AI195" i="55"/>
  <c r="AK211" i="55"/>
  <c r="AK199" i="55"/>
  <c r="AN215" i="55"/>
  <c r="AJ207" i="55"/>
  <c r="AN195" i="55"/>
  <c r="AG187" i="55"/>
  <c r="AK195" i="55"/>
  <c r="AN191" i="55"/>
  <c r="AL187" i="55"/>
  <c r="AH215" i="55"/>
  <c r="AM220" i="55"/>
  <c r="AL220" i="55"/>
  <c r="AK220" i="55"/>
  <c r="AI194" i="55"/>
  <c r="AH199" i="55"/>
  <c r="AI207" i="55"/>
  <c r="AH207" i="55"/>
  <c r="AN196" i="55"/>
  <c r="AJ215" i="55"/>
  <c r="AF218" i="55"/>
  <c r="AF220" i="55"/>
  <c r="T72" i="55"/>
  <c r="AM212" i="55"/>
  <c r="AK204" i="55"/>
  <c r="AI215" i="55"/>
  <c r="AL199" i="55"/>
  <c r="AN212" i="55"/>
  <c r="AN199" i="55"/>
  <c r="AN202" i="55"/>
  <c r="AG202" i="55"/>
  <c r="AG204" i="55"/>
  <c r="AG191" i="55"/>
  <c r="AK188" i="55"/>
  <c r="AH220" i="55"/>
  <c r="AH212" i="55"/>
  <c r="AI204" i="55"/>
  <c r="AI196" i="55"/>
  <c r="AI191" i="55"/>
  <c r="J42" i="55"/>
  <c r="AL210" i="55"/>
  <c r="AK215" i="55"/>
  <c r="AI202" i="55"/>
  <c r="AI220" i="55"/>
  <c r="AH218" i="55"/>
  <c r="AM207" i="55"/>
  <c r="AN220" i="55"/>
  <c r="AN207" i="55"/>
  <c r="AN210" i="55"/>
  <c r="AG210" i="55"/>
  <c r="AG212" i="55"/>
  <c r="AL188" i="55"/>
  <c r="AG188" i="55"/>
  <c r="AH188" i="55"/>
  <c r="AM188" i="55"/>
  <c r="AG194" i="55"/>
  <c r="L42" i="55"/>
  <c r="AM204" i="55"/>
  <c r="AH196" i="55"/>
  <c r="AM210" i="55"/>
  <c r="AI212" i="55"/>
  <c r="AM202" i="55"/>
  <c r="AH210" i="55"/>
  <c r="AJ196" i="55"/>
  <c r="AG218" i="55"/>
  <c r="AJ218" i="55"/>
  <c r="AJ210" i="55"/>
  <c r="AJ202" i="55"/>
  <c r="AF194" i="55"/>
  <c r="AN194" i="55"/>
  <c r="C34" i="55"/>
  <c r="K42" i="55"/>
  <c r="AL202" i="55"/>
  <c r="AL212" i="55"/>
  <c r="AL196" i="55"/>
  <c r="AK212" i="55"/>
  <c r="AK218" i="55"/>
  <c r="AH202" i="55"/>
  <c r="AM199" i="55"/>
  <c r="AK210" i="55"/>
  <c r="AJ204" i="55"/>
  <c r="AF207" i="55"/>
  <c r="AF196" i="55"/>
  <c r="AF188" i="55"/>
  <c r="AM191" i="55"/>
  <c r="AH191" i="55"/>
  <c r="AJ188" i="55"/>
  <c r="AH194" i="55"/>
  <c r="D34" i="55"/>
  <c r="AI210" i="55"/>
  <c r="AK194" i="55"/>
  <c r="AM194" i="55"/>
  <c r="AM218" i="55"/>
  <c r="AF215" i="55"/>
  <c r="AL194" i="55"/>
  <c r="AA28" i="31"/>
  <c r="AC28" i="30"/>
  <c r="AA28" i="30"/>
  <c r="AC28" i="28"/>
  <c r="AA28" i="28"/>
  <c r="AA28" i="27"/>
  <c r="AA28" i="24"/>
  <c r="AC28" i="23"/>
  <c r="AA28" i="23"/>
  <c r="J20" i="23"/>
  <c r="W28" i="20"/>
  <c r="AC28" i="19"/>
  <c r="AA28" i="19"/>
  <c r="AH98" i="55"/>
  <c r="AA28" i="17"/>
  <c r="W28" i="15"/>
  <c r="AC28" i="13"/>
  <c r="AA28" i="13"/>
  <c r="AC28" i="11"/>
  <c r="AA28" i="11"/>
  <c r="W28" i="10"/>
  <c r="AA28" i="10"/>
  <c r="AC28" i="9"/>
  <c r="AA28" i="9"/>
  <c r="W28" i="9"/>
  <c r="I9" i="8"/>
  <c r="AC28" i="7"/>
  <c r="AA28" i="7"/>
  <c r="W28" i="7"/>
  <c r="K49" i="55"/>
  <c r="W28" i="16"/>
  <c r="G2" i="30" l="1"/>
  <c r="L17" i="30"/>
  <c r="M17" i="30" s="1"/>
  <c r="L16" i="30"/>
  <c r="M16" i="30" s="1"/>
  <c r="L19" i="30"/>
  <c r="M19" i="30" s="1"/>
  <c r="L18" i="30"/>
  <c r="M18" i="30" s="1"/>
  <c r="AD4" i="44"/>
  <c r="AD12" i="44"/>
  <c r="AD20" i="44"/>
  <c r="AD28" i="44"/>
  <c r="AE4" i="44"/>
  <c r="AE12" i="44"/>
  <c r="AE20" i="44"/>
  <c r="AE28" i="44"/>
  <c r="AF4" i="44"/>
  <c r="AF12" i="44"/>
  <c r="AF20" i="44"/>
  <c r="AF28" i="44"/>
  <c r="AE13" i="44"/>
  <c r="AE29" i="44"/>
  <c r="AF5" i="44"/>
  <c r="AF29" i="44"/>
  <c r="AF15" i="44"/>
  <c r="AD32" i="44"/>
  <c r="AE5" i="44"/>
  <c r="AF21" i="44"/>
  <c r="AF23" i="44"/>
  <c r="AD24" i="44"/>
  <c r="AD5" i="44"/>
  <c r="AD13" i="44"/>
  <c r="AD21" i="44"/>
  <c r="AD29" i="44"/>
  <c r="AE21" i="44"/>
  <c r="AF13" i="44"/>
  <c r="AF31" i="44"/>
  <c r="AD16" i="44"/>
  <c r="AD6" i="44"/>
  <c r="AD14" i="44"/>
  <c r="AD22" i="44"/>
  <c r="AD30" i="44"/>
  <c r="AF7" i="44"/>
  <c r="AE6" i="44"/>
  <c r="AE14" i="44"/>
  <c r="AE22" i="44"/>
  <c r="AE30" i="44"/>
  <c r="AF6" i="44"/>
  <c r="AF14" i="44"/>
  <c r="AF22" i="44"/>
  <c r="AF30" i="44"/>
  <c r="AD7" i="44"/>
  <c r="AD15" i="44"/>
  <c r="AD23" i="44"/>
  <c r="AD31" i="44"/>
  <c r="AE7" i="44"/>
  <c r="AE15" i="44"/>
  <c r="AE23" i="44"/>
  <c r="AE31" i="44"/>
  <c r="AE8" i="44"/>
  <c r="AE16" i="44"/>
  <c r="AE24" i="44"/>
  <c r="AE32" i="44"/>
  <c r="AF8" i="44"/>
  <c r="AF16" i="44"/>
  <c r="AF24" i="44"/>
  <c r="AF32" i="44"/>
  <c r="AD9" i="44"/>
  <c r="AD17" i="44"/>
  <c r="AD25" i="44"/>
  <c r="AD33" i="44"/>
  <c r="AE9" i="44"/>
  <c r="AE17" i="44"/>
  <c r="AE25" i="44"/>
  <c r="AE33" i="44"/>
  <c r="AF9" i="44"/>
  <c r="AF17" i="44"/>
  <c r="AF25" i="44"/>
  <c r="AF33" i="44"/>
  <c r="AD10" i="44"/>
  <c r="AD18" i="44"/>
  <c r="AD26" i="44"/>
  <c r="AE10" i="44"/>
  <c r="AE18" i="44"/>
  <c r="AE26" i="44"/>
  <c r="AF10" i="44"/>
  <c r="AF18" i="44"/>
  <c r="AF26" i="44"/>
  <c r="AD11" i="44"/>
  <c r="AD27" i="44"/>
  <c r="AE11" i="44"/>
  <c r="AE19" i="44"/>
  <c r="AE27" i="44"/>
  <c r="AD8" i="44"/>
  <c r="AD19" i="44"/>
  <c r="AF11" i="44"/>
  <c r="AF19" i="44"/>
  <c r="AF27" i="44"/>
  <c r="L6" i="21"/>
  <c r="M6" i="21" s="1"/>
  <c r="E199" i="35"/>
  <c r="F73" i="33"/>
  <c r="F3" i="31"/>
  <c r="G73" i="33" s="1"/>
  <c r="E13" i="36"/>
  <c r="F168" i="35"/>
  <c r="F169" i="35"/>
  <c r="H3" i="27"/>
  <c r="I60" i="33" s="1"/>
  <c r="I7" i="55" s="1"/>
  <c r="H4" i="23"/>
  <c r="K8" i="22"/>
  <c r="G114" i="36" s="1"/>
  <c r="V76" i="55" s="1"/>
  <c r="F3" i="16"/>
  <c r="G34" i="33" s="1"/>
  <c r="G2" i="16"/>
  <c r="L17" i="16"/>
  <c r="M17" i="16" s="1"/>
  <c r="L19" i="16"/>
  <c r="M19" i="16" s="1"/>
  <c r="L18" i="16"/>
  <c r="M18" i="16" s="1"/>
  <c r="L16" i="16"/>
  <c r="M16" i="16" s="1"/>
  <c r="F4" i="19"/>
  <c r="K15" i="17"/>
  <c r="J15" i="17"/>
  <c r="J18" i="17"/>
  <c r="K18" i="17"/>
  <c r="F102" i="35" s="1"/>
  <c r="J16" i="17"/>
  <c r="K16" i="17"/>
  <c r="J17" i="17"/>
  <c r="E100" i="35" s="1"/>
  <c r="AH68" i="55" s="1"/>
  <c r="K17" i="17"/>
  <c r="F100" i="35" s="1"/>
  <c r="J14" i="17"/>
  <c r="E99" i="35" s="1"/>
  <c r="K14" i="17"/>
  <c r="F99" i="35" s="1"/>
  <c r="J13" i="17"/>
  <c r="E98" i="35" s="1"/>
  <c r="K13" i="17"/>
  <c r="F98" i="35" s="1"/>
  <c r="G3" i="12"/>
  <c r="E3" i="12"/>
  <c r="F3" i="12" s="1"/>
  <c r="H4" i="12"/>
  <c r="J17" i="12"/>
  <c r="E69" i="35" s="1"/>
  <c r="AH121" i="55" s="1"/>
  <c r="E53" i="36"/>
  <c r="T30" i="55" s="1"/>
  <c r="J7" i="12"/>
  <c r="F53" i="36" s="1"/>
  <c r="E50" i="36"/>
  <c r="E45" i="36"/>
  <c r="J2" i="5"/>
  <c r="K7" i="33" s="1"/>
  <c r="K5" i="55" s="1"/>
  <c r="F60" i="33"/>
  <c r="F7" i="55" s="1"/>
  <c r="F6" i="33"/>
  <c r="F36" i="55" s="1"/>
  <c r="F68" i="33"/>
  <c r="F35" i="55" s="1"/>
  <c r="F30" i="33"/>
  <c r="F32" i="33"/>
  <c r="H4" i="7"/>
  <c r="H4" i="5"/>
  <c r="E4" i="32"/>
  <c r="H4" i="32" s="1"/>
  <c r="I4" i="33" s="1"/>
  <c r="J13" i="10"/>
  <c r="E52" i="35" s="1"/>
  <c r="AH8" i="55" s="1"/>
  <c r="L24" i="17"/>
  <c r="E49" i="34" s="1"/>
  <c r="E4" i="1"/>
  <c r="F4" i="1" s="1"/>
  <c r="G4" i="1"/>
  <c r="E23" i="33"/>
  <c r="G3" i="11"/>
  <c r="E2" i="12"/>
  <c r="H2" i="12" s="1"/>
  <c r="I24" i="33" s="1"/>
  <c r="I23" i="55" s="1"/>
  <c r="G2" i="12"/>
  <c r="E3" i="19"/>
  <c r="F3" i="19" s="1"/>
  <c r="G44" i="33" s="1"/>
  <c r="G3" i="19"/>
  <c r="H44" i="33" s="1"/>
  <c r="E18" i="33"/>
  <c r="E14" i="55" s="1"/>
  <c r="G2" i="9"/>
  <c r="L23" i="9"/>
  <c r="E24" i="34" s="1"/>
  <c r="E2" i="6"/>
  <c r="H2" i="6" s="1"/>
  <c r="I9" i="33" s="1"/>
  <c r="I3" i="55" s="1"/>
  <c r="G2" i="6"/>
  <c r="H9" i="33" s="1"/>
  <c r="E58" i="33"/>
  <c r="E25" i="55" s="1"/>
  <c r="G3" i="26"/>
  <c r="H58" i="33" s="1"/>
  <c r="E39" i="33"/>
  <c r="E20" i="55" s="1"/>
  <c r="G2" i="18"/>
  <c r="E4" i="16"/>
  <c r="F4" i="16" s="1"/>
  <c r="G4" i="16"/>
  <c r="E22" i="33"/>
  <c r="G2" i="11"/>
  <c r="E63" i="33"/>
  <c r="G3" i="28"/>
  <c r="E4" i="2"/>
  <c r="F66" i="33" s="1"/>
  <c r="G4" i="2"/>
  <c r="E4" i="13"/>
  <c r="F4" i="13" s="1"/>
  <c r="G4" i="13"/>
  <c r="E4" i="29"/>
  <c r="G4" i="29"/>
  <c r="L20" i="17"/>
  <c r="M20" i="17" s="1"/>
  <c r="O20" i="17" s="1"/>
  <c r="F3" i="33"/>
  <c r="F30" i="55" s="1"/>
  <c r="E4" i="4"/>
  <c r="H4" i="4" s="1"/>
  <c r="G4" i="4"/>
  <c r="L24" i="31"/>
  <c r="M24" i="31" s="1"/>
  <c r="N24" i="31" s="1"/>
  <c r="G2" i="31"/>
  <c r="L9" i="8"/>
  <c r="E4" i="25"/>
  <c r="F4" i="25" s="1"/>
  <c r="G4" i="25"/>
  <c r="L18" i="18"/>
  <c r="M18" i="18" s="1"/>
  <c r="O18" i="18" s="1"/>
  <c r="J115" i="35" s="1"/>
  <c r="E3" i="10"/>
  <c r="G3" i="10"/>
  <c r="E8" i="33"/>
  <c r="G3" i="5"/>
  <c r="L24" i="8"/>
  <c r="L18" i="28"/>
  <c r="M18" i="28" s="1"/>
  <c r="O18" i="28" s="1"/>
  <c r="G4" i="28"/>
  <c r="H3" i="32"/>
  <c r="I3" i="33" s="1"/>
  <c r="I30" i="55" s="1"/>
  <c r="E4" i="8"/>
  <c r="F4" i="8" s="1"/>
  <c r="G4" i="8"/>
  <c r="L8" i="17"/>
  <c r="M8" i="17" s="1"/>
  <c r="N8" i="17" s="1"/>
  <c r="J79" i="36" s="1"/>
  <c r="Y56" i="55" s="1"/>
  <c r="L6" i="17"/>
  <c r="H77" i="36" s="1"/>
  <c r="W27" i="55" s="1"/>
  <c r="E3" i="8"/>
  <c r="F17" i="33" s="1"/>
  <c r="G3" i="8"/>
  <c r="H17" i="33" s="1"/>
  <c r="L20" i="5"/>
  <c r="M20" i="5" s="1"/>
  <c r="O20" i="5" s="1"/>
  <c r="G2" i="5"/>
  <c r="E4" i="33"/>
  <c r="E70" i="55" s="1"/>
  <c r="E2" i="1"/>
  <c r="E32" i="1" s="1"/>
  <c r="E59" i="33"/>
  <c r="E19" i="55" s="1"/>
  <c r="G2" i="27"/>
  <c r="L13" i="21"/>
  <c r="M13" i="21" s="1"/>
  <c r="N13" i="21" s="1"/>
  <c r="I135" i="35" s="1"/>
  <c r="G2" i="21"/>
  <c r="L13" i="19"/>
  <c r="G122" i="35" s="1"/>
  <c r="AJ3" i="55" s="1"/>
  <c r="G2" i="19"/>
  <c r="L20" i="21"/>
  <c r="M20" i="21" s="1"/>
  <c r="O20" i="21" s="1"/>
  <c r="E45" i="33"/>
  <c r="G2" i="20"/>
  <c r="E4" i="17"/>
  <c r="F4" i="17" s="1"/>
  <c r="G4" i="17"/>
  <c r="E3" i="6"/>
  <c r="F3" i="6" s="1"/>
  <c r="G10" i="33" s="1"/>
  <c r="G50" i="55" s="1"/>
  <c r="G3" i="6"/>
  <c r="H10" i="33" s="1"/>
  <c r="H50" i="55" s="1"/>
  <c r="E3" i="18"/>
  <c r="F40" i="33" s="1"/>
  <c r="G3" i="18"/>
  <c r="H2" i="2"/>
  <c r="I64" i="33" s="1"/>
  <c r="I24" i="55" s="1"/>
  <c r="E32" i="8"/>
  <c r="F2" i="24"/>
  <c r="G54" i="33" s="1"/>
  <c r="G15" i="55" s="1"/>
  <c r="F3" i="8"/>
  <c r="G17" i="33" s="1"/>
  <c r="H40" i="33"/>
  <c r="H3" i="8"/>
  <c r="I17" i="33" s="1"/>
  <c r="K10" i="5"/>
  <c r="G16" i="36" s="1"/>
  <c r="J10" i="5"/>
  <c r="F16" i="36" s="1"/>
  <c r="L23" i="5"/>
  <c r="M23" i="5" s="1"/>
  <c r="L9" i="5"/>
  <c r="L7" i="5"/>
  <c r="L19" i="5"/>
  <c r="M19" i="5" s="1"/>
  <c r="O19" i="5" s="1"/>
  <c r="L13" i="5"/>
  <c r="M13" i="5" s="1"/>
  <c r="O13" i="5" s="1"/>
  <c r="J14" i="35" s="1"/>
  <c r="L25" i="5"/>
  <c r="M25" i="5" s="1"/>
  <c r="N25" i="5" s="1"/>
  <c r="J7" i="31"/>
  <c r="F158" i="36" s="1"/>
  <c r="U34" i="55" s="1"/>
  <c r="K14" i="31"/>
  <c r="F198" i="35" s="1"/>
  <c r="E158" i="36"/>
  <c r="T34" i="55" s="1"/>
  <c r="J11" i="30"/>
  <c r="F194" i="35"/>
  <c r="AI118" i="55" s="1"/>
  <c r="K14" i="29"/>
  <c r="F185" i="35" s="1"/>
  <c r="AI25" i="55" s="1"/>
  <c r="L8" i="29"/>
  <c r="M8" i="29" s="1"/>
  <c r="I149" i="36" s="1"/>
  <c r="L19" i="29"/>
  <c r="M19" i="29" s="1"/>
  <c r="O19" i="29" s="1"/>
  <c r="F4" i="29"/>
  <c r="L9" i="29"/>
  <c r="H150" i="36" s="1"/>
  <c r="L13" i="29"/>
  <c r="M13" i="29" s="1"/>
  <c r="L11" i="29"/>
  <c r="M11" i="29" s="1"/>
  <c r="O11" i="29" s="1"/>
  <c r="L22" i="29"/>
  <c r="M22" i="29" s="1"/>
  <c r="L15" i="29"/>
  <c r="M15" i="29" s="1"/>
  <c r="O15" i="29" s="1"/>
  <c r="J186" i="35" s="1"/>
  <c r="E2" i="29"/>
  <c r="E32" i="29" s="1"/>
  <c r="E67" i="33"/>
  <c r="E32" i="55" s="1"/>
  <c r="H4" i="29"/>
  <c r="L17" i="29"/>
  <c r="G188" i="35" s="1"/>
  <c r="L24" i="29"/>
  <c r="M24" i="29" s="1"/>
  <c r="N24" i="29" s="1"/>
  <c r="G91" i="34" s="1"/>
  <c r="J9" i="29"/>
  <c r="F150" i="36" s="1"/>
  <c r="K9" i="29"/>
  <c r="G150" i="36" s="1"/>
  <c r="J18" i="29"/>
  <c r="E189" i="35" s="1"/>
  <c r="K4" i="29"/>
  <c r="F2" i="2"/>
  <c r="G64" i="33" s="1"/>
  <c r="G24" i="55" s="1"/>
  <c r="H64" i="33"/>
  <c r="H24" i="55" s="1"/>
  <c r="J13" i="27"/>
  <c r="E167" i="35" s="1"/>
  <c r="AH29" i="55" s="1"/>
  <c r="K8" i="27"/>
  <c r="G134" i="36" s="1"/>
  <c r="V57" i="55" s="1"/>
  <c r="K6" i="26"/>
  <c r="G127" i="36" s="1"/>
  <c r="V4" i="55" s="1"/>
  <c r="J6" i="26"/>
  <c r="F127" i="36" s="1"/>
  <c r="U4" i="55" s="1"/>
  <c r="K9" i="26"/>
  <c r="G130" i="36" s="1"/>
  <c r="J9" i="26"/>
  <c r="F130" i="36" s="1"/>
  <c r="J7" i="26"/>
  <c r="F128" i="36" s="1"/>
  <c r="U59" i="55" s="1"/>
  <c r="K14" i="26"/>
  <c r="F162" i="35" s="1"/>
  <c r="AI15" i="55" s="1"/>
  <c r="J8" i="26"/>
  <c r="F129" i="36" s="1"/>
  <c r="K17" i="26"/>
  <c r="F165" i="35" s="1"/>
  <c r="E128" i="36"/>
  <c r="J15" i="26"/>
  <c r="E163" i="35" s="1"/>
  <c r="AH72" i="55" s="1"/>
  <c r="K9" i="24"/>
  <c r="G125" i="36" s="1"/>
  <c r="J13" i="23"/>
  <c r="E147" i="35" s="1"/>
  <c r="K2" i="22"/>
  <c r="L49" i="33" s="1"/>
  <c r="L26" i="55" s="1"/>
  <c r="K15" i="22"/>
  <c r="F143" i="35" s="1"/>
  <c r="AI105" i="55" s="1"/>
  <c r="J2" i="22"/>
  <c r="K49" i="33" s="1"/>
  <c r="K26" i="55" s="1"/>
  <c r="K24" i="22"/>
  <c r="K11" i="22"/>
  <c r="J7" i="22"/>
  <c r="F113" i="36" s="1"/>
  <c r="L14" i="21"/>
  <c r="M14" i="21" s="1"/>
  <c r="L23" i="21"/>
  <c r="E63" i="34" s="1"/>
  <c r="L11" i="21"/>
  <c r="M11" i="21" s="1"/>
  <c r="O11" i="21" s="1"/>
  <c r="L15" i="21"/>
  <c r="M15" i="21" s="1"/>
  <c r="L9" i="21"/>
  <c r="H110" i="36" s="1"/>
  <c r="J15" i="21"/>
  <c r="E137" i="35" s="1"/>
  <c r="AH92" i="55" s="1"/>
  <c r="E110" i="36"/>
  <c r="K13" i="20"/>
  <c r="F129" i="35" s="1"/>
  <c r="AI2" i="55" s="1"/>
  <c r="J2" i="19"/>
  <c r="K43" i="33" s="1"/>
  <c r="K10" i="55" s="1"/>
  <c r="K2" i="19"/>
  <c r="L43" i="33" s="1"/>
  <c r="L10" i="55" s="1"/>
  <c r="K6" i="19"/>
  <c r="G97" i="36" s="1"/>
  <c r="V40" i="55" s="1"/>
  <c r="J6" i="19"/>
  <c r="F97" i="36" s="1"/>
  <c r="U36" i="55" s="1"/>
  <c r="K9" i="25"/>
  <c r="G95" i="36" s="1"/>
  <c r="K15" i="25"/>
  <c r="F118" i="35" s="1"/>
  <c r="J10" i="25"/>
  <c r="F96" i="36" s="1"/>
  <c r="K19" i="25"/>
  <c r="E96" i="36"/>
  <c r="J7" i="15"/>
  <c r="F68" i="36" s="1"/>
  <c r="K13" i="14"/>
  <c r="F77" i="35" s="1"/>
  <c r="J18" i="13"/>
  <c r="E75" i="35" s="1"/>
  <c r="J14" i="13"/>
  <c r="E71" i="35" s="1"/>
  <c r="AH61" i="55" s="1"/>
  <c r="K8" i="13"/>
  <c r="G59" i="36" s="1"/>
  <c r="J8" i="12"/>
  <c r="F54" i="36" s="1"/>
  <c r="K16" i="12"/>
  <c r="F66" i="35" s="1"/>
  <c r="K8" i="12"/>
  <c r="G54" i="36" s="1"/>
  <c r="J20" i="10"/>
  <c r="E38" i="36"/>
  <c r="J18" i="9"/>
  <c r="E51" i="35" s="1"/>
  <c r="V73" i="55"/>
  <c r="J16" i="9"/>
  <c r="E49" i="35" s="1"/>
  <c r="AH124" i="55" s="1"/>
  <c r="K13" i="9"/>
  <c r="F46" i="35" s="1"/>
  <c r="AI21" i="55" s="1"/>
  <c r="K15" i="9"/>
  <c r="F48" i="35" s="1"/>
  <c r="J7" i="9"/>
  <c r="F38" i="36" s="1"/>
  <c r="J20" i="9"/>
  <c r="J11" i="9"/>
  <c r="K11" i="8"/>
  <c r="J14" i="7"/>
  <c r="E35" i="35" s="1"/>
  <c r="K7" i="7"/>
  <c r="G28" i="36" s="1"/>
  <c r="L23" i="6"/>
  <c r="E12" i="34" s="1"/>
  <c r="AU27" i="55" s="1"/>
  <c r="J20" i="5"/>
  <c r="E12" i="36"/>
  <c r="K6" i="5"/>
  <c r="G12" i="36" s="1"/>
  <c r="K8" i="5"/>
  <c r="J8" i="5"/>
  <c r="K15" i="5"/>
  <c r="F16" i="35" s="1"/>
  <c r="J19" i="5"/>
  <c r="J17" i="5"/>
  <c r="E17" i="35" s="1"/>
  <c r="AH106" i="55" s="1"/>
  <c r="K9" i="5"/>
  <c r="K14" i="5"/>
  <c r="F15" i="35" s="1"/>
  <c r="AI59" i="55" s="1"/>
  <c r="L10" i="5"/>
  <c r="H16" i="36" s="1"/>
  <c r="L16" i="5"/>
  <c r="M16" i="5" s="1"/>
  <c r="L22" i="5"/>
  <c r="E8" i="34" s="1"/>
  <c r="AU3" i="55" s="1"/>
  <c r="E3" i="5"/>
  <c r="L18" i="5"/>
  <c r="G19" i="35" s="1"/>
  <c r="L15" i="5"/>
  <c r="G16" i="35" s="1"/>
  <c r="L24" i="5"/>
  <c r="M24" i="5" s="1"/>
  <c r="F10" i="34" s="1"/>
  <c r="L11" i="5"/>
  <c r="M11" i="5" s="1"/>
  <c r="O11" i="5" s="1"/>
  <c r="L17" i="5"/>
  <c r="G18" i="35" s="1"/>
  <c r="K13" i="4"/>
  <c r="F8" i="35" s="1"/>
  <c r="AI30" i="55" s="1"/>
  <c r="J16" i="4"/>
  <c r="E11" i="35" s="1"/>
  <c r="L24" i="4"/>
  <c r="M24" i="4" s="1"/>
  <c r="L5" i="47"/>
  <c r="L24" i="32"/>
  <c r="M24" i="32" s="1"/>
  <c r="O24" i="32" s="1"/>
  <c r="H4" i="34" s="1"/>
  <c r="L8" i="32"/>
  <c r="M8" i="32" s="1"/>
  <c r="J3" i="15"/>
  <c r="K32" i="33" s="1"/>
  <c r="E2" i="15"/>
  <c r="H31" i="33" s="1"/>
  <c r="H12" i="55" s="1"/>
  <c r="L16" i="15"/>
  <c r="M16" i="15" s="1"/>
  <c r="L15" i="15"/>
  <c r="M15" i="15" s="1"/>
  <c r="L17" i="15"/>
  <c r="M17" i="15" s="1"/>
  <c r="K3" i="15"/>
  <c r="L8" i="1"/>
  <c r="M8" i="1" s="1"/>
  <c r="I24" i="36" s="1"/>
  <c r="L9" i="1"/>
  <c r="M9" i="1" s="1"/>
  <c r="J48" i="33"/>
  <c r="J39" i="55" s="1"/>
  <c r="J18" i="21"/>
  <c r="E140" i="35" s="1"/>
  <c r="K9" i="21"/>
  <c r="G110" i="36" s="1"/>
  <c r="L7" i="21"/>
  <c r="M7" i="21" s="1"/>
  <c r="L17" i="21"/>
  <c r="M17" i="21" s="1"/>
  <c r="L24" i="21"/>
  <c r="M24" i="21" s="1"/>
  <c r="J37" i="33"/>
  <c r="J9" i="55" s="1"/>
  <c r="E37" i="33"/>
  <c r="E9" i="55" s="1"/>
  <c r="L14" i="3"/>
  <c r="M14" i="3" s="1"/>
  <c r="H104" i="35" s="1"/>
  <c r="L17" i="3"/>
  <c r="M17" i="3" s="1"/>
  <c r="L15" i="3"/>
  <c r="M15" i="3" s="1"/>
  <c r="L16" i="3"/>
  <c r="M16" i="3" s="1"/>
  <c r="K3" i="3"/>
  <c r="L38" i="33" s="1"/>
  <c r="AI116" i="55"/>
  <c r="J9" i="6"/>
  <c r="F20" i="36" s="1"/>
  <c r="K9" i="6"/>
  <c r="G20" i="36" s="1"/>
  <c r="K2" i="6"/>
  <c r="L9" i="33" s="1"/>
  <c r="L3" i="55" s="1"/>
  <c r="L24" i="6"/>
  <c r="M24" i="6" s="1"/>
  <c r="O24" i="6" s="1"/>
  <c r="H13" i="34" s="1"/>
  <c r="E10" i="33"/>
  <c r="E50" i="55" s="1"/>
  <c r="E9" i="33"/>
  <c r="E3" i="55" s="1"/>
  <c r="L15" i="6"/>
  <c r="M15" i="6" s="1"/>
  <c r="L17" i="6"/>
  <c r="M17" i="6" s="1"/>
  <c r="H24" i="35" s="1"/>
  <c r="L18" i="6"/>
  <c r="M18" i="6" s="1"/>
  <c r="L16" i="6"/>
  <c r="M16" i="6" s="1"/>
  <c r="L13" i="6"/>
  <c r="M13" i="6" s="1"/>
  <c r="L7" i="6"/>
  <c r="M7" i="6" s="1"/>
  <c r="N7" i="6" s="1"/>
  <c r="J18" i="36" s="1"/>
  <c r="L25" i="6"/>
  <c r="M25" i="6" s="1"/>
  <c r="N25" i="6" s="1"/>
  <c r="K10" i="6"/>
  <c r="G21" i="36" s="1"/>
  <c r="E11" i="33"/>
  <c r="E18" i="55" s="1"/>
  <c r="L17" i="1"/>
  <c r="M17" i="1" s="1"/>
  <c r="H31" i="35" s="1"/>
  <c r="L15" i="1"/>
  <c r="M15" i="1" s="1"/>
  <c r="L18" i="1"/>
  <c r="M18" i="1" s="1"/>
  <c r="H32" i="35" s="1"/>
  <c r="L16" i="1"/>
  <c r="M16" i="1" s="1"/>
  <c r="K13" i="1"/>
  <c r="F27" i="35" s="1"/>
  <c r="AI34" i="55" s="1"/>
  <c r="K7" i="17"/>
  <c r="G78" i="36" s="1"/>
  <c r="V69" i="55" s="1"/>
  <c r="L17" i="17"/>
  <c r="M17" i="17" s="1"/>
  <c r="L15" i="17"/>
  <c r="M15" i="17" s="1"/>
  <c r="L15" i="2"/>
  <c r="M15" i="2" s="1"/>
  <c r="H180" i="35" s="1"/>
  <c r="H4" i="2"/>
  <c r="I66" i="33" s="1"/>
  <c r="L16" i="2"/>
  <c r="M16" i="2" s="1"/>
  <c r="L18" i="2"/>
  <c r="M18" i="2" s="1"/>
  <c r="L17" i="2"/>
  <c r="M17" i="2" s="1"/>
  <c r="J7" i="17"/>
  <c r="F78" i="36" s="1"/>
  <c r="U69" i="55" s="1"/>
  <c r="J2" i="17"/>
  <c r="K35" i="33" s="1"/>
  <c r="K2" i="55" s="1"/>
  <c r="J35" i="33"/>
  <c r="J2" i="55" s="1"/>
  <c r="L16" i="17"/>
  <c r="M16" i="17" s="1"/>
  <c r="L18" i="17"/>
  <c r="M18" i="17" s="1"/>
  <c r="H102" i="35" s="1"/>
  <c r="AK82" i="55" s="1"/>
  <c r="L14" i="17"/>
  <c r="M14" i="17" s="1"/>
  <c r="L13" i="17"/>
  <c r="M13" i="17" s="1"/>
  <c r="L15" i="16"/>
  <c r="M15" i="16" s="1"/>
  <c r="L14" i="16"/>
  <c r="M14" i="16" s="1"/>
  <c r="K7" i="16"/>
  <c r="G73" i="36" s="1"/>
  <c r="V47" i="55" s="1"/>
  <c r="J7" i="16"/>
  <c r="F73" i="36" s="1"/>
  <c r="U47" i="55" s="1"/>
  <c r="AI39" i="55"/>
  <c r="K8" i="16"/>
  <c r="G74" i="36" s="1"/>
  <c r="J13" i="16"/>
  <c r="E90" i="35" s="1"/>
  <c r="L23" i="25"/>
  <c r="M23" i="25" s="1"/>
  <c r="L24" i="25"/>
  <c r="M24" i="25" s="1"/>
  <c r="J10" i="11"/>
  <c r="F51" i="36" s="1"/>
  <c r="K10" i="20"/>
  <c r="G106" i="36" s="1"/>
  <c r="J11" i="20"/>
  <c r="J9" i="20"/>
  <c r="F105" i="36" s="1"/>
  <c r="K9" i="20"/>
  <c r="G105" i="36" s="1"/>
  <c r="L16" i="23"/>
  <c r="M16" i="23" s="1"/>
  <c r="H150" i="35" s="1"/>
  <c r="L14" i="23"/>
  <c r="M14" i="23" s="1"/>
  <c r="L17" i="23"/>
  <c r="M17" i="23" s="1"/>
  <c r="L15" i="23"/>
  <c r="M15" i="23" s="1"/>
  <c r="L18" i="23"/>
  <c r="M18" i="23" s="1"/>
  <c r="H152" i="35" s="1"/>
  <c r="E2" i="33"/>
  <c r="E34" i="55" s="1"/>
  <c r="L14" i="32"/>
  <c r="M14" i="32" s="1"/>
  <c r="H3" i="35" s="1"/>
  <c r="L17" i="32"/>
  <c r="M17" i="32" s="1"/>
  <c r="L15" i="32"/>
  <c r="M15" i="32" s="1"/>
  <c r="L16" i="32"/>
  <c r="M16" i="32" s="1"/>
  <c r="AN105" i="47"/>
  <c r="J15" i="7"/>
  <c r="E36" i="35" s="1"/>
  <c r="E2" i="7"/>
  <c r="H14" i="33" s="1"/>
  <c r="L16" i="7"/>
  <c r="M16" i="7" s="1"/>
  <c r="L17" i="7"/>
  <c r="M17" i="7" s="1"/>
  <c r="J4" i="31"/>
  <c r="K74" i="33" s="1"/>
  <c r="J10" i="30"/>
  <c r="F156" i="36" s="1"/>
  <c r="E156" i="36"/>
  <c r="J11" i="29"/>
  <c r="K16" i="29"/>
  <c r="F187" i="35" s="1"/>
  <c r="AI123" i="55" s="1"/>
  <c r="L18" i="29"/>
  <c r="G189" i="35" s="1"/>
  <c r="L16" i="29"/>
  <c r="G187" i="35" s="1"/>
  <c r="AJ123" i="55" s="1"/>
  <c r="L10" i="29"/>
  <c r="M10" i="29" s="1"/>
  <c r="L6" i="29"/>
  <c r="M6" i="29" s="1"/>
  <c r="L14" i="29"/>
  <c r="M14" i="29" s="1"/>
  <c r="N14" i="29" s="1"/>
  <c r="I185" i="35" s="1"/>
  <c r="L23" i="29"/>
  <c r="M23" i="29" s="1"/>
  <c r="L25" i="29"/>
  <c r="M25" i="29" s="1"/>
  <c r="N25" i="29" s="1"/>
  <c r="K20" i="29"/>
  <c r="L20" i="29"/>
  <c r="M20" i="29" s="1"/>
  <c r="N20" i="29" s="1"/>
  <c r="L25" i="28"/>
  <c r="M25" i="28" s="1"/>
  <c r="N25" i="28" s="1"/>
  <c r="L13" i="28"/>
  <c r="M13" i="28" s="1"/>
  <c r="L10" i="28"/>
  <c r="H141" i="36" s="1"/>
  <c r="L14" i="28"/>
  <c r="M14" i="28" s="1"/>
  <c r="L11" i="28"/>
  <c r="M11" i="28" s="1"/>
  <c r="N11" i="28" s="1"/>
  <c r="E4" i="28"/>
  <c r="L23" i="28"/>
  <c r="E84" i="34" s="1"/>
  <c r="L19" i="28"/>
  <c r="M19" i="28" s="1"/>
  <c r="O19" i="28" s="1"/>
  <c r="L20" i="28"/>
  <c r="M20" i="28" s="1"/>
  <c r="N20" i="28" s="1"/>
  <c r="L16" i="28"/>
  <c r="M16" i="28" s="1"/>
  <c r="L15" i="28"/>
  <c r="G175" i="35" s="1"/>
  <c r="L7" i="28"/>
  <c r="M7" i="28" s="1"/>
  <c r="L17" i="28"/>
  <c r="M17" i="28" s="1"/>
  <c r="L6" i="28"/>
  <c r="H137" i="36" s="1"/>
  <c r="L9" i="28"/>
  <c r="H140" i="36" s="1"/>
  <c r="L22" i="28"/>
  <c r="M22" i="28" s="1"/>
  <c r="N22" i="28" s="1"/>
  <c r="G83" i="34" s="1"/>
  <c r="AW26" i="55" s="1"/>
  <c r="L8" i="28"/>
  <c r="M8" i="28" s="1"/>
  <c r="N8" i="28" s="1"/>
  <c r="J139" i="36" s="1"/>
  <c r="L24" i="28"/>
  <c r="E85" i="34" s="1"/>
  <c r="H66" i="33"/>
  <c r="J10" i="27"/>
  <c r="F136" i="36" s="1"/>
  <c r="J19" i="27"/>
  <c r="L15" i="27"/>
  <c r="M15" i="27" s="1"/>
  <c r="J4" i="27"/>
  <c r="K61" i="33" s="1"/>
  <c r="J61" i="33"/>
  <c r="K11" i="27"/>
  <c r="J7" i="27"/>
  <c r="F133" i="36" s="1"/>
  <c r="U43" i="55" s="1"/>
  <c r="E132" i="36"/>
  <c r="T12" i="55" s="1"/>
  <c r="K17" i="27"/>
  <c r="F170" i="35" s="1"/>
  <c r="K7" i="27"/>
  <c r="G133" i="36" s="1"/>
  <c r="V43" i="55" s="1"/>
  <c r="L16" i="27"/>
  <c r="M16" i="27" s="1"/>
  <c r="K8" i="26"/>
  <c r="G129" i="36" s="1"/>
  <c r="K18" i="26"/>
  <c r="F166" i="35" s="1"/>
  <c r="K19" i="26"/>
  <c r="K10" i="26"/>
  <c r="G131" i="36" s="1"/>
  <c r="J10" i="26"/>
  <c r="F131" i="36" s="1"/>
  <c r="J4" i="26"/>
  <c r="J13" i="26"/>
  <c r="E161" i="35" s="1"/>
  <c r="J16" i="26"/>
  <c r="E164" i="35" s="1"/>
  <c r="AH74" i="55" s="1"/>
  <c r="H2" i="26"/>
  <c r="I57" i="33" s="1"/>
  <c r="I4" i="55" s="1"/>
  <c r="K2" i="26"/>
  <c r="L57" i="33" s="1"/>
  <c r="L4" i="55" s="1"/>
  <c r="J20" i="26"/>
  <c r="K11" i="26"/>
  <c r="J2" i="26"/>
  <c r="K57" i="33" s="1"/>
  <c r="K4" i="55" s="1"/>
  <c r="J9" i="24"/>
  <c r="F125" i="36" s="1"/>
  <c r="H2" i="24"/>
  <c r="I54" i="33" s="1"/>
  <c r="I15" i="55" s="1"/>
  <c r="E120" i="36"/>
  <c r="E114" i="36"/>
  <c r="T76" i="55" s="1"/>
  <c r="J13" i="22"/>
  <c r="E141" i="35" s="1"/>
  <c r="J19" i="21"/>
  <c r="J10" i="21"/>
  <c r="F111" i="36" s="1"/>
  <c r="J14" i="20"/>
  <c r="E130" i="35" s="1"/>
  <c r="E44" i="33"/>
  <c r="J17" i="19"/>
  <c r="J14" i="25"/>
  <c r="E117" i="35" s="1"/>
  <c r="AH56" i="55" s="1"/>
  <c r="J13" i="18"/>
  <c r="E111" i="35" s="1"/>
  <c r="AH77" i="55" s="1"/>
  <c r="L20" i="18"/>
  <c r="M20" i="18" s="1"/>
  <c r="O20" i="18" s="1"/>
  <c r="L8" i="18"/>
  <c r="H89" i="36" s="1"/>
  <c r="J19" i="3"/>
  <c r="E109" i="35" s="1"/>
  <c r="E2" i="3"/>
  <c r="F37" i="33" s="1"/>
  <c r="F9" i="55" s="1"/>
  <c r="L20" i="3"/>
  <c r="M20" i="3" s="1"/>
  <c r="O20" i="3" s="1"/>
  <c r="L23" i="3"/>
  <c r="E51" i="34" s="1"/>
  <c r="AU32" i="55" s="1"/>
  <c r="L6" i="3"/>
  <c r="H82" i="36" s="1"/>
  <c r="L11" i="3"/>
  <c r="M11" i="3" s="1"/>
  <c r="N11" i="3" s="1"/>
  <c r="L9" i="3"/>
  <c r="M9" i="3" s="1"/>
  <c r="L13" i="3"/>
  <c r="M13" i="3" s="1"/>
  <c r="H103" i="35" s="1"/>
  <c r="J6" i="17"/>
  <c r="F77" i="36" s="1"/>
  <c r="U27" i="55" s="1"/>
  <c r="K6" i="16"/>
  <c r="G72" i="36" s="1"/>
  <c r="V15" i="55" s="1"/>
  <c r="K20" i="16"/>
  <c r="E91" i="35"/>
  <c r="AH33" i="55" s="1"/>
  <c r="E94" i="35"/>
  <c r="J10" i="16"/>
  <c r="F76" i="36" s="1"/>
  <c r="F96" i="35"/>
  <c r="K10" i="16"/>
  <c r="G76" i="36" s="1"/>
  <c r="E74" i="36"/>
  <c r="L14" i="15"/>
  <c r="M14" i="15" s="1"/>
  <c r="K6" i="14"/>
  <c r="G62" i="36" s="1"/>
  <c r="V11" i="55" s="1"/>
  <c r="E62" i="36"/>
  <c r="T11" i="55" s="1"/>
  <c r="K14" i="12"/>
  <c r="F64" i="35" s="1"/>
  <c r="AI75" i="55" s="1"/>
  <c r="L10" i="12"/>
  <c r="H56" i="36" s="1"/>
  <c r="L9" i="12"/>
  <c r="M9" i="12" s="1"/>
  <c r="L23" i="12"/>
  <c r="E33" i="34" s="1"/>
  <c r="L6" i="12"/>
  <c r="M6" i="12" s="1"/>
  <c r="L22" i="12"/>
  <c r="M22" i="12" s="1"/>
  <c r="L17" i="12"/>
  <c r="G69" i="35" s="1"/>
  <c r="AJ121" i="55" s="1"/>
  <c r="L11" i="12"/>
  <c r="M11" i="12" s="1"/>
  <c r="O11" i="12" s="1"/>
  <c r="L7" i="12"/>
  <c r="H53" i="36" s="1"/>
  <c r="L13" i="12"/>
  <c r="G65" i="35" s="1"/>
  <c r="AJ6" i="55" s="1"/>
  <c r="L8" i="12"/>
  <c r="M8" i="12" s="1"/>
  <c r="O8" i="12" s="1"/>
  <c r="K54" i="36" s="1"/>
  <c r="L19" i="12"/>
  <c r="M19" i="12" s="1"/>
  <c r="N19" i="12" s="1"/>
  <c r="L20" i="12"/>
  <c r="M20" i="12" s="1"/>
  <c r="N20" i="12" s="1"/>
  <c r="L15" i="12"/>
  <c r="M15" i="12" s="1"/>
  <c r="L14" i="12"/>
  <c r="M14" i="12" s="1"/>
  <c r="J2" i="11"/>
  <c r="K22" i="33" s="1"/>
  <c r="L14" i="11"/>
  <c r="L23" i="11"/>
  <c r="M23" i="11" s="1"/>
  <c r="F30" i="34" s="1"/>
  <c r="L9" i="11"/>
  <c r="E3" i="11"/>
  <c r="F3" i="11" s="1"/>
  <c r="G23" i="33" s="1"/>
  <c r="L17" i="11"/>
  <c r="M17" i="11" s="1"/>
  <c r="O17" i="11" s="1"/>
  <c r="J62" i="35" s="1"/>
  <c r="K7" i="11"/>
  <c r="K6" i="11"/>
  <c r="G47" i="36" s="1"/>
  <c r="V25" i="55" s="1"/>
  <c r="J6" i="11"/>
  <c r="F47" i="36" s="1"/>
  <c r="U25" i="55" s="1"/>
  <c r="J22" i="33"/>
  <c r="L19" i="11"/>
  <c r="M19" i="11" s="1"/>
  <c r="N19" i="11" s="1"/>
  <c r="L25" i="11"/>
  <c r="M25" i="11" s="1"/>
  <c r="O25" i="11" s="1"/>
  <c r="L11" i="11"/>
  <c r="M11" i="11" s="1"/>
  <c r="N11" i="11" s="1"/>
  <c r="L10" i="11"/>
  <c r="M10" i="11" s="1"/>
  <c r="N10" i="11" s="1"/>
  <c r="J51" i="36" s="1"/>
  <c r="L24" i="11"/>
  <c r="E31" i="34" s="1"/>
  <c r="L18" i="11"/>
  <c r="M18" i="11" s="1"/>
  <c r="O18" i="11" s="1"/>
  <c r="L13" i="11"/>
  <c r="M13" i="11" s="1"/>
  <c r="O13" i="11" s="1"/>
  <c r="J58" i="35" s="1"/>
  <c r="L6" i="11"/>
  <c r="H47" i="36" s="1"/>
  <c r="W25" i="55" s="1"/>
  <c r="K15" i="10"/>
  <c r="F54" i="35" s="1"/>
  <c r="AI128" i="55" s="1"/>
  <c r="J8" i="10"/>
  <c r="F45" i="36" s="1"/>
  <c r="J14" i="10"/>
  <c r="E53" i="35" s="1"/>
  <c r="AH43" i="55" s="1"/>
  <c r="L16" i="9"/>
  <c r="G49" i="35" s="1"/>
  <c r="L6" i="9"/>
  <c r="H37" i="36" s="1"/>
  <c r="L19" i="9"/>
  <c r="M19" i="9" s="1"/>
  <c r="O19" i="9" s="1"/>
  <c r="L25" i="9"/>
  <c r="M25" i="9" s="1"/>
  <c r="O25" i="9" s="1"/>
  <c r="L7" i="9"/>
  <c r="H38" i="36" s="1"/>
  <c r="L9" i="9"/>
  <c r="M9" i="9" s="1"/>
  <c r="L11" i="9"/>
  <c r="M11" i="9" s="1"/>
  <c r="O11" i="9" s="1"/>
  <c r="E2" i="9"/>
  <c r="F18" i="33" s="1"/>
  <c r="F14" i="55" s="1"/>
  <c r="L18" i="9"/>
  <c r="G51" i="35" s="1"/>
  <c r="L14" i="9"/>
  <c r="M14" i="9" s="1"/>
  <c r="H47" i="35" s="1"/>
  <c r="J10" i="9"/>
  <c r="F41" i="36" s="1"/>
  <c r="E41" i="36"/>
  <c r="K17" i="9"/>
  <c r="F50" i="35" s="1"/>
  <c r="E40" i="36"/>
  <c r="L22" i="9"/>
  <c r="E23" i="34" s="1"/>
  <c r="AU12" i="55" s="1"/>
  <c r="L15" i="9"/>
  <c r="M15" i="9" s="1"/>
  <c r="O15" i="9" s="1"/>
  <c r="J48" i="35" s="1"/>
  <c r="E37" i="36"/>
  <c r="T5" i="55" s="1"/>
  <c r="K3" i="9"/>
  <c r="L19" i="33" s="1"/>
  <c r="J14" i="9"/>
  <c r="E47" i="35" s="1"/>
  <c r="L17" i="9"/>
  <c r="G50" i="35" s="1"/>
  <c r="J20" i="8"/>
  <c r="L7" i="8"/>
  <c r="M7" i="8" s="1"/>
  <c r="O7" i="8" s="1"/>
  <c r="K33" i="36" s="1"/>
  <c r="L11" i="8"/>
  <c r="M11" i="8" s="1"/>
  <c r="O11" i="8" s="1"/>
  <c r="L22" i="8"/>
  <c r="M22" i="8" s="1"/>
  <c r="L10" i="8"/>
  <c r="H36" i="36" s="1"/>
  <c r="L15" i="8"/>
  <c r="G43" i="35" s="1"/>
  <c r="L17" i="8"/>
  <c r="M17" i="8" s="1"/>
  <c r="O17" i="8" s="1"/>
  <c r="J45" i="35" s="1"/>
  <c r="K6" i="7"/>
  <c r="G27" i="36" s="1"/>
  <c r="J6" i="7"/>
  <c r="F27" i="36" s="1"/>
  <c r="U32" i="55" s="1"/>
  <c r="L7" i="7"/>
  <c r="H28" i="36" s="1"/>
  <c r="G25" i="36"/>
  <c r="F25" i="36"/>
  <c r="J19" i="1"/>
  <c r="E33" i="35" s="1"/>
  <c r="L10" i="1"/>
  <c r="M10" i="1" s="1"/>
  <c r="I26" i="36" s="1"/>
  <c r="L22" i="1"/>
  <c r="M22" i="1" s="1"/>
  <c r="O22" i="1" s="1"/>
  <c r="H14" i="34" s="1"/>
  <c r="L7" i="1"/>
  <c r="H23" i="36" s="1"/>
  <c r="L14" i="1"/>
  <c r="G28" i="35" s="1"/>
  <c r="J10" i="1"/>
  <c r="F26" i="36" s="1"/>
  <c r="J14" i="6"/>
  <c r="E21" i="35" s="1"/>
  <c r="E25" i="35"/>
  <c r="L9" i="6"/>
  <c r="M9" i="6" s="1"/>
  <c r="O9" i="6" s="1"/>
  <c r="K20" i="36" s="1"/>
  <c r="L8" i="6"/>
  <c r="M8" i="6" s="1"/>
  <c r="N8" i="6" s="1"/>
  <c r="J19" i="36" s="1"/>
  <c r="Y82" i="55" s="1"/>
  <c r="L19" i="4"/>
  <c r="M19" i="4" s="1"/>
  <c r="N19" i="4" s="1"/>
  <c r="L25" i="4"/>
  <c r="M25" i="4" s="1"/>
  <c r="N25" i="4" s="1"/>
  <c r="E5" i="33"/>
  <c r="E17" i="55" s="1"/>
  <c r="L7" i="4"/>
  <c r="M7" i="4" s="1"/>
  <c r="L17" i="4"/>
  <c r="G12" i="35" s="1"/>
  <c r="L8" i="4"/>
  <c r="H9" i="36" s="1"/>
  <c r="L6" i="4"/>
  <c r="M6" i="4" s="1"/>
  <c r="L16" i="4"/>
  <c r="G11" i="35" s="1"/>
  <c r="L14" i="4"/>
  <c r="M14" i="4" s="1"/>
  <c r="L9" i="4"/>
  <c r="H10" i="36" s="1"/>
  <c r="L13" i="4"/>
  <c r="M13" i="4" s="1"/>
  <c r="J5" i="33"/>
  <c r="J17" i="55" s="1"/>
  <c r="L23" i="4"/>
  <c r="M23" i="4" s="1"/>
  <c r="L15" i="4"/>
  <c r="M15" i="4" s="1"/>
  <c r="E2" i="4"/>
  <c r="F2" i="4" s="1"/>
  <c r="G5" i="33" s="1"/>
  <c r="L22" i="4"/>
  <c r="E5" i="34" s="1"/>
  <c r="L18" i="4"/>
  <c r="G13" i="35" s="1"/>
  <c r="L20" i="4"/>
  <c r="M20" i="4" s="1"/>
  <c r="N20" i="4" s="1"/>
  <c r="K10" i="4"/>
  <c r="G11" i="36" s="1"/>
  <c r="K19" i="4"/>
  <c r="L10" i="4"/>
  <c r="M10" i="4" s="1"/>
  <c r="L11" i="4"/>
  <c r="M11" i="4" s="1"/>
  <c r="N11" i="4" s="1"/>
  <c r="L10" i="32"/>
  <c r="M10" i="32" s="1"/>
  <c r="I6" i="36" s="1"/>
  <c r="L13" i="32"/>
  <c r="G2" i="35" s="1"/>
  <c r="L18" i="32"/>
  <c r="M18" i="32" s="1"/>
  <c r="L9" i="32"/>
  <c r="M9" i="32" s="1"/>
  <c r="L7" i="32"/>
  <c r="M7" i="32" s="1"/>
  <c r="N7" i="32" s="1"/>
  <c r="J3" i="36" s="1"/>
  <c r="L19" i="32"/>
  <c r="M19" i="32" s="1"/>
  <c r="O19" i="32" s="1"/>
  <c r="J18" i="31"/>
  <c r="E200" i="35" s="1"/>
  <c r="K3" i="31"/>
  <c r="L73" i="33" s="1"/>
  <c r="J13" i="8"/>
  <c r="E41" i="35" s="1"/>
  <c r="AH4" i="55" s="1"/>
  <c r="L9" i="17"/>
  <c r="M9" i="17" s="1"/>
  <c r="I80" i="36" s="1"/>
  <c r="AL5" i="47"/>
  <c r="L8" i="23"/>
  <c r="M8" i="23" s="1"/>
  <c r="L10" i="17"/>
  <c r="M10" i="17" s="1"/>
  <c r="L7" i="17"/>
  <c r="M7" i="17" s="1"/>
  <c r="N7" i="17" s="1"/>
  <c r="J78" i="36" s="1"/>
  <c r="Y41" i="55" s="1"/>
  <c r="K13" i="7"/>
  <c r="F34" i="35" s="1"/>
  <c r="AI22" i="55" s="1"/>
  <c r="L23" i="17"/>
  <c r="M23" i="17" s="1"/>
  <c r="E4" i="27"/>
  <c r="E61" i="33"/>
  <c r="L7" i="23"/>
  <c r="M7" i="23" s="1"/>
  <c r="K6" i="4"/>
  <c r="G7" i="36" s="1"/>
  <c r="V6" i="55" s="1"/>
  <c r="J6" i="27"/>
  <c r="F132" i="36" s="1"/>
  <c r="U12" i="55" s="1"/>
  <c r="F3" i="26"/>
  <c r="G58" i="33" s="1"/>
  <c r="J7" i="14"/>
  <c r="F63" i="36" s="1"/>
  <c r="U14" i="55" s="1"/>
  <c r="K4" i="31"/>
  <c r="L74" i="33" s="1"/>
  <c r="L23" i="1"/>
  <c r="M23" i="1" s="1"/>
  <c r="O23" i="1" s="1"/>
  <c r="H15" i="34" s="1"/>
  <c r="J19" i="7"/>
  <c r="E40" i="35" s="1"/>
  <c r="K9" i="9"/>
  <c r="G40" i="36" s="1"/>
  <c r="L6" i="32"/>
  <c r="M6" i="32" s="1"/>
  <c r="I2" i="36" s="1"/>
  <c r="K9" i="16"/>
  <c r="G75" i="36" s="1"/>
  <c r="E66" i="33"/>
  <c r="E51" i="36"/>
  <c r="J4" i="14"/>
  <c r="K30" i="33" s="1"/>
  <c r="L23" i="20"/>
  <c r="E60" i="34" s="1"/>
  <c r="J11" i="4"/>
  <c r="K3" i="6"/>
  <c r="L10" i="33" s="1"/>
  <c r="L50" i="55" s="1"/>
  <c r="E2" i="18"/>
  <c r="H2" i="18" s="1"/>
  <c r="I39" i="33" s="1"/>
  <c r="I20" i="55" s="1"/>
  <c r="E64" i="36"/>
  <c r="F101" i="35"/>
  <c r="L22" i="21"/>
  <c r="E62" i="34" s="1"/>
  <c r="AU18" i="55" s="1"/>
  <c r="E72" i="36"/>
  <c r="T15" i="55" s="1"/>
  <c r="J13" i="25"/>
  <c r="E116" i="35" s="1"/>
  <c r="AH7" i="55" s="1"/>
  <c r="K10" i="7"/>
  <c r="G31" i="36" s="1"/>
  <c r="E80" i="36"/>
  <c r="J9" i="23"/>
  <c r="F120" i="36" s="1"/>
  <c r="L8" i="3"/>
  <c r="M8" i="3" s="1"/>
  <c r="I84" i="36" s="1"/>
  <c r="K8" i="10"/>
  <c r="E31" i="36"/>
  <c r="J14" i="1"/>
  <c r="E28" i="35" s="1"/>
  <c r="K2" i="8"/>
  <c r="L16" i="33" s="1"/>
  <c r="L6" i="55" s="1"/>
  <c r="J17" i="8"/>
  <c r="E45" i="35" s="1"/>
  <c r="L19" i="10"/>
  <c r="M19" i="10" s="1"/>
  <c r="O19" i="10" s="1"/>
  <c r="K7" i="24"/>
  <c r="G123" i="36" s="1"/>
  <c r="V35" i="55" s="1"/>
  <c r="L14" i="13"/>
  <c r="G71" i="35" s="1"/>
  <c r="E79" i="36"/>
  <c r="J2" i="21"/>
  <c r="K47" i="33" s="1"/>
  <c r="J19" i="14"/>
  <c r="E83" i="35" s="1"/>
  <c r="AH97" i="55" s="1"/>
  <c r="K8" i="17"/>
  <c r="G79" i="36" s="1"/>
  <c r="V56" i="55" s="1"/>
  <c r="K2" i="21"/>
  <c r="L47" i="33" s="1"/>
  <c r="J56" i="55"/>
  <c r="L16" i="21"/>
  <c r="M16" i="21" s="1"/>
  <c r="E2" i="21"/>
  <c r="F2" i="21" s="1"/>
  <c r="G47" i="33" s="1"/>
  <c r="K3" i="2"/>
  <c r="L65" i="33" s="1"/>
  <c r="J11" i="16"/>
  <c r="L10" i="21"/>
  <c r="H111" i="36" s="1"/>
  <c r="L11" i="32"/>
  <c r="M11" i="32" s="1"/>
  <c r="O11" i="32" s="1"/>
  <c r="E30" i="36"/>
  <c r="K20" i="3"/>
  <c r="E119" i="36"/>
  <c r="K15" i="18"/>
  <c r="F112" i="35" s="1"/>
  <c r="AI98" i="55" s="1"/>
  <c r="E21" i="33"/>
  <c r="E46" i="55" s="1"/>
  <c r="E65" i="36"/>
  <c r="J11" i="23"/>
  <c r="K14" i="18"/>
  <c r="F110" i="35" s="1"/>
  <c r="AI12" i="55" s="1"/>
  <c r="K2" i="5"/>
  <c r="L7" i="33" s="1"/>
  <c r="L5" i="55" s="1"/>
  <c r="J3" i="25"/>
  <c r="K42" i="33" s="1"/>
  <c r="J3" i="31"/>
  <c r="K73" i="33" s="1"/>
  <c r="L18" i="21"/>
  <c r="G140" i="35" s="1"/>
  <c r="L24" i="20"/>
  <c r="M24" i="20" s="1"/>
  <c r="F61" i="34" s="1"/>
  <c r="K10" i="27"/>
  <c r="G136" i="36" s="1"/>
  <c r="J2" i="3"/>
  <c r="K37" i="33" s="1"/>
  <c r="K9" i="55" s="1"/>
  <c r="F54" i="33"/>
  <c r="F15" i="55" s="1"/>
  <c r="J6" i="25"/>
  <c r="F92" i="36" s="1"/>
  <c r="U64" i="55" s="1"/>
  <c r="F32" i="35"/>
  <c r="J38" i="33"/>
  <c r="E34" i="36"/>
  <c r="T89" i="55" s="1"/>
  <c r="K20" i="25"/>
  <c r="K11" i="25"/>
  <c r="J9" i="14"/>
  <c r="F65" i="36" s="1"/>
  <c r="L19" i="27"/>
  <c r="M19" i="27" s="1"/>
  <c r="O19" i="27" s="1"/>
  <c r="L23" i="27"/>
  <c r="M23" i="27" s="1"/>
  <c r="K7" i="14"/>
  <c r="G63" i="36" s="1"/>
  <c r="V14" i="55" s="1"/>
  <c r="K15" i="2"/>
  <c r="F180" i="35" s="1"/>
  <c r="J15" i="14"/>
  <c r="E79" i="35" s="1"/>
  <c r="AH104" i="55" s="1"/>
  <c r="E39" i="36"/>
  <c r="T90" i="55" s="1"/>
  <c r="E2" i="27"/>
  <c r="F2" i="27" s="1"/>
  <c r="L13" i="27"/>
  <c r="G167" i="35" s="1"/>
  <c r="L6" i="27"/>
  <c r="H132" i="36" s="1"/>
  <c r="E8" i="36"/>
  <c r="T54" i="55" s="1"/>
  <c r="J9" i="33"/>
  <c r="J3" i="55" s="1"/>
  <c r="J15" i="8"/>
  <c r="E43" i="35" s="1"/>
  <c r="E14" i="33"/>
  <c r="K7" i="25"/>
  <c r="G93" i="36" s="1"/>
  <c r="V23" i="55" s="1"/>
  <c r="E88" i="36"/>
  <c r="L20" i="1"/>
  <c r="M20" i="1" s="1"/>
  <c r="N20" i="1" s="1"/>
  <c r="J15" i="27"/>
  <c r="K8" i="9"/>
  <c r="G39" i="36" s="1"/>
  <c r="V90" i="55" s="1"/>
  <c r="J17" i="25"/>
  <c r="K3" i="4"/>
  <c r="L6" i="33" s="1"/>
  <c r="E22" i="35"/>
  <c r="AH116" i="55" s="1"/>
  <c r="J3" i="4"/>
  <c r="K6" i="33" s="1"/>
  <c r="K36" i="55" s="1"/>
  <c r="K20" i="27"/>
  <c r="E95" i="35"/>
  <c r="J11" i="2"/>
  <c r="J8" i="6"/>
  <c r="F19" i="36" s="1"/>
  <c r="K8" i="6"/>
  <c r="G19" i="36" s="1"/>
  <c r="K4" i="9"/>
  <c r="J14" i="8"/>
  <c r="E42" i="35" s="1"/>
  <c r="AH16" i="55" s="1"/>
  <c r="J20" i="20"/>
  <c r="J9" i="7"/>
  <c r="F30" i="36" s="1"/>
  <c r="J7" i="4"/>
  <c r="F8" i="36" s="1"/>
  <c r="U54" i="55" s="1"/>
  <c r="K20" i="14"/>
  <c r="E38" i="35"/>
  <c r="L14" i="5"/>
  <c r="M14" i="5" s="1"/>
  <c r="O14" i="5" s="1"/>
  <c r="J15" i="35" s="1"/>
  <c r="AM59" i="55" s="1"/>
  <c r="L17" i="18"/>
  <c r="G114" i="35" s="1"/>
  <c r="AJ102" i="55" s="1"/>
  <c r="L14" i="18"/>
  <c r="M14" i="18" s="1"/>
  <c r="H110" i="35" s="1"/>
  <c r="K4" i="14"/>
  <c r="L30" i="33" s="1"/>
  <c r="K18" i="11"/>
  <c r="F61" i="35" s="1"/>
  <c r="J6" i="9"/>
  <c r="F37" i="36" s="1"/>
  <c r="U5" i="55" s="1"/>
  <c r="K16" i="8"/>
  <c r="F44" i="35" s="1"/>
  <c r="AI120" i="55" s="1"/>
  <c r="J20" i="21"/>
  <c r="J14" i="4"/>
  <c r="E9" i="35" s="1"/>
  <c r="AH73" i="55" s="1"/>
  <c r="J11" i="15"/>
  <c r="J14" i="2"/>
  <c r="E179" i="35" s="1"/>
  <c r="AH31" i="55" s="1"/>
  <c r="L6" i="1"/>
  <c r="H22" i="36" s="1"/>
  <c r="W65" i="55" s="1"/>
  <c r="L18" i="3"/>
  <c r="G108" i="35" s="1"/>
  <c r="E33" i="36"/>
  <c r="K18" i="14"/>
  <c r="F82" i="35" s="1"/>
  <c r="K11" i="7"/>
  <c r="L22" i="3"/>
  <c r="M22" i="3" s="1"/>
  <c r="K6" i="13"/>
  <c r="G57" i="36" s="1"/>
  <c r="V9" i="55" s="1"/>
  <c r="J4" i="21"/>
  <c r="J3" i="9"/>
  <c r="K19" i="33" s="1"/>
  <c r="J2" i="27"/>
  <c r="K59" i="33" s="1"/>
  <c r="K7" i="18"/>
  <c r="G88" i="36" s="1"/>
  <c r="L19" i="1"/>
  <c r="M19" i="1" s="1"/>
  <c r="H33" i="35" s="1"/>
  <c r="L25" i="21"/>
  <c r="M25" i="21" s="1"/>
  <c r="O25" i="21" s="1"/>
  <c r="H4" i="1"/>
  <c r="J20" i="33"/>
  <c r="J16" i="55" s="1"/>
  <c r="J6" i="13"/>
  <c r="F57" i="36" s="1"/>
  <c r="J16" i="27"/>
  <c r="E169" i="35" s="1"/>
  <c r="F58" i="33"/>
  <c r="H3" i="9"/>
  <c r="I19" i="33" s="1"/>
  <c r="F3" i="9"/>
  <c r="G19" i="33" s="1"/>
  <c r="H19" i="33"/>
  <c r="H3" i="26"/>
  <c r="I58" i="33" s="1"/>
  <c r="H35" i="33"/>
  <c r="H2" i="55" s="1"/>
  <c r="F62" i="33"/>
  <c r="AO5" i="47"/>
  <c r="J15" i="4"/>
  <c r="E10" i="35" s="1"/>
  <c r="AH70" i="55" s="1"/>
  <c r="K3" i="8"/>
  <c r="L17" i="33" s="1"/>
  <c r="L24" i="9"/>
  <c r="M24" i="9" s="1"/>
  <c r="F25" i="34" s="1"/>
  <c r="K4" i="1"/>
  <c r="E24" i="33"/>
  <c r="E23" i="55" s="1"/>
  <c r="J3" i="7"/>
  <c r="K15" i="33" s="1"/>
  <c r="K3" i="7"/>
  <c r="L15" i="33" s="1"/>
  <c r="L20" i="11"/>
  <c r="M20" i="11" s="1"/>
  <c r="O20" i="11" s="1"/>
  <c r="J4" i="32"/>
  <c r="K4" i="33" s="1"/>
  <c r="K41" i="55" s="1"/>
  <c r="J17" i="4"/>
  <c r="E12" i="35" s="1"/>
  <c r="AH111" i="55" s="1"/>
  <c r="K4" i="32"/>
  <c r="L4" i="33" s="1"/>
  <c r="L41" i="55" s="1"/>
  <c r="K6" i="8"/>
  <c r="G32" i="36" s="1"/>
  <c r="V48" i="55" s="1"/>
  <c r="L20" i="32"/>
  <c r="M20" i="32" s="1"/>
  <c r="N20" i="32" s="1"/>
  <c r="J4" i="5"/>
  <c r="E123" i="36"/>
  <c r="L20" i="9"/>
  <c r="M20" i="9" s="1"/>
  <c r="O20" i="9" s="1"/>
  <c r="L19" i="21"/>
  <c r="M19" i="21" s="1"/>
  <c r="O19" i="21" s="1"/>
  <c r="L11" i="18"/>
  <c r="M11" i="18" s="1"/>
  <c r="N11" i="18" s="1"/>
  <c r="L22" i="6"/>
  <c r="L24" i="3"/>
  <c r="M24" i="3" s="1"/>
  <c r="N24" i="3" s="1"/>
  <c r="G52" i="34" s="1"/>
  <c r="J4" i="19"/>
  <c r="K20" i="22"/>
  <c r="J13" i="33"/>
  <c r="J3" i="32"/>
  <c r="K3" i="33" s="1"/>
  <c r="K33" i="55" s="1"/>
  <c r="L18" i="12"/>
  <c r="M18" i="12" s="1"/>
  <c r="L25" i="17"/>
  <c r="M25" i="17" s="1"/>
  <c r="N25" i="17" s="1"/>
  <c r="L8" i="21"/>
  <c r="H109" i="36" s="1"/>
  <c r="L7" i="18"/>
  <c r="M7" i="18" s="1"/>
  <c r="N7" i="18" s="1"/>
  <c r="J88" i="36" s="1"/>
  <c r="J7" i="25"/>
  <c r="F93" i="36" s="1"/>
  <c r="U23" i="55" s="1"/>
  <c r="J66" i="33"/>
  <c r="J4" i="4"/>
  <c r="J2" i="14"/>
  <c r="K29" i="33" s="1"/>
  <c r="K27" i="55" s="1"/>
  <c r="K3" i="11"/>
  <c r="L23" i="33" s="1"/>
  <c r="J12" i="33"/>
  <c r="J44" i="55" s="1"/>
  <c r="L10" i="3"/>
  <c r="H86" i="36" s="1"/>
  <c r="L6" i="6"/>
  <c r="H17" i="36" s="1"/>
  <c r="L25" i="3"/>
  <c r="M25" i="3" s="1"/>
  <c r="N25" i="3" s="1"/>
  <c r="H24" i="33"/>
  <c r="H23" i="55" s="1"/>
  <c r="K4" i="2"/>
  <c r="L66" i="33" s="1"/>
  <c r="J10" i="2"/>
  <c r="F146" i="36" s="1"/>
  <c r="J20" i="7"/>
  <c r="K3" i="1"/>
  <c r="K4" i="6"/>
  <c r="J2" i="10"/>
  <c r="K20" i="33" s="1"/>
  <c r="K16" i="55" s="1"/>
  <c r="J17" i="18"/>
  <c r="E114" i="35" s="1"/>
  <c r="AH102" i="55" s="1"/>
  <c r="J6" i="8"/>
  <c r="F32" i="36" s="1"/>
  <c r="U48" i="55" s="1"/>
  <c r="F139" i="35"/>
  <c r="J16" i="21"/>
  <c r="E138" i="35" s="1"/>
  <c r="AH69" i="55" s="1"/>
  <c r="J33" i="33"/>
  <c r="J8" i="55" s="1"/>
  <c r="J64" i="55"/>
  <c r="J53" i="55"/>
  <c r="J14" i="14"/>
  <c r="E78" i="35" s="1"/>
  <c r="AH48" i="55" s="1"/>
  <c r="J10" i="14"/>
  <c r="F66" i="36" s="1"/>
  <c r="J28" i="33"/>
  <c r="E2" i="5"/>
  <c r="E7" i="33"/>
  <c r="E5" i="55" s="1"/>
  <c r="E23" i="36"/>
  <c r="K3" i="21"/>
  <c r="L48" i="33" s="1"/>
  <c r="L39" i="55" s="1"/>
  <c r="J6" i="4"/>
  <c r="F7" i="36" s="1"/>
  <c r="U6" i="55" s="1"/>
  <c r="E69" i="36"/>
  <c r="T77" i="55" s="1"/>
  <c r="AI7" i="55"/>
  <c r="L6" i="5"/>
  <c r="M6" i="5" s="1"/>
  <c r="N6" i="5" s="1"/>
  <c r="J12" i="36" s="1"/>
  <c r="L10" i="9"/>
  <c r="M10" i="9" s="1"/>
  <c r="L19" i="17"/>
  <c r="M19" i="17" s="1"/>
  <c r="O19" i="17" s="1"/>
  <c r="L8" i="5"/>
  <c r="H13" i="36" s="1"/>
  <c r="H62" i="33"/>
  <c r="L22" i="32"/>
  <c r="M22" i="32" s="1"/>
  <c r="F2" i="34" s="1"/>
  <c r="AV5" i="55" s="1"/>
  <c r="J18" i="8"/>
  <c r="J8" i="27"/>
  <c r="F134" i="36" s="1"/>
  <c r="U57" i="55" s="1"/>
  <c r="E18" i="36"/>
  <c r="L25" i="32"/>
  <c r="M25" i="32" s="1"/>
  <c r="N25" i="32" s="1"/>
  <c r="E2" i="11"/>
  <c r="H2" i="11" s="1"/>
  <c r="I22" i="33" s="1"/>
  <c r="K6" i="2"/>
  <c r="G142" i="36" s="1"/>
  <c r="V2" i="55" s="1"/>
  <c r="J8" i="15"/>
  <c r="F69" i="36" s="1"/>
  <c r="U77" i="55" s="1"/>
  <c r="O19" i="6"/>
  <c r="J26" i="35" s="1"/>
  <c r="F24" i="36"/>
  <c r="J77" i="55"/>
  <c r="L13" i="9"/>
  <c r="M13" i="9" s="1"/>
  <c r="L11" i="17"/>
  <c r="M11" i="17" s="1"/>
  <c r="O11" i="17" s="1"/>
  <c r="J10" i="4"/>
  <c r="F11" i="36" s="1"/>
  <c r="F2" i="28"/>
  <c r="G62" i="33" s="1"/>
  <c r="L25" i="18"/>
  <c r="M25" i="18" s="1"/>
  <c r="N25" i="18" s="1"/>
  <c r="L8" i="11"/>
  <c r="H48" i="36" s="1"/>
  <c r="J8" i="33"/>
  <c r="K11" i="5"/>
  <c r="J16" i="14"/>
  <c r="E80" i="35" s="1"/>
  <c r="J4" i="17"/>
  <c r="K13" i="2"/>
  <c r="F178" i="35" s="1"/>
  <c r="AI24" i="55" s="1"/>
  <c r="J3" i="8"/>
  <c r="K17" i="33" s="1"/>
  <c r="L8" i="9"/>
  <c r="M8" i="9" s="1"/>
  <c r="O8" i="9" s="1"/>
  <c r="K39" i="36" s="1"/>
  <c r="J7" i="11"/>
  <c r="J6" i="2"/>
  <c r="F142" i="36" s="1"/>
  <c r="U2" i="55" s="1"/>
  <c r="K20" i="2"/>
  <c r="J15" i="11"/>
  <c r="J3" i="27"/>
  <c r="K60" i="33" s="1"/>
  <c r="K7" i="55" s="1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L25" i="27"/>
  <c r="M25" i="27" s="1"/>
  <c r="N25" i="27" s="1"/>
  <c r="L25" i="12"/>
  <c r="M25" i="12" s="1"/>
  <c r="N25" i="12" s="1"/>
  <c r="L19" i="3"/>
  <c r="G109" i="35" s="1"/>
  <c r="L11" i="6"/>
  <c r="M11" i="6" s="1"/>
  <c r="L15" i="18"/>
  <c r="M15" i="18" s="1"/>
  <c r="H112" i="35" s="1"/>
  <c r="L24" i="1"/>
  <c r="J11" i="21"/>
  <c r="L16" i="12"/>
  <c r="M16" i="12" s="1"/>
  <c r="H66" i="35" s="1"/>
  <c r="AK60" i="55" s="1"/>
  <c r="K17" i="10"/>
  <c r="F56" i="35" s="1"/>
  <c r="E135" i="36"/>
  <c r="J18" i="5"/>
  <c r="E18" i="35" s="1"/>
  <c r="E106" i="35"/>
  <c r="F106" i="35"/>
  <c r="J5" i="47"/>
  <c r="L20" i="27"/>
  <c r="M20" i="27" s="1"/>
  <c r="O20" i="27" s="1"/>
  <c r="L16" i="11"/>
  <c r="M16" i="11" s="1"/>
  <c r="N16" i="11" s="1"/>
  <c r="L24" i="27"/>
  <c r="M24" i="27" s="1"/>
  <c r="E108" i="36"/>
  <c r="L14" i="20"/>
  <c r="M14" i="20" s="1"/>
  <c r="H130" i="35" s="1"/>
  <c r="AK38" i="55" s="1"/>
  <c r="D38" i="8"/>
  <c r="D39" i="8" s="1"/>
  <c r="E72" i="55"/>
  <c r="L11" i="27"/>
  <c r="M11" i="27" s="1"/>
  <c r="N11" i="27" s="1"/>
  <c r="J7" i="21"/>
  <c r="F108" i="36" s="1"/>
  <c r="L7" i="27"/>
  <c r="M7" i="27" s="1"/>
  <c r="K8" i="14"/>
  <c r="G64" i="36" s="1"/>
  <c r="J16" i="5"/>
  <c r="E19" i="35" s="1"/>
  <c r="J9" i="12"/>
  <c r="F55" i="36" s="1"/>
  <c r="L18" i="27"/>
  <c r="G172" i="35" s="1"/>
  <c r="L10" i="6"/>
  <c r="M10" i="6" s="1"/>
  <c r="O10" i="6" s="1"/>
  <c r="K21" i="36" s="1"/>
  <c r="L22" i="11"/>
  <c r="M22" i="11" s="1"/>
  <c r="L23" i="18"/>
  <c r="E54" i="34" s="1"/>
  <c r="K7" i="8"/>
  <c r="G33" i="36" s="1"/>
  <c r="K9" i="4"/>
  <c r="G10" i="36" s="1"/>
  <c r="J2" i="16"/>
  <c r="K33" i="33" s="1"/>
  <c r="K8" i="55" s="1"/>
  <c r="E48" i="36"/>
  <c r="K14" i="19"/>
  <c r="F123" i="35" s="1"/>
  <c r="AI9" i="55" s="1"/>
  <c r="J59" i="33"/>
  <c r="J19" i="55" s="1"/>
  <c r="D38" i="25"/>
  <c r="D39" i="25" s="1"/>
  <c r="K10" i="21"/>
  <c r="G111" i="36" s="1"/>
  <c r="K3" i="18"/>
  <c r="L40" i="33" s="1"/>
  <c r="L29" i="55" s="1"/>
  <c r="J40" i="33"/>
  <c r="J49" i="55" s="1"/>
  <c r="AH105" i="55"/>
  <c r="L10" i="27"/>
  <c r="M10" i="27" s="1"/>
  <c r="K19" i="2"/>
  <c r="J18" i="22"/>
  <c r="E145" i="35" s="1"/>
  <c r="L25" i="1"/>
  <c r="M25" i="1" s="1"/>
  <c r="N25" i="1" s="1"/>
  <c r="J3" i="14"/>
  <c r="K28" i="33" s="1"/>
  <c r="M28" i="33" s="1"/>
  <c r="J9" i="17"/>
  <c r="F80" i="36" s="1"/>
  <c r="K16" i="20"/>
  <c r="F132" i="35" s="1"/>
  <c r="AI103" i="55" s="1"/>
  <c r="F182" i="35"/>
  <c r="E9" i="36"/>
  <c r="L15" i="11"/>
  <c r="E3" i="3"/>
  <c r="E38" i="33"/>
  <c r="F3" i="35"/>
  <c r="L9" i="27"/>
  <c r="H135" i="36" s="1"/>
  <c r="J9" i="27"/>
  <c r="F135" i="36" s="1"/>
  <c r="J4" i="8"/>
  <c r="J16" i="33"/>
  <c r="J6" i="55" s="1"/>
  <c r="J19" i="20"/>
  <c r="L8" i="27"/>
  <c r="H134" i="36" s="1"/>
  <c r="E26" i="36"/>
  <c r="J18" i="25"/>
  <c r="E121" i="35" s="1"/>
  <c r="J4" i="10"/>
  <c r="E66" i="55"/>
  <c r="E5" i="35"/>
  <c r="L22" i="27"/>
  <c r="E80" i="34" s="1"/>
  <c r="AU11" i="55" s="1"/>
  <c r="L7" i="11"/>
  <c r="H50" i="36" s="1"/>
  <c r="J6" i="21"/>
  <c r="F107" i="36" s="1"/>
  <c r="U10" i="55" s="1"/>
  <c r="E107" i="36"/>
  <c r="T10" i="55" s="1"/>
  <c r="E36" i="36"/>
  <c r="K2" i="7"/>
  <c r="L14" i="33" s="1"/>
  <c r="J19" i="8"/>
  <c r="J14" i="33"/>
  <c r="D38" i="4"/>
  <c r="D39" i="4" s="1"/>
  <c r="AI69" i="55"/>
  <c r="D38" i="27"/>
  <c r="D39" i="27" s="1"/>
  <c r="E146" i="36"/>
  <c r="L17" i="27"/>
  <c r="J10" i="8"/>
  <c r="F36" i="36" s="1"/>
  <c r="E6" i="36"/>
  <c r="T99" i="55" s="1"/>
  <c r="K19" i="6"/>
  <c r="F26" i="35" s="1"/>
  <c r="J4" i="3"/>
  <c r="E152" i="35"/>
  <c r="K16" i="22"/>
  <c r="F144" i="35" s="1"/>
  <c r="E118" i="36"/>
  <c r="T85" i="55" s="1"/>
  <c r="K10" i="32"/>
  <c r="G6" i="36" s="1"/>
  <c r="V110" i="55" s="1"/>
  <c r="K6" i="17"/>
  <c r="G77" i="36" s="1"/>
  <c r="V27" i="55" s="1"/>
  <c r="E14" i="36"/>
  <c r="T71" i="55" s="1"/>
  <c r="L19" i="18"/>
  <c r="M19" i="18" s="1"/>
  <c r="N19" i="18" s="1"/>
  <c r="L6" i="31"/>
  <c r="H157" i="36" s="1"/>
  <c r="W3" i="55" s="1"/>
  <c r="L23" i="32"/>
  <c r="M23" i="32" s="1"/>
  <c r="O23" i="32" s="1"/>
  <c r="H3" i="34" s="1"/>
  <c r="F4" i="2"/>
  <c r="G66" i="33" s="1"/>
  <c r="D38" i="26"/>
  <c r="D39" i="26" s="1"/>
  <c r="L24" i="12"/>
  <c r="E34" i="34" s="1"/>
  <c r="L7" i="3"/>
  <c r="M7" i="3" s="1"/>
  <c r="L9" i="18"/>
  <c r="M9" i="18" s="1"/>
  <c r="O9" i="18" s="1"/>
  <c r="K90" i="36" s="1"/>
  <c r="L20" i="6"/>
  <c r="M20" i="6" s="1"/>
  <c r="N20" i="6" s="1"/>
  <c r="H4" i="13"/>
  <c r="J18" i="27"/>
  <c r="E172" i="35" s="1"/>
  <c r="K3" i="27"/>
  <c r="L60" i="33" s="1"/>
  <c r="L7" i="55" s="1"/>
  <c r="J2" i="20"/>
  <c r="K45" i="33" s="1"/>
  <c r="E59" i="36"/>
  <c r="K10" i="14"/>
  <c r="G66" i="36" s="1"/>
  <c r="E31" i="33"/>
  <c r="E12" i="55" s="1"/>
  <c r="K13" i="33"/>
  <c r="K12" i="33"/>
  <c r="F183" i="35"/>
  <c r="E183" i="35"/>
  <c r="L19" i="23"/>
  <c r="M19" i="23" s="1"/>
  <c r="N19" i="23" s="1"/>
  <c r="I153" i="35" s="1"/>
  <c r="X5" i="47"/>
  <c r="F2" i="17"/>
  <c r="G35" i="33" s="1"/>
  <c r="G2" i="55" s="1"/>
  <c r="L20" i="23"/>
  <c r="M20" i="23" s="1"/>
  <c r="K2" i="25"/>
  <c r="L41" i="33" s="1"/>
  <c r="L25" i="23"/>
  <c r="M25" i="23" s="1"/>
  <c r="O25" i="23" s="1"/>
  <c r="K18" i="4"/>
  <c r="F13" i="35" s="1"/>
  <c r="E2" i="23"/>
  <c r="H2" i="23" s="1"/>
  <c r="I52" i="33" s="1"/>
  <c r="I11" i="55" s="1"/>
  <c r="K8" i="23"/>
  <c r="G119" i="36" s="1"/>
  <c r="V50" i="55" s="1"/>
  <c r="J41" i="33"/>
  <c r="E24" i="35"/>
  <c r="J4" i="23"/>
  <c r="J8" i="11"/>
  <c r="F48" i="36" s="1"/>
  <c r="K18" i="7"/>
  <c r="F39" i="35" s="1"/>
  <c r="K7" i="5"/>
  <c r="J57" i="55"/>
  <c r="L9" i="23"/>
  <c r="M9" i="23" s="1"/>
  <c r="K8" i="20"/>
  <c r="G104" i="36" s="1"/>
  <c r="J9" i="31"/>
  <c r="F160" i="36" s="1"/>
  <c r="J20" i="1"/>
  <c r="J7" i="5"/>
  <c r="F15" i="36" s="1"/>
  <c r="L23" i="23"/>
  <c r="M23" i="23" s="1"/>
  <c r="F35" i="33"/>
  <c r="F2" i="55" s="1"/>
  <c r="L11" i="23"/>
  <c r="M11" i="23" s="1"/>
  <c r="O11" i="23" s="1"/>
  <c r="E52" i="33"/>
  <c r="E11" i="55" s="1"/>
  <c r="E28" i="36"/>
  <c r="T24" i="55" s="1"/>
  <c r="J23" i="33"/>
  <c r="J55" i="55"/>
  <c r="K18" i="18"/>
  <c r="F115" i="35" s="1"/>
  <c r="F196" i="35"/>
  <c r="L22" i="20"/>
  <c r="E59" i="34" s="1"/>
  <c r="AU4" i="55" s="1"/>
  <c r="L14" i="27"/>
  <c r="L13" i="1"/>
  <c r="M13" i="1" s="1"/>
  <c r="H27" i="35" s="1"/>
  <c r="L24" i="23"/>
  <c r="M24" i="23" s="1"/>
  <c r="F70" i="34" s="1"/>
  <c r="J6" i="10"/>
  <c r="K8" i="2"/>
  <c r="G144" i="36" s="1"/>
  <c r="V70" i="55" s="1"/>
  <c r="E144" i="36"/>
  <c r="T70" i="55" s="1"/>
  <c r="J8" i="2"/>
  <c r="F144" i="36" s="1"/>
  <c r="U70" i="55" s="1"/>
  <c r="J17" i="14"/>
  <c r="E81" i="35" s="1"/>
  <c r="AH84" i="55" s="1"/>
  <c r="E44" i="36"/>
  <c r="J4" i="16"/>
  <c r="E80" i="55"/>
  <c r="J21" i="33"/>
  <c r="J46" i="55" s="1"/>
  <c r="E87" i="36"/>
  <c r="E106" i="36"/>
  <c r="L18" i="20"/>
  <c r="E37" i="35"/>
  <c r="J4" i="25"/>
  <c r="L13" i="23"/>
  <c r="M13" i="23" s="1"/>
  <c r="O13" i="23" s="1"/>
  <c r="J147" i="35" s="1"/>
  <c r="K3" i="25"/>
  <c r="L42" i="33" s="1"/>
  <c r="K2" i="14"/>
  <c r="L29" i="33" s="1"/>
  <c r="L27" i="55" s="1"/>
  <c r="K6" i="18"/>
  <c r="G87" i="36" s="1"/>
  <c r="J39" i="33"/>
  <c r="J20" i="55" s="1"/>
  <c r="D38" i="7"/>
  <c r="D39" i="7" s="1"/>
  <c r="L9" i="20"/>
  <c r="H105" i="36" s="1"/>
  <c r="AN5" i="47"/>
  <c r="L10" i="23"/>
  <c r="M10" i="23" s="1"/>
  <c r="J9" i="4"/>
  <c r="F10" i="36" s="1"/>
  <c r="L25" i="20"/>
  <c r="M25" i="20" s="1"/>
  <c r="E92" i="36"/>
  <c r="T64" i="55" s="1"/>
  <c r="K15" i="31"/>
  <c r="F202" i="35" s="1"/>
  <c r="J24" i="33"/>
  <c r="A6" i="34"/>
  <c r="A7" i="34" s="1"/>
  <c r="A8" i="34" s="1"/>
  <c r="A9" i="34" s="1"/>
  <c r="A10" i="34" s="1"/>
  <c r="A11" i="34" s="1"/>
  <c r="J7" i="6"/>
  <c r="F18" i="36" s="1"/>
  <c r="K19" i="24"/>
  <c r="F160" i="35" s="1"/>
  <c r="D38" i="14"/>
  <c r="D39" i="14" s="1"/>
  <c r="J16" i="18"/>
  <c r="E113" i="35" s="1"/>
  <c r="E143" i="36"/>
  <c r="T53" i="55" s="1"/>
  <c r="J2" i="18"/>
  <c r="K39" i="33" s="1"/>
  <c r="U56" i="55"/>
  <c r="K11" i="10"/>
  <c r="K2" i="12"/>
  <c r="L24" i="33" s="1"/>
  <c r="L20" i="55" s="1"/>
  <c r="J7" i="2"/>
  <c r="F143" i="36" s="1"/>
  <c r="U53" i="55" s="1"/>
  <c r="K20" i="4"/>
  <c r="J34" i="33"/>
  <c r="J31" i="55" s="1"/>
  <c r="K3" i="16"/>
  <c r="L34" i="33" s="1"/>
  <c r="L31" i="55" s="1"/>
  <c r="J3" i="16"/>
  <c r="K34" i="33" s="1"/>
  <c r="K31" i="55" s="1"/>
  <c r="L8" i="20"/>
  <c r="M8" i="20" s="1"/>
  <c r="N8" i="20" s="1"/>
  <c r="J104" i="36" s="1"/>
  <c r="K16" i="25"/>
  <c r="F120" i="35" s="1"/>
  <c r="J16" i="25"/>
  <c r="E120" i="35" s="1"/>
  <c r="J10" i="12"/>
  <c r="F56" i="36" s="1"/>
  <c r="E2" i="20"/>
  <c r="F2" i="20" s="1"/>
  <c r="G45" i="33" s="1"/>
  <c r="K13" i="15"/>
  <c r="F84" i="35" s="1"/>
  <c r="J20" i="12"/>
  <c r="L11" i="20"/>
  <c r="M11" i="20" s="1"/>
  <c r="O11" i="20" s="1"/>
  <c r="J8" i="21"/>
  <c r="F109" i="36" s="1"/>
  <c r="L6" i="23"/>
  <c r="M6" i="23" s="1"/>
  <c r="I117" i="36" s="1"/>
  <c r="E94" i="36"/>
  <c r="K8" i="25"/>
  <c r="G94" i="36" s="1"/>
  <c r="J8" i="25"/>
  <c r="F94" i="36" s="1"/>
  <c r="E42" i="36"/>
  <c r="J7" i="10"/>
  <c r="F42" i="36" s="1"/>
  <c r="J9" i="18"/>
  <c r="F90" i="36" s="1"/>
  <c r="K7" i="23"/>
  <c r="G118" i="36" s="1"/>
  <c r="V72" i="55" s="1"/>
  <c r="J72" i="55"/>
  <c r="J4" i="15"/>
  <c r="E68" i="55"/>
  <c r="L20" i="20"/>
  <c r="M20" i="20" s="1"/>
  <c r="O20" i="20" s="1"/>
  <c r="L15" i="20"/>
  <c r="M15" i="20" s="1"/>
  <c r="H131" i="35" s="1"/>
  <c r="J11" i="14"/>
  <c r="J3" i="2"/>
  <c r="K65" i="33" s="1"/>
  <c r="K8" i="21"/>
  <c r="G109" i="36" s="1"/>
  <c r="E2" i="36"/>
  <c r="L16" i="20"/>
  <c r="M16" i="20" s="1"/>
  <c r="L19" i="20"/>
  <c r="M19" i="20" s="1"/>
  <c r="O19" i="20" s="1"/>
  <c r="J4" i="7"/>
  <c r="J8" i="8"/>
  <c r="F34" i="36" s="1"/>
  <c r="U89" i="55" s="1"/>
  <c r="J14" i="27"/>
  <c r="E171" i="35" s="1"/>
  <c r="AH112" i="55" s="1"/>
  <c r="J10" i="33"/>
  <c r="J50" i="55" s="1"/>
  <c r="J14" i="21"/>
  <c r="E136" i="35" s="1"/>
  <c r="AH117" i="55" s="1"/>
  <c r="F181" i="35"/>
  <c r="E181" i="35"/>
  <c r="AH113" i="55" s="1"/>
  <c r="J52" i="55"/>
  <c r="J16" i="10"/>
  <c r="E55" i="35" s="1"/>
  <c r="AH126" i="55" s="1"/>
  <c r="J36" i="55"/>
  <c r="K20" i="18"/>
  <c r="E78" i="55"/>
  <c r="L17" i="20"/>
  <c r="G133" i="35" s="1"/>
  <c r="L22" i="23"/>
  <c r="M22" i="23" s="1"/>
  <c r="K8" i="4"/>
  <c r="G9" i="36" s="1"/>
  <c r="J3" i="5"/>
  <c r="K8" i="33" s="1"/>
  <c r="J45" i="33"/>
  <c r="K2" i="4"/>
  <c r="L5" i="33" s="1"/>
  <c r="L17" i="55" s="1"/>
  <c r="L7" i="20"/>
  <c r="H103" i="36" s="1"/>
  <c r="W49" i="55" s="1"/>
  <c r="E90" i="36"/>
  <c r="D38" i="16"/>
  <c r="D39" i="16" s="1"/>
  <c r="J78" i="55"/>
  <c r="J74" i="55"/>
  <c r="E149" i="35"/>
  <c r="AH67" i="55" s="1"/>
  <c r="E161" i="36"/>
  <c r="K13" i="6"/>
  <c r="F20" i="35" s="1"/>
  <c r="AI64" i="55" s="1"/>
  <c r="K10" i="10"/>
  <c r="G46" i="36" s="1"/>
  <c r="K37" i="55"/>
  <c r="L13" i="20"/>
  <c r="M13" i="20" s="1"/>
  <c r="H129" i="35" s="1"/>
  <c r="AK2" i="55" s="1"/>
  <c r="J10" i="6"/>
  <c r="F21" i="36" s="1"/>
  <c r="E117" i="36"/>
  <c r="T4" i="55" s="1"/>
  <c r="J66" i="55"/>
  <c r="J10" i="31"/>
  <c r="F161" i="36" s="1"/>
  <c r="J3" i="33"/>
  <c r="J30" i="55" s="1"/>
  <c r="J11" i="1"/>
  <c r="J13" i="19"/>
  <c r="E122" i="35" s="1"/>
  <c r="AH3" i="55" s="1"/>
  <c r="K7" i="22"/>
  <c r="G113" i="36" s="1"/>
  <c r="V37" i="55" s="1"/>
  <c r="L10" i="20"/>
  <c r="M10" i="20" s="1"/>
  <c r="I106" i="36" s="1"/>
  <c r="L6" i="20"/>
  <c r="M6" i="20" s="1"/>
  <c r="L11" i="1"/>
  <c r="M11" i="1" s="1"/>
  <c r="K9" i="2"/>
  <c r="G145" i="36" s="1"/>
  <c r="E145" i="36"/>
  <c r="F2" i="26"/>
  <c r="G57" i="33" s="1"/>
  <c r="G4" i="55" s="1"/>
  <c r="F57" i="33"/>
  <c r="F4" i="55" s="1"/>
  <c r="J11" i="6"/>
  <c r="J18" i="12"/>
  <c r="E68" i="35" s="1"/>
  <c r="E98" i="36"/>
  <c r="J20" i="31"/>
  <c r="K9" i="10"/>
  <c r="G43" i="36" s="1"/>
  <c r="V66" i="55" s="1"/>
  <c r="K18" i="15"/>
  <c r="F89" i="35" s="1"/>
  <c r="K11" i="18"/>
  <c r="K7" i="1"/>
  <c r="G23" i="36" s="1"/>
  <c r="K16" i="24"/>
  <c r="F157" i="35" s="1"/>
  <c r="AI42" i="55" s="1"/>
  <c r="E46" i="36"/>
  <c r="K6" i="23"/>
  <c r="G117" i="36" s="1"/>
  <c r="V62" i="55" s="1"/>
  <c r="K18" i="32"/>
  <c r="F7" i="35" s="1"/>
  <c r="AI179" i="55" s="1"/>
  <c r="E43" i="36"/>
  <c r="T51" i="55" s="1"/>
  <c r="E104" i="36"/>
  <c r="K6" i="6"/>
  <c r="G17" i="36" s="1"/>
  <c r="V29" i="55" s="1"/>
  <c r="K6" i="20"/>
  <c r="G102" i="36" s="1"/>
  <c r="V17" i="55" s="1"/>
  <c r="J19" i="15"/>
  <c r="J13" i="12"/>
  <c r="E65" i="35" s="1"/>
  <c r="AH6" i="55" s="1"/>
  <c r="J14" i="15"/>
  <c r="E85" i="35" s="1"/>
  <c r="E17" i="36"/>
  <c r="T29" i="55" s="1"/>
  <c r="G31" i="55"/>
  <c r="E102" i="36"/>
  <c r="T23" i="55" s="1"/>
  <c r="D38" i="9"/>
  <c r="D39" i="9" s="1"/>
  <c r="K18" i="10"/>
  <c r="F57" i="35" s="1"/>
  <c r="K20" i="17"/>
  <c r="E75" i="36"/>
  <c r="F148" i="35"/>
  <c r="AI104" i="55" s="1"/>
  <c r="K19" i="17"/>
  <c r="E5" i="36"/>
  <c r="AH174" i="55"/>
  <c r="J11" i="31"/>
  <c r="J19" i="9"/>
  <c r="E60" i="55"/>
  <c r="K19" i="31"/>
  <c r="F203" i="35" s="1"/>
  <c r="T36" i="55"/>
  <c r="J20" i="32"/>
  <c r="J15" i="12"/>
  <c r="E67" i="35" s="1"/>
  <c r="J79" i="55"/>
  <c r="J73" i="55"/>
  <c r="K9" i="13"/>
  <c r="G60" i="36" s="1"/>
  <c r="E60" i="36"/>
  <c r="J19" i="18"/>
  <c r="J11" i="32"/>
  <c r="E73" i="55"/>
  <c r="K9" i="32"/>
  <c r="G5" i="36" s="1"/>
  <c r="J36" i="33"/>
  <c r="J75" i="55"/>
  <c r="K8" i="18"/>
  <c r="G89" i="36" s="1"/>
  <c r="J53" i="33"/>
  <c r="D38" i="18"/>
  <c r="D39" i="18" s="1"/>
  <c r="D38" i="10"/>
  <c r="D39" i="10" s="1"/>
  <c r="J2" i="15"/>
  <c r="K31" i="33" s="1"/>
  <c r="K12" i="55" s="1"/>
  <c r="E89" i="36"/>
  <c r="J3" i="23"/>
  <c r="K53" i="33" s="1"/>
  <c r="J10" i="23"/>
  <c r="F121" i="36" s="1"/>
  <c r="J80" i="55"/>
  <c r="J13" i="32"/>
  <c r="E2" i="35" s="1"/>
  <c r="AH66" i="55" s="1"/>
  <c r="J19" i="32"/>
  <c r="G24" i="36"/>
  <c r="J6" i="12"/>
  <c r="F52" i="36" s="1"/>
  <c r="U13" i="55" s="1"/>
  <c r="D38" i="32"/>
  <c r="D39" i="32" s="1"/>
  <c r="J3" i="10"/>
  <c r="K2" i="15"/>
  <c r="L31" i="33" s="1"/>
  <c r="L12" i="55" s="1"/>
  <c r="J2" i="33"/>
  <c r="J34" i="55" s="1"/>
  <c r="K10" i="23"/>
  <c r="G121" i="36" s="1"/>
  <c r="J68" i="55"/>
  <c r="E150" i="35"/>
  <c r="AH93" i="55" s="1"/>
  <c r="J13" i="31"/>
  <c r="E197" i="35" s="1"/>
  <c r="AH26" i="55" s="1"/>
  <c r="J61" i="55"/>
  <c r="J59" i="55"/>
  <c r="E20" i="33"/>
  <c r="E16" i="55" s="1"/>
  <c r="K3" i="12"/>
  <c r="L25" i="33" s="1"/>
  <c r="K8" i="7"/>
  <c r="G29" i="36" s="1"/>
  <c r="V45" i="55" s="1"/>
  <c r="K18" i="20"/>
  <c r="F134" i="35" s="1"/>
  <c r="J2" i="23"/>
  <c r="K52" i="33" s="1"/>
  <c r="K11" i="55" s="1"/>
  <c r="J67" i="55"/>
  <c r="L15" i="10"/>
  <c r="M15" i="10" s="1"/>
  <c r="O15" i="10" s="1"/>
  <c r="J54" i="35" s="1"/>
  <c r="D38" i="6"/>
  <c r="D39" i="6" s="1"/>
  <c r="J8" i="7"/>
  <c r="F29" i="36" s="1"/>
  <c r="U45" i="55" s="1"/>
  <c r="K10" i="18"/>
  <c r="G91" i="36" s="1"/>
  <c r="K2" i="23"/>
  <c r="L52" i="33" s="1"/>
  <c r="J69" i="55"/>
  <c r="E64" i="55"/>
  <c r="K3" i="24"/>
  <c r="L55" i="33" s="1"/>
  <c r="L38" i="55" s="1"/>
  <c r="J20" i="6"/>
  <c r="L23" i="10"/>
  <c r="M23" i="10" s="1"/>
  <c r="O23" i="10" s="1"/>
  <c r="H27" i="34" s="1"/>
  <c r="J63" i="55"/>
  <c r="D38" i="23"/>
  <c r="D39" i="23" s="1"/>
  <c r="E91" i="36"/>
  <c r="J58" i="55"/>
  <c r="J4" i="18"/>
  <c r="K17" i="20"/>
  <c r="F133" i="35" s="1"/>
  <c r="E160" i="36"/>
  <c r="K9" i="12"/>
  <c r="G55" i="36" s="1"/>
  <c r="E77" i="55"/>
  <c r="L19" i="15"/>
  <c r="M19" i="15" s="1"/>
  <c r="N19" i="15" s="1"/>
  <c r="N20" i="8"/>
  <c r="L10" i="2"/>
  <c r="M10" i="2" s="1"/>
  <c r="O10" i="2" s="1"/>
  <c r="K146" i="36" s="1"/>
  <c r="L13" i="24"/>
  <c r="L24" i="2"/>
  <c r="M24" i="2" s="1"/>
  <c r="O24" i="2" s="1"/>
  <c r="H88" i="34" s="1"/>
  <c r="L14" i="2"/>
  <c r="M14" i="2" s="1"/>
  <c r="O14" i="2" s="1"/>
  <c r="J179" i="35" s="1"/>
  <c r="L8" i="2"/>
  <c r="M8" i="2" s="1"/>
  <c r="I144" i="36" s="1"/>
  <c r="L25" i="2"/>
  <c r="M25" i="2" s="1"/>
  <c r="O25" i="2" s="1"/>
  <c r="L11" i="2"/>
  <c r="M11" i="2" s="1"/>
  <c r="O11" i="2" s="1"/>
  <c r="L6" i="2"/>
  <c r="M6" i="2" s="1"/>
  <c r="I142" i="36" s="1"/>
  <c r="X2" i="55" s="1"/>
  <c r="H44" i="35"/>
  <c r="AK120" i="55" s="1"/>
  <c r="N16" i="8"/>
  <c r="I44" i="35" s="1"/>
  <c r="L20" i="10"/>
  <c r="M20" i="10" s="1"/>
  <c r="K16" i="31"/>
  <c r="J54" i="55"/>
  <c r="E52" i="36"/>
  <c r="T13" i="55" s="1"/>
  <c r="J15" i="19"/>
  <c r="J20" i="19"/>
  <c r="N25" i="8"/>
  <c r="J25" i="33"/>
  <c r="J65" i="55"/>
  <c r="K7" i="32"/>
  <c r="G3" i="36" s="1"/>
  <c r="E151" i="35"/>
  <c r="AH114" i="55" s="1"/>
  <c r="E56" i="36"/>
  <c r="J62" i="55"/>
  <c r="K14" i="30"/>
  <c r="F191" i="35" s="1"/>
  <c r="AI14" i="55" s="1"/>
  <c r="K7" i="20"/>
  <c r="G103" i="36" s="1"/>
  <c r="V49" i="55" s="1"/>
  <c r="J70" i="55"/>
  <c r="F151" i="35"/>
  <c r="AI114" i="55" s="1"/>
  <c r="K2" i="2"/>
  <c r="J64" i="33"/>
  <c r="J24" i="55" s="1"/>
  <c r="J2" i="2"/>
  <c r="D38" i="2"/>
  <c r="D39" i="2" s="1"/>
  <c r="K15" i="20"/>
  <c r="F131" i="35" s="1"/>
  <c r="E103" i="36"/>
  <c r="J6" i="32"/>
  <c r="F2" i="36" s="1"/>
  <c r="U20" i="55" s="1"/>
  <c r="J71" i="55"/>
  <c r="J3" i="17"/>
  <c r="K36" i="33" s="1"/>
  <c r="J60" i="55"/>
  <c r="E86" i="35"/>
  <c r="E70" i="36"/>
  <c r="T60" i="55" s="1"/>
  <c r="J19" i="10"/>
  <c r="J9" i="15"/>
  <c r="F70" i="36" s="1"/>
  <c r="U60" i="55" s="1"/>
  <c r="K19" i="12"/>
  <c r="E4" i="35"/>
  <c r="AH125" i="55" s="1"/>
  <c r="F4" i="35"/>
  <c r="AI125" i="55" s="1"/>
  <c r="J2" i="32"/>
  <c r="K2" i="33" s="1"/>
  <c r="E102" i="35"/>
  <c r="AH39" i="55"/>
  <c r="J11" i="12"/>
  <c r="J11" i="19"/>
  <c r="K16" i="19"/>
  <c r="F125" i="35" s="1"/>
  <c r="O13" i="21"/>
  <c r="J135" i="35" s="1"/>
  <c r="N18" i="28"/>
  <c r="AI108" i="55"/>
  <c r="L10" i="10"/>
  <c r="M10" i="10" s="1"/>
  <c r="I46" i="36" s="1"/>
  <c r="E59" i="55"/>
  <c r="E71" i="55"/>
  <c r="E55" i="55"/>
  <c r="G21" i="35"/>
  <c r="E69" i="55"/>
  <c r="H3" i="1"/>
  <c r="F12" i="33"/>
  <c r="L13" i="10"/>
  <c r="M13" i="10" s="1"/>
  <c r="E76" i="55"/>
  <c r="E2" i="10"/>
  <c r="F20" i="33" s="1"/>
  <c r="L10" i="24"/>
  <c r="M10" i="24" s="1"/>
  <c r="I126" i="36" s="1"/>
  <c r="L6" i="10"/>
  <c r="M6" i="10" s="1"/>
  <c r="E75" i="55"/>
  <c r="L16" i="10"/>
  <c r="M16" i="10" s="1"/>
  <c r="E61" i="55"/>
  <c r="L7" i="10"/>
  <c r="L9" i="10"/>
  <c r="M9" i="10" s="1"/>
  <c r="E58" i="55"/>
  <c r="E74" i="55"/>
  <c r="E57" i="55"/>
  <c r="L25" i="10"/>
  <c r="M25" i="10" s="1"/>
  <c r="E53" i="55"/>
  <c r="G135" i="35"/>
  <c r="L22" i="10"/>
  <c r="M22" i="10" s="1"/>
  <c r="L13" i="2"/>
  <c r="M13" i="2" s="1"/>
  <c r="O13" i="2" s="1"/>
  <c r="J178" i="35" s="1"/>
  <c r="L17" i="10"/>
  <c r="M17" i="10" s="1"/>
  <c r="G44" i="35"/>
  <c r="AJ120" i="55" s="1"/>
  <c r="E54" i="55"/>
  <c r="H13" i="33"/>
  <c r="E79" i="55"/>
  <c r="E56" i="55"/>
  <c r="L24" i="10"/>
  <c r="M24" i="10" s="1"/>
  <c r="O24" i="10" s="1"/>
  <c r="H28" i="34" s="1"/>
  <c r="L14" i="10"/>
  <c r="G53" i="35" s="1"/>
  <c r="E52" i="55"/>
  <c r="G26" i="35"/>
  <c r="F3" i="1"/>
  <c r="G12" i="33" s="1"/>
  <c r="G44" i="55" s="1"/>
  <c r="H46" i="33"/>
  <c r="AI115" i="55"/>
  <c r="AI77" i="55"/>
  <c r="AH44" i="55"/>
  <c r="AH131" i="55"/>
  <c r="AH129" i="55"/>
  <c r="AI124" i="55"/>
  <c r="F21" i="34"/>
  <c r="O23" i="8"/>
  <c r="H21" i="34" s="1"/>
  <c r="I21" i="34" s="1"/>
  <c r="AI71" i="55"/>
  <c r="N20" i="18"/>
  <c r="AI6" i="55"/>
  <c r="AH42" i="55"/>
  <c r="AH23" i="55"/>
  <c r="AH46" i="55"/>
  <c r="U119" i="55"/>
  <c r="V34" i="55"/>
  <c r="U17" i="55"/>
  <c r="U62" i="55"/>
  <c r="U130" i="55"/>
  <c r="U106" i="55"/>
  <c r="U167" i="55"/>
  <c r="L30" i="55"/>
  <c r="F6" i="55"/>
  <c r="N14" i="6"/>
  <c r="I21" i="35" s="1"/>
  <c r="O14" i="6"/>
  <c r="J21" i="35" s="1"/>
  <c r="H21" i="35"/>
  <c r="M13" i="18"/>
  <c r="H111" i="35" s="1"/>
  <c r="E67" i="55"/>
  <c r="M8" i="8"/>
  <c r="H34" i="36"/>
  <c r="E21" i="34"/>
  <c r="E65" i="55"/>
  <c r="E63" i="55"/>
  <c r="F4" i="21"/>
  <c r="H4" i="21"/>
  <c r="L10" i="15"/>
  <c r="M10" i="15" s="1"/>
  <c r="N10" i="15" s="1"/>
  <c r="J71" i="36" s="1"/>
  <c r="M14" i="8"/>
  <c r="G42" i="35"/>
  <c r="N19" i="6"/>
  <c r="I26" i="35" s="1"/>
  <c r="G115" i="35"/>
  <c r="M6" i="8"/>
  <c r="I32" i="36" s="1"/>
  <c r="M13" i="8"/>
  <c r="G41" i="35"/>
  <c r="AJ4" i="55" s="1"/>
  <c r="M7" i="5"/>
  <c r="N7" i="5" s="1"/>
  <c r="I46" i="33"/>
  <c r="H79" i="36"/>
  <c r="W56" i="55" s="1"/>
  <c r="L9" i="2"/>
  <c r="H145" i="36" s="1"/>
  <c r="M16" i="18"/>
  <c r="G113" i="35"/>
  <c r="AJ108" i="55" s="1"/>
  <c r="M22" i="18"/>
  <c r="E53" i="34"/>
  <c r="AU10" i="55" s="1"/>
  <c r="F46" i="33"/>
  <c r="M7" i="29"/>
  <c r="H148" i="36"/>
  <c r="F2" i="1"/>
  <c r="L11" i="10"/>
  <c r="M11" i="10" s="1"/>
  <c r="L18" i="10"/>
  <c r="L17" i="19"/>
  <c r="H91" i="36"/>
  <c r="L8" i="10"/>
  <c r="M8" i="10" s="1"/>
  <c r="L6" i="19"/>
  <c r="E55" i="34"/>
  <c r="H36" i="55"/>
  <c r="F32" i="8"/>
  <c r="H68" i="33"/>
  <c r="H35" i="55" s="1"/>
  <c r="E5" i="47"/>
  <c r="X9" i="47"/>
  <c r="Z5" i="47"/>
  <c r="Z6" i="47"/>
  <c r="Y6" i="47"/>
  <c r="C5" i="47"/>
  <c r="J7" i="19"/>
  <c r="F98" i="36" s="1"/>
  <c r="J18" i="19"/>
  <c r="E128" i="35" s="1"/>
  <c r="E99" i="36"/>
  <c r="J44" i="33"/>
  <c r="K9" i="19"/>
  <c r="J3" i="19"/>
  <c r="K44" i="33" s="1"/>
  <c r="D38" i="5"/>
  <c r="D39" i="5" s="1"/>
  <c r="K13" i="5"/>
  <c r="F14" i="35" s="1"/>
  <c r="D38" i="15"/>
  <c r="D39" i="15" s="1"/>
  <c r="E88" i="35"/>
  <c r="E67" i="36"/>
  <c r="T14" i="55" s="1"/>
  <c r="K6" i="15"/>
  <c r="G67" i="36" s="1"/>
  <c r="E71" i="36"/>
  <c r="K10" i="15"/>
  <c r="G71" i="36" s="1"/>
  <c r="J20" i="15"/>
  <c r="U87" i="55"/>
  <c r="U88" i="55"/>
  <c r="T19" i="55"/>
  <c r="V59" i="55"/>
  <c r="AH24" i="55"/>
  <c r="AM82" i="55"/>
  <c r="V20" i="55"/>
  <c r="V19" i="55"/>
  <c r="U44" i="55"/>
  <c r="U166" i="55"/>
  <c r="U142" i="55"/>
  <c r="U115" i="55"/>
  <c r="U139" i="55"/>
  <c r="U111" i="55"/>
  <c r="U116" i="55"/>
  <c r="U164" i="55"/>
  <c r="U100" i="55"/>
  <c r="U122" i="55"/>
  <c r="U99" i="55"/>
  <c r="AI26" i="55"/>
  <c r="D38" i="17"/>
  <c r="D39" i="17" s="1"/>
  <c r="U19" i="55"/>
  <c r="U158" i="55"/>
  <c r="U127" i="55"/>
  <c r="U163" i="55"/>
  <c r="U123" i="55"/>
  <c r="U103" i="55"/>
  <c r="U148" i="55"/>
  <c r="U156" i="55"/>
  <c r="E3" i="36"/>
  <c r="T84" i="55" s="1"/>
  <c r="J11" i="17"/>
  <c r="F29" i="35"/>
  <c r="D38" i="1"/>
  <c r="D39" i="1" s="1"/>
  <c r="L17" i="25"/>
  <c r="L6" i="25"/>
  <c r="L11" i="25"/>
  <c r="M11" i="25" s="1"/>
  <c r="L18" i="25"/>
  <c r="L16" i="25"/>
  <c r="L22" i="25"/>
  <c r="L13" i="25"/>
  <c r="L19" i="25"/>
  <c r="M19" i="25" s="1"/>
  <c r="L9" i="25"/>
  <c r="L15" i="25"/>
  <c r="L10" i="25"/>
  <c r="E2" i="25"/>
  <c r="L14" i="25"/>
  <c r="L8" i="25"/>
  <c r="L20" i="25"/>
  <c r="M20" i="25" s="1"/>
  <c r="L25" i="25"/>
  <c r="M25" i="25" s="1"/>
  <c r="L7" i="25"/>
  <c r="E41" i="33"/>
  <c r="E37" i="55" s="1"/>
  <c r="K20" i="13"/>
  <c r="J20" i="13"/>
  <c r="U128" i="55"/>
  <c r="U98" i="55"/>
  <c r="U101" i="55"/>
  <c r="U96" i="55"/>
  <c r="U97" i="55"/>
  <c r="X81" i="55"/>
  <c r="K10" i="19"/>
  <c r="G101" i="36" s="1"/>
  <c r="J10" i="19"/>
  <c r="F101" i="36" s="1"/>
  <c r="E101" i="36"/>
  <c r="E31" i="35"/>
  <c r="F31" i="35"/>
  <c r="K10" i="22"/>
  <c r="G116" i="36" s="1"/>
  <c r="J10" i="22"/>
  <c r="F116" i="36" s="1"/>
  <c r="E116" i="36"/>
  <c r="E100" i="36"/>
  <c r="K8" i="19"/>
  <c r="G100" i="36" s="1"/>
  <c r="J8" i="19"/>
  <c r="F100" i="36" s="1"/>
  <c r="U110" i="55"/>
  <c r="U93" i="55"/>
  <c r="AI5" i="55"/>
  <c r="G24" i="22"/>
  <c r="H24" i="22"/>
  <c r="F24" i="22"/>
  <c r="J2" i="29"/>
  <c r="K2" i="29"/>
  <c r="D38" i="29"/>
  <c r="D39" i="29" s="1"/>
  <c r="J67" i="33"/>
  <c r="U102" i="55"/>
  <c r="U159" i="55"/>
  <c r="U154" i="55"/>
  <c r="U92" i="55"/>
  <c r="AI129" i="55"/>
  <c r="L8" i="31"/>
  <c r="E2" i="31"/>
  <c r="L17" i="31"/>
  <c r="L10" i="31"/>
  <c r="L23" i="31"/>
  <c r="L16" i="31"/>
  <c r="L19" i="31"/>
  <c r="L7" i="31"/>
  <c r="L18" i="31"/>
  <c r="L22" i="31"/>
  <c r="E72" i="33"/>
  <c r="L9" i="31"/>
  <c r="L11" i="31"/>
  <c r="M11" i="31" s="1"/>
  <c r="L15" i="31"/>
  <c r="L20" i="31"/>
  <c r="M20" i="31" s="1"/>
  <c r="L13" i="31"/>
  <c r="L25" i="31"/>
  <c r="M25" i="31" s="1"/>
  <c r="U95" i="55"/>
  <c r="E3" i="25"/>
  <c r="E42" i="33"/>
  <c r="L14" i="31"/>
  <c r="U94" i="55"/>
  <c r="U138" i="55"/>
  <c r="V87" i="55"/>
  <c r="V88" i="55"/>
  <c r="AI67" i="55"/>
  <c r="J3" i="30"/>
  <c r="K70" i="33" s="1"/>
  <c r="K43" i="55" s="1"/>
  <c r="K3" i="30"/>
  <c r="L70" i="33" s="1"/>
  <c r="L43" i="55" s="1"/>
  <c r="J11" i="13"/>
  <c r="K11" i="13"/>
  <c r="M9" i="8"/>
  <c r="H35" i="36"/>
  <c r="U134" i="55"/>
  <c r="U170" i="55"/>
  <c r="V77" i="55"/>
  <c r="J10" i="17"/>
  <c r="F81" i="36" s="1"/>
  <c r="K10" i="17"/>
  <c r="G81" i="36" s="1"/>
  <c r="E81" i="36"/>
  <c r="J4" i="12"/>
  <c r="D38" i="12"/>
  <c r="D39" i="12" s="1"/>
  <c r="K4" i="12"/>
  <c r="E4" i="26"/>
  <c r="L13" i="26"/>
  <c r="L19" i="26"/>
  <c r="M19" i="26" s="1"/>
  <c r="L8" i="26"/>
  <c r="L15" i="26"/>
  <c r="L22" i="26"/>
  <c r="L16" i="26"/>
  <c r="L18" i="26"/>
  <c r="L25" i="26"/>
  <c r="M25" i="26" s="1"/>
  <c r="L9" i="26"/>
  <c r="L20" i="26"/>
  <c r="M20" i="26" s="1"/>
  <c r="L11" i="26"/>
  <c r="M11" i="26" s="1"/>
  <c r="L7" i="26"/>
  <c r="L6" i="26"/>
  <c r="L17" i="26"/>
  <c r="L10" i="26"/>
  <c r="L14" i="26"/>
  <c r="L24" i="26"/>
  <c r="L23" i="26"/>
  <c r="K19" i="28"/>
  <c r="J19" i="28"/>
  <c r="J6" i="28"/>
  <c r="F137" i="36" s="1"/>
  <c r="U28" i="55" s="1"/>
  <c r="K6" i="28"/>
  <c r="G137" i="36" s="1"/>
  <c r="V28" i="55" s="1"/>
  <c r="E137" i="36"/>
  <c r="T28" i="55" s="1"/>
  <c r="K17" i="24"/>
  <c r="F158" i="35" s="1"/>
  <c r="AI106" i="55" s="1"/>
  <c r="J17" i="24"/>
  <c r="E158" i="35" s="1"/>
  <c r="AH130" i="55" s="1"/>
  <c r="J6" i="3"/>
  <c r="K6" i="3"/>
  <c r="G82" i="36" s="1"/>
  <c r="E82" i="36"/>
  <c r="T52" i="55" s="1"/>
  <c r="D38" i="3"/>
  <c r="D39" i="3" s="1"/>
  <c r="K17" i="22"/>
  <c r="F146" i="35" s="1"/>
  <c r="J17" i="22"/>
  <c r="E4" i="22"/>
  <c r="E51" i="33"/>
  <c r="F195" i="35"/>
  <c r="E195" i="35"/>
  <c r="F30" i="35"/>
  <c r="E30" i="35"/>
  <c r="AH95" i="55" s="1"/>
  <c r="K20" i="30"/>
  <c r="J20" i="30"/>
  <c r="E4" i="30"/>
  <c r="E71" i="33"/>
  <c r="K6" i="31"/>
  <c r="G157" i="36" s="1"/>
  <c r="V31" i="55" s="1"/>
  <c r="J6" i="31"/>
  <c r="F157" i="36" s="1"/>
  <c r="E157" i="36"/>
  <c r="K13" i="29"/>
  <c r="F184" i="35" s="1"/>
  <c r="AI37" i="55" s="1"/>
  <c r="J13" i="29"/>
  <c r="E184" i="35" s="1"/>
  <c r="K20" i="11"/>
  <c r="J20" i="11"/>
  <c r="K8" i="30"/>
  <c r="G154" i="36" s="1"/>
  <c r="J8" i="30"/>
  <c r="F154" i="36" s="1"/>
  <c r="E154" i="36"/>
  <c r="K17" i="28"/>
  <c r="F177" i="35" s="1"/>
  <c r="AI53" i="55" s="1"/>
  <c r="J17" i="28"/>
  <c r="E177" i="35" s="1"/>
  <c r="AH53" i="55" s="1"/>
  <c r="J15" i="28"/>
  <c r="E175" i="35" s="1"/>
  <c r="AH55" i="55" s="1"/>
  <c r="K15" i="28"/>
  <c r="F175" i="35" s="1"/>
  <c r="AI55" i="55" s="1"/>
  <c r="K14" i="24"/>
  <c r="F155" i="35" s="1"/>
  <c r="J14" i="24"/>
  <c r="E155" i="35" s="1"/>
  <c r="J6" i="24"/>
  <c r="F122" i="36" s="1"/>
  <c r="U26" i="55" s="1"/>
  <c r="K6" i="24"/>
  <c r="G122" i="36" s="1"/>
  <c r="V26" i="55" s="1"/>
  <c r="E122" i="36"/>
  <c r="F107" i="35"/>
  <c r="E107" i="35"/>
  <c r="K7" i="29"/>
  <c r="G148" i="36" s="1"/>
  <c r="V74" i="55" s="1"/>
  <c r="J7" i="29"/>
  <c r="F148" i="36" s="1"/>
  <c r="U74" i="55" s="1"/>
  <c r="E148" i="36"/>
  <c r="T74" i="55" s="1"/>
  <c r="M22" i="17"/>
  <c r="E47" i="34"/>
  <c r="AU2" i="55" s="1"/>
  <c r="D38" i="19"/>
  <c r="D39" i="19" s="1"/>
  <c r="K9" i="22"/>
  <c r="G115" i="36" s="1"/>
  <c r="J9" i="22"/>
  <c r="F115" i="36" s="1"/>
  <c r="E115" i="36"/>
  <c r="J2" i="1"/>
  <c r="K11" i="33" s="1"/>
  <c r="K18" i="55" s="1"/>
  <c r="J11" i="33"/>
  <c r="J18" i="55" s="1"/>
  <c r="E3" i="30"/>
  <c r="E70" i="33"/>
  <c r="E43" i="55" s="1"/>
  <c r="E2" i="22"/>
  <c r="L7" i="22"/>
  <c r="L14" i="22"/>
  <c r="L6" i="22"/>
  <c r="L8" i="22"/>
  <c r="L25" i="22"/>
  <c r="M25" i="22" s="1"/>
  <c r="L19" i="22"/>
  <c r="M19" i="22" s="1"/>
  <c r="L11" i="22"/>
  <c r="M11" i="22" s="1"/>
  <c r="L13" i="22"/>
  <c r="L17" i="22"/>
  <c r="L22" i="22"/>
  <c r="L16" i="22"/>
  <c r="L20" i="22"/>
  <c r="M20" i="22" s="1"/>
  <c r="L10" i="22"/>
  <c r="L24" i="22"/>
  <c r="L15" i="22"/>
  <c r="L9" i="22"/>
  <c r="L18" i="22"/>
  <c r="L23" i="22"/>
  <c r="E49" i="33"/>
  <c r="E26" i="55" s="1"/>
  <c r="K15" i="29"/>
  <c r="F186" i="35" s="1"/>
  <c r="AI87" i="55" s="1"/>
  <c r="J15" i="29"/>
  <c r="E186" i="35" s="1"/>
  <c r="AH87" i="55" s="1"/>
  <c r="J13" i="11"/>
  <c r="E58" i="35" s="1"/>
  <c r="K13" i="11"/>
  <c r="F58" i="35" s="1"/>
  <c r="K4" i="28"/>
  <c r="J4" i="28"/>
  <c r="K20" i="28"/>
  <c r="J20" i="28"/>
  <c r="J20" i="24"/>
  <c r="K20" i="24"/>
  <c r="E3" i="24"/>
  <c r="L15" i="24"/>
  <c r="L16" i="24"/>
  <c r="L20" i="24"/>
  <c r="M20" i="24" s="1"/>
  <c r="L19" i="24"/>
  <c r="L23" i="24"/>
  <c r="L25" i="24"/>
  <c r="M25" i="24" s="1"/>
  <c r="L24" i="24"/>
  <c r="L6" i="24"/>
  <c r="L8" i="24"/>
  <c r="L9" i="24"/>
  <c r="L7" i="24"/>
  <c r="L18" i="24"/>
  <c r="L14" i="24"/>
  <c r="L11" i="24"/>
  <c r="M11" i="24" s="1"/>
  <c r="L22" i="24"/>
  <c r="L17" i="24"/>
  <c r="E55" i="33"/>
  <c r="E38" i="55" s="1"/>
  <c r="K18" i="3"/>
  <c r="F108" i="35" s="1"/>
  <c r="J18" i="3"/>
  <c r="E108" i="35" s="1"/>
  <c r="E105" i="35"/>
  <c r="F105" i="35"/>
  <c r="K15" i="13"/>
  <c r="F72" i="35" s="1"/>
  <c r="J15" i="13"/>
  <c r="E72" i="35" s="1"/>
  <c r="AH63" i="55" s="1"/>
  <c r="H3" i="12"/>
  <c r="I25" i="33" s="1"/>
  <c r="F25" i="33"/>
  <c r="H3" i="17"/>
  <c r="I36" i="33" s="1"/>
  <c r="F3" i="17"/>
  <c r="F36" i="33"/>
  <c r="X6" i="47"/>
  <c r="Z81" i="55"/>
  <c r="E4" i="31"/>
  <c r="E74" i="33"/>
  <c r="J6" i="22"/>
  <c r="F112" i="36" s="1"/>
  <c r="K6" i="22"/>
  <c r="G112" i="36" s="1"/>
  <c r="V21" i="55" s="1"/>
  <c r="E112" i="36"/>
  <c r="K19" i="22"/>
  <c r="J19" i="22"/>
  <c r="K17" i="29"/>
  <c r="F188" i="35" s="1"/>
  <c r="J17" i="29"/>
  <c r="E188" i="35" s="1"/>
  <c r="L23" i="19"/>
  <c r="E2" i="19"/>
  <c r="L11" i="19"/>
  <c r="M11" i="19" s="1"/>
  <c r="L20" i="19"/>
  <c r="M20" i="19" s="1"/>
  <c r="L7" i="19"/>
  <c r="L16" i="19"/>
  <c r="L9" i="19"/>
  <c r="L24" i="19"/>
  <c r="L10" i="19"/>
  <c r="L18" i="19"/>
  <c r="L25" i="19"/>
  <c r="M25" i="19" s="1"/>
  <c r="L14" i="19"/>
  <c r="L15" i="19"/>
  <c r="L19" i="19"/>
  <c r="E43" i="33"/>
  <c r="E10" i="55" s="1"/>
  <c r="E3" i="13"/>
  <c r="L17" i="13"/>
  <c r="L19" i="13"/>
  <c r="L13" i="13"/>
  <c r="L15" i="13"/>
  <c r="L8" i="13"/>
  <c r="L10" i="13"/>
  <c r="L25" i="13"/>
  <c r="M25" i="13" s="1"/>
  <c r="L6" i="13"/>
  <c r="L11" i="13"/>
  <c r="M11" i="13" s="1"/>
  <c r="L20" i="13"/>
  <c r="M20" i="13" s="1"/>
  <c r="L18" i="13"/>
  <c r="L22" i="13"/>
  <c r="L9" i="13"/>
  <c r="E27" i="33"/>
  <c r="J6" i="30"/>
  <c r="F152" i="36" s="1"/>
  <c r="U8" i="55" s="1"/>
  <c r="K6" i="30"/>
  <c r="G152" i="36" s="1"/>
  <c r="V30" i="55" s="1"/>
  <c r="E152" i="36"/>
  <c r="T8" i="55" s="1"/>
  <c r="J19" i="29"/>
  <c r="K19" i="29"/>
  <c r="K11" i="11"/>
  <c r="J11" i="11"/>
  <c r="H3" i="28"/>
  <c r="I63" i="33" s="1"/>
  <c r="F3" i="28"/>
  <c r="F63" i="33"/>
  <c r="E3" i="22"/>
  <c r="E50" i="33"/>
  <c r="J6" i="29"/>
  <c r="F147" i="36" s="1"/>
  <c r="K6" i="29"/>
  <c r="G147" i="36" s="1"/>
  <c r="V16" i="55" s="1"/>
  <c r="E147" i="36"/>
  <c r="L24" i="13"/>
  <c r="J19" i="11"/>
  <c r="K19" i="11"/>
  <c r="K3" i="28"/>
  <c r="L63" i="33" s="1"/>
  <c r="L48" i="55" s="1"/>
  <c r="J3" i="28"/>
  <c r="K63" i="33" s="1"/>
  <c r="J63" i="33"/>
  <c r="K15" i="24"/>
  <c r="J15" i="24"/>
  <c r="K8" i="3"/>
  <c r="G84" i="36" s="1"/>
  <c r="J8" i="3"/>
  <c r="F84" i="36" s="1"/>
  <c r="E84" i="36"/>
  <c r="K7" i="3"/>
  <c r="J7" i="3"/>
  <c r="E85" i="36"/>
  <c r="J17" i="13"/>
  <c r="E74" i="35" s="1"/>
  <c r="K17" i="13"/>
  <c r="F74" i="35" s="1"/>
  <c r="H4" i="9"/>
  <c r="F4" i="9"/>
  <c r="D38" i="11"/>
  <c r="D39" i="11" s="1"/>
  <c r="K14" i="22"/>
  <c r="F142" i="35" s="1"/>
  <c r="J14" i="22"/>
  <c r="E142" i="35" s="1"/>
  <c r="AH89" i="55" s="1"/>
  <c r="E4" i="15"/>
  <c r="L18" i="15"/>
  <c r="L24" i="15"/>
  <c r="L20" i="15"/>
  <c r="M20" i="15" s="1"/>
  <c r="L7" i="15"/>
  <c r="L6" i="15"/>
  <c r="L23" i="15"/>
  <c r="L8" i="15"/>
  <c r="L13" i="15"/>
  <c r="L11" i="15"/>
  <c r="M11" i="15" s="1"/>
  <c r="L25" i="15"/>
  <c r="M25" i="15" s="1"/>
  <c r="L9" i="15"/>
  <c r="L22" i="15"/>
  <c r="J19" i="23"/>
  <c r="E153" i="35" s="1"/>
  <c r="K19" i="23"/>
  <c r="F153" i="35" s="1"/>
  <c r="E193" i="35"/>
  <c r="AH99" i="55" s="1"/>
  <c r="F193" i="35"/>
  <c r="AI99" i="55" s="1"/>
  <c r="L19" i="2"/>
  <c r="M19" i="2" s="1"/>
  <c r="K3" i="29"/>
  <c r="L68" i="33" s="1"/>
  <c r="J3" i="29"/>
  <c r="K68" i="33" s="1"/>
  <c r="J68" i="33"/>
  <c r="K17" i="11"/>
  <c r="F62" i="35" s="1"/>
  <c r="J17" i="11"/>
  <c r="E62" i="35" s="1"/>
  <c r="J13" i="28"/>
  <c r="E173" i="35" s="1"/>
  <c r="AH17" i="55" s="1"/>
  <c r="K13" i="28"/>
  <c r="F173" i="35" s="1"/>
  <c r="AI17" i="55" s="1"/>
  <c r="K10" i="28"/>
  <c r="G141" i="36" s="1"/>
  <c r="J10" i="28"/>
  <c r="F141" i="36" s="1"/>
  <c r="E141" i="36"/>
  <c r="J11" i="28"/>
  <c r="K11" i="28"/>
  <c r="J10" i="24"/>
  <c r="F126" i="36" s="1"/>
  <c r="K10" i="24"/>
  <c r="G126" i="36" s="1"/>
  <c r="E126" i="36"/>
  <c r="J4" i="24"/>
  <c r="K56" i="33" s="1"/>
  <c r="K4" i="24"/>
  <c r="L56" i="33" s="1"/>
  <c r="J56" i="33"/>
  <c r="K9" i="3"/>
  <c r="J9" i="3"/>
  <c r="E83" i="36"/>
  <c r="H3" i="23"/>
  <c r="I53" i="33" s="1"/>
  <c r="F3" i="23"/>
  <c r="F53" i="33"/>
  <c r="J3" i="13"/>
  <c r="K27" i="33" s="1"/>
  <c r="K3" i="13"/>
  <c r="L27" i="33" s="1"/>
  <c r="J27" i="33"/>
  <c r="K13" i="21"/>
  <c r="J13" i="21"/>
  <c r="D38" i="21"/>
  <c r="D39" i="21" s="1"/>
  <c r="O19" i="8"/>
  <c r="N19" i="8"/>
  <c r="Q6" i="47"/>
  <c r="A6" i="35"/>
  <c r="AL106" i="47"/>
  <c r="J19" i="19"/>
  <c r="E127" i="35" s="1"/>
  <c r="K4" i="22"/>
  <c r="L51" i="33" s="1"/>
  <c r="J4" i="22"/>
  <c r="K51" i="33" s="1"/>
  <c r="J51" i="33"/>
  <c r="L22" i="19"/>
  <c r="L23" i="13"/>
  <c r="J4" i="30"/>
  <c r="K71" i="33" s="1"/>
  <c r="K4" i="30"/>
  <c r="L71" i="33" s="1"/>
  <c r="J71" i="33"/>
  <c r="E4" i="24"/>
  <c r="E56" i="33"/>
  <c r="K9" i="11"/>
  <c r="G49" i="36" s="1"/>
  <c r="V33" i="55" s="1"/>
  <c r="J9" i="11"/>
  <c r="E49" i="36"/>
  <c r="T91" i="55" s="1"/>
  <c r="K13" i="30"/>
  <c r="F190" i="35" s="1"/>
  <c r="AI19" i="55" s="1"/>
  <c r="J13" i="30"/>
  <c r="E190" i="35" s="1"/>
  <c r="K8" i="29"/>
  <c r="G149" i="36" s="1"/>
  <c r="V81" i="55" s="1"/>
  <c r="J8" i="29"/>
  <c r="F149" i="36" s="1"/>
  <c r="U81" i="55" s="1"/>
  <c r="E149" i="36"/>
  <c r="T81" i="55" s="1"/>
  <c r="K16" i="11"/>
  <c r="J16" i="11"/>
  <c r="E63" i="35" s="1"/>
  <c r="AH122" i="55" s="1"/>
  <c r="J19" i="13"/>
  <c r="E76" i="35" s="1"/>
  <c r="K19" i="13"/>
  <c r="F76" i="35" s="1"/>
  <c r="K7" i="28"/>
  <c r="G138" i="36" s="1"/>
  <c r="J7" i="28"/>
  <c r="F138" i="36" s="1"/>
  <c r="E138" i="36"/>
  <c r="J16" i="28"/>
  <c r="E176" i="35" s="1"/>
  <c r="K16" i="28"/>
  <c r="F176" i="35" s="1"/>
  <c r="K14" i="28"/>
  <c r="F174" i="35" s="1"/>
  <c r="J14" i="28"/>
  <c r="E174" i="35" s="1"/>
  <c r="K2" i="24"/>
  <c r="L54" i="33" s="1"/>
  <c r="L15" i="55" s="1"/>
  <c r="J2" i="24"/>
  <c r="K54" i="33" s="1"/>
  <c r="J54" i="33"/>
  <c r="J8" i="24"/>
  <c r="F124" i="36" s="1"/>
  <c r="U84" i="55" s="1"/>
  <c r="K8" i="24"/>
  <c r="G124" i="36" s="1"/>
  <c r="J13" i="3"/>
  <c r="E103" i="35" s="1"/>
  <c r="K13" i="3"/>
  <c r="F103" i="35" s="1"/>
  <c r="J10" i="13"/>
  <c r="F61" i="36" s="1"/>
  <c r="K10" i="13"/>
  <c r="G61" i="36" s="1"/>
  <c r="E61" i="36"/>
  <c r="J4" i="13"/>
  <c r="K4" i="13"/>
  <c r="M24" i="8"/>
  <c r="E22" i="34"/>
  <c r="E9" i="34"/>
  <c r="AF3" i="44"/>
  <c r="AD3" i="44"/>
  <c r="AF2" i="44"/>
  <c r="AD2" i="44"/>
  <c r="AE2" i="44"/>
  <c r="AE3" i="44"/>
  <c r="AL6" i="47"/>
  <c r="AN6" i="47"/>
  <c r="K3" i="22"/>
  <c r="J3" i="22"/>
  <c r="D38" i="22"/>
  <c r="D39" i="22" s="1"/>
  <c r="J50" i="33"/>
  <c r="J51" i="55" s="1"/>
  <c r="L15" i="14"/>
  <c r="L22" i="14"/>
  <c r="L7" i="14"/>
  <c r="E2" i="14"/>
  <c r="L16" i="14"/>
  <c r="L6" i="14"/>
  <c r="L14" i="14"/>
  <c r="L20" i="14"/>
  <c r="M20" i="14" s="1"/>
  <c r="L24" i="14"/>
  <c r="L19" i="14"/>
  <c r="L8" i="14"/>
  <c r="L17" i="14"/>
  <c r="L9" i="14"/>
  <c r="L11" i="14"/>
  <c r="M11" i="14" s="1"/>
  <c r="L10" i="14"/>
  <c r="L23" i="14"/>
  <c r="L25" i="14"/>
  <c r="M25" i="14" s="1"/>
  <c r="L18" i="14"/>
  <c r="L13" i="14"/>
  <c r="E29" i="33"/>
  <c r="L16" i="13"/>
  <c r="J7" i="30"/>
  <c r="F153" i="36" s="1"/>
  <c r="U61" i="55" s="1"/>
  <c r="K7" i="30"/>
  <c r="G153" i="36" s="1"/>
  <c r="V61" i="55" s="1"/>
  <c r="E153" i="36"/>
  <c r="T61" i="55" s="1"/>
  <c r="K10" i="29"/>
  <c r="G151" i="36" s="1"/>
  <c r="J10" i="29"/>
  <c r="F151" i="36" s="1"/>
  <c r="E151" i="36"/>
  <c r="K2" i="13"/>
  <c r="D38" i="13"/>
  <c r="D39" i="13" s="1"/>
  <c r="J2" i="13"/>
  <c r="J26" i="33"/>
  <c r="K9" i="28"/>
  <c r="G140" i="36" s="1"/>
  <c r="J9" i="28"/>
  <c r="F140" i="36" s="1"/>
  <c r="E140" i="36"/>
  <c r="K18" i="28"/>
  <c r="J18" i="28"/>
  <c r="K18" i="24"/>
  <c r="F156" i="35" s="1"/>
  <c r="J18" i="24"/>
  <c r="E156" i="35" s="1"/>
  <c r="D38" i="24"/>
  <c r="D39" i="24" s="1"/>
  <c r="J55" i="33"/>
  <c r="J38" i="55" s="1"/>
  <c r="J10" i="3"/>
  <c r="F86" i="36" s="1"/>
  <c r="K10" i="3"/>
  <c r="G86" i="36" s="1"/>
  <c r="E86" i="36"/>
  <c r="K13" i="13"/>
  <c r="F70" i="35" s="1"/>
  <c r="J13" i="13"/>
  <c r="E70" i="35" s="1"/>
  <c r="H3" i="21"/>
  <c r="I48" i="33" s="1"/>
  <c r="I39" i="55" s="1"/>
  <c r="F3" i="21"/>
  <c r="F48" i="33"/>
  <c r="F39" i="55" s="1"/>
  <c r="M6" i="17"/>
  <c r="M9" i="5"/>
  <c r="S6" i="47"/>
  <c r="Z8" i="47"/>
  <c r="L8" i="19"/>
  <c r="L7" i="13"/>
  <c r="E3" i="2"/>
  <c r="L20" i="2"/>
  <c r="M20" i="2" s="1"/>
  <c r="L22" i="2"/>
  <c r="L7" i="2"/>
  <c r="E65" i="33"/>
  <c r="L24" i="16"/>
  <c r="L9" i="16"/>
  <c r="L7" i="16"/>
  <c r="L25" i="16"/>
  <c r="M25" i="16" s="1"/>
  <c r="L22" i="16"/>
  <c r="L13" i="16"/>
  <c r="L11" i="16"/>
  <c r="M11" i="16" s="1"/>
  <c r="L20" i="16"/>
  <c r="M20" i="16" s="1"/>
  <c r="L10" i="16"/>
  <c r="E2" i="16"/>
  <c r="L23" i="16"/>
  <c r="L6" i="16"/>
  <c r="L8" i="16"/>
  <c r="E33" i="33"/>
  <c r="J6" i="1"/>
  <c r="F22" i="36" s="1"/>
  <c r="U65" i="55" s="1"/>
  <c r="K6" i="1"/>
  <c r="G22" i="36" s="1"/>
  <c r="E22" i="36"/>
  <c r="T65" i="55" s="1"/>
  <c r="K9" i="30"/>
  <c r="G155" i="36" s="1"/>
  <c r="J9" i="30"/>
  <c r="F155" i="36" s="1"/>
  <c r="E155" i="36"/>
  <c r="L14" i="30"/>
  <c r="L23" i="30"/>
  <c r="L13" i="30"/>
  <c r="L22" i="30"/>
  <c r="L8" i="30"/>
  <c r="L15" i="30"/>
  <c r="L25" i="30"/>
  <c r="M25" i="30" s="1"/>
  <c r="L10" i="30"/>
  <c r="L20" i="30"/>
  <c r="M20" i="30" s="1"/>
  <c r="L6" i="30"/>
  <c r="L11" i="30"/>
  <c r="M11" i="30" s="1"/>
  <c r="L24" i="30"/>
  <c r="L7" i="30"/>
  <c r="L9" i="30"/>
  <c r="E2" i="30"/>
  <c r="E69" i="33"/>
  <c r="E28" i="55" s="1"/>
  <c r="L23" i="2"/>
  <c r="K14" i="11"/>
  <c r="F60" i="35" s="1"/>
  <c r="AI100" i="55" s="1"/>
  <c r="J14" i="11"/>
  <c r="K15" i="30"/>
  <c r="F192" i="35" s="1"/>
  <c r="AI111" i="55" s="1"/>
  <c r="J15" i="30"/>
  <c r="E192" i="35" s="1"/>
  <c r="AH49" i="55" s="1"/>
  <c r="J16" i="13"/>
  <c r="E73" i="35" s="1"/>
  <c r="K16" i="13"/>
  <c r="F73" i="35" s="1"/>
  <c r="K8" i="28"/>
  <c r="G139" i="36" s="1"/>
  <c r="J8" i="28"/>
  <c r="F139" i="36" s="1"/>
  <c r="E139" i="36"/>
  <c r="J2" i="28"/>
  <c r="K2" i="28"/>
  <c r="D38" i="28"/>
  <c r="D39" i="28" s="1"/>
  <c r="J62" i="33"/>
  <c r="J13" i="55" s="1"/>
  <c r="J11" i="24"/>
  <c r="K11" i="24"/>
  <c r="J13" i="24"/>
  <c r="E154" i="35" s="1"/>
  <c r="K13" i="24"/>
  <c r="F154" i="35" s="1"/>
  <c r="E104" i="35"/>
  <c r="F104" i="35"/>
  <c r="K11" i="3"/>
  <c r="J11" i="3"/>
  <c r="K7" i="13"/>
  <c r="G58" i="36" s="1"/>
  <c r="V39" i="55" s="1"/>
  <c r="E58" i="36"/>
  <c r="T39" i="55" s="1"/>
  <c r="J7" i="13"/>
  <c r="F58" i="36" s="1"/>
  <c r="U39" i="55" s="1"/>
  <c r="O18" i="8"/>
  <c r="N18" i="8"/>
  <c r="AO106" i="47"/>
  <c r="AO6" i="47"/>
  <c r="R6" i="47"/>
  <c r="Z7" i="47"/>
  <c r="T55" i="55"/>
  <c r="U55" i="55"/>
  <c r="U41" i="55"/>
  <c r="V41" i="55"/>
  <c r="T41" i="55"/>
  <c r="AJ93" i="55"/>
  <c r="I91" i="36"/>
  <c r="C10" i="47"/>
  <c r="C11" i="47"/>
  <c r="J43" i="55"/>
  <c r="L49" i="55"/>
  <c r="D10" i="47"/>
  <c r="J37" i="55"/>
  <c r="C6" i="47"/>
  <c r="D5" i="47"/>
  <c r="C30" i="55" s="1"/>
  <c r="D6" i="47"/>
  <c r="AK110" i="55"/>
  <c r="AL110" i="55"/>
  <c r="AM110" i="55"/>
  <c r="U29" i="55"/>
  <c r="K24" i="33"/>
  <c r="H14" i="35"/>
  <c r="O10" i="18"/>
  <c r="K91" i="36" s="1"/>
  <c r="V55" i="55"/>
  <c r="AI96" i="55"/>
  <c r="H87" i="36"/>
  <c r="W58" i="55" s="1"/>
  <c r="M6" i="18"/>
  <c r="N24" i="18"/>
  <c r="G55" i="34" s="1"/>
  <c r="O24" i="18"/>
  <c r="H55" i="34" s="1"/>
  <c r="F55" i="34"/>
  <c r="AI97" i="55"/>
  <c r="L36" i="33"/>
  <c r="D26" i="47"/>
  <c r="H3" i="10"/>
  <c r="I21" i="33" s="1"/>
  <c r="I46" i="55" s="1"/>
  <c r="H21" i="33"/>
  <c r="H46" i="55" s="1"/>
  <c r="F3" i="10"/>
  <c r="G21" i="33" s="1"/>
  <c r="G46" i="55" s="1"/>
  <c r="F21" i="33"/>
  <c r="F46" i="55" s="1"/>
  <c r="E31" i="47"/>
  <c r="E3" i="7"/>
  <c r="L11" i="7"/>
  <c r="M11" i="7" s="1"/>
  <c r="L23" i="7"/>
  <c r="L6" i="7"/>
  <c r="L20" i="7"/>
  <c r="M20" i="7" s="1"/>
  <c r="L25" i="7"/>
  <c r="M25" i="7" s="1"/>
  <c r="L10" i="7"/>
  <c r="L9" i="7"/>
  <c r="L15" i="7"/>
  <c r="L8" i="7"/>
  <c r="L19" i="7"/>
  <c r="L13" i="7"/>
  <c r="E15" i="33"/>
  <c r="L14" i="7"/>
  <c r="L22" i="7"/>
  <c r="L24" i="7"/>
  <c r="L18" i="7"/>
  <c r="AH57" i="55"/>
  <c r="L11" i="33"/>
  <c r="L18" i="55" s="1"/>
  <c r="AH47" i="55"/>
  <c r="U168" i="55"/>
  <c r="U104" i="55"/>
  <c r="U132" i="55"/>
  <c r="AH173" i="55"/>
  <c r="AH184" i="55"/>
  <c r="AH177" i="55"/>
  <c r="AH135" i="55"/>
  <c r="AH139" i="55"/>
  <c r="AH156" i="55"/>
  <c r="AH158" i="55"/>
  <c r="AH133" i="55"/>
  <c r="AH167" i="55"/>
  <c r="AH185" i="55"/>
  <c r="AH142" i="55"/>
  <c r="AH145" i="55"/>
  <c r="AH140" i="55"/>
  <c r="AH137" i="55"/>
  <c r="AH182" i="55"/>
  <c r="AH138" i="55"/>
  <c r="AH166" i="55"/>
  <c r="AH162" i="55"/>
  <c r="AH136" i="55"/>
  <c r="AH183" i="55"/>
  <c r="AH152" i="55"/>
  <c r="AH165" i="55"/>
  <c r="AH179" i="55"/>
  <c r="AH170" i="55"/>
  <c r="AH168" i="55"/>
  <c r="AH141" i="55"/>
  <c r="AH155" i="55"/>
  <c r="AH148" i="55"/>
  <c r="AH153" i="55"/>
  <c r="AH159" i="55"/>
  <c r="AH163" i="55"/>
  <c r="AH154" i="55"/>
  <c r="AH146" i="55"/>
  <c r="AH171" i="55"/>
  <c r="AH186" i="55"/>
  <c r="AH181" i="55"/>
  <c r="AH144" i="55"/>
  <c r="AH147" i="55"/>
  <c r="AH160" i="55"/>
  <c r="AH164" i="55"/>
  <c r="AH149" i="55"/>
  <c r="AH180" i="55"/>
  <c r="AH178" i="55"/>
  <c r="AH161" i="55"/>
  <c r="AH157" i="55"/>
  <c r="AH132" i="55"/>
  <c r="AH150" i="55"/>
  <c r="AH151" i="55"/>
  <c r="AH172" i="55"/>
  <c r="AH175" i="55"/>
  <c r="AH176" i="55"/>
  <c r="AH143" i="55"/>
  <c r="AH169" i="55"/>
  <c r="AH134" i="55"/>
  <c r="U140" i="55"/>
  <c r="U135" i="55"/>
  <c r="U118" i="55"/>
  <c r="U160" i="55"/>
  <c r="U120" i="55"/>
  <c r="U136" i="55"/>
  <c r="U145" i="55"/>
  <c r="U117" i="55"/>
  <c r="U169" i="55"/>
  <c r="U146" i="55"/>
  <c r="U149" i="55"/>
  <c r="U124" i="55"/>
  <c r="U126" i="55"/>
  <c r="U131" i="55"/>
  <c r="U114" i="55"/>
  <c r="U161" i="55"/>
  <c r="U157" i="55"/>
  <c r="U150" i="55"/>
  <c r="U109" i="55"/>
  <c r="U107" i="55"/>
  <c r="U121" i="55"/>
  <c r="U141" i="55"/>
  <c r="U137" i="55"/>
  <c r="U152" i="55"/>
  <c r="U147" i="55"/>
  <c r="U112" i="55"/>
  <c r="U125" i="55"/>
  <c r="U144" i="55"/>
  <c r="U143" i="55"/>
  <c r="U129" i="55"/>
  <c r="U171" i="55"/>
  <c r="U105" i="55"/>
  <c r="U108" i="55"/>
  <c r="U153" i="55"/>
  <c r="U151" i="55"/>
  <c r="U155" i="55"/>
  <c r="U133" i="55"/>
  <c r="U165" i="55"/>
  <c r="U113" i="55"/>
  <c r="AH59" i="55"/>
  <c r="AH75" i="55"/>
  <c r="AI70" i="55"/>
  <c r="AI73" i="55"/>
  <c r="AI41" i="55"/>
  <c r="AI43" i="55"/>
  <c r="X10" i="47"/>
  <c r="X68" i="55"/>
  <c r="W48" i="55"/>
  <c r="J2" i="30"/>
  <c r="K2" i="30"/>
  <c r="D38" i="30"/>
  <c r="D39" i="30" s="1"/>
  <c r="J69" i="33"/>
  <c r="J47" i="55" s="1"/>
  <c r="AI126" i="55"/>
  <c r="AI78" i="55"/>
  <c r="J72" i="33"/>
  <c r="K2" i="31"/>
  <c r="J2" i="31"/>
  <c r="K72" i="33" s="1"/>
  <c r="D38" i="31"/>
  <c r="D39" i="31" s="1"/>
  <c r="AH64" i="55"/>
  <c r="AI121" i="55"/>
  <c r="D51" i="47"/>
  <c r="F76" i="47"/>
  <c r="D65" i="47"/>
  <c r="D83" i="47"/>
  <c r="C60" i="47"/>
  <c r="F85" i="47"/>
  <c r="E62" i="47"/>
  <c r="D52" i="47"/>
  <c r="F78" i="47"/>
  <c r="C88" i="47"/>
  <c r="F95" i="47"/>
  <c r="D58" i="47"/>
  <c r="D57" i="47"/>
  <c r="F91" i="47"/>
  <c r="K55" i="33"/>
  <c r="K38" i="55" s="1"/>
  <c r="U85" i="55"/>
  <c r="K39" i="55"/>
  <c r="J46" i="33"/>
  <c r="D38" i="20"/>
  <c r="D39" i="20" s="1"/>
  <c r="U24" i="55"/>
  <c r="AI4" i="55"/>
  <c r="T59" i="55"/>
  <c r="AH96" i="55"/>
  <c r="J12" i="55"/>
  <c r="U73" i="55"/>
  <c r="AH41" i="55"/>
  <c r="T73" i="55"/>
  <c r="L32" i="33"/>
  <c r="AH83" i="55"/>
  <c r="K17" i="55"/>
  <c r="U9" i="55"/>
  <c r="L21" i="33"/>
  <c r="L46" i="55" s="1"/>
  <c r="T9" i="55"/>
  <c r="AH9" i="55"/>
  <c r="AH120" i="55"/>
  <c r="U11" i="55"/>
  <c r="E35" i="36"/>
  <c r="K9" i="8"/>
  <c r="J9" i="8"/>
  <c r="F35" i="36" s="1"/>
  <c r="U83" i="55" s="1"/>
  <c r="AH78" i="55"/>
  <c r="T47" i="55"/>
  <c r="U15" i="55"/>
  <c r="AH30" i="55" l="1"/>
  <c r="K44" i="55"/>
  <c r="AI23" i="55"/>
  <c r="AI57" i="55"/>
  <c r="F44" i="55"/>
  <c r="F199" i="35"/>
  <c r="AI88" i="55" s="1"/>
  <c r="E22" i="55"/>
  <c r="E13" i="55"/>
  <c r="E202" i="35"/>
  <c r="U37" i="55"/>
  <c r="U30" i="55"/>
  <c r="N18" i="30"/>
  <c r="O18" i="30"/>
  <c r="O19" i="30"/>
  <c r="J196" i="35" s="1"/>
  <c r="N19" i="30"/>
  <c r="I196" i="35" s="1"/>
  <c r="O16" i="30"/>
  <c r="N16" i="30"/>
  <c r="O17" i="30"/>
  <c r="N17" i="30"/>
  <c r="AI29" i="55"/>
  <c r="T37" i="55"/>
  <c r="AH90" i="55"/>
  <c r="E124" i="35"/>
  <c r="E125" i="35"/>
  <c r="F126" i="35"/>
  <c r="AH51" i="55"/>
  <c r="M13" i="19"/>
  <c r="H122" i="35" s="1"/>
  <c r="H107" i="36"/>
  <c r="N20" i="21"/>
  <c r="I79" i="36"/>
  <c r="X56" i="55" s="1"/>
  <c r="H98" i="35"/>
  <c r="F200" i="35"/>
  <c r="AI60" i="55"/>
  <c r="G14" i="36"/>
  <c r="G15" i="36"/>
  <c r="H15" i="36"/>
  <c r="H14" i="36"/>
  <c r="F13" i="36"/>
  <c r="G13" i="36"/>
  <c r="V71" i="55" s="1"/>
  <c r="F14" i="36"/>
  <c r="E159" i="35"/>
  <c r="F159" i="35"/>
  <c r="F4" i="4"/>
  <c r="AI112" i="55"/>
  <c r="E170" i="35"/>
  <c r="G171" i="35"/>
  <c r="AJ80" i="55" s="1"/>
  <c r="AI62" i="55"/>
  <c r="E168" i="35"/>
  <c r="AH62" i="55" s="1"/>
  <c r="F171" i="35"/>
  <c r="E146" i="35"/>
  <c r="F145" i="35"/>
  <c r="H135" i="35"/>
  <c r="E126" i="35"/>
  <c r="H3" i="19"/>
  <c r="I44" i="33" s="1"/>
  <c r="AH107" i="55"/>
  <c r="F124" i="35"/>
  <c r="T63" i="55"/>
  <c r="O16" i="16"/>
  <c r="N16" i="16"/>
  <c r="O18" i="16"/>
  <c r="N18" i="16"/>
  <c r="O19" i="16"/>
  <c r="N19" i="16"/>
  <c r="O17" i="16"/>
  <c r="N17" i="16"/>
  <c r="E119" i="35"/>
  <c r="AH79" i="55" s="1"/>
  <c r="H4" i="25"/>
  <c r="F119" i="35"/>
  <c r="AI79" i="55" s="1"/>
  <c r="U63" i="55"/>
  <c r="F99" i="36"/>
  <c r="G99" i="36"/>
  <c r="V63" i="55" s="1"/>
  <c r="H115" i="35"/>
  <c r="N18" i="18"/>
  <c r="I115" i="35" s="1"/>
  <c r="K115" i="35" s="1"/>
  <c r="M115" i="35" s="1"/>
  <c r="G85" i="36"/>
  <c r="F83" i="36"/>
  <c r="F85" i="36"/>
  <c r="U22" i="55" s="1"/>
  <c r="G83" i="36"/>
  <c r="V80" i="55" s="1"/>
  <c r="E60" i="35"/>
  <c r="H100" i="35"/>
  <c r="E101" i="35"/>
  <c r="E97" i="35"/>
  <c r="AH91" i="55" s="1"/>
  <c r="N20" i="17"/>
  <c r="F97" i="35"/>
  <c r="M24" i="17"/>
  <c r="F49" i="34" s="1"/>
  <c r="E32" i="17"/>
  <c r="E32" i="12"/>
  <c r="F24" i="33"/>
  <c r="F23" i="55" s="1"/>
  <c r="F2" i="12"/>
  <c r="G24" i="33" s="1"/>
  <c r="G23" i="55" s="1"/>
  <c r="T33" i="55"/>
  <c r="F63" i="35"/>
  <c r="E59" i="35"/>
  <c r="AH100" i="55" s="1"/>
  <c r="G60" i="35"/>
  <c r="F59" i="35"/>
  <c r="I63" i="35"/>
  <c r="E61" i="35"/>
  <c r="W33" i="55"/>
  <c r="U33" i="55"/>
  <c r="F49" i="36"/>
  <c r="G50" i="36"/>
  <c r="V91" i="55" s="1"/>
  <c r="H49" i="36"/>
  <c r="F50" i="36"/>
  <c r="G48" i="36"/>
  <c r="T66" i="55"/>
  <c r="T40" i="55"/>
  <c r="G45" i="36"/>
  <c r="H42" i="36"/>
  <c r="W66" i="55" s="1"/>
  <c r="F44" i="36"/>
  <c r="U40" i="55" s="1"/>
  <c r="F43" i="36"/>
  <c r="U51" i="55" s="1"/>
  <c r="G44" i="36"/>
  <c r="M23" i="9"/>
  <c r="O23" i="9" s="1"/>
  <c r="H24" i="34" s="1"/>
  <c r="AH19" i="55"/>
  <c r="H2" i="1"/>
  <c r="I11" i="33" s="1"/>
  <c r="I18" i="55" s="1"/>
  <c r="F11" i="33"/>
  <c r="F18" i="55" s="1"/>
  <c r="G25" i="35"/>
  <c r="O8" i="17"/>
  <c r="K79" i="36" s="1"/>
  <c r="Z56" i="55" s="1"/>
  <c r="H4" i="16"/>
  <c r="F4" i="33"/>
  <c r="H3" i="18"/>
  <c r="I40" i="33" s="1"/>
  <c r="E32" i="6"/>
  <c r="F3" i="18"/>
  <c r="G40" i="33" s="1"/>
  <c r="F10" i="33"/>
  <c r="F50" i="55" s="1"/>
  <c r="H4" i="8"/>
  <c r="F2" i="6"/>
  <c r="G9" i="33" s="1"/>
  <c r="G3" i="55" s="1"/>
  <c r="F9" i="33"/>
  <c r="F3" i="55" s="1"/>
  <c r="H3" i="6"/>
  <c r="I10" i="33" s="1"/>
  <c r="I50" i="55" s="1"/>
  <c r="F4" i="32"/>
  <c r="E62" i="55"/>
  <c r="O15" i="2"/>
  <c r="J180" i="35" s="1"/>
  <c r="O24" i="31"/>
  <c r="O24" i="29"/>
  <c r="H91" i="34" s="1"/>
  <c r="L91" i="34" s="1"/>
  <c r="N13" i="5"/>
  <c r="I14" i="35" s="1"/>
  <c r="K14" i="35" s="1"/>
  <c r="L14" i="35" s="1"/>
  <c r="AH101" i="55"/>
  <c r="F44" i="33"/>
  <c r="T129" i="55"/>
  <c r="I33" i="36"/>
  <c r="N20" i="5"/>
  <c r="T125" i="55"/>
  <c r="H4" i="17"/>
  <c r="O25" i="5"/>
  <c r="F91" i="34"/>
  <c r="N7" i="8"/>
  <c r="J33" i="36" s="1"/>
  <c r="L33" i="36" s="1"/>
  <c r="N33" i="36" s="1"/>
  <c r="M16" i="33"/>
  <c r="M30" i="33"/>
  <c r="G32" i="8"/>
  <c r="F3" i="5"/>
  <c r="G8" i="33" s="1"/>
  <c r="F2" i="29"/>
  <c r="G67" i="33" s="1"/>
  <c r="G32" i="55" s="1"/>
  <c r="H2" i="29"/>
  <c r="I67" i="33" s="1"/>
  <c r="I32" i="55" s="1"/>
  <c r="F31" i="33"/>
  <c r="F12" i="55" s="1"/>
  <c r="H3" i="5"/>
  <c r="I8" i="33" s="1"/>
  <c r="I42" i="55" s="1"/>
  <c r="F5" i="33"/>
  <c r="F17" i="55" s="1"/>
  <c r="F2" i="15"/>
  <c r="G31" i="33" s="1"/>
  <c r="G12" i="55" s="1"/>
  <c r="H2" i="15"/>
  <c r="I31" i="33" s="1"/>
  <c r="I12" i="55" s="1"/>
  <c r="M44" i="33"/>
  <c r="H3" i="11"/>
  <c r="I23" i="33" s="1"/>
  <c r="F2" i="7"/>
  <c r="G14" i="33" s="1"/>
  <c r="E32" i="4"/>
  <c r="H4" i="28"/>
  <c r="F4" i="28"/>
  <c r="H37" i="33"/>
  <c r="H9" i="55" s="1"/>
  <c r="E32" i="18"/>
  <c r="F32" i="4"/>
  <c r="H2" i="9"/>
  <c r="I18" i="33" s="1"/>
  <c r="I14" i="55" s="1"/>
  <c r="H2" i="3"/>
  <c r="I37" i="33" s="1"/>
  <c r="I9" i="55" s="1"/>
  <c r="F2" i="3"/>
  <c r="G37" i="33" s="1"/>
  <c r="G9" i="55" s="1"/>
  <c r="E32" i="9"/>
  <c r="V7" i="55"/>
  <c r="G14" i="35"/>
  <c r="M10" i="5"/>
  <c r="I16" i="36" s="1"/>
  <c r="N19" i="5"/>
  <c r="E32" i="5"/>
  <c r="F8" i="33"/>
  <c r="M17" i="4"/>
  <c r="O17" i="4" s="1"/>
  <c r="J12" i="35" s="1"/>
  <c r="O20" i="4"/>
  <c r="E7" i="34"/>
  <c r="AU54" i="55" s="1"/>
  <c r="M22" i="4"/>
  <c r="F5" i="34" s="1"/>
  <c r="AV7" i="55" s="1"/>
  <c r="H8" i="36"/>
  <c r="W54" i="55" s="1"/>
  <c r="G8" i="35"/>
  <c r="M8" i="4"/>
  <c r="O8" i="4" s="1"/>
  <c r="K9" i="36" s="1"/>
  <c r="E6" i="34"/>
  <c r="T127" i="55"/>
  <c r="T171" i="55"/>
  <c r="T147" i="55"/>
  <c r="T111" i="55"/>
  <c r="T117" i="55"/>
  <c r="T144" i="55"/>
  <c r="T119" i="55"/>
  <c r="M6" i="31"/>
  <c r="I157" i="36" s="1"/>
  <c r="N73" i="33"/>
  <c r="M73" i="33"/>
  <c r="G184" i="35"/>
  <c r="H147" i="36"/>
  <c r="W16" i="55" s="1"/>
  <c r="E89" i="34"/>
  <c r="AU30" i="55" s="1"/>
  <c r="O8" i="29"/>
  <c r="K149" i="36" s="1"/>
  <c r="O14" i="29"/>
  <c r="J185" i="35" s="1"/>
  <c r="K185" i="35" s="1"/>
  <c r="M9" i="29"/>
  <c r="I150" i="36" s="1"/>
  <c r="M17" i="29"/>
  <c r="H188" i="35" s="1"/>
  <c r="N8" i="29"/>
  <c r="J149" i="36" s="1"/>
  <c r="Y81" i="55" s="1"/>
  <c r="N15" i="29"/>
  <c r="I186" i="35" s="1"/>
  <c r="E90" i="34"/>
  <c r="G186" i="35"/>
  <c r="N19" i="29"/>
  <c r="H186" i="35"/>
  <c r="F67" i="33"/>
  <c r="F32" i="55" s="1"/>
  <c r="O20" i="29"/>
  <c r="H151" i="36"/>
  <c r="N11" i="29"/>
  <c r="E91" i="34"/>
  <c r="H149" i="36"/>
  <c r="W81" i="55" s="1"/>
  <c r="G38" i="29"/>
  <c r="G39" i="29" s="1"/>
  <c r="H67" i="33"/>
  <c r="H32" i="55" s="1"/>
  <c r="M18" i="29"/>
  <c r="H189" i="35" s="1"/>
  <c r="G185" i="35"/>
  <c r="O25" i="29"/>
  <c r="G177" i="35"/>
  <c r="AJ53" i="55" s="1"/>
  <c r="G173" i="35"/>
  <c r="G174" i="35"/>
  <c r="H138" i="36"/>
  <c r="W38" i="55" s="1"/>
  <c r="M24" i="28"/>
  <c r="N24" i="28" s="1"/>
  <c r="G85" i="34" s="1"/>
  <c r="O25" i="28"/>
  <c r="O11" i="28"/>
  <c r="M10" i="28"/>
  <c r="I141" i="36" s="1"/>
  <c r="M9" i="28"/>
  <c r="O9" i="28" s="1"/>
  <c r="K140" i="36" s="1"/>
  <c r="E32" i="28"/>
  <c r="G38" i="28"/>
  <c r="G39" i="28" s="1"/>
  <c r="M6" i="28"/>
  <c r="N6" i="28" s="1"/>
  <c r="E83" i="34"/>
  <c r="AU26" i="55" s="1"/>
  <c r="M23" i="28"/>
  <c r="O23" i="28" s="1"/>
  <c r="H84" i="34" s="1"/>
  <c r="F83" i="34"/>
  <c r="AV26" i="55" s="1"/>
  <c r="M15" i="28"/>
  <c r="H175" i="35" s="1"/>
  <c r="G176" i="35"/>
  <c r="O8" i="28"/>
  <c r="K139" i="36" s="1"/>
  <c r="L139" i="36" s="1"/>
  <c r="N15" i="2"/>
  <c r="I180" i="35" s="1"/>
  <c r="K180" i="35" s="1"/>
  <c r="L180" i="35" s="1"/>
  <c r="N6" i="2"/>
  <c r="J142" i="36" s="1"/>
  <c r="N8" i="2"/>
  <c r="J144" i="36" s="1"/>
  <c r="O8" i="2"/>
  <c r="K144" i="36" s="1"/>
  <c r="AI113" i="55"/>
  <c r="H178" i="35"/>
  <c r="N13" i="2"/>
  <c r="I178" i="35" s="1"/>
  <c r="H179" i="35"/>
  <c r="AK31" i="55" s="1"/>
  <c r="G180" i="35"/>
  <c r="M13" i="27"/>
  <c r="H167" i="35" s="1"/>
  <c r="G168" i="35"/>
  <c r="E81" i="34"/>
  <c r="H136" i="36"/>
  <c r="M22" i="27"/>
  <c r="O22" i="27" s="1"/>
  <c r="H80" i="34" s="1"/>
  <c r="AX11" i="55" s="1"/>
  <c r="M9" i="27"/>
  <c r="O9" i="27" s="1"/>
  <c r="K135" i="36" s="1"/>
  <c r="F59" i="33"/>
  <c r="F19" i="55" s="1"/>
  <c r="H59" i="33"/>
  <c r="H2" i="27"/>
  <c r="I59" i="33" s="1"/>
  <c r="I19" i="55" s="1"/>
  <c r="M6" i="27"/>
  <c r="N6" i="27" s="1"/>
  <c r="O11" i="27"/>
  <c r="E32" i="27"/>
  <c r="M8" i="27"/>
  <c r="O8" i="27" s="1"/>
  <c r="K134" i="36" s="1"/>
  <c r="O25" i="27"/>
  <c r="G152" i="35"/>
  <c r="G148" i="35"/>
  <c r="H153" i="35"/>
  <c r="G38" i="23"/>
  <c r="G39" i="23" s="1"/>
  <c r="O19" i="23"/>
  <c r="J153" i="35" s="1"/>
  <c r="K153" i="35" s="1"/>
  <c r="G149" i="35"/>
  <c r="H118" i="36"/>
  <c r="W72" i="55" s="1"/>
  <c r="G139" i="35"/>
  <c r="AJ52" i="55" s="1"/>
  <c r="G137" i="35"/>
  <c r="AJ92" i="55" s="1"/>
  <c r="N11" i="21"/>
  <c r="G136" i="35"/>
  <c r="AJ117" i="55" s="1"/>
  <c r="M23" i="21"/>
  <c r="N23" i="21" s="1"/>
  <c r="G63" i="34" s="1"/>
  <c r="E64" i="34"/>
  <c r="M9" i="21"/>
  <c r="I110" i="36" s="1"/>
  <c r="H108" i="36"/>
  <c r="M22" i="21"/>
  <c r="O22" i="21" s="1"/>
  <c r="H62" i="34" s="1"/>
  <c r="AX18" i="55" s="1"/>
  <c r="M18" i="21"/>
  <c r="H140" i="35" s="1"/>
  <c r="M23" i="20"/>
  <c r="N23" i="20" s="1"/>
  <c r="G60" i="34" s="1"/>
  <c r="M7" i="20"/>
  <c r="I103" i="36" s="1"/>
  <c r="V36" i="55"/>
  <c r="M17" i="18"/>
  <c r="M8" i="18"/>
  <c r="N8" i="18" s="1"/>
  <c r="J89" i="36" s="1"/>
  <c r="H88" i="36"/>
  <c r="W87" i="55" s="1"/>
  <c r="V58" i="55"/>
  <c r="E38" i="18"/>
  <c r="E39" i="18" s="1"/>
  <c r="M19" i="3"/>
  <c r="O19" i="3" s="1"/>
  <c r="J109" i="35" s="1"/>
  <c r="M6" i="3"/>
  <c r="N6" i="3" s="1"/>
  <c r="O11" i="3"/>
  <c r="T22" i="55"/>
  <c r="M10" i="3"/>
  <c r="N10" i="3" s="1"/>
  <c r="J86" i="36" s="1"/>
  <c r="N8" i="3"/>
  <c r="J84" i="36" s="1"/>
  <c r="H84" i="36"/>
  <c r="W74" i="55" s="1"/>
  <c r="G106" i="35"/>
  <c r="G105" i="35"/>
  <c r="M18" i="3"/>
  <c r="H108" i="35" s="1"/>
  <c r="G107" i="35"/>
  <c r="G99" i="35"/>
  <c r="G100" i="35"/>
  <c r="O17" i="17"/>
  <c r="N17" i="17"/>
  <c r="AH71" i="55"/>
  <c r="M14" i="13"/>
  <c r="H71" i="35" s="1"/>
  <c r="M7" i="12"/>
  <c r="N7" i="12" s="1"/>
  <c r="J53" i="36" s="1"/>
  <c r="I54" i="36"/>
  <c r="G64" i="35"/>
  <c r="M17" i="12"/>
  <c r="O17" i="12" s="1"/>
  <c r="J69" i="35" s="1"/>
  <c r="AM121" i="55" s="1"/>
  <c r="M23" i="12"/>
  <c r="N23" i="12" s="1"/>
  <c r="G33" i="34" s="1"/>
  <c r="M13" i="12"/>
  <c r="O13" i="12" s="1"/>
  <c r="J65" i="35" s="1"/>
  <c r="AM6" i="55" s="1"/>
  <c r="N8" i="12"/>
  <c r="J54" i="36" s="1"/>
  <c r="L54" i="36" s="1"/>
  <c r="M24" i="12"/>
  <c r="F34" i="34" s="1"/>
  <c r="N11" i="12"/>
  <c r="M10" i="12"/>
  <c r="O10" i="12" s="1"/>
  <c r="K56" i="36" s="1"/>
  <c r="O20" i="12"/>
  <c r="H54" i="36"/>
  <c r="H52" i="36"/>
  <c r="H55" i="36"/>
  <c r="E32" i="34"/>
  <c r="AU23" i="55" s="1"/>
  <c r="G68" i="35"/>
  <c r="G62" i="35"/>
  <c r="M9" i="11"/>
  <c r="E30" i="34"/>
  <c r="N23" i="11"/>
  <c r="G30" i="34" s="1"/>
  <c r="O23" i="11"/>
  <c r="H30" i="34" s="1"/>
  <c r="N17" i="11"/>
  <c r="I62" i="35" s="1"/>
  <c r="K62" i="35" s="1"/>
  <c r="O10" i="11"/>
  <c r="K51" i="36" s="1"/>
  <c r="L51" i="36" s="1"/>
  <c r="I51" i="36"/>
  <c r="H51" i="36"/>
  <c r="F23" i="33"/>
  <c r="H23" i="33"/>
  <c r="N19" i="10"/>
  <c r="G52" i="35"/>
  <c r="AJ8" i="55" s="1"/>
  <c r="E38" i="10"/>
  <c r="E39" i="10" s="1"/>
  <c r="F38" i="10"/>
  <c r="F39" i="10" s="1"/>
  <c r="K21" i="33"/>
  <c r="K46" i="55" s="1"/>
  <c r="N14" i="9"/>
  <c r="I47" i="35" s="1"/>
  <c r="M22" i="9"/>
  <c r="O22" i="9" s="1"/>
  <c r="H23" i="34" s="1"/>
  <c r="AX12" i="55" s="1"/>
  <c r="M16" i="9"/>
  <c r="H49" i="35" s="1"/>
  <c r="H40" i="36"/>
  <c r="M7" i="9"/>
  <c r="O7" i="9" s="1"/>
  <c r="K38" i="36" s="1"/>
  <c r="G46" i="35"/>
  <c r="O14" i="9"/>
  <c r="J47" i="35" s="1"/>
  <c r="N19" i="9"/>
  <c r="M6" i="9"/>
  <c r="N6" i="9" s="1"/>
  <c r="J37" i="36" s="1"/>
  <c r="G47" i="35"/>
  <c r="N11" i="9"/>
  <c r="G48" i="35"/>
  <c r="M17" i="9"/>
  <c r="O17" i="9" s="1"/>
  <c r="J50" i="35" s="1"/>
  <c r="H48" i="35"/>
  <c r="N25" i="9"/>
  <c r="F38" i="9"/>
  <c r="F39" i="9" s="1"/>
  <c r="E38" i="9"/>
  <c r="E39" i="9" s="1"/>
  <c r="E20" i="34"/>
  <c r="N11" i="8"/>
  <c r="H45" i="35"/>
  <c r="M15" i="8"/>
  <c r="H33" i="36"/>
  <c r="G38" i="8"/>
  <c r="G39" i="8" s="1"/>
  <c r="M10" i="8"/>
  <c r="I36" i="36" s="1"/>
  <c r="N17" i="33"/>
  <c r="F16" i="47" s="1"/>
  <c r="K44" i="35"/>
  <c r="L44" i="35" s="1"/>
  <c r="M7" i="7"/>
  <c r="I28" i="36" s="1"/>
  <c r="F14" i="33"/>
  <c r="N22" i="1"/>
  <c r="G14" i="34" s="1"/>
  <c r="I14" i="34" s="1"/>
  <c r="F14" i="34"/>
  <c r="H24" i="36"/>
  <c r="W18" i="55" s="1"/>
  <c r="M7" i="1"/>
  <c r="N7" i="1" s="1"/>
  <c r="J23" i="36" s="1"/>
  <c r="H25" i="36"/>
  <c r="O19" i="1"/>
  <c r="J33" i="35" s="1"/>
  <c r="H26" i="36"/>
  <c r="M23" i="6"/>
  <c r="O23" i="6" s="1"/>
  <c r="H12" i="34" s="1"/>
  <c r="AX27" i="55" s="1"/>
  <c r="H19" i="36"/>
  <c r="W82" i="55" s="1"/>
  <c r="E13" i="34"/>
  <c r="I18" i="36"/>
  <c r="N24" i="6"/>
  <c r="G13" i="34" s="1"/>
  <c r="I13" i="34" s="1"/>
  <c r="G24" i="35"/>
  <c r="N24" i="5"/>
  <c r="G10" i="34" s="1"/>
  <c r="G17" i="35"/>
  <c r="M17" i="5"/>
  <c r="O17" i="5" s="1"/>
  <c r="J18" i="35" s="1"/>
  <c r="M18" i="5"/>
  <c r="N18" i="5" s="1"/>
  <c r="I19" i="35" s="1"/>
  <c r="H15" i="35"/>
  <c r="AK59" i="55" s="1"/>
  <c r="M15" i="5"/>
  <c r="O15" i="5" s="1"/>
  <c r="J16" i="35" s="1"/>
  <c r="M22" i="5"/>
  <c r="O22" i="5" s="1"/>
  <c r="H8" i="34" s="1"/>
  <c r="AX3" i="55" s="1"/>
  <c r="G15" i="35"/>
  <c r="AJ59" i="55" s="1"/>
  <c r="E10" i="34"/>
  <c r="M8" i="5"/>
  <c r="O8" i="5" s="1"/>
  <c r="O24" i="5"/>
  <c r="H10" i="34" s="1"/>
  <c r="N11" i="5"/>
  <c r="N6" i="33"/>
  <c r="G32" i="4"/>
  <c r="M16" i="4"/>
  <c r="H11" i="35" s="1"/>
  <c r="H7" i="36"/>
  <c r="W6" i="55" s="1"/>
  <c r="M9" i="4"/>
  <c r="N9" i="4" s="1"/>
  <c r="J10" i="36" s="1"/>
  <c r="M18" i="4"/>
  <c r="N18" i="4" s="1"/>
  <c r="I13" i="35" s="1"/>
  <c r="G10" i="35"/>
  <c r="AJ70" i="55" s="1"/>
  <c r="O25" i="4"/>
  <c r="O19" i="4"/>
  <c r="G9" i="35"/>
  <c r="AJ73" i="55" s="1"/>
  <c r="H2" i="4"/>
  <c r="I5" i="33" s="1"/>
  <c r="I17" i="55" s="1"/>
  <c r="G7" i="35"/>
  <c r="AJ132" i="55" s="1"/>
  <c r="H4" i="36"/>
  <c r="T137" i="55"/>
  <c r="T103" i="55"/>
  <c r="L62" i="55"/>
  <c r="T155" i="55"/>
  <c r="L78" i="55"/>
  <c r="T122" i="55"/>
  <c r="L52" i="55"/>
  <c r="T106" i="55"/>
  <c r="T143" i="55"/>
  <c r="L55" i="55"/>
  <c r="L72" i="55"/>
  <c r="AI185" i="55"/>
  <c r="AI183" i="55"/>
  <c r="AI181" i="55"/>
  <c r="L64" i="55"/>
  <c r="AI158" i="55"/>
  <c r="AI177" i="55"/>
  <c r="V141" i="55"/>
  <c r="V107" i="55"/>
  <c r="T105" i="55"/>
  <c r="T163" i="55"/>
  <c r="T131" i="55"/>
  <c r="L79" i="55"/>
  <c r="T133" i="55"/>
  <c r="T152" i="55"/>
  <c r="T112" i="55"/>
  <c r="L69" i="55"/>
  <c r="T109" i="55"/>
  <c r="AI169" i="55"/>
  <c r="L76" i="55"/>
  <c r="AI149" i="55"/>
  <c r="AI159" i="55"/>
  <c r="AI175" i="55"/>
  <c r="AI154" i="55"/>
  <c r="F4" i="34"/>
  <c r="AI151" i="55"/>
  <c r="AI143" i="55"/>
  <c r="AI140" i="55"/>
  <c r="AI141" i="55"/>
  <c r="AI133" i="55"/>
  <c r="AI162" i="55"/>
  <c r="AI164" i="55"/>
  <c r="AI165" i="55"/>
  <c r="N24" i="32"/>
  <c r="G4" i="34" s="1"/>
  <c r="K25" i="47"/>
  <c r="J22" i="47"/>
  <c r="K10" i="47"/>
  <c r="J10" i="47"/>
  <c r="K6" i="47"/>
  <c r="K15" i="47"/>
  <c r="J23" i="47"/>
  <c r="J16" i="47"/>
  <c r="J26" i="47"/>
  <c r="J8" i="47"/>
  <c r="G3" i="35"/>
  <c r="L9" i="47"/>
  <c r="J13" i="47"/>
  <c r="K12" i="47"/>
  <c r="L14" i="47"/>
  <c r="AI148" i="55"/>
  <c r="L8" i="47"/>
  <c r="L16" i="47"/>
  <c r="L17" i="47"/>
  <c r="L15" i="47"/>
  <c r="J7" i="47"/>
  <c r="J11" i="47"/>
  <c r="L13" i="47"/>
  <c r="L23" i="47"/>
  <c r="J24" i="47"/>
  <c r="K11" i="47"/>
  <c r="K8" i="47"/>
  <c r="L11" i="47"/>
  <c r="J14" i="47"/>
  <c r="K19" i="47"/>
  <c r="K14" i="47"/>
  <c r="L6" i="47"/>
  <c r="K7" i="47"/>
  <c r="L18" i="47"/>
  <c r="K16" i="47"/>
  <c r="T158" i="55"/>
  <c r="K9" i="47"/>
  <c r="J15" i="47"/>
  <c r="AI146" i="55"/>
  <c r="T130" i="55"/>
  <c r="L10" i="47"/>
  <c r="K13" i="47"/>
  <c r="L24" i="47"/>
  <c r="T104" i="55"/>
  <c r="T114" i="55"/>
  <c r="T157" i="55"/>
  <c r="L7" i="47"/>
  <c r="K27" i="47"/>
  <c r="T128" i="55"/>
  <c r="J12" i="47"/>
  <c r="AI166" i="55"/>
  <c r="T124" i="55"/>
  <c r="O8" i="32"/>
  <c r="K4" i="36" s="1"/>
  <c r="N8" i="32"/>
  <c r="J4" i="36" s="1"/>
  <c r="L21" i="47"/>
  <c r="L12" i="47"/>
  <c r="J6" i="47"/>
  <c r="J9" i="47"/>
  <c r="AI139" i="55"/>
  <c r="T164" i="55"/>
  <c r="M13" i="32"/>
  <c r="H2" i="35" s="1"/>
  <c r="I3" i="36"/>
  <c r="N10" i="32"/>
  <c r="J6" i="36" s="1"/>
  <c r="Y92" i="55" s="1"/>
  <c r="AO10" i="47"/>
  <c r="AN7" i="47"/>
  <c r="AO8" i="47"/>
  <c r="Y9" i="47"/>
  <c r="AL7" i="47"/>
  <c r="Z9" i="47"/>
  <c r="Y7" i="47"/>
  <c r="AN9" i="47"/>
  <c r="AL8" i="47"/>
  <c r="AO7" i="47"/>
  <c r="A12" i="34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Y100" i="47" s="1"/>
  <c r="AN25" i="47"/>
  <c r="AN37" i="47"/>
  <c r="AL33" i="47"/>
  <c r="AL11" i="47"/>
  <c r="Z12" i="47"/>
  <c r="X11" i="47"/>
  <c r="AN12" i="47"/>
  <c r="AL14" i="47"/>
  <c r="AO15" i="47"/>
  <c r="AL12" i="47"/>
  <c r="AN11" i="47"/>
  <c r="X15" i="47"/>
  <c r="Z27" i="47"/>
  <c r="AO14" i="47"/>
  <c r="X13" i="47"/>
  <c r="H5" i="36"/>
  <c r="H6" i="36"/>
  <c r="W147" i="55" s="1"/>
  <c r="X8" i="47"/>
  <c r="AS7" i="55"/>
  <c r="O10" i="32"/>
  <c r="K6" i="36" s="1"/>
  <c r="Y10" i="47"/>
  <c r="G6" i="35"/>
  <c r="G85" i="35"/>
  <c r="O17" i="15"/>
  <c r="N17" i="15"/>
  <c r="N15" i="15"/>
  <c r="O15" i="15"/>
  <c r="N16" i="15"/>
  <c r="O16" i="15"/>
  <c r="J20" i="47"/>
  <c r="L19" i="47"/>
  <c r="K21" i="47"/>
  <c r="J18" i="47"/>
  <c r="K22" i="47"/>
  <c r="K18" i="47"/>
  <c r="J21" i="47"/>
  <c r="J19" i="47"/>
  <c r="L27" i="47"/>
  <c r="L26" i="47"/>
  <c r="G29" i="35"/>
  <c r="K17" i="47"/>
  <c r="V79" i="55"/>
  <c r="U79" i="55"/>
  <c r="L22" i="47"/>
  <c r="J27" i="47"/>
  <c r="L20" i="47"/>
  <c r="AH45" i="55"/>
  <c r="K20" i="47"/>
  <c r="K26" i="47"/>
  <c r="L25" i="47"/>
  <c r="J17" i="47"/>
  <c r="G30" i="35"/>
  <c r="AJ95" i="55" s="1"/>
  <c r="K23" i="47"/>
  <c r="J25" i="47"/>
  <c r="K24" i="47"/>
  <c r="N9" i="1"/>
  <c r="J25" i="36" s="1"/>
  <c r="O9" i="1"/>
  <c r="K25" i="36" s="1"/>
  <c r="N8" i="1"/>
  <c r="J24" i="36" s="1"/>
  <c r="Y18" i="55" s="1"/>
  <c r="O8" i="1"/>
  <c r="K24" i="36" s="1"/>
  <c r="G138" i="35"/>
  <c r="O17" i="21"/>
  <c r="J139" i="35" s="1"/>
  <c r="AM52" i="55" s="1"/>
  <c r="N17" i="21"/>
  <c r="I139" i="35" s="1"/>
  <c r="AL52" i="55" s="1"/>
  <c r="AH58" i="55"/>
  <c r="M23" i="3"/>
  <c r="O23" i="3" s="1"/>
  <c r="H51" i="34" s="1"/>
  <c r="AX32" i="55" s="1"/>
  <c r="N16" i="3"/>
  <c r="I106" i="35" s="1"/>
  <c r="O16" i="3"/>
  <c r="J106" i="35" s="1"/>
  <c r="N15" i="3"/>
  <c r="I105" i="35" s="1"/>
  <c r="O15" i="3"/>
  <c r="J105" i="35" s="1"/>
  <c r="N17" i="3"/>
  <c r="I107" i="35" s="1"/>
  <c r="O17" i="3"/>
  <c r="J107" i="35" s="1"/>
  <c r="N14" i="3"/>
  <c r="I104" i="35" s="1"/>
  <c r="O14" i="3"/>
  <c r="J104" i="35" s="1"/>
  <c r="AM58" i="55" s="1"/>
  <c r="O8" i="3"/>
  <c r="K84" i="36" s="1"/>
  <c r="N20" i="3"/>
  <c r="F13" i="34"/>
  <c r="O7" i="6"/>
  <c r="K18" i="36" s="1"/>
  <c r="L18" i="36" s="1"/>
  <c r="O25" i="6"/>
  <c r="N9" i="6"/>
  <c r="J20" i="36" s="1"/>
  <c r="L20" i="36" s="1"/>
  <c r="H20" i="36"/>
  <c r="H18" i="36"/>
  <c r="G20" i="35"/>
  <c r="AJ64" i="55" s="1"/>
  <c r="N16" i="6"/>
  <c r="I23" i="35" s="1"/>
  <c r="AL119" i="55" s="1"/>
  <c r="O16" i="6"/>
  <c r="J23" i="35" s="1"/>
  <c r="AM119" i="55" s="1"/>
  <c r="N18" i="6"/>
  <c r="I25" i="35" s="1"/>
  <c r="O18" i="6"/>
  <c r="J25" i="35" s="1"/>
  <c r="O17" i="6"/>
  <c r="J24" i="35" s="1"/>
  <c r="N17" i="6"/>
  <c r="I24" i="35" s="1"/>
  <c r="N15" i="6"/>
  <c r="I22" i="35" s="1"/>
  <c r="O15" i="6"/>
  <c r="J22" i="35" s="1"/>
  <c r="AM116" i="55" s="1"/>
  <c r="I20" i="36"/>
  <c r="F38" i="6"/>
  <c r="F39" i="6" s="1"/>
  <c r="N10" i="6"/>
  <c r="J21" i="36" s="1"/>
  <c r="L21" i="36" s="1"/>
  <c r="E38" i="4"/>
  <c r="E39" i="4" s="1"/>
  <c r="H25" i="35"/>
  <c r="F38" i="26"/>
  <c r="F39" i="26" s="1"/>
  <c r="N20" i="11"/>
  <c r="N25" i="21"/>
  <c r="M6" i="1"/>
  <c r="O6" i="1" s="1"/>
  <c r="K22" i="36" s="1"/>
  <c r="O20" i="1"/>
  <c r="M14" i="1"/>
  <c r="O14" i="1" s="1"/>
  <c r="J28" i="35" s="1"/>
  <c r="O10" i="1"/>
  <c r="K26" i="36" s="1"/>
  <c r="O16" i="1"/>
  <c r="J30" i="35" s="1"/>
  <c r="AM95" i="55" s="1"/>
  <c r="N16" i="1"/>
  <c r="I30" i="35" s="1"/>
  <c r="N18" i="1"/>
  <c r="I32" i="35" s="1"/>
  <c r="O18" i="1"/>
  <c r="J32" i="35" s="1"/>
  <c r="N15" i="1"/>
  <c r="O15" i="1"/>
  <c r="N10" i="1"/>
  <c r="J26" i="36" s="1"/>
  <c r="N17" i="1"/>
  <c r="I31" i="35" s="1"/>
  <c r="O17" i="1"/>
  <c r="J31" i="35" s="1"/>
  <c r="E48" i="34"/>
  <c r="AU24" i="55" s="1"/>
  <c r="O15" i="17"/>
  <c r="N15" i="17"/>
  <c r="AI68" i="55"/>
  <c r="O6" i="2"/>
  <c r="K142" i="36" s="1"/>
  <c r="Z2" i="55" s="1"/>
  <c r="N17" i="2"/>
  <c r="O17" i="2"/>
  <c r="N18" i="2"/>
  <c r="O18" i="2"/>
  <c r="F88" i="34"/>
  <c r="N16" i="2"/>
  <c r="O16" i="2"/>
  <c r="N9" i="17"/>
  <c r="J80" i="36" s="1"/>
  <c r="G97" i="35"/>
  <c r="H80" i="36"/>
  <c r="G101" i="35"/>
  <c r="N13" i="17"/>
  <c r="O13" i="17"/>
  <c r="N14" i="17"/>
  <c r="O14" i="17"/>
  <c r="N18" i="17"/>
  <c r="I102" i="35" s="1"/>
  <c r="AL82" i="55" s="1"/>
  <c r="O18" i="17"/>
  <c r="J102" i="35" s="1"/>
  <c r="O9" i="17"/>
  <c r="K80" i="36" s="1"/>
  <c r="N16" i="17"/>
  <c r="O16" i="17"/>
  <c r="G98" i="35"/>
  <c r="AH32" i="55"/>
  <c r="N14" i="16"/>
  <c r="O14" i="16"/>
  <c r="N15" i="16"/>
  <c r="O15" i="16"/>
  <c r="AT7" i="55"/>
  <c r="O24" i="25"/>
  <c r="N24" i="25"/>
  <c r="N23" i="25"/>
  <c r="O23" i="25"/>
  <c r="G61" i="35"/>
  <c r="M14" i="11"/>
  <c r="H62" i="35"/>
  <c r="O19" i="11"/>
  <c r="M6" i="11"/>
  <c r="O6" i="11" s="1"/>
  <c r="K47" i="36" s="1"/>
  <c r="Z25" i="55" s="1"/>
  <c r="N25" i="11"/>
  <c r="M24" i="11"/>
  <c r="N24" i="11" s="1"/>
  <c r="G31" i="34" s="1"/>
  <c r="J45" i="55"/>
  <c r="AI90" i="55"/>
  <c r="H119" i="36"/>
  <c r="W50" i="55" s="1"/>
  <c r="AH65" i="55"/>
  <c r="T62" i="55"/>
  <c r="V85" i="55"/>
  <c r="N18" i="23"/>
  <c r="I152" i="35" s="1"/>
  <c r="O18" i="23"/>
  <c r="J152" i="35" s="1"/>
  <c r="N15" i="23"/>
  <c r="I149" i="35" s="1"/>
  <c r="O15" i="23"/>
  <c r="J149" i="35" s="1"/>
  <c r="N17" i="23"/>
  <c r="I151" i="35" s="1"/>
  <c r="O17" i="23"/>
  <c r="J151" i="35" s="1"/>
  <c r="N14" i="23"/>
  <c r="I148" i="35" s="1"/>
  <c r="O14" i="23"/>
  <c r="J148" i="35" s="1"/>
  <c r="N16" i="23"/>
  <c r="I150" i="35" s="1"/>
  <c r="O16" i="23"/>
  <c r="J150" i="35" s="1"/>
  <c r="T141" i="55"/>
  <c r="T110" i="55"/>
  <c r="T126" i="55"/>
  <c r="T150" i="55"/>
  <c r="T139" i="55"/>
  <c r="L70" i="55"/>
  <c r="K62" i="55"/>
  <c r="L80" i="55"/>
  <c r="T132" i="55"/>
  <c r="L67" i="55"/>
  <c r="L75" i="55"/>
  <c r="AI176" i="55"/>
  <c r="O7" i="32"/>
  <c r="K3" i="36" s="1"/>
  <c r="L3" i="36" s="1"/>
  <c r="T149" i="55"/>
  <c r="T153" i="55"/>
  <c r="T154" i="55"/>
  <c r="E4" i="34"/>
  <c r="T165" i="55"/>
  <c r="T136" i="55"/>
  <c r="N6" i="32"/>
  <c r="J2" i="36" s="1"/>
  <c r="AI142" i="55"/>
  <c r="AI153" i="55"/>
  <c r="AI155" i="55"/>
  <c r="T101" i="55"/>
  <c r="AI144" i="55"/>
  <c r="AI168" i="55"/>
  <c r="T107" i="55"/>
  <c r="L71" i="55"/>
  <c r="AI173" i="55"/>
  <c r="K80" i="55"/>
  <c r="T121" i="55"/>
  <c r="AI161" i="55"/>
  <c r="AI138" i="55"/>
  <c r="T138" i="55"/>
  <c r="AI182" i="55"/>
  <c r="L60" i="55"/>
  <c r="T161" i="55"/>
  <c r="AI167" i="55"/>
  <c r="AI152" i="55"/>
  <c r="T148" i="55"/>
  <c r="L68" i="55"/>
  <c r="T113" i="55"/>
  <c r="AI160" i="55"/>
  <c r="AI132" i="55"/>
  <c r="T167" i="55"/>
  <c r="L54" i="55"/>
  <c r="AI178" i="55"/>
  <c r="L61" i="55"/>
  <c r="T168" i="55"/>
  <c r="AI136" i="55"/>
  <c r="AI135" i="55"/>
  <c r="T146" i="55"/>
  <c r="K69" i="55"/>
  <c r="K70" i="55"/>
  <c r="T151" i="55"/>
  <c r="AI137" i="55"/>
  <c r="AI163" i="55"/>
  <c r="T108" i="55"/>
  <c r="K61" i="55"/>
  <c r="AI180" i="55"/>
  <c r="F38" i="32"/>
  <c r="F39" i="32" s="1"/>
  <c r="T169" i="55"/>
  <c r="T123" i="55"/>
  <c r="AI170" i="55"/>
  <c r="AI134" i="55"/>
  <c r="T102" i="55"/>
  <c r="K76" i="55"/>
  <c r="F3" i="34"/>
  <c r="T116" i="55"/>
  <c r="T160" i="55"/>
  <c r="AI157" i="55"/>
  <c r="AI156" i="55"/>
  <c r="T118" i="55"/>
  <c r="L53" i="55"/>
  <c r="AI174" i="55"/>
  <c r="AI147" i="55"/>
  <c r="T120" i="55"/>
  <c r="L56" i="55"/>
  <c r="T145" i="55"/>
  <c r="T115" i="55"/>
  <c r="T162" i="55"/>
  <c r="T135" i="55"/>
  <c r="T159" i="55"/>
  <c r="AI145" i="55"/>
  <c r="AI171" i="55"/>
  <c r="T140" i="55"/>
  <c r="L65" i="55"/>
  <c r="AI150" i="55"/>
  <c r="T166" i="55"/>
  <c r="AI184" i="55"/>
  <c r="N16" i="32"/>
  <c r="I5" i="35" s="1"/>
  <c r="O16" i="32"/>
  <c r="J5" i="35" s="1"/>
  <c r="N15" i="32"/>
  <c r="I4" i="35" s="1"/>
  <c r="O15" i="32"/>
  <c r="J4" i="35" s="1"/>
  <c r="L58" i="55"/>
  <c r="AI186" i="55"/>
  <c r="N17" i="32"/>
  <c r="O17" i="32"/>
  <c r="T170" i="55"/>
  <c r="L63" i="55"/>
  <c r="G4" i="35"/>
  <c r="L77" i="55"/>
  <c r="AI172" i="55"/>
  <c r="N14" i="32"/>
  <c r="I3" i="35" s="1"/>
  <c r="O14" i="32"/>
  <c r="J3" i="35" s="1"/>
  <c r="N17" i="7"/>
  <c r="O17" i="7"/>
  <c r="N16" i="7"/>
  <c r="O16" i="7"/>
  <c r="H2" i="7"/>
  <c r="I14" i="33" s="1"/>
  <c r="H185" i="35"/>
  <c r="M16" i="29"/>
  <c r="H187" i="35" s="1"/>
  <c r="AK123" i="55" s="1"/>
  <c r="O20" i="28"/>
  <c r="I139" i="36"/>
  <c r="O22" i="28"/>
  <c r="H83" i="34" s="1"/>
  <c r="AX26" i="55" s="1"/>
  <c r="H139" i="36"/>
  <c r="W86" i="55" s="1"/>
  <c r="N19" i="28"/>
  <c r="H133" i="36"/>
  <c r="W43" i="55" s="1"/>
  <c r="G169" i="35"/>
  <c r="M58" i="33"/>
  <c r="E38" i="26"/>
  <c r="E39" i="26" s="1"/>
  <c r="G151" i="35"/>
  <c r="G150" i="35"/>
  <c r="E32" i="23"/>
  <c r="H120" i="36"/>
  <c r="E68" i="34"/>
  <c r="F47" i="33"/>
  <c r="M10" i="21"/>
  <c r="I111" i="36" s="1"/>
  <c r="H2" i="21"/>
  <c r="I47" i="33" s="1"/>
  <c r="H47" i="33"/>
  <c r="E32" i="21"/>
  <c r="E61" i="34"/>
  <c r="M17" i="20"/>
  <c r="N17" i="20" s="1"/>
  <c r="I133" i="35" s="1"/>
  <c r="O24" i="20"/>
  <c r="H61" i="34" s="1"/>
  <c r="N24" i="20"/>
  <c r="G61" i="34" s="1"/>
  <c r="F2" i="18"/>
  <c r="G39" i="33" s="1"/>
  <c r="G20" i="55" s="1"/>
  <c r="F39" i="33"/>
  <c r="F20" i="55" s="1"/>
  <c r="O19" i="18"/>
  <c r="H39" i="33"/>
  <c r="H20" i="55" s="1"/>
  <c r="AH108" i="55"/>
  <c r="G38" i="18"/>
  <c r="G39" i="18" s="1"/>
  <c r="F38" i="18"/>
  <c r="F39" i="18" s="1"/>
  <c r="N40" i="33"/>
  <c r="F38" i="47" s="1"/>
  <c r="E50" i="34"/>
  <c r="AU45" i="55" s="1"/>
  <c r="H83" i="36"/>
  <c r="G104" i="35"/>
  <c r="AK58" i="55"/>
  <c r="N13" i="3"/>
  <c r="I103" i="35" s="1"/>
  <c r="G103" i="35"/>
  <c r="O13" i="3"/>
  <c r="J103" i="35" s="1"/>
  <c r="H81" i="36"/>
  <c r="G102" i="35"/>
  <c r="I78" i="36"/>
  <c r="X41" i="55" s="1"/>
  <c r="H78" i="36"/>
  <c r="W69" i="55" s="1"/>
  <c r="O25" i="17"/>
  <c r="F38" i="16"/>
  <c r="F39" i="16" s="1"/>
  <c r="N30" i="33"/>
  <c r="O19" i="12"/>
  <c r="G66" i="35"/>
  <c r="AJ60" i="55" s="1"/>
  <c r="G67" i="35"/>
  <c r="M7" i="11"/>
  <c r="E29" i="34"/>
  <c r="AU22" i="55" s="1"/>
  <c r="AI122" i="55"/>
  <c r="O11" i="11"/>
  <c r="N18" i="11"/>
  <c r="I61" i="35" s="1"/>
  <c r="H61" i="35"/>
  <c r="G58" i="35"/>
  <c r="AJ40" i="55" s="1"/>
  <c r="H58" i="35"/>
  <c r="AK40" i="55" s="1"/>
  <c r="N13" i="11"/>
  <c r="I58" i="35" s="1"/>
  <c r="AL40" i="55" s="1"/>
  <c r="G56" i="35"/>
  <c r="G54" i="35"/>
  <c r="G55" i="35"/>
  <c r="H2" i="10"/>
  <c r="I20" i="33" s="1"/>
  <c r="I16" i="55" s="1"/>
  <c r="E32" i="10"/>
  <c r="H18" i="33"/>
  <c r="H14" i="55" s="1"/>
  <c r="F2" i="9"/>
  <c r="G18" i="33" s="1"/>
  <c r="G14" i="55" s="1"/>
  <c r="N15" i="9"/>
  <c r="I48" i="35" s="1"/>
  <c r="K48" i="35" s="1"/>
  <c r="G38" i="9"/>
  <c r="G39" i="9" s="1"/>
  <c r="M18" i="9"/>
  <c r="O18" i="9" s="1"/>
  <c r="J51" i="35" s="1"/>
  <c r="H41" i="36"/>
  <c r="N19" i="33"/>
  <c r="F18" i="47" s="1"/>
  <c r="N17" i="8"/>
  <c r="I45" i="35" s="1"/>
  <c r="K45" i="35" s="1"/>
  <c r="G45" i="35"/>
  <c r="F38" i="7"/>
  <c r="F39" i="7" s="1"/>
  <c r="E38" i="7"/>
  <c r="E39" i="7" s="1"/>
  <c r="E14" i="34"/>
  <c r="G27" i="35"/>
  <c r="AJ34" i="55" s="1"/>
  <c r="H29" i="35"/>
  <c r="G32" i="35"/>
  <c r="F15" i="34"/>
  <c r="E15" i="34"/>
  <c r="N23" i="1"/>
  <c r="G15" i="34" s="1"/>
  <c r="I15" i="34" s="1"/>
  <c r="N19" i="1"/>
  <c r="I33" i="35" s="1"/>
  <c r="H30" i="35"/>
  <c r="AK95" i="55" s="1"/>
  <c r="H22" i="35"/>
  <c r="AK116" i="55" s="1"/>
  <c r="G38" i="4"/>
  <c r="G39" i="4" s="1"/>
  <c r="M6" i="33"/>
  <c r="H11" i="36"/>
  <c r="O11" i="4"/>
  <c r="H3" i="36"/>
  <c r="W40" i="55" s="1"/>
  <c r="N19" i="32"/>
  <c r="V109" i="55"/>
  <c r="V104" i="55"/>
  <c r="N3" i="33"/>
  <c r="F4" i="47" s="1"/>
  <c r="E38" i="32"/>
  <c r="E39" i="32" s="1"/>
  <c r="O6" i="32"/>
  <c r="K2" i="36" s="1"/>
  <c r="V157" i="55"/>
  <c r="V150" i="55"/>
  <c r="K56" i="55"/>
  <c r="K54" i="55"/>
  <c r="T97" i="55"/>
  <c r="V145" i="55"/>
  <c r="V167" i="55"/>
  <c r="V148" i="55"/>
  <c r="V119" i="55"/>
  <c r="G38" i="32"/>
  <c r="G39" i="32" s="1"/>
  <c r="V117" i="55"/>
  <c r="L66" i="55"/>
  <c r="T156" i="55"/>
  <c r="V105" i="55"/>
  <c r="V134" i="55"/>
  <c r="V125" i="55"/>
  <c r="V113" i="55"/>
  <c r="V111" i="55"/>
  <c r="V156" i="55"/>
  <c r="V131" i="55"/>
  <c r="AU79" i="55"/>
  <c r="E2" i="34"/>
  <c r="V155" i="55"/>
  <c r="V153" i="55"/>
  <c r="V168" i="55"/>
  <c r="V143" i="55"/>
  <c r="V136" i="55"/>
  <c r="V133" i="55"/>
  <c r="H2" i="36"/>
  <c r="W20" i="55" s="1"/>
  <c r="V84" i="55"/>
  <c r="V169" i="55"/>
  <c r="K67" i="55"/>
  <c r="T92" i="55"/>
  <c r="K72" i="55"/>
  <c r="K57" i="55"/>
  <c r="V170" i="55"/>
  <c r="N58" i="33"/>
  <c r="K52" i="55"/>
  <c r="E32" i="11"/>
  <c r="E69" i="34"/>
  <c r="G22" i="35"/>
  <c r="AJ116" i="55" s="1"/>
  <c r="K66" i="55"/>
  <c r="F61" i="33"/>
  <c r="H4" i="27"/>
  <c r="I61" i="33" s="1"/>
  <c r="H61" i="33"/>
  <c r="F4" i="27"/>
  <c r="G61" i="33" s="1"/>
  <c r="M40" i="33"/>
  <c r="N9" i="18"/>
  <c r="J90" i="36" s="1"/>
  <c r="L90" i="36" s="1"/>
  <c r="AH94" i="55"/>
  <c r="AL120" i="55"/>
  <c r="T31" i="55"/>
  <c r="E3" i="34"/>
  <c r="V164" i="55"/>
  <c r="H90" i="36"/>
  <c r="H102" i="36"/>
  <c r="V152" i="55"/>
  <c r="AO9" i="47"/>
  <c r="M8" i="21"/>
  <c r="N8" i="21" s="1"/>
  <c r="J109" i="36" s="1"/>
  <c r="G33" i="35"/>
  <c r="T87" i="55"/>
  <c r="Y8" i="47"/>
  <c r="G38" i="17"/>
  <c r="G39" i="17" s="1"/>
  <c r="T46" i="55"/>
  <c r="X7" i="47"/>
  <c r="K74" i="55"/>
  <c r="E82" i="34"/>
  <c r="O7" i="17"/>
  <c r="K78" i="36" s="1"/>
  <c r="Z69" i="55" s="1"/>
  <c r="M6" i="6"/>
  <c r="N6" i="6" s="1"/>
  <c r="J17" i="36" s="1"/>
  <c r="N11" i="32"/>
  <c r="E70" i="34"/>
  <c r="T17" i="55"/>
  <c r="G31" i="35"/>
  <c r="O13" i="1"/>
  <c r="J27" i="35" s="1"/>
  <c r="T56" i="55"/>
  <c r="O16" i="12"/>
  <c r="J66" i="35" s="1"/>
  <c r="J22" i="55"/>
  <c r="H142" i="36"/>
  <c r="W2" i="55" s="1"/>
  <c r="N14" i="18"/>
  <c r="I110" i="35" s="1"/>
  <c r="F2" i="10"/>
  <c r="G20" i="33" s="1"/>
  <c r="G16" i="55" s="1"/>
  <c r="N19" i="27"/>
  <c r="G110" i="35"/>
  <c r="N16" i="33"/>
  <c r="G112" i="35"/>
  <c r="O14" i="18"/>
  <c r="J110" i="35" s="1"/>
  <c r="N11" i="23"/>
  <c r="L73" i="55"/>
  <c r="N11" i="17"/>
  <c r="E38" i="16"/>
  <c r="E39" i="16" s="1"/>
  <c r="K55" i="55"/>
  <c r="AH86" i="55"/>
  <c r="M3" i="33"/>
  <c r="K58" i="55"/>
  <c r="K59" i="55"/>
  <c r="K65" i="55"/>
  <c r="K71" i="55"/>
  <c r="K64" i="55"/>
  <c r="N14" i="5"/>
  <c r="I15" i="35" s="1"/>
  <c r="K15" i="35" s="1"/>
  <c r="O24" i="3"/>
  <c r="H52" i="34" s="1"/>
  <c r="I52" i="34" s="1"/>
  <c r="L91" i="36"/>
  <c r="M91" i="36" s="1"/>
  <c r="G147" i="35"/>
  <c r="O24" i="9"/>
  <c r="H25" i="34" s="1"/>
  <c r="G196" i="35"/>
  <c r="H39" i="36"/>
  <c r="W90" i="55" s="1"/>
  <c r="E25" i="34"/>
  <c r="T134" i="55"/>
  <c r="T100" i="55"/>
  <c r="G38" i="12"/>
  <c r="G39" i="12" s="1"/>
  <c r="V100" i="55"/>
  <c r="K75" i="55"/>
  <c r="V108" i="55"/>
  <c r="G129" i="35"/>
  <c r="AJ2" i="55" s="1"/>
  <c r="G38" i="3"/>
  <c r="G39" i="3" s="1"/>
  <c r="V135" i="55"/>
  <c r="K73" i="55"/>
  <c r="V122" i="55"/>
  <c r="J29" i="55"/>
  <c r="M8" i="11"/>
  <c r="N14" i="20"/>
  <c r="I130" i="35" s="1"/>
  <c r="AL38" i="55" s="1"/>
  <c r="F38" i="14"/>
  <c r="F39" i="14" s="1"/>
  <c r="O14" i="20"/>
  <c r="J130" i="35" s="1"/>
  <c r="AM38" i="55" s="1"/>
  <c r="L57" i="55"/>
  <c r="O25" i="12"/>
  <c r="I90" i="36"/>
  <c r="L74" i="55"/>
  <c r="F52" i="34"/>
  <c r="M66" i="33"/>
  <c r="F45" i="33"/>
  <c r="H45" i="33"/>
  <c r="K48" i="55"/>
  <c r="M19" i="33"/>
  <c r="E32" i="20"/>
  <c r="N24" i="9"/>
  <c r="G25" i="34" s="1"/>
  <c r="F24" i="34"/>
  <c r="N23" i="9"/>
  <c r="G24" i="34" s="1"/>
  <c r="I24" i="34" s="1"/>
  <c r="O25" i="3"/>
  <c r="O22" i="32"/>
  <c r="H2" i="34" s="1"/>
  <c r="AX31" i="55" s="1"/>
  <c r="N25" i="23"/>
  <c r="O25" i="1"/>
  <c r="N23" i="32"/>
  <c r="G3" i="34" s="1"/>
  <c r="I3" i="34" s="1"/>
  <c r="N44" i="35"/>
  <c r="N26" i="35"/>
  <c r="H147" i="35"/>
  <c r="N19" i="21"/>
  <c r="N19" i="17"/>
  <c r="O20" i="32"/>
  <c r="O13" i="20"/>
  <c r="J129" i="35" s="1"/>
  <c r="AM2" i="55" s="1"/>
  <c r="H23" i="35"/>
  <c r="AK119" i="55" s="1"/>
  <c r="N8" i="9"/>
  <c r="J39" i="36" s="1"/>
  <c r="Y90" i="55" s="1"/>
  <c r="O7" i="18"/>
  <c r="K88" i="36" s="1"/>
  <c r="L88" i="36" s="1"/>
  <c r="I39" i="36"/>
  <c r="X90" i="55" s="1"/>
  <c r="I88" i="36"/>
  <c r="N6" i="23"/>
  <c r="J117" i="36" s="1"/>
  <c r="K26" i="35"/>
  <c r="L26" i="35" s="1"/>
  <c r="V162" i="55"/>
  <c r="V97" i="55"/>
  <c r="V149" i="55"/>
  <c r="V101" i="55"/>
  <c r="V115" i="55"/>
  <c r="V120" i="55"/>
  <c r="V96" i="55"/>
  <c r="V114" i="55"/>
  <c r="V92" i="55"/>
  <c r="V142" i="55"/>
  <c r="V161" i="55"/>
  <c r="V130" i="55"/>
  <c r="V159" i="55"/>
  <c r="V163" i="55"/>
  <c r="V118" i="55"/>
  <c r="V95" i="55"/>
  <c r="V126" i="55"/>
  <c r="V129" i="55"/>
  <c r="V147" i="55"/>
  <c r="V165" i="55"/>
  <c r="V139" i="55"/>
  <c r="V140" i="55"/>
  <c r="V112" i="55"/>
  <c r="V99" i="55"/>
  <c r="V160" i="55"/>
  <c r="V138" i="55"/>
  <c r="V137" i="55"/>
  <c r="V121" i="55"/>
  <c r="V128" i="55"/>
  <c r="V106" i="55"/>
  <c r="V93" i="55"/>
  <c r="V144" i="55"/>
  <c r="V146" i="55"/>
  <c r="V166" i="55"/>
  <c r="V151" i="55"/>
  <c r="V171" i="55"/>
  <c r="V116" i="55"/>
  <c r="AI44" i="55"/>
  <c r="V18" i="55"/>
  <c r="F38" i="25"/>
  <c r="F39" i="25" s="1"/>
  <c r="L59" i="55"/>
  <c r="F38" i="4"/>
  <c r="F39" i="4" s="1"/>
  <c r="AH81" i="55"/>
  <c r="U31" i="55"/>
  <c r="K30" i="55"/>
  <c r="K22" i="55"/>
  <c r="K53" i="55"/>
  <c r="K77" i="55"/>
  <c r="M17" i="33"/>
  <c r="N28" i="33"/>
  <c r="K78" i="55"/>
  <c r="K68" i="55"/>
  <c r="G32" i="6"/>
  <c r="N66" i="33"/>
  <c r="F22" i="33"/>
  <c r="M35" i="33"/>
  <c r="M18" i="27"/>
  <c r="H172" i="35" s="1"/>
  <c r="M14" i="27"/>
  <c r="N14" i="27" s="1"/>
  <c r="O19" i="15"/>
  <c r="L12" i="33"/>
  <c r="L44" i="55" s="1"/>
  <c r="L13" i="33"/>
  <c r="K79" i="55"/>
  <c r="V158" i="55"/>
  <c r="K63" i="55"/>
  <c r="N11" i="20"/>
  <c r="H12" i="36"/>
  <c r="F2" i="23"/>
  <c r="G52" i="33" s="1"/>
  <c r="G11" i="55" s="1"/>
  <c r="H22" i="33"/>
  <c r="N20" i="9"/>
  <c r="M22" i="6"/>
  <c r="E11" i="34"/>
  <c r="E38" i="6"/>
  <c r="E39" i="6" s="1"/>
  <c r="O25" i="18"/>
  <c r="G38" i="27"/>
  <c r="G39" i="27" s="1"/>
  <c r="G38" i="21"/>
  <c r="G39" i="21" s="1"/>
  <c r="O6" i="5"/>
  <c r="K12" i="36" s="1"/>
  <c r="L12" i="36" s="1"/>
  <c r="H85" i="36"/>
  <c r="V154" i="55"/>
  <c r="F52" i="33"/>
  <c r="F11" i="55" s="1"/>
  <c r="V132" i="55"/>
  <c r="H52" i="33"/>
  <c r="H11" i="55" s="1"/>
  <c r="H151" i="35"/>
  <c r="E52" i="34"/>
  <c r="N13" i="20"/>
  <c r="I129" i="35" s="1"/>
  <c r="H2" i="5"/>
  <c r="I7" i="33" s="1"/>
  <c r="I5" i="55" s="1"/>
  <c r="F7" i="33"/>
  <c r="F2" i="5"/>
  <c r="G7" i="33" s="1"/>
  <c r="H7" i="33"/>
  <c r="H5" i="55" s="1"/>
  <c r="O11" i="18"/>
  <c r="O15" i="18"/>
  <c r="J112" i="35" s="1"/>
  <c r="M22" i="20"/>
  <c r="O25" i="32"/>
  <c r="I21" i="36"/>
  <c r="H21" i="36"/>
  <c r="E26" i="34"/>
  <c r="AU19" i="55" s="1"/>
  <c r="O15" i="20"/>
  <c r="J131" i="35" s="1"/>
  <c r="G23" i="35"/>
  <c r="E38" i="5"/>
  <c r="E39" i="5" s="1"/>
  <c r="V103" i="55"/>
  <c r="G153" i="35"/>
  <c r="I12" i="36"/>
  <c r="AI65" i="55"/>
  <c r="G178" i="35"/>
  <c r="V124" i="55"/>
  <c r="N15" i="10"/>
  <c r="I54" i="35" s="1"/>
  <c r="K54" i="35" s="1"/>
  <c r="G38" i="5"/>
  <c r="G39" i="5" s="1"/>
  <c r="N35" i="33"/>
  <c r="G38" i="6"/>
  <c r="G39" i="6" s="1"/>
  <c r="N20" i="20"/>
  <c r="K60" i="55"/>
  <c r="V98" i="55"/>
  <c r="N22" i="32"/>
  <c r="G2" i="34" s="1"/>
  <c r="AW5" i="55" s="1"/>
  <c r="T94" i="55"/>
  <c r="F2" i="11"/>
  <c r="X12" i="47"/>
  <c r="F38" i="27"/>
  <c r="F39" i="27" s="1"/>
  <c r="N24" i="23"/>
  <c r="G70" i="34" s="1"/>
  <c r="N23" i="10"/>
  <c r="G27" i="34" s="1"/>
  <c r="I27" i="34" s="1"/>
  <c r="O24" i="23"/>
  <c r="H70" i="34" s="1"/>
  <c r="AI131" i="55"/>
  <c r="AN51" i="47"/>
  <c r="N24" i="27"/>
  <c r="G82" i="34" s="1"/>
  <c r="O24" i="27"/>
  <c r="H82" i="34" s="1"/>
  <c r="F82" i="34"/>
  <c r="H63" i="35"/>
  <c r="O16" i="11"/>
  <c r="J63" i="35" s="1"/>
  <c r="K63" i="35" s="1"/>
  <c r="AO12" i="47"/>
  <c r="Y11" i="47"/>
  <c r="N15" i="20"/>
  <c r="I131" i="35" s="1"/>
  <c r="I104" i="36"/>
  <c r="G38" i="11"/>
  <c r="G39" i="11" s="1"/>
  <c r="H5" i="35"/>
  <c r="M17" i="27"/>
  <c r="G170" i="35"/>
  <c r="AJ112" i="55" s="1"/>
  <c r="Y21" i="47"/>
  <c r="AO11" i="47"/>
  <c r="AN10" i="47"/>
  <c r="Y14" i="47"/>
  <c r="Y13" i="47"/>
  <c r="H104" i="36"/>
  <c r="N20" i="27"/>
  <c r="G5" i="35"/>
  <c r="E38" i="14"/>
  <c r="E39" i="14" s="1"/>
  <c r="F3" i="3"/>
  <c r="G38" i="33" s="1"/>
  <c r="F38" i="33"/>
  <c r="H3" i="3"/>
  <c r="I38" i="33" s="1"/>
  <c r="H38" i="33"/>
  <c r="H106" i="36"/>
  <c r="N10" i="20"/>
  <c r="J106" i="36" s="1"/>
  <c r="M15" i="11"/>
  <c r="G59" i="35"/>
  <c r="AH115" i="55"/>
  <c r="H2" i="20"/>
  <c r="I45" i="33" s="1"/>
  <c r="H117" i="36"/>
  <c r="M24" i="1"/>
  <c r="E16" i="34"/>
  <c r="N16" i="12"/>
  <c r="I66" i="35" s="1"/>
  <c r="AL60" i="55" s="1"/>
  <c r="AN15" i="47"/>
  <c r="Z15" i="47"/>
  <c r="G130" i="35"/>
  <c r="AJ38" i="55" s="1"/>
  <c r="O11" i="6"/>
  <c r="N11" i="6"/>
  <c r="M23" i="18"/>
  <c r="O23" i="18" s="1"/>
  <c r="H54" i="34" s="1"/>
  <c r="M60" i="33"/>
  <c r="X14" i="47"/>
  <c r="Z10" i="47"/>
  <c r="N11" i="2"/>
  <c r="AL9" i="47"/>
  <c r="G63" i="35"/>
  <c r="V102" i="55"/>
  <c r="G131" i="35"/>
  <c r="N13" i="23"/>
  <c r="I147" i="35" s="1"/>
  <c r="K147" i="35" s="1"/>
  <c r="T98" i="55"/>
  <c r="N14" i="2"/>
  <c r="I179" i="35" s="1"/>
  <c r="AL31" i="55" s="1"/>
  <c r="AL10" i="47"/>
  <c r="E32" i="3"/>
  <c r="V127" i="55"/>
  <c r="T142" i="55"/>
  <c r="AL15" i="47"/>
  <c r="Y31" i="47"/>
  <c r="X24" i="47"/>
  <c r="AN13" i="47"/>
  <c r="AN16" i="47"/>
  <c r="N60" i="33"/>
  <c r="T93" i="55"/>
  <c r="V123" i="55"/>
  <c r="T96" i="55"/>
  <c r="N15" i="18"/>
  <c r="I112" i="35" s="1"/>
  <c r="O6" i="23"/>
  <c r="K117" i="36" s="1"/>
  <c r="AL13" i="47"/>
  <c r="AN8" i="47"/>
  <c r="M57" i="33"/>
  <c r="V94" i="55"/>
  <c r="O20" i="6"/>
  <c r="O11" i="1"/>
  <c r="N11" i="1"/>
  <c r="O16" i="20"/>
  <c r="J132" i="35" s="1"/>
  <c r="AM103" i="55" s="1"/>
  <c r="H132" i="35"/>
  <c r="AK103" i="55" s="1"/>
  <c r="N16" i="20"/>
  <c r="I132" i="35" s="1"/>
  <c r="I121" i="36"/>
  <c r="O10" i="23"/>
  <c r="K121" i="36" s="1"/>
  <c r="N10" i="23"/>
  <c r="J121" i="36" s="1"/>
  <c r="E38" i="25"/>
  <c r="E39" i="25" s="1"/>
  <c r="G38" i="1"/>
  <c r="G39" i="1" s="1"/>
  <c r="N57" i="33"/>
  <c r="I146" i="36"/>
  <c r="N34" i="33"/>
  <c r="N13" i="1"/>
  <c r="I27" i="35" s="1"/>
  <c r="O8" i="20"/>
  <c r="K104" i="36" s="1"/>
  <c r="M9" i="20"/>
  <c r="E38" i="27"/>
  <c r="E39" i="27" s="1"/>
  <c r="G132" i="35"/>
  <c r="T20" i="55"/>
  <c r="G38" i="20"/>
  <c r="G39" i="20" s="1"/>
  <c r="E27" i="34"/>
  <c r="G134" i="35"/>
  <c r="M18" i="20"/>
  <c r="O20" i="23"/>
  <c r="N20" i="23"/>
  <c r="F27" i="34"/>
  <c r="H121" i="36"/>
  <c r="G179" i="35"/>
  <c r="AJ31" i="55" s="1"/>
  <c r="M34" i="33"/>
  <c r="O10" i="20"/>
  <c r="K106" i="36" s="1"/>
  <c r="N19" i="20"/>
  <c r="N25" i="20"/>
  <c r="O25" i="20"/>
  <c r="H12" i="33"/>
  <c r="H44" i="55" s="1"/>
  <c r="N10" i="2"/>
  <c r="J146" i="36" s="1"/>
  <c r="L146" i="36" s="1"/>
  <c r="H54" i="35"/>
  <c r="H46" i="36"/>
  <c r="N25" i="2"/>
  <c r="F38" i="12"/>
  <c r="F39" i="12" s="1"/>
  <c r="M9" i="2"/>
  <c r="N9" i="2" s="1"/>
  <c r="J145" i="36" s="1"/>
  <c r="J48" i="55"/>
  <c r="N44" i="33"/>
  <c r="AI18" i="55"/>
  <c r="E88" i="34"/>
  <c r="N24" i="2"/>
  <c r="G88" i="34" s="1"/>
  <c r="I88" i="34" s="1"/>
  <c r="F38" i="23"/>
  <c r="F39" i="23" s="1"/>
  <c r="H126" i="36"/>
  <c r="O6" i="8"/>
  <c r="K32" i="36" s="1"/>
  <c r="N6" i="8"/>
  <c r="J32" i="36" s="1"/>
  <c r="M14" i="10"/>
  <c r="N14" i="10" s="1"/>
  <c r="I53" i="35" s="1"/>
  <c r="H146" i="36"/>
  <c r="H144" i="36"/>
  <c r="W70" i="55" s="1"/>
  <c r="E28" i="34"/>
  <c r="K21" i="35"/>
  <c r="L21" i="35" s="1"/>
  <c r="AJ54" i="55"/>
  <c r="H43" i="36"/>
  <c r="M13" i="24"/>
  <c r="G154" i="35"/>
  <c r="G182" i="35"/>
  <c r="H44" i="36"/>
  <c r="N115" i="35"/>
  <c r="O20" i="10"/>
  <c r="N20" i="10"/>
  <c r="T75" i="55"/>
  <c r="I25" i="36"/>
  <c r="X79" i="55" s="1"/>
  <c r="T44" i="55"/>
  <c r="O10" i="10"/>
  <c r="K46" i="36" s="1"/>
  <c r="T57" i="55"/>
  <c r="T49" i="55"/>
  <c r="T38" i="55"/>
  <c r="H45" i="36"/>
  <c r="E38" i="12"/>
  <c r="E39" i="12" s="1"/>
  <c r="M7" i="10"/>
  <c r="I42" i="36" s="1"/>
  <c r="K64" i="33"/>
  <c r="E38" i="2"/>
  <c r="E39" i="2" s="1"/>
  <c r="F38" i="2"/>
  <c r="F39" i="2" s="1"/>
  <c r="L64" i="33"/>
  <c r="L24" i="55" s="1"/>
  <c r="T86" i="55"/>
  <c r="AI28" i="55"/>
  <c r="T83" i="55"/>
  <c r="T67" i="55"/>
  <c r="O7" i="7"/>
  <c r="K28" i="36" s="1"/>
  <c r="N24" i="10"/>
  <c r="G28" i="34" s="1"/>
  <c r="I28" i="34" s="1"/>
  <c r="N10" i="10"/>
  <c r="J46" i="36" s="1"/>
  <c r="O9" i="10"/>
  <c r="F38" i="5"/>
  <c r="F39" i="5" s="1"/>
  <c r="N14" i="13"/>
  <c r="I71" i="35" s="1"/>
  <c r="AL61" i="55" s="1"/>
  <c r="O14" i="13"/>
  <c r="J71" i="35" s="1"/>
  <c r="G183" i="35"/>
  <c r="H71" i="36"/>
  <c r="I12" i="33"/>
  <c r="I44" i="55" s="1"/>
  <c r="I13" i="33"/>
  <c r="N9" i="10"/>
  <c r="G13" i="33"/>
  <c r="O25" i="10"/>
  <c r="N25" i="10"/>
  <c r="F32" i="20"/>
  <c r="F28" i="34"/>
  <c r="J21" i="34"/>
  <c r="AI101" i="55"/>
  <c r="AI86" i="55"/>
  <c r="AI27" i="55"/>
  <c r="AH88" i="55"/>
  <c r="L21" i="34"/>
  <c r="AI13" i="55"/>
  <c r="AI89" i="55"/>
  <c r="AI61" i="55"/>
  <c r="AI54" i="55"/>
  <c r="AI66" i="55"/>
  <c r="AI63" i="55"/>
  <c r="AI130" i="55"/>
  <c r="N21" i="35"/>
  <c r="AK61" i="55"/>
  <c r="AI45" i="55"/>
  <c r="AI95" i="55"/>
  <c r="AI94" i="55"/>
  <c r="O13" i="18"/>
  <c r="J111" i="35" s="1"/>
  <c r="N13" i="18"/>
  <c r="I111" i="35" s="1"/>
  <c r="AI20" i="55"/>
  <c r="AI58" i="55"/>
  <c r="AI38" i="55"/>
  <c r="AI40" i="55"/>
  <c r="AI11" i="55"/>
  <c r="AI10" i="55"/>
  <c r="AI46" i="55"/>
  <c r="E38" i="15"/>
  <c r="E39" i="15" s="1"/>
  <c r="E38" i="23"/>
  <c r="E39" i="23" s="1"/>
  <c r="AH27" i="55"/>
  <c r="AH18" i="55"/>
  <c r="AH35" i="55"/>
  <c r="AH37" i="55"/>
  <c r="AH38" i="55"/>
  <c r="AH40" i="55"/>
  <c r="AH11" i="55"/>
  <c r="AH10" i="55"/>
  <c r="O79" i="36"/>
  <c r="I71" i="36"/>
  <c r="U86" i="55"/>
  <c r="U46" i="55"/>
  <c r="F38" i="17"/>
  <c r="F39" i="17" s="1"/>
  <c r="U67" i="55"/>
  <c r="V38" i="55"/>
  <c r="F38" i="19"/>
  <c r="F39" i="19" s="1"/>
  <c r="V86" i="55"/>
  <c r="V75" i="55"/>
  <c r="V8" i="55"/>
  <c r="F38" i="15"/>
  <c r="F39" i="15" s="1"/>
  <c r="V24" i="55"/>
  <c r="V32" i="55"/>
  <c r="V65" i="55"/>
  <c r="V3" i="55"/>
  <c r="V52" i="55"/>
  <c r="E38" i="17"/>
  <c r="E39" i="17" s="1"/>
  <c r="E38" i="19"/>
  <c r="E39" i="19" s="1"/>
  <c r="U38" i="55"/>
  <c r="U75" i="55"/>
  <c r="E38" i="1"/>
  <c r="E39" i="1" s="1"/>
  <c r="F38" i="24"/>
  <c r="F39" i="24" s="1"/>
  <c r="E38" i="24"/>
  <c r="E39" i="24" s="1"/>
  <c r="I48" i="55"/>
  <c r="O22" i="23"/>
  <c r="H68" i="34" s="1"/>
  <c r="N22" i="23"/>
  <c r="G68" i="34" s="1"/>
  <c r="F68" i="34"/>
  <c r="O6" i="20"/>
  <c r="K102" i="36" s="1"/>
  <c r="I102" i="36"/>
  <c r="N6" i="20"/>
  <c r="J102" i="36" s="1"/>
  <c r="F89" i="34"/>
  <c r="AV30" i="55" s="1"/>
  <c r="O22" i="29"/>
  <c r="H89" i="34" s="1"/>
  <c r="AX30" i="55" s="1"/>
  <c r="N22" i="29"/>
  <c r="G89" i="34" s="1"/>
  <c r="AW30" i="55" s="1"/>
  <c r="O15" i="12"/>
  <c r="J67" i="35" s="1"/>
  <c r="N15" i="12"/>
  <c r="I67" i="35" s="1"/>
  <c r="H67" i="35"/>
  <c r="N18" i="32"/>
  <c r="I7" i="35" s="1"/>
  <c r="O18" i="32"/>
  <c r="J7" i="35" s="1"/>
  <c r="H7" i="35"/>
  <c r="O10" i="15"/>
  <c r="K71" i="36" s="1"/>
  <c r="L71" i="36" s="1"/>
  <c r="AM40" i="55"/>
  <c r="N13" i="19"/>
  <c r="I122" i="35" s="1"/>
  <c r="AL3" i="55" s="1"/>
  <c r="O13" i="19"/>
  <c r="J122" i="35" s="1"/>
  <c r="AM3" i="55" s="1"/>
  <c r="O8" i="8"/>
  <c r="K34" i="36" s="1"/>
  <c r="I34" i="36"/>
  <c r="N8" i="8"/>
  <c r="J34" i="36" s="1"/>
  <c r="O13" i="4"/>
  <c r="J8" i="35" s="1"/>
  <c r="N13" i="4"/>
  <c r="I8" i="35" s="1"/>
  <c r="H8" i="35"/>
  <c r="H101" i="35"/>
  <c r="AJ16" i="55"/>
  <c r="N13" i="8"/>
  <c r="I41" i="35" s="1"/>
  <c r="H41" i="35"/>
  <c r="AK4" i="55" s="1"/>
  <c r="O13" i="8"/>
  <c r="J41" i="35" s="1"/>
  <c r="AM4" i="55" s="1"/>
  <c r="N14" i="8"/>
  <c r="I42" i="35" s="1"/>
  <c r="AL16" i="55" s="1"/>
  <c r="O14" i="8"/>
  <c r="J42" i="35" s="1"/>
  <c r="H42" i="35"/>
  <c r="O13" i="6"/>
  <c r="J20" i="35" s="1"/>
  <c r="AM64" i="55" s="1"/>
  <c r="H20" i="35"/>
  <c r="N13" i="6"/>
  <c r="I20" i="35" s="1"/>
  <c r="N14" i="35"/>
  <c r="O23" i="4"/>
  <c r="H6" i="34" s="1"/>
  <c r="N23" i="4"/>
  <c r="G6" i="34" s="1"/>
  <c r="F6" i="34"/>
  <c r="N22" i="11"/>
  <c r="G29" i="34" s="1"/>
  <c r="F29" i="34"/>
  <c r="O22" i="11"/>
  <c r="H29" i="34" s="1"/>
  <c r="AX22" i="55" s="1"/>
  <c r="N16" i="18"/>
  <c r="I113" i="35" s="1"/>
  <c r="O16" i="18"/>
  <c r="J113" i="35" s="1"/>
  <c r="AM108" i="55" s="1"/>
  <c r="H113" i="35"/>
  <c r="N17" i="18"/>
  <c r="I114" i="35" s="1"/>
  <c r="O17" i="18"/>
  <c r="J114" i="35" s="1"/>
  <c r="AM102" i="55" s="1"/>
  <c r="H114" i="35"/>
  <c r="O7" i="5"/>
  <c r="I15" i="36"/>
  <c r="AJ61" i="55"/>
  <c r="O91" i="36"/>
  <c r="G38" i="19"/>
  <c r="G39" i="19" s="1"/>
  <c r="F50" i="34"/>
  <c r="O22" i="3"/>
  <c r="H50" i="34" s="1"/>
  <c r="AX45" i="55" s="1"/>
  <c r="N22" i="3"/>
  <c r="G50" i="34" s="1"/>
  <c r="O9" i="3"/>
  <c r="I83" i="36"/>
  <c r="X80" i="55" s="1"/>
  <c r="N9" i="3"/>
  <c r="AJ86" i="55"/>
  <c r="N10" i="24"/>
  <c r="J126" i="36" s="1"/>
  <c r="O10" i="24"/>
  <c r="K126" i="36" s="1"/>
  <c r="N22" i="18"/>
  <c r="G53" i="34" s="1"/>
  <c r="F53" i="34"/>
  <c r="O22" i="18"/>
  <c r="H53" i="34" s="1"/>
  <c r="AX10" i="55" s="1"/>
  <c r="W71" i="55"/>
  <c r="H196" i="35"/>
  <c r="N15" i="4"/>
  <c r="I10" i="35" s="1"/>
  <c r="O15" i="4"/>
  <c r="J10" i="35" s="1"/>
  <c r="AM70" i="55" s="1"/>
  <c r="H10" i="35"/>
  <c r="AK70" i="55" s="1"/>
  <c r="O7" i="3"/>
  <c r="N7" i="3"/>
  <c r="I85" i="36"/>
  <c r="N23" i="28"/>
  <c r="G84" i="34" s="1"/>
  <c r="F84" i="34"/>
  <c r="I11" i="36"/>
  <c r="O10" i="4"/>
  <c r="K11" i="36" s="1"/>
  <c r="N10" i="4"/>
  <c r="J11" i="36" s="1"/>
  <c r="M18" i="10"/>
  <c r="G57" i="35"/>
  <c r="I147" i="36"/>
  <c r="X16" i="55" s="1"/>
  <c r="O6" i="29"/>
  <c r="K147" i="36" s="1"/>
  <c r="Z16" i="55" s="1"/>
  <c r="N6" i="29"/>
  <c r="J147" i="36" s="1"/>
  <c r="Y16" i="55" s="1"/>
  <c r="G11" i="33"/>
  <c r="G18" i="55" s="1"/>
  <c r="F32" i="1"/>
  <c r="N17" i="29"/>
  <c r="I188" i="35" s="1"/>
  <c r="O17" i="29"/>
  <c r="J188" i="35" s="1"/>
  <c r="I151" i="36"/>
  <c r="O10" i="29"/>
  <c r="K151" i="36" s="1"/>
  <c r="N10" i="29"/>
  <c r="J151" i="36" s="1"/>
  <c r="H11" i="33"/>
  <c r="H18" i="55" s="1"/>
  <c r="G32" i="1"/>
  <c r="G38" i="31"/>
  <c r="G39" i="31" s="1"/>
  <c r="AU38" i="55"/>
  <c r="H107" i="35"/>
  <c r="O16" i="28"/>
  <c r="J176" i="35" s="1"/>
  <c r="H176" i="35"/>
  <c r="N16" i="28"/>
  <c r="I176" i="35" s="1"/>
  <c r="H106" i="35"/>
  <c r="O7" i="29"/>
  <c r="K148" i="36" s="1"/>
  <c r="I148" i="36"/>
  <c r="X74" i="55" s="1"/>
  <c r="N7" i="29"/>
  <c r="J148" i="36" s="1"/>
  <c r="H184" i="35"/>
  <c r="N13" i="29"/>
  <c r="I184" i="35" s="1"/>
  <c r="O13" i="29"/>
  <c r="J184" i="35" s="1"/>
  <c r="N22" i="4"/>
  <c r="G5" i="34" s="1"/>
  <c r="H105" i="35"/>
  <c r="AU7" i="55"/>
  <c r="I4" i="36"/>
  <c r="H4" i="35"/>
  <c r="AJ28" i="55"/>
  <c r="Y69" i="55"/>
  <c r="N24" i="21"/>
  <c r="G64" i="34" s="1"/>
  <c r="O24" i="21"/>
  <c r="H64" i="34" s="1"/>
  <c r="F64" i="34"/>
  <c r="H97" i="36"/>
  <c r="M6" i="19"/>
  <c r="I97" i="36" s="1"/>
  <c r="G38" i="10"/>
  <c r="G39" i="10" s="1"/>
  <c r="I8" i="36"/>
  <c r="O7" i="4"/>
  <c r="K8" i="36" s="1"/>
  <c r="Z54" i="55" s="1"/>
  <c r="N7" i="4"/>
  <c r="J8" i="36" s="1"/>
  <c r="M17" i="19"/>
  <c r="G124" i="35"/>
  <c r="O11" i="10"/>
  <c r="N11" i="10"/>
  <c r="W83" i="55"/>
  <c r="W67" i="55"/>
  <c r="F90" i="34"/>
  <c r="O23" i="29"/>
  <c r="H90" i="34" s="1"/>
  <c r="N23" i="29"/>
  <c r="G90" i="34" s="1"/>
  <c r="F7" i="34"/>
  <c r="AV65" i="55" s="1"/>
  <c r="O24" i="4"/>
  <c r="H7" i="34" s="1"/>
  <c r="AX100" i="55" s="1"/>
  <c r="N24" i="4"/>
  <c r="G7" i="34" s="1"/>
  <c r="AW53" i="55" s="1"/>
  <c r="H3" i="55"/>
  <c r="F57" i="55"/>
  <c r="F69" i="55"/>
  <c r="F65" i="55"/>
  <c r="F58" i="55"/>
  <c r="F56" i="55"/>
  <c r="F79" i="55"/>
  <c r="F54" i="55"/>
  <c r="F67" i="55"/>
  <c r="F66" i="55"/>
  <c r="F71" i="55"/>
  <c r="F55" i="55"/>
  <c r="F59" i="55"/>
  <c r="F72" i="55"/>
  <c r="F62" i="55"/>
  <c r="F64" i="55"/>
  <c r="F74" i="55"/>
  <c r="F78" i="55"/>
  <c r="F70" i="55"/>
  <c r="F80" i="55"/>
  <c r="F60" i="55"/>
  <c r="F68" i="55"/>
  <c r="F52" i="55"/>
  <c r="F76" i="55"/>
  <c r="F53" i="55"/>
  <c r="F75" i="55"/>
  <c r="F63" i="55"/>
  <c r="F73" i="55"/>
  <c r="F77" i="55"/>
  <c r="F61" i="55"/>
  <c r="I41" i="55"/>
  <c r="I68" i="55"/>
  <c r="I73" i="55"/>
  <c r="I78" i="55"/>
  <c r="I66" i="55"/>
  <c r="I67" i="55"/>
  <c r="I62" i="55"/>
  <c r="I54" i="55"/>
  <c r="I56" i="55"/>
  <c r="I80" i="55"/>
  <c r="I72" i="55"/>
  <c r="I77" i="55"/>
  <c r="I69" i="55"/>
  <c r="I76" i="55"/>
  <c r="I64" i="55"/>
  <c r="I52" i="55"/>
  <c r="I60" i="55"/>
  <c r="I71" i="55"/>
  <c r="I53" i="55"/>
  <c r="I74" i="55"/>
  <c r="I79" i="55"/>
  <c r="I59" i="55"/>
  <c r="I70" i="55"/>
  <c r="I63" i="55"/>
  <c r="I75" i="55"/>
  <c r="I61" i="55"/>
  <c r="I55" i="55"/>
  <c r="I57" i="55"/>
  <c r="I58" i="55"/>
  <c r="I65" i="55"/>
  <c r="I25" i="55"/>
  <c r="AO46" i="47"/>
  <c r="I19" i="36"/>
  <c r="X82" i="55" s="1"/>
  <c r="O8" i="6"/>
  <c r="K19" i="36" s="1"/>
  <c r="Z82" i="55" s="1"/>
  <c r="Z44" i="47"/>
  <c r="AO32" i="47"/>
  <c r="X35" i="47"/>
  <c r="Y47" i="47"/>
  <c r="X34" i="47"/>
  <c r="Y30" i="47"/>
  <c r="X29" i="47"/>
  <c r="Z45" i="47"/>
  <c r="AN58" i="47"/>
  <c r="X46" i="47"/>
  <c r="AO39" i="47"/>
  <c r="Y26" i="47"/>
  <c r="AO49" i="47"/>
  <c r="AL21" i="47"/>
  <c r="AN21" i="47"/>
  <c r="Y20" i="47"/>
  <c r="AN29" i="47"/>
  <c r="Z26" i="47"/>
  <c r="Z31" i="47"/>
  <c r="AN34" i="47"/>
  <c r="AO20" i="47"/>
  <c r="Z36" i="47"/>
  <c r="AO17" i="47"/>
  <c r="X20" i="47"/>
  <c r="AL22" i="47"/>
  <c r="X28" i="47"/>
  <c r="Z20" i="47"/>
  <c r="Z43" i="47"/>
  <c r="AN47" i="47"/>
  <c r="X25" i="47"/>
  <c r="X58" i="47"/>
  <c r="AN43" i="47"/>
  <c r="AO13" i="47"/>
  <c r="Z40" i="47"/>
  <c r="X54" i="47"/>
  <c r="AN14" i="47"/>
  <c r="X31" i="47"/>
  <c r="Y34" i="47"/>
  <c r="X21" i="47"/>
  <c r="AN31" i="47"/>
  <c r="Y19" i="47"/>
  <c r="AL20" i="47"/>
  <c r="Z11" i="47"/>
  <c r="AO60" i="47"/>
  <c r="Z14" i="47"/>
  <c r="Y55" i="47"/>
  <c r="Y15" i="47"/>
  <c r="AO22" i="47"/>
  <c r="AN18" i="47"/>
  <c r="X50" i="47"/>
  <c r="X85" i="47"/>
  <c r="AO48" i="47"/>
  <c r="Z52" i="47"/>
  <c r="Y12" i="47"/>
  <c r="AL30" i="47"/>
  <c r="K21" i="34"/>
  <c r="AI36" i="55"/>
  <c r="AI35" i="55"/>
  <c r="V12" i="55"/>
  <c r="V44" i="55"/>
  <c r="Z90" i="55"/>
  <c r="Z95" i="47"/>
  <c r="W29" i="55"/>
  <c r="W28" i="55"/>
  <c r="AL74" i="47"/>
  <c r="AJ124" i="55"/>
  <c r="F38" i="11"/>
  <c r="F39" i="11" s="1"/>
  <c r="E87" i="34"/>
  <c r="M23" i="2"/>
  <c r="M24" i="30"/>
  <c r="E94" i="34"/>
  <c r="M8" i="30"/>
  <c r="H154" i="36"/>
  <c r="M23" i="16"/>
  <c r="E45" i="34"/>
  <c r="M22" i="16"/>
  <c r="E44" i="34"/>
  <c r="E45" i="55"/>
  <c r="N6" i="17"/>
  <c r="O6" i="17"/>
  <c r="I77" i="36"/>
  <c r="M13" i="14"/>
  <c r="G77" i="35"/>
  <c r="AJ5" i="55" s="1"/>
  <c r="M8" i="14"/>
  <c r="H64" i="36"/>
  <c r="M7" i="14"/>
  <c r="H63" i="36"/>
  <c r="E56" i="34"/>
  <c r="M22" i="19"/>
  <c r="O16" i="5"/>
  <c r="J17" i="35" s="1"/>
  <c r="N16" i="5"/>
  <c r="I17" i="35" s="1"/>
  <c r="H17" i="35"/>
  <c r="I40" i="36"/>
  <c r="O9" i="9"/>
  <c r="N9" i="9"/>
  <c r="H53" i="33"/>
  <c r="M8" i="15"/>
  <c r="H69" i="36"/>
  <c r="W77" i="55" s="1"/>
  <c r="M24" i="15"/>
  <c r="E43" i="34"/>
  <c r="U16" i="55"/>
  <c r="M6" i="13"/>
  <c r="H57" i="36"/>
  <c r="G38" i="13"/>
  <c r="G39" i="13" s="1"/>
  <c r="H3" i="13"/>
  <c r="I27" i="33" s="1"/>
  <c r="E32" i="13"/>
  <c r="F3" i="13"/>
  <c r="F27" i="33"/>
  <c r="M24" i="19"/>
  <c r="E58" i="34"/>
  <c r="H74" i="33"/>
  <c r="F4" i="31"/>
  <c r="G74" i="33" s="1"/>
  <c r="H4" i="31"/>
  <c r="I74" i="33" s="1"/>
  <c r="F74" i="33"/>
  <c r="O15" i="21"/>
  <c r="J137" i="35" s="1"/>
  <c r="AM92" i="55" s="1"/>
  <c r="N15" i="21"/>
  <c r="I137" i="35" s="1"/>
  <c r="H137" i="35"/>
  <c r="AK92" i="55" s="1"/>
  <c r="M9" i="24"/>
  <c r="H125" i="36"/>
  <c r="M16" i="24"/>
  <c r="G157" i="35"/>
  <c r="AJ42" i="55" s="1"/>
  <c r="I133" i="36"/>
  <c r="X43" i="55" s="1"/>
  <c r="O7" i="27"/>
  <c r="K133" i="36" s="1"/>
  <c r="Z43" i="55" s="1"/>
  <c r="N7" i="27"/>
  <c r="J133" i="36" s="1"/>
  <c r="M18" i="22"/>
  <c r="G145" i="35"/>
  <c r="M17" i="22"/>
  <c r="G146" i="35"/>
  <c r="M7" i="22"/>
  <c r="H113" i="36"/>
  <c r="T26" i="55"/>
  <c r="O16" i="27"/>
  <c r="H169" i="35"/>
  <c r="N16" i="27"/>
  <c r="F82" i="36"/>
  <c r="U52" i="55" s="1"/>
  <c r="E38" i="3"/>
  <c r="E39" i="3" s="1"/>
  <c r="M14" i="26"/>
  <c r="G162" i="35"/>
  <c r="AJ15" i="55" s="1"/>
  <c r="N25" i="26"/>
  <c r="O25" i="26"/>
  <c r="G32" i="26"/>
  <c r="F4" i="26"/>
  <c r="F32" i="26" s="1"/>
  <c r="H4" i="26"/>
  <c r="E32" i="26"/>
  <c r="E38" i="11"/>
  <c r="E39" i="11" s="1"/>
  <c r="G4" i="33"/>
  <c r="H160" i="36"/>
  <c r="M9" i="31"/>
  <c r="M10" i="31"/>
  <c r="H161" i="36"/>
  <c r="V51" i="55"/>
  <c r="V46" i="55"/>
  <c r="O20" i="25"/>
  <c r="N20" i="25"/>
  <c r="M13" i="25"/>
  <c r="G116" i="35"/>
  <c r="E76" i="34"/>
  <c r="AV31" i="55"/>
  <c r="G59" i="33"/>
  <c r="G19" i="55" s="1"/>
  <c r="G195" i="35"/>
  <c r="M22" i="30"/>
  <c r="E92" i="34"/>
  <c r="T18" i="55"/>
  <c r="H2" i="16"/>
  <c r="I33" i="33" s="1"/>
  <c r="I8" i="55" s="1"/>
  <c r="F2" i="16"/>
  <c r="E32" i="16"/>
  <c r="F33" i="33"/>
  <c r="F8" i="55" s="1"/>
  <c r="N25" i="16"/>
  <c r="O25" i="16"/>
  <c r="G181" i="35"/>
  <c r="M18" i="14"/>
  <c r="G82" i="35"/>
  <c r="M19" i="14"/>
  <c r="G83" i="35"/>
  <c r="M22" i="14"/>
  <c r="E38" i="34"/>
  <c r="F48" i="34"/>
  <c r="O23" i="17"/>
  <c r="H48" i="34" s="1"/>
  <c r="N23" i="17"/>
  <c r="G48" i="34" s="1"/>
  <c r="O10" i="28"/>
  <c r="K141" i="36" s="1"/>
  <c r="N10" i="28"/>
  <c r="J141" i="36" s="1"/>
  <c r="G86" i="35"/>
  <c r="M18" i="15"/>
  <c r="G89" i="35"/>
  <c r="H99" i="35"/>
  <c r="N16" i="21"/>
  <c r="I138" i="35" s="1"/>
  <c r="O16" i="21"/>
  <c r="J138" i="35" s="1"/>
  <c r="H138" i="35"/>
  <c r="T58" i="55"/>
  <c r="E51" i="55"/>
  <c r="U7" i="55"/>
  <c r="N25" i="13"/>
  <c r="O25" i="13"/>
  <c r="M9" i="19"/>
  <c r="H99" i="36"/>
  <c r="M8" i="24"/>
  <c r="H124" i="36"/>
  <c r="M15" i="24"/>
  <c r="G159" i="35"/>
  <c r="M9" i="22"/>
  <c r="H115" i="36"/>
  <c r="M13" i="22"/>
  <c r="G141" i="35"/>
  <c r="E32" i="22"/>
  <c r="F2" i="22"/>
  <c r="H2" i="22"/>
  <c r="I49" i="33" s="1"/>
  <c r="I26" i="55" s="1"/>
  <c r="F49" i="33"/>
  <c r="I5" i="36"/>
  <c r="O9" i="32"/>
  <c r="K5" i="36" s="1"/>
  <c r="N9" i="32"/>
  <c r="J5" i="36" s="1"/>
  <c r="N8" i="23"/>
  <c r="J119" i="36" s="1"/>
  <c r="Y50" i="55" s="1"/>
  <c r="O8" i="23"/>
  <c r="K119" i="36" s="1"/>
  <c r="Z50" i="55" s="1"/>
  <c r="I119" i="36"/>
  <c r="X50" i="55" s="1"/>
  <c r="E47" i="55"/>
  <c r="M10" i="26"/>
  <c r="H131" i="36"/>
  <c r="M18" i="26"/>
  <c r="G166" i="35"/>
  <c r="H149" i="35"/>
  <c r="F41" i="55"/>
  <c r="N14" i="15"/>
  <c r="I85" i="35" s="1"/>
  <c r="H85" i="35"/>
  <c r="O14" i="15"/>
  <c r="J85" i="35" s="1"/>
  <c r="M17" i="31"/>
  <c r="G201" i="35"/>
  <c r="M8" i="25"/>
  <c r="H94" i="36"/>
  <c r="M22" i="25"/>
  <c r="E74" i="34"/>
  <c r="N14" i="28"/>
  <c r="I174" i="35" s="1"/>
  <c r="AL28" i="55" s="1"/>
  <c r="H174" i="35"/>
  <c r="AK28" i="55" s="1"/>
  <c r="O14" i="28"/>
  <c r="J174" i="35" s="1"/>
  <c r="N11" i="30"/>
  <c r="O11" i="30"/>
  <c r="M13" i="30"/>
  <c r="G190" i="35"/>
  <c r="AJ29" i="55" s="1"/>
  <c r="G95" i="35"/>
  <c r="M7" i="16"/>
  <c r="H73" i="36"/>
  <c r="M7" i="2"/>
  <c r="H143" i="36"/>
  <c r="W53" i="55" s="1"/>
  <c r="G38" i="2"/>
  <c r="G39" i="2" s="1"/>
  <c r="F32" i="34"/>
  <c r="O22" i="12"/>
  <c r="H32" i="34" s="1"/>
  <c r="N22" i="12"/>
  <c r="G32" i="34" s="1"/>
  <c r="F32" i="21"/>
  <c r="G48" i="33"/>
  <c r="N25" i="14"/>
  <c r="O25" i="14"/>
  <c r="M24" i="14"/>
  <c r="E40" i="34"/>
  <c r="M15" i="14"/>
  <c r="G79" i="35"/>
  <c r="N15" i="27"/>
  <c r="O15" i="27"/>
  <c r="H97" i="35"/>
  <c r="AK91" i="55" s="1"/>
  <c r="M23" i="15"/>
  <c r="E42" i="34"/>
  <c r="F4" i="15"/>
  <c r="G32" i="15"/>
  <c r="E32" i="15"/>
  <c r="H4" i="15"/>
  <c r="U58" i="55"/>
  <c r="O14" i="21"/>
  <c r="J136" i="35" s="1"/>
  <c r="N14" i="21"/>
  <c r="I136" i="35" s="1"/>
  <c r="H136" i="35"/>
  <c r="F3" i="22"/>
  <c r="G50" i="33" s="1"/>
  <c r="G51" i="55" s="1"/>
  <c r="H3" i="22"/>
  <c r="I50" i="33" s="1"/>
  <c r="I51" i="55" s="1"/>
  <c r="H50" i="33"/>
  <c r="H51" i="55" s="1"/>
  <c r="F50" i="33"/>
  <c r="F51" i="55" s="1"/>
  <c r="G32" i="28"/>
  <c r="H63" i="33"/>
  <c r="M10" i="13"/>
  <c r="H61" i="36"/>
  <c r="M19" i="19"/>
  <c r="G127" i="35"/>
  <c r="M16" i="19"/>
  <c r="G125" i="35"/>
  <c r="F32" i="12"/>
  <c r="G25" i="33"/>
  <c r="O9" i="23"/>
  <c r="K120" i="36" s="1"/>
  <c r="N9" i="23"/>
  <c r="J120" i="36" s="1"/>
  <c r="I120" i="36"/>
  <c r="M17" i="24"/>
  <c r="G158" i="35"/>
  <c r="M6" i="24"/>
  <c r="H122" i="36"/>
  <c r="W26" i="55" s="1"/>
  <c r="G38" i="24"/>
  <c r="G39" i="24" s="1"/>
  <c r="H3" i="24"/>
  <c r="I55" i="33" s="1"/>
  <c r="I38" i="55" s="1"/>
  <c r="F3" i="24"/>
  <c r="E32" i="24"/>
  <c r="F55" i="33"/>
  <c r="F38" i="55" s="1"/>
  <c r="M15" i="22"/>
  <c r="G143" i="35"/>
  <c r="N11" i="22"/>
  <c r="O11" i="22"/>
  <c r="H71" i="33"/>
  <c r="H4" i="30"/>
  <c r="I71" i="33" s="1"/>
  <c r="F4" i="30"/>
  <c r="G71" i="33" s="1"/>
  <c r="F71" i="33"/>
  <c r="M17" i="26"/>
  <c r="G165" i="35"/>
  <c r="M16" i="26"/>
  <c r="G164" i="35"/>
  <c r="O13" i="9"/>
  <c r="J46" i="35" s="1"/>
  <c r="N13" i="9"/>
  <c r="I46" i="35" s="1"/>
  <c r="H46" i="35"/>
  <c r="O25" i="31"/>
  <c r="N25" i="31"/>
  <c r="M22" i="31"/>
  <c r="E95" i="34"/>
  <c r="AU17" i="55" s="1"/>
  <c r="H2" i="31"/>
  <c r="I72" i="33" s="1"/>
  <c r="E32" i="31"/>
  <c r="F2" i="31"/>
  <c r="F72" i="33"/>
  <c r="F22" i="55" s="1"/>
  <c r="M14" i="25"/>
  <c r="G117" i="35"/>
  <c r="AJ56" i="55" s="1"/>
  <c r="M16" i="25"/>
  <c r="G120" i="35"/>
  <c r="F38" i="1"/>
  <c r="F39" i="1" s="1"/>
  <c r="W12" i="55"/>
  <c r="M6" i="30"/>
  <c r="H152" i="36"/>
  <c r="W30" i="55" s="1"/>
  <c r="G38" i="30"/>
  <c r="G39" i="30" s="1"/>
  <c r="M23" i="30"/>
  <c r="E93" i="34"/>
  <c r="U18" i="55"/>
  <c r="M10" i="16"/>
  <c r="H76" i="36"/>
  <c r="G91" i="35"/>
  <c r="M22" i="2"/>
  <c r="E86" i="34"/>
  <c r="H48" i="33"/>
  <c r="H39" i="55" s="1"/>
  <c r="E38" i="13"/>
  <c r="E39" i="13" s="1"/>
  <c r="K26" i="33"/>
  <c r="M23" i="14"/>
  <c r="E39" i="34"/>
  <c r="O20" i="14"/>
  <c r="N20" i="14"/>
  <c r="N23" i="5"/>
  <c r="G9" i="34" s="1"/>
  <c r="AW38" i="55" s="1"/>
  <c r="F9" i="34"/>
  <c r="AV38" i="55" s="1"/>
  <c r="O23" i="5"/>
  <c r="H9" i="34" s="1"/>
  <c r="AH20" i="55"/>
  <c r="F4" i="24"/>
  <c r="G56" i="33" s="1"/>
  <c r="H56" i="33"/>
  <c r="H4" i="24"/>
  <c r="I56" i="33" s="1"/>
  <c r="F56" i="33"/>
  <c r="W10" i="55"/>
  <c r="N68" i="33"/>
  <c r="J32" i="55"/>
  <c r="M22" i="15"/>
  <c r="E41" i="34"/>
  <c r="AU43" i="55" s="1"/>
  <c r="G87" i="35"/>
  <c r="H64" i="35"/>
  <c r="N14" i="12"/>
  <c r="I64" i="35" s="1"/>
  <c r="AL75" i="55" s="1"/>
  <c r="O14" i="12"/>
  <c r="J64" i="35" s="1"/>
  <c r="O10" i="9"/>
  <c r="K41" i="36" s="1"/>
  <c r="N10" i="9"/>
  <c r="J41" i="36" s="1"/>
  <c r="I41" i="36"/>
  <c r="O23" i="23"/>
  <c r="H69" i="34" s="1"/>
  <c r="N23" i="23"/>
  <c r="G69" i="34" s="1"/>
  <c r="F69" i="34"/>
  <c r="M9" i="13"/>
  <c r="H60" i="36"/>
  <c r="M8" i="13"/>
  <c r="H59" i="36"/>
  <c r="M15" i="19"/>
  <c r="G126" i="35"/>
  <c r="M7" i="19"/>
  <c r="H98" i="36"/>
  <c r="G32" i="12"/>
  <c r="H25" i="33"/>
  <c r="M22" i="24"/>
  <c r="E71" i="34"/>
  <c r="M24" i="24"/>
  <c r="E73" i="34"/>
  <c r="M24" i="22"/>
  <c r="E67" i="34"/>
  <c r="O19" i="22"/>
  <c r="N19" i="22"/>
  <c r="H3" i="30"/>
  <c r="I70" i="33" s="1"/>
  <c r="I43" i="55" s="1"/>
  <c r="H70" i="33"/>
  <c r="H43" i="55" s="1"/>
  <c r="F3" i="30"/>
  <c r="G70" i="33" s="1"/>
  <c r="F70" i="33"/>
  <c r="F43" i="55" s="1"/>
  <c r="O14" i="4"/>
  <c r="J9" i="35" s="1"/>
  <c r="N14" i="4"/>
  <c r="I9" i="35" s="1"/>
  <c r="H9" i="35"/>
  <c r="M6" i="26"/>
  <c r="H127" i="36"/>
  <c r="W4" i="55" s="1"/>
  <c r="G38" i="26"/>
  <c r="G39" i="26" s="1"/>
  <c r="M22" i="26"/>
  <c r="E77" i="34"/>
  <c r="M13" i="31"/>
  <c r="G197" i="35"/>
  <c r="M18" i="31"/>
  <c r="G200" i="35"/>
  <c r="M8" i="31"/>
  <c r="H159" i="36"/>
  <c r="J35" i="55"/>
  <c r="E32" i="25"/>
  <c r="H2" i="25"/>
  <c r="I41" i="33" s="1"/>
  <c r="F2" i="25"/>
  <c r="F41" i="33"/>
  <c r="M18" i="25"/>
  <c r="G121" i="35"/>
  <c r="W79" i="55"/>
  <c r="J21" i="55"/>
  <c r="Y68" i="55"/>
  <c r="X67" i="47"/>
  <c r="AI47" i="55"/>
  <c r="AI49" i="55"/>
  <c r="AL95" i="55"/>
  <c r="O7" i="21"/>
  <c r="K108" i="36" s="1"/>
  <c r="N7" i="21"/>
  <c r="J108" i="36" s="1"/>
  <c r="I108" i="36"/>
  <c r="G193" i="35"/>
  <c r="AJ99" i="55" s="1"/>
  <c r="O20" i="30"/>
  <c r="N20" i="30"/>
  <c r="M14" i="30"/>
  <c r="G191" i="35"/>
  <c r="E8" i="55"/>
  <c r="O20" i="16"/>
  <c r="N20" i="16"/>
  <c r="G92" i="35"/>
  <c r="O20" i="2"/>
  <c r="N20" i="2"/>
  <c r="M10" i="14"/>
  <c r="H66" i="36"/>
  <c r="M14" i="14"/>
  <c r="G78" i="35"/>
  <c r="G30" i="55"/>
  <c r="O23" i="27"/>
  <c r="H81" i="34" s="1"/>
  <c r="N23" i="27"/>
  <c r="G81" i="34" s="1"/>
  <c r="F81" i="34"/>
  <c r="O6" i="21"/>
  <c r="N6" i="21"/>
  <c r="I107" i="36"/>
  <c r="X10" i="55" s="1"/>
  <c r="H173" i="35"/>
  <c r="O13" i="28"/>
  <c r="J173" i="35" s="1"/>
  <c r="N13" i="28"/>
  <c r="I173" i="35" s="1"/>
  <c r="M68" i="33"/>
  <c r="M9" i="15"/>
  <c r="H70" i="36"/>
  <c r="G88" i="35"/>
  <c r="M22" i="13"/>
  <c r="E35" i="34"/>
  <c r="M15" i="13"/>
  <c r="G72" i="35"/>
  <c r="AJ63" i="55" s="1"/>
  <c r="M14" i="19"/>
  <c r="G123" i="35"/>
  <c r="AJ9" i="55" s="1"/>
  <c r="O20" i="19"/>
  <c r="N20" i="19"/>
  <c r="T21" i="55"/>
  <c r="F32" i="17"/>
  <c r="G36" i="33"/>
  <c r="N11" i="24"/>
  <c r="O11" i="24"/>
  <c r="N25" i="24"/>
  <c r="O25" i="24"/>
  <c r="M10" i="22"/>
  <c r="H116" i="36"/>
  <c r="N25" i="22"/>
  <c r="O25" i="22"/>
  <c r="M7" i="26"/>
  <c r="H128" i="36"/>
  <c r="M15" i="26"/>
  <c r="G163" i="35"/>
  <c r="AJ72" i="55" s="1"/>
  <c r="N10" i="5"/>
  <c r="J16" i="36" s="1"/>
  <c r="O10" i="5"/>
  <c r="K16" i="36" s="1"/>
  <c r="N10" i="17"/>
  <c r="J81" i="36" s="1"/>
  <c r="I81" i="36"/>
  <c r="O10" i="17"/>
  <c r="K81" i="36" s="1"/>
  <c r="O20" i="31"/>
  <c r="N20" i="31"/>
  <c r="M7" i="31"/>
  <c r="H158" i="36"/>
  <c r="W34" i="55" s="1"/>
  <c r="M10" i="25"/>
  <c r="H96" i="36"/>
  <c r="O11" i="25"/>
  <c r="N11" i="25"/>
  <c r="T95" i="55"/>
  <c r="T50" i="55"/>
  <c r="F38" i="28"/>
  <c r="F39" i="28" s="1"/>
  <c r="L62" i="33"/>
  <c r="L13" i="55" s="1"/>
  <c r="H2" i="30"/>
  <c r="I69" i="33" s="1"/>
  <c r="I28" i="55" s="1"/>
  <c r="E32" i="30"/>
  <c r="F2" i="30"/>
  <c r="F69" i="33"/>
  <c r="F28" i="55" s="1"/>
  <c r="M10" i="30"/>
  <c r="H156" i="36"/>
  <c r="G194" i="35"/>
  <c r="AJ118" i="55" s="1"/>
  <c r="M8" i="16"/>
  <c r="H74" i="36"/>
  <c r="G94" i="35"/>
  <c r="M9" i="16"/>
  <c r="H75" i="36"/>
  <c r="E32" i="2"/>
  <c r="H3" i="2"/>
  <c r="I65" i="33" s="1"/>
  <c r="F3" i="2"/>
  <c r="F65" i="33"/>
  <c r="F45" i="55" s="1"/>
  <c r="N9" i="5"/>
  <c r="I14" i="36"/>
  <c r="O9" i="5"/>
  <c r="K14" i="36" s="1"/>
  <c r="AJ55" i="55"/>
  <c r="F38" i="13"/>
  <c r="F39" i="13" s="1"/>
  <c r="L26" i="33"/>
  <c r="L21" i="55" s="1"/>
  <c r="O11" i="14"/>
  <c r="N11" i="14"/>
  <c r="M6" i="14"/>
  <c r="G38" i="14"/>
  <c r="G39" i="14" s="1"/>
  <c r="H62" i="36"/>
  <c r="W11" i="55" s="1"/>
  <c r="E38" i="22"/>
  <c r="E39" i="22" s="1"/>
  <c r="K50" i="33"/>
  <c r="K51" i="55" s="1"/>
  <c r="T80" i="55"/>
  <c r="O25" i="15"/>
  <c r="N25" i="15"/>
  <c r="M6" i="15"/>
  <c r="H67" i="36"/>
  <c r="W5" i="55" s="1"/>
  <c r="G38" i="15"/>
  <c r="G39" i="15" s="1"/>
  <c r="AH13" i="55"/>
  <c r="O6" i="12"/>
  <c r="K52" i="36" s="1"/>
  <c r="N6" i="12"/>
  <c r="J52" i="36" s="1"/>
  <c r="I52" i="36"/>
  <c r="O22" i="8"/>
  <c r="H20" i="34" s="1"/>
  <c r="N22" i="8"/>
  <c r="G20" i="34" s="1"/>
  <c r="F20" i="34"/>
  <c r="M24" i="13"/>
  <c r="E37" i="34"/>
  <c r="O17" i="28"/>
  <c r="J177" i="35" s="1"/>
  <c r="AM53" i="55" s="1"/>
  <c r="N17" i="28"/>
  <c r="I177" i="35" s="1"/>
  <c r="H177" i="35"/>
  <c r="M18" i="13"/>
  <c r="G75" i="35"/>
  <c r="M13" i="13"/>
  <c r="G70" i="35"/>
  <c r="AJ20" i="55" s="1"/>
  <c r="O25" i="19"/>
  <c r="N25" i="19"/>
  <c r="N11" i="19"/>
  <c r="O11" i="19"/>
  <c r="M14" i="24"/>
  <c r="G155" i="35"/>
  <c r="AJ27" i="55" s="1"/>
  <c r="M23" i="24"/>
  <c r="E72" i="34"/>
  <c r="N20" i="22"/>
  <c r="O20" i="22"/>
  <c r="M8" i="22"/>
  <c r="H114" i="36"/>
  <c r="O7" i="28"/>
  <c r="K138" i="36" s="1"/>
  <c r="N7" i="28"/>
  <c r="J138" i="36" s="1"/>
  <c r="Y38" i="55" s="1"/>
  <c r="I138" i="36"/>
  <c r="X38" i="55" s="1"/>
  <c r="F47" i="34"/>
  <c r="N22" i="17"/>
  <c r="G47" i="34" s="1"/>
  <c r="O22" i="17"/>
  <c r="H47" i="34" s="1"/>
  <c r="AX2" i="55" s="1"/>
  <c r="F38" i="3"/>
  <c r="F39" i="3" s="1"/>
  <c r="H4" i="22"/>
  <c r="I51" i="33" s="1"/>
  <c r="H51" i="33"/>
  <c r="F4" i="22"/>
  <c r="G51" i="33" s="1"/>
  <c r="F51" i="33"/>
  <c r="N11" i="26"/>
  <c r="O11" i="26"/>
  <c r="M8" i="26"/>
  <c r="H129" i="36"/>
  <c r="N9" i="8"/>
  <c r="J35" i="36" s="1"/>
  <c r="O9" i="8"/>
  <c r="K35" i="36" s="1"/>
  <c r="Z83" i="55" s="1"/>
  <c r="I35" i="36"/>
  <c r="X83" i="55" s="1"/>
  <c r="G198" i="35"/>
  <c r="M14" i="31"/>
  <c r="M15" i="31"/>
  <c r="G202" i="35"/>
  <c r="M19" i="31"/>
  <c r="G203" i="35"/>
  <c r="F38" i="29"/>
  <c r="F39" i="29" s="1"/>
  <c r="L67" i="33"/>
  <c r="L35" i="55" s="1"/>
  <c r="E29" i="55"/>
  <c r="M15" i="25"/>
  <c r="G118" i="35"/>
  <c r="E75" i="34"/>
  <c r="Z41" i="55"/>
  <c r="AO95" i="47"/>
  <c r="O18" i="12"/>
  <c r="J68" i="35" s="1"/>
  <c r="N18" i="12"/>
  <c r="I68" i="35" s="1"/>
  <c r="H68" i="35"/>
  <c r="AH28" i="55"/>
  <c r="F25" i="55"/>
  <c r="E38" i="28"/>
  <c r="E39" i="28" s="1"/>
  <c r="K62" i="33"/>
  <c r="K13" i="55" s="1"/>
  <c r="M9" i="30"/>
  <c r="H155" i="36"/>
  <c r="N25" i="30"/>
  <c r="O25" i="30"/>
  <c r="M6" i="16"/>
  <c r="G38" i="16"/>
  <c r="G39" i="16" s="1"/>
  <c r="H72" i="36"/>
  <c r="W15" i="55" s="1"/>
  <c r="N11" i="16"/>
  <c r="O11" i="16"/>
  <c r="G96" i="35"/>
  <c r="M7" i="13"/>
  <c r="H58" i="36"/>
  <c r="N15" i="8"/>
  <c r="I43" i="35" s="1"/>
  <c r="O15" i="8"/>
  <c r="J43" i="35" s="1"/>
  <c r="H43" i="35"/>
  <c r="M16" i="13"/>
  <c r="G73" i="35"/>
  <c r="M9" i="14"/>
  <c r="H65" i="36"/>
  <c r="M16" i="14"/>
  <c r="G80" i="35"/>
  <c r="L50" i="33"/>
  <c r="F38" i="22"/>
  <c r="F39" i="22" s="1"/>
  <c r="J15" i="55"/>
  <c r="N54" i="33"/>
  <c r="F23" i="34"/>
  <c r="E38" i="21"/>
  <c r="E39" i="21" s="1"/>
  <c r="E135" i="35"/>
  <c r="AH52" i="55" s="1"/>
  <c r="U80" i="55"/>
  <c r="O19" i="2"/>
  <c r="N19" i="2"/>
  <c r="O11" i="15"/>
  <c r="N11" i="15"/>
  <c r="M7" i="15"/>
  <c r="H68" i="36"/>
  <c r="W89" i="55" s="1"/>
  <c r="T16" i="55"/>
  <c r="F48" i="55"/>
  <c r="N20" i="13"/>
  <c r="O20" i="13"/>
  <c r="M19" i="13"/>
  <c r="G76" i="35"/>
  <c r="M18" i="19"/>
  <c r="G128" i="35"/>
  <c r="F2" i="19"/>
  <c r="E32" i="19"/>
  <c r="H2" i="19"/>
  <c r="I43" i="33" s="1"/>
  <c r="I10" i="55" s="1"/>
  <c r="F43" i="33"/>
  <c r="U21" i="55"/>
  <c r="N9" i="12"/>
  <c r="J55" i="36" s="1"/>
  <c r="I55" i="36"/>
  <c r="O9" i="12"/>
  <c r="K55" i="36" s="1"/>
  <c r="AH60" i="55"/>
  <c r="M18" i="24"/>
  <c r="G156" i="35"/>
  <c r="M19" i="24"/>
  <c r="G160" i="35"/>
  <c r="M16" i="22"/>
  <c r="G144" i="35"/>
  <c r="G38" i="22"/>
  <c r="G39" i="22" s="1"/>
  <c r="M6" i="22"/>
  <c r="H112" i="36"/>
  <c r="W21" i="55" s="1"/>
  <c r="F42" i="55"/>
  <c r="N17" i="4"/>
  <c r="I12" i="35" s="1"/>
  <c r="T3" i="55"/>
  <c r="M23" i="26"/>
  <c r="E78" i="34"/>
  <c r="O20" i="26"/>
  <c r="N20" i="26"/>
  <c r="O19" i="26"/>
  <c r="N19" i="26"/>
  <c r="H4" i="33"/>
  <c r="E40" i="55"/>
  <c r="E97" i="34"/>
  <c r="M16" i="31"/>
  <c r="G199" i="35"/>
  <c r="E38" i="29"/>
  <c r="E39" i="29" s="1"/>
  <c r="K67" i="33"/>
  <c r="K32" i="55" s="1"/>
  <c r="M7" i="25"/>
  <c r="H93" i="36"/>
  <c r="M9" i="25"/>
  <c r="H95" i="36"/>
  <c r="G38" i="25"/>
  <c r="G39" i="25" s="1"/>
  <c r="M6" i="25"/>
  <c r="H92" i="36"/>
  <c r="M7" i="30"/>
  <c r="H153" i="36"/>
  <c r="W61" i="55" s="1"/>
  <c r="M15" i="30"/>
  <c r="G192" i="35"/>
  <c r="AJ49" i="55" s="1"/>
  <c r="G93" i="35"/>
  <c r="M13" i="16"/>
  <c r="G90" i="35"/>
  <c r="M24" i="16"/>
  <c r="E46" i="34"/>
  <c r="M8" i="19"/>
  <c r="H100" i="36"/>
  <c r="H148" i="35"/>
  <c r="E27" i="55"/>
  <c r="M17" i="14"/>
  <c r="G81" i="35"/>
  <c r="AJ84" i="55" s="1"/>
  <c r="E32" i="14"/>
  <c r="H2" i="14"/>
  <c r="I29" i="33" s="1"/>
  <c r="I27" i="55" s="1"/>
  <c r="F2" i="14"/>
  <c r="F29" i="33"/>
  <c r="F27" i="55" s="1"/>
  <c r="N24" i="8"/>
  <c r="G22" i="34" s="1"/>
  <c r="O24" i="8"/>
  <c r="H22" i="34" s="1"/>
  <c r="F22" i="34"/>
  <c r="K15" i="55"/>
  <c r="M54" i="33"/>
  <c r="E36" i="34"/>
  <c r="M23" i="13"/>
  <c r="A7" i="35"/>
  <c r="F38" i="21"/>
  <c r="F39" i="21" s="1"/>
  <c r="F135" i="35"/>
  <c r="AI50" i="55" s="1"/>
  <c r="G53" i="33"/>
  <c r="I136" i="36"/>
  <c r="O10" i="27"/>
  <c r="K136" i="36" s="1"/>
  <c r="N10" i="27"/>
  <c r="J136" i="36" s="1"/>
  <c r="M13" i="15"/>
  <c r="G84" i="35"/>
  <c r="AJ44" i="55" s="1"/>
  <c r="O20" i="15"/>
  <c r="N20" i="15"/>
  <c r="N6" i="4"/>
  <c r="O6" i="4"/>
  <c r="I7" i="36"/>
  <c r="X6" i="55" s="1"/>
  <c r="F32" i="28"/>
  <c r="G63" i="33"/>
  <c r="T7" i="55"/>
  <c r="O11" i="13"/>
  <c r="N11" i="13"/>
  <c r="M17" i="13"/>
  <c r="G74" i="35"/>
  <c r="H101" i="36"/>
  <c r="M10" i="19"/>
  <c r="M23" i="19"/>
  <c r="E57" i="34"/>
  <c r="G32" i="17"/>
  <c r="H36" i="33"/>
  <c r="M7" i="24"/>
  <c r="H123" i="36"/>
  <c r="N20" i="24"/>
  <c r="O20" i="24"/>
  <c r="M23" i="22"/>
  <c r="E66" i="34"/>
  <c r="M22" i="22"/>
  <c r="E65" i="34"/>
  <c r="AU21" i="55" s="1"/>
  <c r="M14" i="22"/>
  <c r="G142" i="35"/>
  <c r="H8" i="33"/>
  <c r="H42" i="55" s="1"/>
  <c r="H139" i="35"/>
  <c r="AK52" i="55" s="1"/>
  <c r="M24" i="26"/>
  <c r="E79" i="34"/>
  <c r="M9" i="26"/>
  <c r="H130" i="36"/>
  <c r="M13" i="26"/>
  <c r="G161" i="35"/>
  <c r="K19" i="55"/>
  <c r="F3" i="25"/>
  <c r="G42" i="33" s="1"/>
  <c r="H3" i="25"/>
  <c r="I42" i="33" s="1"/>
  <c r="I40" i="55" s="1"/>
  <c r="H42" i="33"/>
  <c r="H40" i="55" s="1"/>
  <c r="F42" i="33"/>
  <c r="F40" i="55" s="1"/>
  <c r="N11" i="31"/>
  <c r="O11" i="31"/>
  <c r="M23" i="31"/>
  <c r="E96" i="34"/>
  <c r="AH36" i="55"/>
  <c r="O25" i="25"/>
  <c r="N25" i="25"/>
  <c r="O19" i="25"/>
  <c r="N19" i="25"/>
  <c r="M17" i="25"/>
  <c r="G119" i="35"/>
  <c r="I140" i="36"/>
  <c r="W91" i="55"/>
  <c r="AK93" i="55"/>
  <c r="AM93" i="55"/>
  <c r="AL93" i="55"/>
  <c r="W73" i="55"/>
  <c r="AK3" i="55"/>
  <c r="W19" i="55"/>
  <c r="E30" i="47"/>
  <c r="D24" i="47"/>
  <c r="C9" i="47"/>
  <c r="C7" i="47"/>
  <c r="E6" i="47"/>
  <c r="D30" i="55" s="1"/>
  <c r="C81" i="47"/>
  <c r="C58" i="47"/>
  <c r="C78" i="47"/>
  <c r="E50" i="47"/>
  <c r="E63" i="47"/>
  <c r="C71" i="47"/>
  <c r="C56" i="47"/>
  <c r="E74" i="47"/>
  <c r="F84" i="47"/>
  <c r="D85" i="47"/>
  <c r="E66" i="47"/>
  <c r="C44" i="47"/>
  <c r="E94" i="47"/>
  <c r="D43" i="47"/>
  <c r="D46" i="47"/>
  <c r="C45" i="47"/>
  <c r="D8" i="47"/>
  <c r="E68" i="47"/>
  <c r="C51" i="47"/>
  <c r="F73" i="47"/>
  <c r="D50" i="47"/>
  <c r="E69" i="47"/>
  <c r="C61" i="47"/>
  <c r="E51" i="47"/>
  <c r="F98" i="47"/>
  <c r="F94" i="47"/>
  <c r="C54" i="47"/>
  <c r="E101" i="47"/>
  <c r="D90" i="47"/>
  <c r="D48" i="47"/>
  <c r="E93" i="47"/>
  <c r="F96" i="47"/>
  <c r="C47" i="47"/>
  <c r="C74" i="47"/>
  <c r="D93" i="47"/>
  <c r="F81" i="47"/>
  <c r="C86" i="47"/>
  <c r="C72" i="47"/>
  <c r="E77" i="47"/>
  <c r="D79" i="47"/>
  <c r="C22" i="47"/>
  <c r="D42" i="47"/>
  <c r="E76" i="47"/>
  <c r="E20" i="47"/>
  <c r="F74" i="47"/>
  <c r="E29" i="47"/>
  <c r="E65" i="47"/>
  <c r="D38" i="47"/>
  <c r="E36" i="47"/>
  <c r="C32" i="47"/>
  <c r="E42" i="47"/>
  <c r="E21" i="47"/>
  <c r="D22" i="47"/>
  <c r="D12" i="47"/>
  <c r="C12" i="47"/>
  <c r="E34" i="47"/>
  <c r="D21" i="47"/>
  <c r="E8" i="47"/>
  <c r="C8" i="47"/>
  <c r="E58" i="47"/>
  <c r="E53" i="47"/>
  <c r="D47" i="47"/>
  <c r="E43" i="47"/>
  <c r="D27" i="47"/>
  <c r="E78" i="47"/>
  <c r="E49" i="47"/>
  <c r="E99" i="47"/>
  <c r="F93" i="47"/>
  <c r="C53" i="47"/>
  <c r="C83" i="47"/>
  <c r="D80" i="47"/>
  <c r="E90" i="47"/>
  <c r="F67" i="47"/>
  <c r="C25" i="47"/>
  <c r="D34" i="47"/>
  <c r="D40" i="47"/>
  <c r="E13" i="47"/>
  <c r="C63" i="47"/>
  <c r="C89" i="47"/>
  <c r="D98" i="47"/>
  <c r="C55" i="47"/>
  <c r="C67" i="47"/>
  <c r="D102" i="47"/>
  <c r="D99" i="47"/>
  <c r="D96" i="47"/>
  <c r="D101" i="47"/>
  <c r="C90" i="47"/>
  <c r="E67" i="47"/>
  <c r="C97" i="47"/>
  <c r="F83" i="47"/>
  <c r="D68" i="47"/>
  <c r="D84" i="47"/>
  <c r="C48" i="47"/>
  <c r="D88" i="47"/>
  <c r="E48" i="47"/>
  <c r="E61" i="47"/>
  <c r="C52" i="47"/>
  <c r="E60" i="47"/>
  <c r="E97" i="47"/>
  <c r="D67" i="47"/>
  <c r="D60" i="47"/>
  <c r="E52" i="47"/>
  <c r="E82" i="47"/>
  <c r="C34" i="47"/>
  <c r="E102" i="47"/>
  <c r="C28" i="47"/>
  <c r="C37" i="47"/>
  <c r="C36" i="47"/>
  <c r="C23" i="47"/>
  <c r="D69" i="47"/>
  <c r="E26" i="47"/>
  <c r="D28" i="47"/>
  <c r="C33" i="47"/>
  <c r="D31" i="47"/>
  <c r="C20" i="47"/>
  <c r="C27" i="47"/>
  <c r="E12" i="47"/>
  <c r="E14" i="47"/>
  <c r="D17" i="47"/>
  <c r="E32" i="47"/>
  <c r="E16" i="47"/>
  <c r="C43" i="47"/>
  <c r="D15" i="47"/>
  <c r="C70" i="47"/>
  <c r="E96" i="47"/>
  <c r="D70" i="47"/>
  <c r="E17" i="47"/>
  <c r="D82" i="47"/>
  <c r="C77" i="47"/>
  <c r="E79" i="47"/>
  <c r="F86" i="47"/>
  <c r="E59" i="47"/>
  <c r="D49" i="47"/>
  <c r="D87" i="47"/>
  <c r="D86" i="47"/>
  <c r="D54" i="47"/>
  <c r="E89" i="47"/>
  <c r="E92" i="47"/>
  <c r="C59" i="47"/>
  <c r="E86" i="47"/>
  <c r="C69" i="47"/>
  <c r="E57" i="47"/>
  <c r="E85" i="47"/>
  <c r="E64" i="47"/>
  <c r="F88" i="47"/>
  <c r="D76" i="47"/>
  <c r="C64" i="47"/>
  <c r="D77" i="47"/>
  <c r="F97" i="47"/>
  <c r="D74" i="47"/>
  <c r="D78" i="47"/>
  <c r="E40" i="47"/>
  <c r="F70" i="47"/>
  <c r="E27" i="47"/>
  <c r="C40" i="47"/>
  <c r="D37" i="47"/>
  <c r="E22" i="47"/>
  <c r="D36" i="47"/>
  <c r="C31" i="47"/>
  <c r="C35" i="47"/>
  <c r="C16" i="47"/>
  <c r="D20" i="47"/>
  <c r="D13" i="47"/>
  <c r="D9" i="47"/>
  <c r="E46" i="47"/>
  <c r="C15" i="47"/>
  <c r="D29" i="47"/>
  <c r="E15" i="47"/>
  <c r="D14" i="47"/>
  <c r="C68" i="47"/>
  <c r="D53" i="47"/>
  <c r="F82" i="47"/>
  <c r="E39" i="47"/>
  <c r="C93" i="47"/>
  <c r="E9" i="47"/>
  <c r="L36" i="55"/>
  <c r="L37" i="55"/>
  <c r="E84" i="47"/>
  <c r="E80" i="47"/>
  <c r="C102" i="47"/>
  <c r="C98" i="47"/>
  <c r="C73" i="47"/>
  <c r="D91" i="47"/>
  <c r="C95" i="47"/>
  <c r="D75" i="47"/>
  <c r="D61" i="47"/>
  <c r="D55" i="47"/>
  <c r="D100" i="47"/>
  <c r="D64" i="47"/>
  <c r="E100" i="47"/>
  <c r="F87" i="47"/>
  <c r="C82" i="47"/>
  <c r="C65" i="47"/>
  <c r="E55" i="47"/>
  <c r="F100" i="47"/>
  <c r="E73" i="47"/>
  <c r="F102" i="47"/>
  <c r="E81" i="47"/>
  <c r="C75" i="47"/>
  <c r="C79" i="47"/>
  <c r="D45" i="47"/>
  <c r="E35" i="47"/>
  <c r="D35" i="47"/>
  <c r="D33" i="47"/>
  <c r="E37" i="47"/>
  <c r="C21" i="47"/>
  <c r="E45" i="47"/>
  <c r="D18" i="47"/>
  <c r="D41" i="47"/>
  <c r="D16" i="47"/>
  <c r="E24" i="47"/>
  <c r="C13" i="47"/>
  <c r="E83" i="47"/>
  <c r="F71" i="47"/>
  <c r="E70" i="47"/>
  <c r="E44" i="47"/>
  <c r="E88" i="47"/>
  <c r="E47" i="47"/>
  <c r="F79" i="47"/>
  <c r="D89" i="47"/>
  <c r="E54" i="47"/>
  <c r="E71" i="47"/>
  <c r="C100" i="47"/>
  <c r="F72" i="47"/>
  <c r="C96" i="47"/>
  <c r="E98" i="47"/>
  <c r="D62" i="47"/>
  <c r="D73" i="47"/>
  <c r="D81" i="47"/>
  <c r="C91" i="47"/>
  <c r="C99" i="47"/>
  <c r="F89" i="47"/>
  <c r="E95" i="47"/>
  <c r="F90" i="47"/>
  <c r="C76" i="47"/>
  <c r="D94" i="47"/>
  <c r="E72" i="47"/>
  <c r="C39" i="47"/>
  <c r="D71" i="47"/>
  <c r="C84" i="47"/>
  <c r="F80" i="47"/>
  <c r="E87" i="47"/>
  <c r="E23" i="47"/>
  <c r="E33" i="47"/>
  <c r="C38" i="47"/>
  <c r="E38" i="47"/>
  <c r="D44" i="47"/>
  <c r="F16" i="55"/>
  <c r="C24" i="47"/>
  <c r="C30" i="47"/>
  <c r="C41" i="47"/>
  <c r="C29" i="47"/>
  <c r="C17" i="47"/>
  <c r="E11" i="47"/>
  <c r="C18" i="47"/>
  <c r="E7" i="47"/>
  <c r="E10" i="47"/>
  <c r="D23" i="47"/>
  <c r="C19" i="47"/>
  <c r="C14" i="47"/>
  <c r="F101" i="47"/>
  <c r="C42" i="47"/>
  <c r="C46" i="47"/>
  <c r="F77" i="47"/>
  <c r="L11" i="55"/>
  <c r="C49" i="47"/>
  <c r="D63" i="47"/>
  <c r="C62" i="47"/>
  <c r="C85" i="47"/>
  <c r="D95" i="47"/>
  <c r="D56" i="47"/>
  <c r="D92" i="47"/>
  <c r="E75" i="47"/>
  <c r="F68" i="47"/>
  <c r="F69" i="47"/>
  <c r="C94" i="47"/>
  <c r="D72" i="47"/>
  <c r="D59" i="47"/>
  <c r="E91" i="47"/>
  <c r="C92" i="47"/>
  <c r="D97" i="47"/>
  <c r="F75" i="47"/>
  <c r="C80" i="47"/>
  <c r="F99" i="47"/>
  <c r="C87" i="47"/>
  <c r="D66" i="47"/>
  <c r="E56" i="47"/>
  <c r="C50" i="47"/>
  <c r="F92" i="47"/>
  <c r="C101" i="47"/>
  <c r="C57" i="47"/>
  <c r="D30" i="47"/>
  <c r="C66" i="47"/>
  <c r="D25" i="47"/>
  <c r="D39" i="47"/>
  <c r="E25" i="47"/>
  <c r="E41" i="47"/>
  <c r="D32" i="47"/>
  <c r="E28" i="47"/>
  <c r="C26" i="47"/>
  <c r="D7" i="47"/>
  <c r="E19" i="47"/>
  <c r="D11" i="47"/>
  <c r="D19" i="47"/>
  <c r="E18" i="47"/>
  <c r="AM120" i="55"/>
  <c r="N24" i="33"/>
  <c r="F23" i="47" s="1"/>
  <c r="M24" i="33"/>
  <c r="K20" i="55"/>
  <c r="AI48" i="55"/>
  <c r="L55" i="34"/>
  <c r="I55" i="34"/>
  <c r="N6" i="18"/>
  <c r="I87" i="36"/>
  <c r="O6" i="18"/>
  <c r="N8" i="10"/>
  <c r="J45" i="36" s="1"/>
  <c r="I45" i="36"/>
  <c r="O8" i="10"/>
  <c r="K45" i="36" s="1"/>
  <c r="O17" i="10"/>
  <c r="J56" i="35" s="1"/>
  <c r="H56" i="35"/>
  <c r="N17" i="10"/>
  <c r="I56" i="35" s="1"/>
  <c r="F26" i="34"/>
  <c r="AV19" i="55" s="1"/>
  <c r="O22" i="10"/>
  <c r="H26" i="34" s="1"/>
  <c r="N22" i="10"/>
  <c r="G26" i="34" s="1"/>
  <c r="AW19" i="55" s="1"/>
  <c r="N16" i="10"/>
  <c r="I55" i="35" s="1"/>
  <c r="O16" i="10"/>
  <c r="J55" i="35" s="1"/>
  <c r="H55" i="35"/>
  <c r="G32" i="10"/>
  <c r="H20" i="33"/>
  <c r="N6" i="10"/>
  <c r="O6" i="10"/>
  <c r="I44" i="36"/>
  <c r="N13" i="10"/>
  <c r="I52" i="35" s="1"/>
  <c r="AL8" i="55" s="1"/>
  <c r="O13" i="10"/>
  <c r="J52" i="35" s="1"/>
  <c r="H52" i="35"/>
  <c r="AK8" i="55" s="1"/>
  <c r="AO84" i="47"/>
  <c r="Z71" i="47"/>
  <c r="Z84" i="47"/>
  <c r="AL83" i="47"/>
  <c r="Y64" i="47"/>
  <c r="Y99" i="47"/>
  <c r="AN96" i="47"/>
  <c r="AA102" i="47"/>
  <c r="AN82" i="47"/>
  <c r="AA97" i="47"/>
  <c r="AL68" i="47"/>
  <c r="AP97" i="47"/>
  <c r="X82" i="47"/>
  <c r="AO82" i="47"/>
  <c r="X90" i="47"/>
  <c r="X65" i="47"/>
  <c r="Y70" i="47"/>
  <c r="AN66" i="47"/>
  <c r="AL67" i="47"/>
  <c r="N20" i="7"/>
  <c r="O20" i="7"/>
  <c r="M13" i="7"/>
  <c r="G34" i="35"/>
  <c r="M6" i="7"/>
  <c r="G38" i="7"/>
  <c r="G39" i="7" s="1"/>
  <c r="H27" i="36"/>
  <c r="W24" i="55" s="1"/>
  <c r="X92" i="55"/>
  <c r="M19" i="7"/>
  <c r="G40" i="35"/>
  <c r="G37" i="35"/>
  <c r="M18" i="7"/>
  <c r="G39" i="35"/>
  <c r="M8" i="7"/>
  <c r="H29" i="36"/>
  <c r="W45" i="55" s="1"/>
  <c r="M23" i="7"/>
  <c r="E18" i="34"/>
  <c r="E19" i="34"/>
  <c r="M24" i="7"/>
  <c r="M15" i="7"/>
  <c r="G36" i="35"/>
  <c r="N11" i="7"/>
  <c r="O11" i="7"/>
  <c r="G38" i="35"/>
  <c r="H30" i="36"/>
  <c r="M9" i="7"/>
  <c r="H3" i="7"/>
  <c r="I15" i="33" s="1"/>
  <c r="E32" i="7"/>
  <c r="F3" i="7"/>
  <c r="F15" i="33"/>
  <c r="E17" i="34"/>
  <c r="M22" i="7"/>
  <c r="M10" i="7"/>
  <c r="H31" i="36"/>
  <c r="M14" i="7"/>
  <c r="G35" i="35"/>
  <c r="O25" i="7"/>
  <c r="N25" i="7"/>
  <c r="K34" i="55"/>
  <c r="H6" i="35"/>
  <c r="AO63" i="47"/>
  <c r="Z85" i="47"/>
  <c r="AL77" i="47"/>
  <c r="AN63" i="47"/>
  <c r="Z64" i="47"/>
  <c r="AL64" i="47"/>
  <c r="AO71" i="47"/>
  <c r="J28" i="55"/>
  <c r="F38" i="30"/>
  <c r="F39" i="30" s="1"/>
  <c r="L69" i="33"/>
  <c r="L28" i="55" s="1"/>
  <c r="K69" i="33"/>
  <c r="K47" i="55" s="1"/>
  <c r="E38" i="30"/>
  <c r="E39" i="30" s="1"/>
  <c r="E38" i="31"/>
  <c r="E39" i="31" s="1"/>
  <c r="K23" i="55"/>
  <c r="F38" i="31"/>
  <c r="F39" i="31" s="1"/>
  <c r="L72" i="33"/>
  <c r="J23" i="55"/>
  <c r="W31" i="55"/>
  <c r="Y87" i="55"/>
  <c r="AS31" i="55"/>
  <c r="AT31" i="55"/>
  <c r="O7" i="23"/>
  <c r="N7" i="23"/>
  <c r="I118" i="36"/>
  <c r="H38" i="23"/>
  <c r="K46" i="33"/>
  <c r="K45" i="55" s="1"/>
  <c r="E38" i="20"/>
  <c r="E39" i="20" s="1"/>
  <c r="L46" i="33"/>
  <c r="L45" i="55" s="1"/>
  <c r="F38" i="20"/>
  <c r="F39" i="20" s="1"/>
  <c r="W42" i="55"/>
  <c r="N32" i="33"/>
  <c r="M32" i="33"/>
  <c r="A42" i="36"/>
  <c r="T78" i="55"/>
  <c r="G35" i="36"/>
  <c r="V67" i="55" s="1"/>
  <c r="F38" i="8"/>
  <c r="F39" i="8" s="1"/>
  <c r="U78" i="55"/>
  <c r="E38" i="8"/>
  <c r="E39" i="8" s="1"/>
  <c r="V22" i="55"/>
  <c r="N19" i="3" l="1"/>
  <c r="I109" i="35" s="1"/>
  <c r="K109" i="35" s="1"/>
  <c r="Y74" i="55"/>
  <c r="AK115" i="55"/>
  <c r="Z74" i="55"/>
  <c r="H109" i="35"/>
  <c r="N109" i="35" s="1"/>
  <c r="J85" i="36"/>
  <c r="AJ131" i="55"/>
  <c r="AJ130" i="55"/>
  <c r="AJ126" i="55"/>
  <c r="AJ127" i="55"/>
  <c r="AJ179" i="55"/>
  <c r="AX5" i="55"/>
  <c r="AJ181" i="55"/>
  <c r="AM126" i="55"/>
  <c r="AU31" i="55"/>
  <c r="AU5" i="55"/>
  <c r="N13" i="27"/>
  <c r="I167" i="35" s="1"/>
  <c r="I132" i="36"/>
  <c r="X12" i="55" s="1"/>
  <c r="I135" i="36"/>
  <c r="N9" i="27"/>
  <c r="J135" i="36" s="1"/>
  <c r="L135" i="36" s="1"/>
  <c r="W36" i="55"/>
  <c r="X36" i="55"/>
  <c r="O13" i="27"/>
  <c r="J167" i="35" s="1"/>
  <c r="AK87" i="55"/>
  <c r="AJ87" i="55"/>
  <c r="Z55" i="55"/>
  <c r="N18" i="36"/>
  <c r="AJ96" i="55"/>
  <c r="AJ119" i="55"/>
  <c r="AJ67" i="55"/>
  <c r="W55" i="55"/>
  <c r="AJ57" i="55"/>
  <c r="I22" i="55"/>
  <c r="I13" i="55"/>
  <c r="AJ30" i="55"/>
  <c r="F13" i="55"/>
  <c r="AJ25" i="55"/>
  <c r="AJ65" i="55"/>
  <c r="AJ17" i="55"/>
  <c r="AU20" i="55"/>
  <c r="K196" i="35"/>
  <c r="AI107" i="55"/>
  <c r="AI51" i="55"/>
  <c r="AK68" i="55"/>
  <c r="O24" i="17"/>
  <c r="H49" i="34" s="1"/>
  <c r="I97" i="35"/>
  <c r="AL91" i="55" s="1"/>
  <c r="AJ32" i="55"/>
  <c r="H38" i="17"/>
  <c r="H39" i="17" s="1"/>
  <c r="N24" i="17"/>
  <c r="G49" i="34" s="1"/>
  <c r="I49" i="34" s="1"/>
  <c r="J49" i="34" s="1"/>
  <c r="L79" i="36"/>
  <c r="M79" i="36" s="1"/>
  <c r="J97" i="35"/>
  <c r="J101" i="35"/>
  <c r="J98" i="35"/>
  <c r="I98" i="35"/>
  <c r="K98" i="35" s="1"/>
  <c r="L98" i="35" s="1"/>
  <c r="N6" i="31"/>
  <c r="J157" i="36" s="1"/>
  <c r="Y3" i="55" s="1"/>
  <c r="AJ134" i="55"/>
  <c r="AJ137" i="55"/>
  <c r="AJ155" i="55"/>
  <c r="AJ147" i="55"/>
  <c r="AJ152" i="55"/>
  <c r="AJ156" i="55"/>
  <c r="AJ186" i="55"/>
  <c r="AJ157" i="55"/>
  <c r="AJ136" i="55"/>
  <c r="AJ144" i="55"/>
  <c r="AJ146" i="55"/>
  <c r="AJ160" i="55"/>
  <c r="AJ178" i="55"/>
  <c r="AJ141" i="55"/>
  <c r="AJ151" i="55"/>
  <c r="AJ173" i="55"/>
  <c r="AJ135" i="55"/>
  <c r="AJ172" i="55"/>
  <c r="AJ149" i="55"/>
  <c r="AJ161" i="55"/>
  <c r="AJ133" i="55"/>
  <c r="AJ176" i="55"/>
  <c r="AJ185" i="55"/>
  <c r="AJ164" i="55"/>
  <c r="AJ162" i="55"/>
  <c r="AJ174" i="55"/>
  <c r="AJ169" i="55"/>
  <c r="AJ168" i="55"/>
  <c r="AJ138" i="55"/>
  <c r="AJ182" i="55"/>
  <c r="N13" i="12"/>
  <c r="I65" i="35" s="1"/>
  <c r="H65" i="35"/>
  <c r="U71" i="55"/>
  <c r="J14" i="36"/>
  <c r="K13" i="36"/>
  <c r="K15" i="36"/>
  <c r="L15" i="36" s="1"/>
  <c r="J15" i="36"/>
  <c r="K186" i="35"/>
  <c r="M186" i="35" s="1"/>
  <c r="I91" i="34"/>
  <c r="J169" i="35"/>
  <c r="AM87" i="55" s="1"/>
  <c r="I169" i="35"/>
  <c r="AL87" i="55" s="1"/>
  <c r="H168" i="35"/>
  <c r="I168" i="35"/>
  <c r="W85" i="55"/>
  <c r="AJ79" i="55"/>
  <c r="K85" i="36"/>
  <c r="W80" i="55"/>
  <c r="J83" i="36"/>
  <c r="Y80" i="55" s="1"/>
  <c r="K83" i="36"/>
  <c r="AJ91" i="55"/>
  <c r="J99" i="35"/>
  <c r="AM32" i="55" s="1"/>
  <c r="I99" i="35"/>
  <c r="AL32" i="55" s="1"/>
  <c r="AJ68" i="55"/>
  <c r="AI32" i="55"/>
  <c r="AI91" i="55"/>
  <c r="I100" i="35"/>
  <c r="J100" i="35"/>
  <c r="AM68" i="55" s="1"/>
  <c r="I56" i="36"/>
  <c r="AJ75" i="55"/>
  <c r="N10" i="12"/>
  <c r="J56" i="36" s="1"/>
  <c r="L56" i="36" s="1"/>
  <c r="AJ122" i="55"/>
  <c r="AH54" i="55"/>
  <c r="J61" i="35"/>
  <c r="K61" i="35" s="1"/>
  <c r="H60" i="35"/>
  <c r="I50" i="36"/>
  <c r="I49" i="36"/>
  <c r="U91" i="55"/>
  <c r="O9" i="11"/>
  <c r="N9" i="11"/>
  <c r="I43" i="36"/>
  <c r="X51" i="55" s="1"/>
  <c r="K44" i="36"/>
  <c r="U66" i="55"/>
  <c r="AJ21" i="55"/>
  <c r="O16" i="9"/>
  <c r="J49" i="35" s="1"/>
  <c r="F32" i="6"/>
  <c r="I9" i="36"/>
  <c r="X55" i="55" s="1"/>
  <c r="H12" i="35"/>
  <c r="AU85" i="55"/>
  <c r="AU49" i="55"/>
  <c r="AU62" i="55"/>
  <c r="AU58" i="55"/>
  <c r="AU69" i="55"/>
  <c r="AU97" i="55"/>
  <c r="AU71" i="55"/>
  <c r="AU70" i="55"/>
  <c r="I10" i="36"/>
  <c r="N54" i="36"/>
  <c r="AK55" i="55"/>
  <c r="N17" i="12"/>
  <c r="I69" i="35" s="1"/>
  <c r="AL121" i="55" s="1"/>
  <c r="M10" i="33"/>
  <c r="N10" i="33"/>
  <c r="F32" i="29"/>
  <c r="AJ142" i="55"/>
  <c r="AJ159" i="55"/>
  <c r="AJ154" i="55"/>
  <c r="AJ170" i="55"/>
  <c r="AJ163" i="55"/>
  <c r="AJ150" i="55"/>
  <c r="M51" i="36"/>
  <c r="O7" i="12"/>
  <c r="K53" i="36" s="1"/>
  <c r="K14" i="34"/>
  <c r="O6" i="28"/>
  <c r="J38" i="28" s="1"/>
  <c r="J39" i="28" s="1"/>
  <c r="I23" i="36"/>
  <c r="X18" i="55" s="1"/>
  <c r="O7" i="1"/>
  <c r="K23" i="36" s="1"/>
  <c r="L23" i="36" s="1"/>
  <c r="M23" i="36" s="1"/>
  <c r="I53" i="36"/>
  <c r="N7" i="7"/>
  <c r="J28" i="36" s="1"/>
  <c r="O28" i="36" s="1"/>
  <c r="O10" i="3"/>
  <c r="K86" i="36" s="1"/>
  <c r="L86" i="36" s="1"/>
  <c r="J14" i="34"/>
  <c r="H13" i="35"/>
  <c r="O18" i="4"/>
  <c r="J13" i="35" s="1"/>
  <c r="K13" i="35" s="1"/>
  <c r="O33" i="36"/>
  <c r="N16" i="9"/>
  <c r="I49" i="35" s="1"/>
  <c r="AU51" i="55"/>
  <c r="M23" i="33"/>
  <c r="N178" i="35"/>
  <c r="N9" i="29"/>
  <c r="J150" i="36" s="1"/>
  <c r="N153" i="35"/>
  <c r="H38" i="8"/>
  <c r="H39" i="8" s="1"/>
  <c r="O10" i="8"/>
  <c r="K36" i="36" s="1"/>
  <c r="O36" i="36" s="1"/>
  <c r="N22" i="27"/>
  <c r="G80" i="34" s="1"/>
  <c r="I80" i="34" s="1"/>
  <c r="F85" i="34"/>
  <c r="O24" i="28"/>
  <c r="H85" i="34" s="1"/>
  <c r="I85" i="34" s="1"/>
  <c r="O23" i="12"/>
  <c r="H33" i="34" s="1"/>
  <c r="I33" i="34" s="1"/>
  <c r="O24" i="12"/>
  <c r="H34" i="34" s="1"/>
  <c r="N24" i="12"/>
  <c r="G34" i="34" s="1"/>
  <c r="N23" i="6"/>
  <c r="G12" i="34" s="1"/>
  <c r="AW27" i="55" s="1"/>
  <c r="F80" i="34"/>
  <c r="AV11" i="55" s="1"/>
  <c r="N22" i="9"/>
  <c r="G23" i="34" s="1"/>
  <c r="L23" i="34" s="1"/>
  <c r="O22" i="4"/>
  <c r="H5" i="34" s="1"/>
  <c r="AX7" i="55" s="1"/>
  <c r="K33" i="35"/>
  <c r="M33" i="35" s="1"/>
  <c r="H38" i="12"/>
  <c r="H39" i="12" s="1"/>
  <c r="K47" i="35"/>
  <c r="M47" i="35" s="1"/>
  <c r="O15" i="28"/>
  <c r="J175" i="35" s="1"/>
  <c r="AM55" i="55" s="1"/>
  <c r="H38" i="32"/>
  <c r="O54" i="36"/>
  <c r="N9" i="21"/>
  <c r="J110" i="36" s="1"/>
  <c r="O9" i="29"/>
  <c r="K150" i="36" s="1"/>
  <c r="N10" i="8"/>
  <c r="J36" i="36" s="1"/>
  <c r="N51" i="36"/>
  <c r="N8" i="4"/>
  <c r="J9" i="36" s="1"/>
  <c r="L9" i="36" s="1"/>
  <c r="O6" i="3"/>
  <c r="K82" i="36" s="1"/>
  <c r="I82" i="36"/>
  <c r="O6" i="9"/>
  <c r="K37" i="36" s="1"/>
  <c r="I37" i="36"/>
  <c r="O6" i="31"/>
  <c r="K157" i="36" s="1"/>
  <c r="Z31" i="55" s="1"/>
  <c r="N21" i="33"/>
  <c r="M21" i="33"/>
  <c r="N23" i="33"/>
  <c r="F22" i="47" s="1"/>
  <c r="G32" i="29"/>
  <c r="M37" i="33"/>
  <c r="N37" i="33"/>
  <c r="M9" i="55" s="1"/>
  <c r="F32" i="15"/>
  <c r="M31" i="33"/>
  <c r="N31" i="33"/>
  <c r="H5" i="33"/>
  <c r="H30" i="55" s="1"/>
  <c r="F32" i="10"/>
  <c r="N14" i="33"/>
  <c r="F13" i="47" s="1"/>
  <c r="F32" i="9"/>
  <c r="N18" i="33"/>
  <c r="F17" i="47" s="1"/>
  <c r="M14" i="33"/>
  <c r="G32" i="9"/>
  <c r="M18" i="33"/>
  <c r="F32" i="18"/>
  <c r="H16" i="35"/>
  <c r="N8" i="5"/>
  <c r="J13" i="36" s="1"/>
  <c r="I13" i="36"/>
  <c r="X71" i="55" s="1"/>
  <c r="L15" i="35"/>
  <c r="N17" i="5"/>
  <c r="I18" i="35" s="1"/>
  <c r="K18" i="35" s="1"/>
  <c r="H18" i="35"/>
  <c r="O18" i="5"/>
  <c r="J19" i="35" s="1"/>
  <c r="K19" i="35" s="1"/>
  <c r="H19" i="35"/>
  <c r="AU91" i="55"/>
  <c r="AU77" i="55"/>
  <c r="AU100" i="55"/>
  <c r="AU72" i="55"/>
  <c r="AU55" i="55"/>
  <c r="AU81" i="55"/>
  <c r="AU47" i="55"/>
  <c r="AU57" i="55"/>
  <c r="AU78" i="55"/>
  <c r="AU61" i="55"/>
  <c r="AU86" i="55"/>
  <c r="AU90" i="55"/>
  <c r="AU84" i="55"/>
  <c r="AU53" i="55"/>
  <c r="AU63" i="55"/>
  <c r="AU52" i="55"/>
  <c r="AU92" i="55"/>
  <c r="AU80" i="55"/>
  <c r="AU87" i="55"/>
  <c r="AU67" i="55"/>
  <c r="AU74" i="55"/>
  <c r="AU96" i="55"/>
  <c r="AU75" i="55"/>
  <c r="AU48" i="55"/>
  <c r="AU93" i="55"/>
  <c r="AU65" i="55"/>
  <c r="O9" i="4"/>
  <c r="K10" i="36" s="1"/>
  <c r="L10" i="36" s="1"/>
  <c r="O16" i="4"/>
  <c r="J11" i="35" s="1"/>
  <c r="N16" i="4"/>
  <c r="I11" i="35" s="1"/>
  <c r="H38" i="4"/>
  <c r="H39" i="4" s="1"/>
  <c r="AX79" i="55"/>
  <c r="AJ171" i="55"/>
  <c r="AJ183" i="55"/>
  <c r="AJ177" i="55"/>
  <c r="AJ140" i="55"/>
  <c r="AJ166" i="55"/>
  <c r="AJ165" i="55"/>
  <c r="AJ180" i="55"/>
  <c r="AJ167" i="55"/>
  <c r="AJ145" i="55"/>
  <c r="AJ143" i="55"/>
  <c r="AJ184" i="55"/>
  <c r="AJ148" i="55"/>
  <c r="AJ153" i="55"/>
  <c r="AJ158" i="55"/>
  <c r="AJ175" i="55"/>
  <c r="AJ139" i="55"/>
  <c r="AU39" i="55"/>
  <c r="O149" i="36"/>
  <c r="L149" i="36"/>
  <c r="N149" i="36" s="1"/>
  <c r="L185" i="35"/>
  <c r="M185" i="35"/>
  <c r="N185" i="35"/>
  <c r="N186" i="35"/>
  <c r="O18" i="29"/>
  <c r="J189" i="35" s="1"/>
  <c r="N18" i="29"/>
  <c r="I189" i="35" s="1"/>
  <c r="AJ88" i="55"/>
  <c r="H38" i="29"/>
  <c r="H39" i="29" s="1"/>
  <c r="W75" i="55"/>
  <c r="H38" i="28"/>
  <c r="H39" i="28" s="1"/>
  <c r="I137" i="36"/>
  <c r="X28" i="55" s="1"/>
  <c r="N9" i="28"/>
  <c r="J140" i="36" s="1"/>
  <c r="L140" i="36" s="1"/>
  <c r="O139" i="36"/>
  <c r="N15" i="28"/>
  <c r="I175" i="35" s="1"/>
  <c r="AL55" i="55" s="1"/>
  <c r="L83" i="34"/>
  <c r="I83" i="34"/>
  <c r="AO91" i="47"/>
  <c r="Z88" i="47"/>
  <c r="AO99" i="47"/>
  <c r="Y89" i="47"/>
  <c r="AN86" i="47"/>
  <c r="AO78" i="47"/>
  <c r="Y90" i="47"/>
  <c r="Z93" i="47"/>
  <c r="K178" i="35"/>
  <c r="L178" i="35" s="1"/>
  <c r="N180" i="35"/>
  <c r="L144" i="36"/>
  <c r="N144" i="36" s="1"/>
  <c r="K88" i="34"/>
  <c r="N8" i="27"/>
  <c r="J134" i="36" s="1"/>
  <c r="Y57" i="55" s="1"/>
  <c r="I134" i="36"/>
  <c r="O6" i="27"/>
  <c r="K132" i="36" s="1"/>
  <c r="Z12" i="55" s="1"/>
  <c r="H171" i="35"/>
  <c r="AK80" i="55" s="1"/>
  <c r="O14" i="27"/>
  <c r="G32" i="27"/>
  <c r="F32" i="27"/>
  <c r="F53" i="47"/>
  <c r="AJ90" i="55"/>
  <c r="M153" i="35"/>
  <c r="AM115" i="55"/>
  <c r="K151" i="35"/>
  <c r="L151" i="35" s="1"/>
  <c r="N152" i="35"/>
  <c r="K150" i="35"/>
  <c r="L150" i="35" s="1"/>
  <c r="X83" i="47"/>
  <c r="AL96" i="47"/>
  <c r="AL91" i="47"/>
  <c r="AN83" i="47"/>
  <c r="AP101" i="47"/>
  <c r="AL79" i="47"/>
  <c r="X78" i="47"/>
  <c r="X76" i="47"/>
  <c r="X66" i="47"/>
  <c r="X80" i="47"/>
  <c r="Y94" i="47"/>
  <c r="AN94" i="47"/>
  <c r="AT38" i="55"/>
  <c r="AL70" i="47"/>
  <c r="Y81" i="47"/>
  <c r="Y86" i="47"/>
  <c r="AA98" i="47"/>
  <c r="AO98" i="47"/>
  <c r="Y68" i="47"/>
  <c r="AN64" i="47"/>
  <c r="AA93" i="47"/>
  <c r="Y69" i="47"/>
  <c r="Z75" i="47"/>
  <c r="K152" i="35"/>
  <c r="M152" i="35" s="1"/>
  <c r="AL115" i="55"/>
  <c r="O23" i="21"/>
  <c r="H63" i="34" s="1"/>
  <c r="I63" i="34" s="1"/>
  <c r="F63" i="34"/>
  <c r="O9" i="21"/>
  <c r="K110" i="36" s="1"/>
  <c r="O18" i="21"/>
  <c r="J140" i="35" s="1"/>
  <c r="N18" i="21"/>
  <c r="I140" i="35" s="1"/>
  <c r="O8" i="21"/>
  <c r="K109" i="36" s="1"/>
  <c r="L109" i="36" s="1"/>
  <c r="F62" i="34"/>
  <c r="AV18" i="55" s="1"/>
  <c r="N22" i="21"/>
  <c r="G62" i="34" s="1"/>
  <c r="I109" i="36"/>
  <c r="H38" i="21"/>
  <c r="H39" i="21" s="1"/>
  <c r="O23" i="20"/>
  <c r="H60" i="34" s="1"/>
  <c r="I60" i="34" s="1"/>
  <c r="F60" i="34"/>
  <c r="O7" i="20"/>
  <c r="K103" i="36" s="1"/>
  <c r="Z49" i="55" s="1"/>
  <c r="N7" i="20"/>
  <c r="J103" i="36" s="1"/>
  <c r="O17" i="20"/>
  <c r="J133" i="35" s="1"/>
  <c r="K133" i="35" s="1"/>
  <c r="I61" i="34"/>
  <c r="J61" i="34" s="1"/>
  <c r="H133" i="35"/>
  <c r="I89" i="36"/>
  <c r="O8" i="18"/>
  <c r="K89" i="36" s="1"/>
  <c r="L89" i="36" s="1"/>
  <c r="N89" i="36" s="1"/>
  <c r="L115" i="35"/>
  <c r="N110" i="35"/>
  <c r="H38" i="18"/>
  <c r="H39" i="18" s="1"/>
  <c r="AJ101" i="55"/>
  <c r="I86" i="36"/>
  <c r="O18" i="3"/>
  <c r="J108" i="35" s="1"/>
  <c r="N18" i="3"/>
  <c r="I108" i="35" s="1"/>
  <c r="F51" i="34"/>
  <c r="AV32" i="55" s="1"/>
  <c r="H38" i="3"/>
  <c r="H39" i="3" s="1"/>
  <c r="L84" i="36"/>
  <c r="N84" i="36" s="1"/>
  <c r="N104" i="35"/>
  <c r="AL58" i="55"/>
  <c r="K104" i="35"/>
  <c r="L104" i="35" s="1"/>
  <c r="N23" i="3"/>
  <c r="G51" i="34" s="1"/>
  <c r="I51" i="34" s="1"/>
  <c r="AJ36" i="55"/>
  <c r="AJ50" i="55"/>
  <c r="AO94" i="47"/>
  <c r="X89" i="47"/>
  <c r="AL46" i="47"/>
  <c r="AN52" i="47"/>
  <c r="AT15" i="55"/>
  <c r="AN39" i="47"/>
  <c r="Z41" i="47"/>
  <c r="AN72" i="47"/>
  <c r="AN84" i="47"/>
  <c r="AN92" i="47"/>
  <c r="Y97" i="47"/>
  <c r="Z49" i="47"/>
  <c r="Y40" i="47"/>
  <c r="AN57" i="47"/>
  <c r="AO36" i="47"/>
  <c r="AO90" i="47"/>
  <c r="AN54" i="47"/>
  <c r="Y41" i="47"/>
  <c r="Z96" i="47"/>
  <c r="Z81" i="47"/>
  <c r="Z35" i="47"/>
  <c r="Z59" i="47"/>
  <c r="Z48" i="47"/>
  <c r="AA100" i="47"/>
  <c r="Y92" i="47"/>
  <c r="AL73" i="47"/>
  <c r="AO80" i="47"/>
  <c r="AO102" i="47"/>
  <c r="Z94" i="47"/>
  <c r="Z87" i="47"/>
  <c r="AL82" i="47"/>
  <c r="AL66" i="47"/>
  <c r="AL87" i="47"/>
  <c r="Z62" i="47"/>
  <c r="AL94" i="47"/>
  <c r="Z72" i="47"/>
  <c r="Y63" i="47"/>
  <c r="Y101" i="47"/>
  <c r="AL92" i="47"/>
  <c r="Y79" i="47"/>
  <c r="AO50" i="47"/>
  <c r="AO59" i="47"/>
  <c r="Z56" i="47"/>
  <c r="AL81" i="47"/>
  <c r="Z65" i="47"/>
  <c r="AO76" i="47"/>
  <c r="AO96" i="47"/>
  <c r="X96" i="47"/>
  <c r="Z66" i="47"/>
  <c r="AO61" i="47"/>
  <c r="AL54" i="47"/>
  <c r="AO53" i="47"/>
  <c r="F33" i="34"/>
  <c r="H69" i="35"/>
  <c r="AK121" i="55" s="1"/>
  <c r="O51" i="36"/>
  <c r="I30" i="34"/>
  <c r="J30" i="34" s="1"/>
  <c r="N62" i="35"/>
  <c r="L30" i="34"/>
  <c r="I47" i="36"/>
  <c r="X25" i="55" s="1"/>
  <c r="N14" i="11"/>
  <c r="I60" i="35" s="1"/>
  <c r="O14" i="11"/>
  <c r="L62" i="35"/>
  <c r="K58" i="35"/>
  <c r="L58" i="35" s="1"/>
  <c r="N61" i="35"/>
  <c r="O24" i="11"/>
  <c r="H31" i="34" s="1"/>
  <c r="I31" i="34" s="1"/>
  <c r="N47" i="35"/>
  <c r="N17" i="9"/>
  <c r="I50" i="35" s="1"/>
  <c r="K50" i="35" s="1"/>
  <c r="M48" i="35"/>
  <c r="I38" i="36"/>
  <c r="X73" i="55" s="1"/>
  <c r="N7" i="9"/>
  <c r="J38" i="36" s="1"/>
  <c r="L38" i="36" s="1"/>
  <c r="H50" i="35"/>
  <c r="O39" i="36"/>
  <c r="N18" i="9"/>
  <c r="I51" i="35" s="1"/>
  <c r="K51" i="35" s="1"/>
  <c r="H51" i="35"/>
  <c r="H38" i="9"/>
  <c r="H39" i="9" s="1"/>
  <c r="AJ41" i="55"/>
  <c r="N48" i="35"/>
  <c r="L48" i="35"/>
  <c r="L39" i="36"/>
  <c r="M39" i="36" s="1"/>
  <c r="N45" i="35"/>
  <c r="M45" i="35"/>
  <c r="M44" i="35"/>
  <c r="X100" i="47"/>
  <c r="AO79" i="47"/>
  <c r="Y36" i="47"/>
  <c r="Z54" i="47"/>
  <c r="AO35" i="47"/>
  <c r="H28" i="35"/>
  <c r="X81" i="47"/>
  <c r="Y60" i="47"/>
  <c r="Z91" i="47"/>
  <c r="X45" i="47"/>
  <c r="Z58" i="47"/>
  <c r="AO54" i="47"/>
  <c r="AO40" i="47"/>
  <c r="AN46" i="47"/>
  <c r="AN40" i="47"/>
  <c r="AO41" i="47"/>
  <c r="AL16" i="47"/>
  <c r="Z67" i="47"/>
  <c r="AO83" i="47"/>
  <c r="AO75" i="47"/>
  <c r="AL102" i="47"/>
  <c r="Z100" i="47"/>
  <c r="AP95" i="47"/>
  <c r="X93" i="47"/>
  <c r="AN90" i="47"/>
  <c r="AL88" i="47"/>
  <c r="Z53" i="47"/>
  <c r="AN60" i="47"/>
  <c r="X36" i="47"/>
  <c r="AN17" i="47"/>
  <c r="Z33" i="47"/>
  <c r="AL55" i="47"/>
  <c r="AN33" i="47"/>
  <c r="Z18" i="47"/>
  <c r="Z55" i="47"/>
  <c r="X43" i="47"/>
  <c r="Y18" i="47"/>
  <c r="Y37" i="47"/>
  <c r="X64" i="47"/>
  <c r="Y83" i="47"/>
  <c r="AN101" i="47"/>
  <c r="AL100" i="47"/>
  <c r="X97" i="47"/>
  <c r="AO31" i="47"/>
  <c r="AL49" i="47"/>
  <c r="Z24" i="47"/>
  <c r="AN35" i="47"/>
  <c r="Z57" i="47"/>
  <c r="AO16" i="47"/>
  <c r="X62" i="47"/>
  <c r="AL76" i="47"/>
  <c r="X101" i="47"/>
  <c r="Z73" i="47"/>
  <c r="Y65" i="47"/>
  <c r="Y84" i="47"/>
  <c r="AN97" i="47"/>
  <c r="AN93" i="47"/>
  <c r="AN87" i="47"/>
  <c r="Z69" i="47"/>
  <c r="Y93" i="47"/>
  <c r="AO89" i="47"/>
  <c r="Y50" i="47"/>
  <c r="AO26" i="47"/>
  <c r="Y45" i="47"/>
  <c r="Z28" i="47"/>
  <c r="AN27" i="47"/>
  <c r="AL44" i="47"/>
  <c r="X33" i="47"/>
  <c r="X57" i="47"/>
  <c r="Y56" i="47"/>
  <c r="Y24" i="47"/>
  <c r="AO29" i="47"/>
  <c r="AO25" i="47"/>
  <c r="AL29" i="47"/>
  <c r="AO65" i="47"/>
  <c r="AA99" i="47"/>
  <c r="AO62" i="47"/>
  <c r="Z102" i="47"/>
  <c r="X102" i="47"/>
  <c r="Z16" i="47"/>
  <c r="Y53" i="47"/>
  <c r="AN49" i="47"/>
  <c r="Z34" i="47"/>
  <c r="AO33" i="47"/>
  <c r="AP93" i="47"/>
  <c r="AN70" i="47"/>
  <c r="Y67" i="47"/>
  <c r="AO87" i="47"/>
  <c r="AL65" i="47"/>
  <c r="AN71" i="47"/>
  <c r="AN79" i="47"/>
  <c r="Z82" i="47"/>
  <c r="Z99" i="47"/>
  <c r="AL99" i="47"/>
  <c r="AN89" i="47"/>
  <c r="Z90" i="47"/>
  <c r="AL84" i="47"/>
  <c r="AO44" i="47"/>
  <c r="AL26" i="47"/>
  <c r="AL19" i="47"/>
  <c r="Y29" i="47"/>
  <c r="Z25" i="47"/>
  <c r="AL18" i="47"/>
  <c r="Z42" i="47"/>
  <c r="AO58" i="47"/>
  <c r="AL56" i="47"/>
  <c r="X37" i="47"/>
  <c r="AN30" i="47"/>
  <c r="X23" i="47"/>
  <c r="AN28" i="47"/>
  <c r="Y48" i="47"/>
  <c r="AL61" i="47"/>
  <c r="AN95" i="47"/>
  <c r="X56" i="47"/>
  <c r="Z23" i="47"/>
  <c r="AL27" i="47"/>
  <c r="Y43" i="47"/>
  <c r="X41" i="47"/>
  <c r="X19" i="47"/>
  <c r="AN22" i="47"/>
  <c r="AN68" i="47"/>
  <c r="Z77" i="47"/>
  <c r="Z86" i="47"/>
  <c r="AN69" i="47"/>
  <c r="Y75" i="47"/>
  <c r="AO93" i="47"/>
  <c r="AL101" i="47"/>
  <c r="Y78" i="47"/>
  <c r="Z98" i="47"/>
  <c r="AO69" i="47"/>
  <c r="AN85" i="47"/>
  <c r="X18" i="47"/>
  <c r="AS12" i="55" s="1"/>
  <c r="AN50" i="47"/>
  <c r="AN59" i="47"/>
  <c r="Z30" i="47"/>
  <c r="AL37" i="47"/>
  <c r="AL58" i="47"/>
  <c r="AO45" i="47"/>
  <c r="AO27" i="47"/>
  <c r="AO23" i="47"/>
  <c r="Y35" i="47"/>
  <c r="AL63" i="47"/>
  <c r="Y71" i="47"/>
  <c r="AP100" i="47"/>
  <c r="AL97" i="47"/>
  <c r="AP96" i="47"/>
  <c r="AO67" i="47"/>
  <c r="AN73" i="47"/>
  <c r="Z83" i="47"/>
  <c r="AN99" i="47"/>
  <c r="Z61" i="47"/>
  <c r="Y96" i="47"/>
  <c r="AP99" i="47"/>
  <c r="AL31" i="47"/>
  <c r="AL36" i="47"/>
  <c r="Y82" i="47"/>
  <c r="X27" i="47"/>
  <c r="Y59" i="47"/>
  <c r="AN23" i="47"/>
  <c r="Y57" i="47"/>
  <c r="X47" i="47"/>
  <c r="Y23" i="47"/>
  <c r="X61" i="47"/>
  <c r="Z97" i="47"/>
  <c r="AO55" i="47"/>
  <c r="AO47" i="47"/>
  <c r="X44" i="47"/>
  <c r="AN98" i="47"/>
  <c r="X38" i="47"/>
  <c r="AL59" i="47"/>
  <c r="AL52" i="47"/>
  <c r="AN38" i="47"/>
  <c r="Y46" i="47"/>
  <c r="AL17" i="47"/>
  <c r="Y32" i="47"/>
  <c r="Y16" i="47"/>
  <c r="AL98" i="47"/>
  <c r="AO97" i="47"/>
  <c r="AA101" i="47"/>
  <c r="AL23" i="47"/>
  <c r="AL80" i="47"/>
  <c r="Y52" i="47"/>
  <c r="AO43" i="47"/>
  <c r="AO34" i="47"/>
  <c r="AL51" i="47"/>
  <c r="Z50" i="47"/>
  <c r="X26" i="47"/>
  <c r="AN74" i="47"/>
  <c r="AL69" i="47"/>
  <c r="Z76" i="47"/>
  <c r="AL42" i="47"/>
  <c r="X59" i="47"/>
  <c r="AO24" i="47"/>
  <c r="AA96" i="47"/>
  <c r="X86" i="47"/>
  <c r="Z68" i="47"/>
  <c r="Y74" i="47"/>
  <c r="Y91" i="47"/>
  <c r="AN77" i="47"/>
  <c r="AL72" i="47"/>
  <c r="AO86" i="47"/>
  <c r="Z89" i="47"/>
  <c r="AO72" i="47"/>
  <c r="AL89" i="47"/>
  <c r="AO66" i="47"/>
  <c r="AL62" i="47"/>
  <c r="Y85" i="47"/>
  <c r="AO64" i="47"/>
  <c r="AN61" i="47"/>
  <c r="AN91" i="47"/>
  <c r="AL60" i="47"/>
  <c r="X17" i="47"/>
  <c r="AN24" i="47"/>
  <c r="AL57" i="47"/>
  <c r="Y38" i="47"/>
  <c r="X32" i="47"/>
  <c r="Z29" i="47"/>
  <c r="AN56" i="47"/>
  <c r="AL53" i="47"/>
  <c r="Y17" i="47"/>
  <c r="AO19" i="47"/>
  <c r="Z39" i="47"/>
  <c r="AN41" i="47"/>
  <c r="Z101" i="47"/>
  <c r="AO85" i="47"/>
  <c r="X69" i="47"/>
  <c r="AP98" i="47"/>
  <c r="Y102" i="47"/>
  <c r="X84" i="47"/>
  <c r="AL93" i="47"/>
  <c r="X49" i="47"/>
  <c r="AL25" i="47"/>
  <c r="AL28" i="47"/>
  <c r="AL43" i="47"/>
  <c r="AO21" i="47"/>
  <c r="AN42" i="47"/>
  <c r="Y22" i="47"/>
  <c r="X74" i="47"/>
  <c r="X70" i="47"/>
  <c r="AL86" i="47"/>
  <c r="X63" i="47"/>
  <c r="X72" i="47"/>
  <c r="X88" i="47"/>
  <c r="X79" i="47"/>
  <c r="AN65" i="47"/>
  <c r="AN53" i="47"/>
  <c r="Z70" i="47"/>
  <c r="X92" i="47"/>
  <c r="AN100" i="47"/>
  <c r="Y87" i="47"/>
  <c r="Y73" i="47"/>
  <c r="AO81" i="47"/>
  <c r="Z92" i="47"/>
  <c r="X99" i="47"/>
  <c r="AO77" i="47"/>
  <c r="AO92" i="47"/>
  <c r="X77" i="47"/>
  <c r="AO73" i="47"/>
  <c r="AO100" i="47"/>
  <c r="Y66" i="47"/>
  <c r="Z74" i="47"/>
  <c r="Y61" i="47"/>
  <c r="AN81" i="47"/>
  <c r="AA95" i="47"/>
  <c r="X53" i="47"/>
  <c r="AL38" i="47"/>
  <c r="AL35" i="47"/>
  <c r="Z22" i="47"/>
  <c r="AL32" i="47"/>
  <c r="AN44" i="47"/>
  <c r="X52" i="47"/>
  <c r="AO51" i="47"/>
  <c r="Z38" i="47"/>
  <c r="Y27" i="47"/>
  <c r="AN26" i="47"/>
  <c r="Y98" i="47"/>
  <c r="AN78" i="47"/>
  <c r="Z79" i="47"/>
  <c r="Y80" i="47"/>
  <c r="Y72" i="47"/>
  <c r="X98" i="47"/>
  <c r="Z63" i="47"/>
  <c r="AN76" i="47"/>
  <c r="Y62" i="47"/>
  <c r="AN62" i="47"/>
  <c r="AO42" i="47"/>
  <c r="AP102" i="47"/>
  <c r="AO52" i="47"/>
  <c r="Y39" i="47"/>
  <c r="AL50" i="47"/>
  <c r="AL48" i="47"/>
  <c r="X22" i="47"/>
  <c r="AO18" i="47"/>
  <c r="AN48" i="47"/>
  <c r="Y51" i="47"/>
  <c r="X39" i="47"/>
  <c r="X30" i="47"/>
  <c r="Z21" i="47"/>
  <c r="AO70" i="47"/>
  <c r="Y58" i="47"/>
  <c r="X55" i="47"/>
  <c r="Y42" i="47"/>
  <c r="X71" i="47"/>
  <c r="X73" i="47"/>
  <c r="AL90" i="47"/>
  <c r="AO88" i="47"/>
  <c r="AN80" i="47"/>
  <c r="X75" i="47"/>
  <c r="X87" i="47"/>
  <c r="AL40" i="47"/>
  <c r="Z37" i="47"/>
  <c r="X42" i="47"/>
  <c r="X40" i="47"/>
  <c r="AN32" i="47"/>
  <c r="AO57" i="47"/>
  <c r="Z47" i="47"/>
  <c r="AL24" i="47"/>
  <c r="AL47" i="47"/>
  <c r="Y76" i="47"/>
  <c r="AO74" i="47"/>
  <c r="AL71" i="47"/>
  <c r="Y88" i="47"/>
  <c r="AN102" i="47"/>
  <c r="Y95" i="47"/>
  <c r="X95" i="47"/>
  <c r="AN67" i="47"/>
  <c r="AL95" i="47"/>
  <c r="AN55" i="47"/>
  <c r="Z60" i="47"/>
  <c r="Z46" i="47"/>
  <c r="Z32" i="47"/>
  <c r="AL45" i="47"/>
  <c r="Y28" i="47"/>
  <c r="AN36" i="47"/>
  <c r="X48" i="47"/>
  <c r="AO56" i="47"/>
  <c r="Y54" i="47"/>
  <c r="AO28" i="47"/>
  <c r="AN45" i="47"/>
  <c r="AL85" i="47"/>
  <c r="AN75" i="47"/>
  <c r="X94" i="47"/>
  <c r="Z80" i="47"/>
  <c r="X51" i="47"/>
  <c r="AL75" i="47"/>
  <c r="Y77" i="47"/>
  <c r="AO68" i="47"/>
  <c r="Z78" i="47"/>
  <c r="AL78" i="47"/>
  <c r="AN88" i="47"/>
  <c r="AO101" i="47"/>
  <c r="X68" i="47"/>
  <c r="X91" i="47"/>
  <c r="AL34" i="47"/>
  <c r="X60" i="47"/>
  <c r="Y33" i="47"/>
  <c r="Y25" i="47"/>
  <c r="Z51" i="47"/>
  <c r="AN19" i="47"/>
  <c r="AL39" i="47"/>
  <c r="AL41" i="47"/>
  <c r="Y49" i="47"/>
  <c r="Z19" i="47"/>
  <c r="AO37" i="47"/>
  <c r="Y44" i="47"/>
  <c r="L14" i="34"/>
  <c r="AP14" i="47" s="1"/>
  <c r="O26" i="36"/>
  <c r="N6" i="1"/>
  <c r="J22" i="36" s="1"/>
  <c r="Y65" i="55" s="1"/>
  <c r="I22" i="36"/>
  <c r="X65" i="55" s="1"/>
  <c r="H38" i="1"/>
  <c r="H39" i="1" s="1"/>
  <c r="Z79" i="55"/>
  <c r="L25" i="36"/>
  <c r="M25" i="36" s="1"/>
  <c r="F12" i="34"/>
  <c r="AV27" i="55" s="1"/>
  <c r="L13" i="34"/>
  <c r="AA13" i="47" s="1"/>
  <c r="K24" i="35"/>
  <c r="L24" i="35" s="1"/>
  <c r="K13" i="34"/>
  <c r="J13" i="34"/>
  <c r="M20" i="36"/>
  <c r="AK96" i="55"/>
  <c r="O18" i="36"/>
  <c r="N20" i="36"/>
  <c r="N24" i="35"/>
  <c r="N15" i="5"/>
  <c r="I16" i="35" s="1"/>
  <c r="K16" i="35" s="1"/>
  <c r="I10" i="34"/>
  <c r="J10" i="34" s="1"/>
  <c r="H38" i="5"/>
  <c r="H39" i="5" s="1"/>
  <c r="L10" i="34"/>
  <c r="M15" i="35"/>
  <c r="F8" i="34"/>
  <c r="AV3" i="55" s="1"/>
  <c r="N22" i="5"/>
  <c r="G8" i="34" s="1"/>
  <c r="N15" i="35"/>
  <c r="AL59" i="55"/>
  <c r="AW59" i="55"/>
  <c r="AX56" i="55"/>
  <c r="AW68" i="55"/>
  <c r="AX95" i="55"/>
  <c r="AX75" i="55"/>
  <c r="AX69" i="55"/>
  <c r="AX51" i="55"/>
  <c r="AX77" i="55"/>
  <c r="AX60" i="55"/>
  <c r="AX59" i="55"/>
  <c r="AX50" i="55"/>
  <c r="AX53" i="55"/>
  <c r="AX57" i="55"/>
  <c r="AW81" i="55"/>
  <c r="AW79" i="55"/>
  <c r="AX83" i="55"/>
  <c r="AX85" i="55"/>
  <c r="AW50" i="55"/>
  <c r="AW51" i="55"/>
  <c r="AW91" i="55"/>
  <c r="AX71" i="55"/>
  <c r="AX64" i="55"/>
  <c r="AX66" i="55"/>
  <c r="AX62" i="55"/>
  <c r="AX87" i="55"/>
  <c r="AX68" i="55"/>
  <c r="AX84" i="55"/>
  <c r="AW83" i="55"/>
  <c r="AX82" i="55"/>
  <c r="AX72" i="55"/>
  <c r="AX91" i="55"/>
  <c r="AX70" i="55"/>
  <c r="AX90" i="55"/>
  <c r="AX63" i="55"/>
  <c r="AX52" i="55"/>
  <c r="AW86" i="55"/>
  <c r="AW77" i="55"/>
  <c r="AX74" i="55"/>
  <c r="AX86" i="55"/>
  <c r="AX76" i="55"/>
  <c r="AV85" i="55"/>
  <c r="AV99" i="55"/>
  <c r="AV62" i="55"/>
  <c r="AW97" i="55"/>
  <c r="AW71" i="55"/>
  <c r="AX61" i="55"/>
  <c r="AX73" i="55"/>
  <c r="AW61" i="55"/>
  <c r="AW87" i="55"/>
  <c r="AX94" i="55"/>
  <c r="AX93" i="55"/>
  <c r="AW54" i="55"/>
  <c r="AW85" i="55"/>
  <c r="AW94" i="55"/>
  <c r="AW73" i="55"/>
  <c r="AW67" i="55"/>
  <c r="AW63" i="55"/>
  <c r="AW98" i="55"/>
  <c r="AW82" i="55"/>
  <c r="AW93" i="55"/>
  <c r="AW47" i="55"/>
  <c r="AW70" i="55"/>
  <c r="AW62" i="55"/>
  <c r="AW58" i="55"/>
  <c r="AW75" i="55"/>
  <c r="AW60" i="55"/>
  <c r="AW89" i="55"/>
  <c r="AW57" i="55"/>
  <c r="AW92" i="55"/>
  <c r="AW56" i="55"/>
  <c r="AW84" i="55"/>
  <c r="AX54" i="55"/>
  <c r="AX88" i="55"/>
  <c r="AX65" i="55"/>
  <c r="AX81" i="55"/>
  <c r="AX89" i="55"/>
  <c r="AV50" i="55"/>
  <c r="AX92" i="55"/>
  <c r="AX80" i="55"/>
  <c r="AV55" i="55"/>
  <c r="AV82" i="55"/>
  <c r="AX96" i="55"/>
  <c r="AX99" i="55"/>
  <c r="AX98" i="55"/>
  <c r="AV83" i="55"/>
  <c r="AW76" i="55"/>
  <c r="AW66" i="55"/>
  <c r="AW72" i="55"/>
  <c r="AW96" i="55"/>
  <c r="AX101" i="55"/>
  <c r="AV68" i="55"/>
  <c r="AV100" i="55"/>
  <c r="AV80" i="55"/>
  <c r="AV96" i="55"/>
  <c r="AV53" i="55"/>
  <c r="AV52" i="55"/>
  <c r="AV98" i="55"/>
  <c r="AV76" i="55"/>
  <c r="AV70" i="55"/>
  <c r="AV95" i="55"/>
  <c r="AV56" i="55"/>
  <c r="AV64" i="55"/>
  <c r="AV71" i="55"/>
  <c r="AV91" i="55"/>
  <c r="AV63" i="55"/>
  <c r="AV60" i="55"/>
  <c r="AV93" i="55"/>
  <c r="AV87" i="55"/>
  <c r="AV58" i="55"/>
  <c r="AV97" i="55"/>
  <c r="AV72" i="55"/>
  <c r="AV90" i="55"/>
  <c r="AV81" i="55"/>
  <c r="AV94" i="55"/>
  <c r="AV84" i="55"/>
  <c r="AV79" i="55"/>
  <c r="AV89" i="55"/>
  <c r="AV74" i="55"/>
  <c r="AV77" i="55"/>
  <c r="AV67" i="55"/>
  <c r="AV101" i="55"/>
  <c r="AV59" i="55"/>
  <c r="AV47" i="55"/>
  <c r="AV51" i="55"/>
  <c r="AV73" i="55"/>
  <c r="AV88" i="55"/>
  <c r="AV86" i="55"/>
  <c r="AV78" i="55"/>
  <c r="AV69" i="55"/>
  <c r="AV61" i="55"/>
  <c r="AV54" i="55"/>
  <c r="AV66" i="55"/>
  <c r="AW64" i="55"/>
  <c r="AW65" i="55"/>
  <c r="AV75" i="55"/>
  <c r="AW95" i="55"/>
  <c r="AW52" i="55"/>
  <c r="AW88" i="55"/>
  <c r="AW55" i="55"/>
  <c r="AX58" i="55"/>
  <c r="AV57" i="55"/>
  <c r="AW100" i="55"/>
  <c r="AV92" i="55"/>
  <c r="AW80" i="55"/>
  <c r="AW78" i="55"/>
  <c r="AW99" i="55"/>
  <c r="AW90" i="55"/>
  <c r="AW101" i="55"/>
  <c r="AW74" i="55"/>
  <c r="AX55" i="55"/>
  <c r="AX67" i="55"/>
  <c r="AW69" i="55"/>
  <c r="AX97" i="55"/>
  <c r="AX47" i="55"/>
  <c r="AX78" i="55"/>
  <c r="Y95" i="55"/>
  <c r="W134" i="55"/>
  <c r="W142" i="55"/>
  <c r="W171" i="55"/>
  <c r="W157" i="55"/>
  <c r="W117" i="55"/>
  <c r="W127" i="55"/>
  <c r="W123" i="55"/>
  <c r="L4" i="34"/>
  <c r="W132" i="55"/>
  <c r="O13" i="32"/>
  <c r="J2" i="35" s="1"/>
  <c r="N13" i="32"/>
  <c r="I2" i="35" s="1"/>
  <c r="W99" i="55"/>
  <c r="I4" i="34"/>
  <c r="K4" i="34" s="1"/>
  <c r="L6" i="36"/>
  <c r="M6" i="36" s="1"/>
  <c r="W135" i="55"/>
  <c r="W120" i="55"/>
  <c r="W145" i="55"/>
  <c r="W151" i="55"/>
  <c r="Z92" i="55"/>
  <c r="W112" i="55"/>
  <c r="W98" i="55"/>
  <c r="W141" i="55"/>
  <c r="W125" i="55"/>
  <c r="W167" i="55"/>
  <c r="W155" i="55"/>
  <c r="W126" i="55"/>
  <c r="W96" i="55"/>
  <c r="W104" i="55"/>
  <c r="W113" i="55"/>
  <c r="W139" i="55"/>
  <c r="W131" i="55"/>
  <c r="W159" i="55"/>
  <c r="W114" i="55"/>
  <c r="W168" i="55"/>
  <c r="W136" i="55"/>
  <c r="W124" i="55"/>
  <c r="W152" i="55"/>
  <c r="W161" i="55"/>
  <c r="W100" i="55"/>
  <c r="W143" i="55"/>
  <c r="W102" i="55"/>
  <c r="W170" i="55"/>
  <c r="W153" i="55"/>
  <c r="W93" i="55"/>
  <c r="W162" i="55"/>
  <c r="W106" i="55"/>
  <c r="W103" i="55"/>
  <c r="W129" i="55"/>
  <c r="W166" i="55"/>
  <c r="W108" i="55"/>
  <c r="O6" i="36"/>
  <c r="AA92" i="55" s="1"/>
  <c r="O3" i="36"/>
  <c r="M4" i="47" s="1"/>
  <c r="W163" i="55"/>
  <c r="W158" i="55"/>
  <c r="W154" i="55"/>
  <c r="W156" i="55"/>
  <c r="W164" i="55"/>
  <c r="W137" i="55"/>
  <c r="W119" i="55"/>
  <c r="W111" i="55"/>
  <c r="W148" i="55"/>
  <c r="W144" i="55"/>
  <c r="W109" i="55"/>
  <c r="W116" i="55"/>
  <c r="W115" i="55"/>
  <c r="W92" i="55"/>
  <c r="W149" i="55"/>
  <c r="W169" i="55"/>
  <c r="W165" i="55"/>
  <c r="W138" i="55"/>
  <c r="W130" i="55"/>
  <c r="W107" i="55"/>
  <c r="W97" i="55"/>
  <c r="W118" i="55"/>
  <c r="W140" i="55"/>
  <c r="W160" i="55"/>
  <c r="W95" i="55"/>
  <c r="W110" i="55"/>
  <c r="W133" i="55"/>
  <c r="W121" i="55"/>
  <c r="W101" i="55"/>
  <c r="W128" i="55"/>
  <c r="W146" i="55"/>
  <c r="W150" i="55"/>
  <c r="W94" i="55"/>
  <c r="W122" i="55"/>
  <c r="W105" i="55"/>
  <c r="AS3" i="55"/>
  <c r="X16" i="47"/>
  <c r="Z17" i="47"/>
  <c r="Z13" i="47"/>
  <c r="AN20" i="47"/>
  <c r="AT27" i="55"/>
  <c r="AO38" i="47"/>
  <c r="AO30" i="47"/>
  <c r="AT3" i="55"/>
  <c r="AS15" i="55"/>
  <c r="AS38" i="55"/>
  <c r="AJ71" i="55"/>
  <c r="AK47" i="55"/>
  <c r="N30" i="35"/>
  <c r="J15" i="34"/>
  <c r="N14" i="1"/>
  <c r="I28" i="35" s="1"/>
  <c r="N32" i="35"/>
  <c r="K30" i="35"/>
  <c r="M30" i="35" s="1"/>
  <c r="AJ47" i="55"/>
  <c r="N10" i="21"/>
  <c r="J111" i="36" s="1"/>
  <c r="O10" i="21"/>
  <c r="K111" i="36" s="1"/>
  <c r="N47" i="33"/>
  <c r="G32" i="21"/>
  <c r="AJ58" i="55"/>
  <c r="AL101" i="55"/>
  <c r="K103" i="35"/>
  <c r="M103" i="35" s="1"/>
  <c r="N103" i="35"/>
  <c r="AM101" i="55"/>
  <c r="O84" i="36"/>
  <c r="I17" i="36"/>
  <c r="X29" i="55" s="1"/>
  <c r="K25" i="35"/>
  <c r="M25" i="35" s="1"/>
  <c r="K23" i="35"/>
  <c r="L23" i="35" s="1"/>
  <c r="K22" i="35"/>
  <c r="M22" i="35" s="1"/>
  <c r="O20" i="36"/>
  <c r="O6" i="6"/>
  <c r="K17" i="36" s="1"/>
  <c r="L17" i="36" s="1"/>
  <c r="AL116" i="55"/>
  <c r="AM96" i="55"/>
  <c r="N22" i="35"/>
  <c r="N25" i="35"/>
  <c r="H38" i="27"/>
  <c r="H39" i="27" s="1"/>
  <c r="N91" i="36"/>
  <c r="F31" i="34"/>
  <c r="O80" i="36"/>
  <c r="L26" i="36"/>
  <c r="M26" i="36" s="1"/>
  <c r="K32" i="35"/>
  <c r="L15" i="34"/>
  <c r="N33" i="35"/>
  <c r="L80" i="36"/>
  <c r="M80" i="36" s="1"/>
  <c r="AM91" i="55"/>
  <c r="K102" i="35"/>
  <c r="M102" i="35" s="1"/>
  <c r="N102" i="35"/>
  <c r="L78" i="36"/>
  <c r="N78" i="36" s="1"/>
  <c r="O78" i="36"/>
  <c r="X69" i="55"/>
  <c r="AJ33" i="55"/>
  <c r="AJ39" i="55"/>
  <c r="AS27" i="55"/>
  <c r="N6" i="11"/>
  <c r="J47" i="36" s="1"/>
  <c r="Y25" i="55" s="1"/>
  <c r="H38" i="11"/>
  <c r="H39" i="11" s="1"/>
  <c r="N7" i="11"/>
  <c r="O7" i="11"/>
  <c r="L61" i="34"/>
  <c r="O117" i="36"/>
  <c r="AJ114" i="55"/>
  <c r="AJ115" i="55"/>
  <c r="H39" i="23"/>
  <c r="N150" i="35"/>
  <c r="AU82" i="55"/>
  <c r="AU89" i="55"/>
  <c r="AU66" i="55"/>
  <c r="AU76" i="55"/>
  <c r="AU64" i="55"/>
  <c r="AU88" i="55"/>
  <c r="AU73" i="55"/>
  <c r="AU59" i="55"/>
  <c r="AU68" i="55"/>
  <c r="N3" i="35"/>
  <c r="T4" i="47" s="1"/>
  <c r="L2" i="36"/>
  <c r="N2" i="36" s="1"/>
  <c r="AU98" i="55"/>
  <c r="AU99" i="55"/>
  <c r="AU94" i="55"/>
  <c r="AU101" i="55"/>
  <c r="AU50" i="55"/>
  <c r="AU83" i="55"/>
  <c r="AU95" i="55"/>
  <c r="AU56" i="55"/>
  <c r="AU60" i="55"/>
  <c r="K3" i="35"/>
  <c r="M3" i="35" s="1"/>
  <c r="AK129" i="55"/>
  <c r="M47" i="33"/>
  <c r="N196" i="35"/>
  <c r="N16" i="29"/>
  <c r="I187" i="35" s="1"/>
  <c r="O16" i="29"/>
  <c r="J187" i="35" s="1"/>
  <c r="AM123" i="55" s="1"/>
  <c r="O144" i="36"/>
  <c r="N151" i="35"/>
  <c r="N45" i="33"/>
  <c r="F43" i="47" s="1"/>
  <c r="N39" i="33"/>
  <c r="F37" i="47" s="1"/>
  <c r="G32" i="18"/>
  <c r="M39" i="33"/>
  <c r="O90" i="36"/>
  <c r="I101" i="35"/>
  <c r="AM60" i="55"/>
  <c r="N58" i="35"/>
  <c r="L45" i="35"/>
  <c r="I29" i="35"/>
  <c r="AL47" i="55" s="1"/>
  <c r="J29" i="35"/>
  <c r="AM47" i="55" s="1"/>
  <c r="N27" i="35"/>
  <c r="K31" i="35"/>
  <c r="L31" i="35" s="1"/>
  <c r="M26" i="35"/>
  <c r="O2" i="36"/>
  <c r="M3" i="47" s="1"/>
  <c r="J52" i="34"/>
  <c r="M61" i="33"/>
  <c r="N61" i="33"/>
  <c r="F32" i="23"/>
  <c r="O9" i="2"/>
  <c r="K145" i="36" s="1"/>
  <c r="Z68" i="55" s="1"/>
  <c r="N18" i="27"/>
  <c r="I172" i="35" s="1"/>
  <c r="K110" i="35"/>
  <c r="L110" i="35" s="1"/>
  <c r="O21" i="36"/>
  <c r="L52" i="34"/>
  <c r="M147" i="35"/>
  <c r="K52" i="34"/>
  <c r="M52" i="33"/>
  <c r="K112" i="35"/>
  <c r="M112" i="35" s="1"/>
  <c r="L24" i="34"/>
  <c r="AA23" i="47" s="1"/>
  <c r="N90" i="36"/>
  <c r="L3" i="34"/>
  <c r="AA4" i="47" s="1"/>
  <c r="F32" i="5"/>
  <c r="F32" i="3"/>
  <c r="O88" i="36"/>
  <c r="K24" i="34"/>
  <c r="N130" i="35"/>
  <c r="AN38" i="55" s="1"/>
  <c r="N8" i="11"/>
  <c r="O8" i="11"/>
  <c r="I48" i="36"/>
  <c r="N31" i="35"/>
  <c r="M88" i="36"/>
  <c r="N88" i="36"/>
  <c r="N54" i="35"/>
  <c r="L117" i="36"/>
  <c r="N117" i="36" s="1"/>
  <c r="L147" i="35"/>
  <c r="I145" i="36"/>
  <c r="L27" i="34"/>
  <c r="G32" i="20"/>
  <c r="N38" i="33"/>
  <c r="F36" i="47" s="1"/>
  <c r="J27" i="34"/>
  <c r="J24" i="34"/>
  <c r="O6" i="19"/>
  <c r="K97" i="36" s="1"/>
  <c r="M54" i="35"/>
  <c r="K130" i="35"/>
  <c r="G32" i="11"/>
  <c r="L54" i="35"/>
  <c r="M180" i="35"/>
  <c r="G32" i="23"/>
  <c r="K27" i="34"/>
  <c r="L2" i="34"/>
  <c r="J88" i="34"/>
  <c r="K131" i="35"/>
  <c r="L131" i="35" s="1"/>
  <c r="N63" i="35"/>
  <c r="L33" i="35"/>
  <c r="O12" i="36"/>
  <c r="N179" i="35"/>
  <c r="N23" i="35"/>
  <c r="AN119" i="55" s="1"/>
  <c r="K179" i="35"/>
  <c r="I2" i="34"/>
  <c r="AW31" i="55"/>
  <c r="L25" i="34"/>
  <c r="I25" i="34"/>
  <c r="O18" i="27"/>
  <c r="J172" i="35" s="1"/>
  <c r="N146" i="36"/>
  <c r="L106" i="36"/>
  <c r="N106" i="36" s="1"/>
  <c r="N12" i="36"/>
  <c r="M62" i="35"/>
  <c r="M21" i="35"/>
  <c r="M33" i="36"/>
  <c r="M12" i="36"/>
  <c r="I45" i="55"/>
  <c r="M38" i="33"/>
  <c r="F10" i="47"/>
  <c r="G32" i="5"/>
  <c r="F33" i="47"/>
  <c r="N52" i="33"/>
  <c r="N131" i="35"/>
  <c r="M146" i="36"/>
  <c r="N23" i="18"/>
  <c r="G54" i="34" s="1"/>
  <c r="I54" i="34" s="1"/>
  <c r="AU15" i="55"/>
  <c r="N71" i="35"/>
  <c r="L121" i="36"/>
  <c r="F11" i="34"/>
  <c r="O22" i="6"/>
  <c r="H11" i="34" s="1"/>
  <c r="AX15" i="55" s="1"/>
  <c r="N22" i="6"/>
  <c r="G11" i="34" s="1"/>
  <c r="G22" i="33"/>
  <c r="F32" i="11"/>
  <c r="O22" i="20"/>
  <c r="H59" i="34" s="1"/>
  <c r="AX4" i="55" s="1"/>
  <c r="N22" i="20"/>
  <c r="G59" i="34" s="1"/>
  <c r="F59" i="34"/>
  <c r="G5" i="55"/>
  <c r="M7" i="33"/>
  <c r="F5" i="55"/>
  <c r="N7" i="33"/>
  <c r="M4" i="55" s="1"/>
  <c r="O56" i="36"/>
  <c r="F54" i="34"/>
  <c r="AL2" i="55"/>
  <c r="N129" i="35"/>
  <c r="K129" i="35"/>
  <c r="L82" i="34"/>
  <c r="G32" i="3"/>
  <c r="N21" i="36"/>
  <c r="H38" i="6"/>
  <c r="H39" i="6" s="1"/>
  <c r="H38" i="20"/>
  <c r="H39" i="20" s="1"/>
  <c r="M63" i="35"/>
  <c r="L63" i="35"/>
  <c r="K27" i="35"/>
  <c r="M27" i="35" s="1"/>
  <c r="N112" i="35"/>
  <c r="AJ129" i="55"/>
  <c r="N5" i="35"/>
  <c r="M45" i="33"/>
  <c r="I82" i="34"/>
  <c r="N66" i="35"/>
  <c r="AN60" i="55" s="1"/>
  <c r="K66" i="35"/>
  <c r="O24" i="1"/>
  <c r="H16" i="34" s="1"/>
  <c r="F16" i="34"/>
  <c r="N24" i="1"/>
  <c r="G16" i="34" s="1"/>
  <c r="N17" i="27"/>
  <c r="I170" i="35" s="1"/>
  <c r="H170" i="35"/>
  <c r="O17" i="27"/>
  <c r="J170" i="35" s="1"/>
  <c r="K5" i="35"/>
  <c r="N147" i="35"/>
  <c r="I70" i="34"/>
  <c r="AJ100" i="55"/>
  <c r="O146" i="36"/>
  <c r="N15" i="11"/>
  <c r="H59" i="35"/>
  <c r="AK100" i="55" s="1"/>
  <c r="O15" i="11"/>
  <c r="J59" i="35" s="1"/>
  <c r="L70" i="34"/>
  <c r="AJ103" i="55"/>
  <c r="N132" i="35"/>
  <c r="O9" i="20"/>
  <c r="K105" i="36" s="1"/>
  <c r="I105" i="36"/>
  <c r="N9" i="20"/>
  <c r="J105" i="36" s="1"/>
  <c r="O106" i="36"/>
  <c r="O104" i="36"/>
  <c r="L104" i="36"/>
  <c r="K71" i="35"/>
  <c r="M71" i="35" s="1"/>
  <c r="O121" i="36"/>
  <c r="K132" i="35"/>
  <c r="AL103" i="55"/>
  <c r="N18" i="20"/>
  <c r="I134" i="35" s="1"/>
  <c r="H134" i="35"/>
  <c r="O18" i="20"/>
  <c r="J134" i="35" s="1"/>
  <c r="L88" i="34"/>
  <c r="O25" i="36"/>
  <c r="N13" i="33"/>
  <c r="K28" i="34"/>
  <c r="K15" i="34"/>
  <c r="H53" i="35"/>
  <c r="O14" i="10"/>
  <c r="J53" i="35" s="1"/>
  <c r="K53" i="35" s="1"/>
  <c r="M12" i="33"/>
  <c r="M90" i="36"/>
  <c r="AM61" i="55"/>
  <c r="L196" i="35"/>
  <c r="M13" i="33"/>
  <c r="N7" i="10"/>
  <c r="J42" i="36" s="1"/>
  <c r="J182" i="35"/>
  <c r="H182" i="35"/>
  <c r="I182" i="35"/>
  <c r="O13" i="24"/>
  <c r="J154" i="35" s="1"/>
  <c r="H154" i="35"/>
  <c r="N13" i="24"/>
  <c r="I154" i="35" s="1"/>
  <c r="O7" i="10"/>
  <c r="K42" i="36" s="1"/>
  <c r="O46" i="36"/>
  <c r="AJ89" i="55"/>
  <c r="K24" i="55"/>
  <c r="M64" i="33"/>
  <c r="N64" i="33"/>
  <c r="M24" i="55" s="1"/>
  <c r="L28" i="34"/>
  <c r="AP26" i="47" s="1"/>
  <c r="M18" i="36"/>
  <c r="L49" i="34"/>
  <c r="M196" i="35"/>
  <c r="L46" i="36"/>
  <c r="K105" i="35"/>
  <c r="M105" i="35" s="1"/>
  <c r="N12" i="33"/>
  <c r="M44" i="55" s="1"/>
  <c r="N105" i="35"/>
  <c r="K111" i="35"/>
  <c r="L111" i="35" s="1"/>
  <c r="J28" i="34"/>
  <c r="H183" i="35"/>
  <c r="I183" i="35"/>
  <c r="J183" i="35"/>
  <c r="K107" i="35"/>
  <c r="L107" i="35" s="1"/>
  <c r="M36" i="33"/>
  <c r="N111" i="35"/>
  <c r="M62" i="33"/>
  <c r="O148" i="36"/>
  <c r="K7" i="35"/>
  <c r="L11" i="36"/>
  <c r="M11" i="36" s="1"/>
  <c r="L133" i="36"/>
  <c r="N133" i="36" s="1"/>
  <c r="O15" i="36"/>
  <c r="M13" i="47" s="1"/>
  <c r="O24" i="36"/>
  <c r="Z65" i="55"/>
  <c r="N42" i="35"/>
  <c r="N184" i="35"/>
  <c r="L64" i="34"/>
  <c r="I6" i="34"/>
  <c r="J6" i="34" s="1"/>
  <c r="AX24" i="55"/>
  <c r="I81" i="34"/>
  <c r="J81" i="34" s="1"/>
  <c r="L68" i="34"/>
  <c r="K8" i="35"/>
  <c r="M8" i="35" s="1"/>
  <c r="L153" i="35"/>
  <c r="N188" i="35"/>
  <c r="N67" i="35"/>
  <c r="K12" i="35"/>
  <c r="L12" i="35" s="1"/>
  <c r="AM117" i="55"/>
  <c r="K41" i="35"/>
  <c r="M41" i="35" s="1"/>
  <c r="AL4" i="55"/>
  <c r="K184" i="35"/>
  <c r="M184" i="35" s="1"/>
  <c r="AI52" i="55"/>
  <c r="L186" i="35"/>
  <c r="M14" i="35"/>
  <c r="Y43" i="55"/>
  <c r="L19" i="36"/>
  <c r="M19" i="36" s="1"/>
  <c r="O85" i="36"/>
  <c r="O19" i="36"/>
  <c r="AA55" i="55" s="1"/>
  <c r="N6" i="19"/>
  <c r="J97" i="36" s="1"/>
  <c r="O102" i="36"/>
  <c r="M21" i="36"/>
  <c r="L35" i="36"/>
  <c r="M35" i="36" s="1"/>
  <c r="M54" i="36"/>
  <c r="L32" i="55"/>
  <c r="N26" i="33"/>
  <c r="L47" i="55"/>
  <c r="M11" i="33"/>
  <c r="F47" i="55"/>
  <c r="N9" i="33"/>
  <c r="M2" i="55" s="1"/>
  <c r="N11" i="33"/>
  <c r="M9" i="33"/>
  <c r="M71" i="36"/>
  <c r="N71" i="36"/>
  <c r="K17" i="35"/>
  <c r="O71" i="36"/>
  <c r="I48" i="34"/>
  <c r="K48" i="34" s="1"/>
  <c r="M51" i="33"/>
  <c r="L8" i="36"/>
  <c r="N8" i="36" s="1"/>
  <c r="N8" i="35"/>
  <c r="K67" i="35"/>
  <c r="O8" i="36"/>
  <c r="L6" i="34"/>
  <c r="AA7" i="47" s="1"/>
  <c r="K46" i="35"/>
  <c r="L147" i="36"/>
  <c r="N147" i="36" s="1"/>
  <c r="I89" i="34"/>
  <c r="L34" i="36"/>
  <c r="AV24" i="55"/>
  <c r="L16" i="36"/>
  <c r="N16" i="36" s="1"/>
  <c r="L126" i="36"/>
  <c r="AL64" i="55"/>
  <c r="K20" i="35"/>
  <c r="O34" i="36"/>
  <c r="L89" i="34"/>
  <c r="N20" i="35"/>
  <c r="AK64" i="55"/>
  <c r="L138" i="36"/>
  <c r="N138" i="36" s="1"/>
  <c r="K137" i="35"/>
  <c r="L137" i="35" s="1"/>
  <c r="I64" i="34"/>
  <c r="J64" i="34" s="1"/>
  <c r="O151" i="36"/>
  <c r="N122" i="35"/>
  <c r="K122" i="35"/>
  <c r="L102" i="36"/>
  <c r="K42" i="35"/>
  <c r="O11" i="36"/>
  <c r="O126" i="36"/>
  <c r="N41" i="35"/>
  <c r="AN4" i="55" s="1"/>
  <c r="I68" i="34"/>
  <c r="AK117" i="55"/>
  <c r="N7" i="35"/>
  <c r="M15" i="36"/>
  <c r="N15" i="36"/>
  <c r="AW45" i="55"/>
  <c r="I50" i="34"/>
  <c r="Y71" i="55"/>
  <c r="L148" i="36"/>
  <c r="N148" i="36" s="1"/>
  <c r="K10" i="35"/>
  <c r="L10" i="35" s="1"/>
  <c r="AL102" i="55"/>
  <c r="K114" i="35"/>
  <c r="L50" i="34"/>
  <c r="AV45" i="55"/>
  <c r="L53" i="34"/>
  <c r="AY10" i="55" s="1"/>
  <c r="AV10" i="55"/>
  <c r="N113" i="35"/>
  <c r="AN108" i="55" s="1"/>
  <c r="AK108" i="55"/>
  <c r="I53" i="34"/>
  <c r="AW10" i="55"/>
  <c r="K113" i="35"/>
  <c r="AL108" i="55"/>
  <c r="X49" i="55"/>
  <c r="AJ105" i="55"/>
  <c r="L7" i="34"/>
  <c r="AY75" i="55" s="1"/>
  <c r="K188" i="35"/>
  <c r="L188" i="35" s="1"/>
  <c r="N107" i="35"/>
  <c r="L48" i="34"/>
  <c r="L90" i="34"/>
  <c r="O41" i="36"/>
  <c r="L41" i="36"/>
  <c r="L136" i="36"/>
  <c r="N136" i="36" s="1"/>
  <c r="N12" i="35"/>
  <c r="L29" i="34"/>
  <c r="AV22" i="55"/>
  <c r="N8" i="33"/>
  <c r="F8" i="47" s="1"/>
  <c r="I29" i="34"/>
  <c r="AW22" i="55"/>
  <c r="W78" i="55"/>
  <c r="Z71" i="55"/>
  <c r="AK102" i="55"/>
  <c r="N114" i="35"/>
  <c r="AL86" i="55"/>
  <c r="AJ107" i="55"/>
  <c r="J82" i="36"/>
  <c r="X58" i="55"/>
  <c r="O16" i="36"/>
  <c r="I7" i="34"/>
  <c r="K106" i="35"/>
  <c r="H57" i="35"/>
  <c r="O18" i="10"/>
  <c r="J57" i="35" s="1"/>
  <c r="N18" i="10"/>
  <c r="I57" i="35" s="1"/>
  <c r="Z38" i="55"/>
  <c r="AM28" i="55"/>
  <c r="AJ69" i="55"/>
  <c r="AJ23" i="55"/>
  <c r="K176" i="35"/>
  <c r="N176" i="35"/>
  <c r="AJ13" i="55"/>
  <c r="L151" i="36"/>
  <c r="I90" i="34"/>
  <c r="N17" i="19"/>
  <c r="H124" i="35"/>
  <c r="O17" i="19"/>
  <c r="L84" i="34"/>
  <c r="I84" i="34"/>
  <c r="AX38" i="55"/>
  <c r="L141" i="36"/>
  <c r="N17" i="35"/>
  <c r="AW7" i="55"/>
  <c r="W7" i="55"/>
  <c r="W8" i="55"/>
  <c r="N46" i="35"/>
  <c r="X31" i="55"/>
  <c r="X3" i="55"/>
  <c r="AK127" i="55"/>
  <c r="AK146" i="55"/>
  <c r="AK141" i="55"/>
  <c r="AK137" i="55"/>
  <c r="AK161" i="55"/>
  <c r="AK180" i="55"/>
  <c r="AK172" i="55"/>
  <c r="AK149" i="55"/>
  <c r="AK152" i="55"/>
  <c r="AK135" i="55"/>
  <c r="AK182" i="55"/>
  <c r="AK186" i="55"/>
  <c r="AK142" i="55"/>
  <c r="AK177" i="55"/>
  <c r="AK164" i="55"/>
  <c r="AK165" i="55"/>
  <c r="AK173" i="55"/>
  <c r="AK132" i="55"/>
  <c r="AK148" i="55"/>
  <c r="AK174" i="55"/>
  <c r="AK183" i="55"/>
  <c r="AK139" i="55"/>
  <c r="AK145" i="55"/>
  <c r="AK158" i="55"/>
  <c r="AK167" i="55"/>
  <c r="AK181" i="55"/>
  <c r="AK178" i="55"/>
  <c r="AK143" i="55"/>
  <c r="AK160" i="55"/>
  <c r="AK171" i="55"/>
  <c r="AK169" i="55"/>
  <c r="AK159" i="55"/>
  <c r="AK175" i="55"/>
  <c r="AK151" i="55"/>
  <c r="AK184" i="55"/>
  <c r="AK163" i="55"/>
  <c r="AK170" i="55"/>
  <c r="AK136" i="55"/>
  <c r="AK147" i="55"/>
  <c r="AK185" i="55"/>
  <c r="AK134" i="55"/>
  <c r="AK154" i="55"/>
  <c r="AK140" i="55"/>
  <c r="AK153" i="55"/>
  <c r="AK144" i="55"/>
  <c r="AK138" i="55"/>
  <c r="AK156" i="55"/>
  <c r="AK157" i="55"/>
  <c r="AK162" i="55"/>
  <c r="AK176" i="55"/>
  <c r="AK150" i="55"/>
  <c r="AK168" i="55"/>
  <c r="AK179" i="55"/>
  <c r="AK155" i="55"/>
  <c r="AK133" i="55"/>
  <c r="AK166" i="55"/>
  <c r="K56" i="35"/>
  <c r="N10" i="35"/>
  <c r="AN70" i="55" s="1"/>
  <c r="N106" i="35"/>
  <c r="H38" i="10"/>
  <c r="H39" i="10" s="1"/>
  <c r="O108" i="36"/>
  <c r="K4" i="35"/>
  <c r="AJ74" i="55"/>
  <c r="AM75" i="55"/>
  <c r="AJ12" i="55"/>
  <c r="AJ11" i="55"/>
  <c r="N4" i="35"/>
  <c r="AM34" i="55"/>
  <c r="AM86" i="55"/>
  <c r="O4" i="36"/>
  <c r="M5" i="47" s="1"/>
  <c r="AK75" i="55"/>
  <c r="O147" i="36"/>
  <c r="AA16" i="55" s="1"/>
  <c r="AL92" i="55"/>
  <c r="AK86" i="55"/>
  <c r="L4" i="36"/>
  <c r="N36" i="33"/>
  <c r="F34" i="47" s="1"/>
  <c r="I47" i="55"/>
  <c r="N56" i="33"/>
  <c r="G48" i="55"/>
  <c r="M74" i="33"/>
  <c r="G64" i="55"/>
  <c r="G63" i="55"/>
  <c r="G56" i="55"/>
  <c r="G75" i="55"/>
  <c r="G79" i="55"/>
  <c r="G62" i="55"/>
  <c r="G61" i="55"/>
  <c r="G59" i="55"/>
  <c r="G80" i="55"/>
  <c r="G66" i="55"/>
  <c r="G71" i="55"/>
  <c r="G76" i="55"/>
  <c r="G60" i="55"/>
  <c r="G73" i="55"/>
  <c r="G55" i="55"/>
  <c r="G77" i="55"/>
  <c r="G68" i="55"/>
  <c r="G70" i="55"/>
  <c r="G53" i="55"/>
  <c r="G72" i="55"/>
  <c r="G65" i="55"/>
  <c r="G69" i="55"/>
  <c r="G67" i="55"/>
  <c r="G74" i="55"/>
  <c r="G54" i="55"/>
  <c r="G78" i="55"/>
  <c r="G52" i="55"/>
  <c r="G58" i="55"/>
  <c r="G57" i="55"/>
  <c r="M48" i="33"/>
  <c r="G39" i="55"/>
  <c r="H41" i="55"/>
  <c r="H63" i="55"/>
  <c r="H65" i="55"/>
  <c r="H61" i="55"/>
  <c r="H79" i="55"/>
  <c r="H71" i="55"/>
  <c r="H67" i="55"/>
  <c r="H80" i="55"/>
  <c r="H56" i="55"/>
  <c r="H58" i="55"/>
  <c r="H77" i="55"/>
  <c r="H72" i="55"/>
  <c r="H54" i="55"/>
  <c r="H69" i="55"/>
  <c r="H68" i="55"/>
  <c r="H74" i="55"/>
  <c r="H66" i="55"/>
  <c r="H70" i="55"/>
  <c r="H55" i="55"/>
  <c r="H76" i="55"/>
  <c r="H52" i="55"/>
  <c r="H64" i="55"/>
  <c r="H60" i="55"/>
  <c r="H53" i="55"/>
  <c r="H78" i="55"/>
  <c r="H62" i="55"/>
  <c r="H57" i="55"/>
  <c r="H73" i="55"/>
  <c r="H75" i="55"/>
  <c r="H59" i="55"/>
  <c r="H25" i="55"/>
  <c r="H19" i="55"/>
  <c r="F29" i="55"/>
  <c r="F37" i="55"/>
  <c r="I29" i="55"/>
  <c r="I37" i="55"/>
  <c r="K28" i="47"/>
  <c r="J28" i="47"/>
  <c r="L28" i="47"/>
  <c r="D33" i="55"/>
  <c r="C33" i="55"/>
  <c r="O35" i="36"/>
  <c r="M27" i="47" s="1"/>
  <c r="O133" i="36"/>
  <c r="I69" i="34"/>
  <c r="L120" i="36"/>
  <c r="AU35" i="55"/>
  <c r="AU34" i="55"/>
  <c r="N68" i="35"/>
  <c r="AX19" i="55"/>
  <c r="N15" i="22"/>
  <c r="I143" i="35" s="1"/>
  <c r="AL83" i="55" s="1"/>
  <c r="O15" i="22"/>
  <c r="J143" i="35" s="1"/>
  <c r="H143" i="35"/>
  <c r="AK105" i="55" s="1"/>
  <c r="V78" i="55"/>
  <c r="V83" i="55"/>
  <c r="O17" i="25"/>
  <c r="N17" i="25"/>
  <c r="H119" i="35"/>
  <c r="M42" i="33"/>
  <c r="G40" i="55"/>
  <c r="H161" i="35"/>
  <c r="AK11" i="55" s="1"/>
  <c r="O13" i="26"/>
  <c r="J161" i="35" s="1"/>
  <c r="AM11" i="55" s="1"/>
  <c r="N13" i="26"/>
  <c r="I161" i="35" s="1"/>
  <c r="AL11" i="55" s="1"/>
  <c r="AL6" i="55"/>
  <c r="K65" i="35"/>
  <c r="O22" i="22"/>
  <c r="H65" i="34" s="1"/>
  <c r="N22" i="22"/>
  <c r="G65" i="34" s="1"/>
  <c r="F65" i="34"/>
  <c r="K148" i="35"/>
  <c r="J93" i="35"/>
  <c r="I93" i="35"/>
  <c r="H93" i="35"/>
  <c r="O6" i="25"/>
  <c r="N6" i="25"/>
  <c r="I92" i="36"/>
  <c r="H38" i="25"/>
  <c r="H39" i="25" s="1"/>
  <c r="M67" i="33"/>
  <c r="K35" i="55"/>
  <c r="O55" i="36"/>
  <c r="F32" i="19"/>
  <c r="G43" i="33"/>
  <c r="N63" i="33"/>
  <c r="AJ104" i="55"/>
  <c r="K43" i="35"/>
  <c r="N51" i="33"/>
  <c r="G32" i="2"/>
  <c r="H65" i="33"/>
  <c r="H45" i="55" s="1"/>
  <c r="N8" i="16"/>
  <c r="J74" i="36" s="1"/>
  <c r="O8" i="16"/>
  <c r="K74" i="36" s="1"/>
  <c r="I74" i="36"/>
  <c r="O15" i="26"/>
  <c r="J163" i="35" s="1"/>
  <c r="AM72" i="55" s="1"/>
  <c r="N15" i="26"/>
  <c r="I163" i="35" s="1"/>
  <c r="AL72" i="55" s="1"/>
  <c r="H163" i="35"/>
  <c r="AK72" i="55" s="1"/>
  <c r="F35" i="34"/>
  <c r="AV25" i="55" s="1"/>
  <c r="N22" i="13"/>
  <c r="G35" i="34" s="1"/>
  <c r="O22" i="13"/>
  <c r="H35" i="34" s="1"/>
  <c r="N173" i="35"/>
  <c r="L81" i="34"/>
  <c r="L108" i="36"/>
  <c r="F32" i="25"/>
  <c r="G41" i="33"/>
  <c r="G37" i="55" s="1"/>
  <c r="W88" i="55"/>
  <c r="N22" i="26"/>
  <c r="G77" i="34" s="1"/>
  <c r="O22" i="26"/>
  <c r="H77" i="34" s="1"/>
  <c r="F77" i="34"/>
  <c r="AJ113" i="55"/>
  <c r="AJ109" i="55"/>
  <c r="J87" i="35"/>
  <c r="AM67" i="55" s="1"/>
  <c r="H87" i="35"/>
  <c r="AK67" i="55" s="1"/>
  <c r="I87" i="35"/>
  <c r="AL122" i="55" s="1"/>
  <c r="L9" i="34"/>
  <c r="F86" i="34"/>
  <c r="AV6" i="55" s="1"/>
  <c r="N22" i="2"/>
  <c r="G86" i="34" s="1"/>
  <c r="O22" i="2"/>
  <c r="H86" i="34" s="1"/>
  <c r="AX6" i="55" s="1"/>
  <c r="N23" i="30"/>
  <c r="G93" i="34" s="1"/>
  <c r="F93" i="34"/>
  <c r="O23" i="30"/>
  <c r="H93" i="34" s="1"/>
  <c r="O16" i="26"/>
  <c r="J164" i="35" s="1"/>
  <c r="N16" i="26"/>
  <c r="I164" i="35" s="1"/>
  <c r="H164" i="35"/>
  <c r="G55" i="33"/>
  <c r="G38" i="55" s="1"/>
  <c r="F32" i="24"/>
  <c r="O120" i="36"/>
  <c r="H125" i="35"/>
  <c r="AK128" i="55" s="1"/>
  <c r="N16" i="19"/>
  <c r="O16" i="19"/>
  <c r="AL76" i="55"/>
  <c r="AL73" i="55"/>
  <c r="K97" i="35"/>
  <c r="J95" i="35"/>
  <c r="I95" i="35"/>
  <c r="H95" i="35"/>
  <c r="O8" i="25"/>
  <c r="K94" i="36" s="1"/>
  <c r="I94" i="36"/>
  <c r="N8" i="25"/>
  <c r="J94" i="36" s="1"/>
  <c r="K85" i="35"/>
  <c r="L85" i="34"/>
  <c r="N9" i="19"/>
  <c r="I99" i="36"/>
  <c r="O9" i="19"/>
  <c r="N136" i="35"/>
  <c r="K138" i="35"/>
  <c r="O141" i="36"/>
  <c r="AU13" i="55"/>
  <c r="M4" i="33"/>
  <c r="G41" i="55"/>
  <c r="F58" i="34"/>
  <c r="N24" i="19"/>
  <c r="G58" i="34" s="1"/>
  <c r="O24" i="19"/>
  <c r="H58" i="34" s="1"/>
  <c r="I57" i="36"/>
  <c r="X17" i="55" s="1"/>
  <c r="N6" i="13"/>
  <c r="O6" i="13"/>
  <c r="H38" i="13"/>
  <c r="H39" i="13" s="1"/>
  <c r="I69" i="36"/>
  <c r="X77" i="55" s="1"/>
  <c r="N8" i="15"/>
  <c r="J69" i="36" s="1"/>
  <c r="O8" i="15"/>
  <c r="K69" i="36" s="1"/>
  <c r="Z77" i="55" s="1"/>
  <c r="AJ77" i="55"/>
  <c r="O22" i="16"/>
  <c r="H44" i="34" s="1"/>
  <c r="AX9" i="55" s="1"/>
  <c r="N22" i="16"/>
  <c r="G44" i="34" s="1"/>
  <c r="F44" i="34"/>
  <c r="AV9" i="55" s="1"/>
  <c r="W35" i="55"/>
  <c r="K9" i="35"/>
  <c r="AL96" i="55"/>
  <c r="AU33" i="55"/>
  <c r="N137" i="35"/>
  <c r="AN92" i="55" s="1"/>
  <c r="H74" i="35"/>
  <c r="N17" i="13"/>
  <c r="I74" i="35" s="1"/>
  <c r="O17" i="13"/>
  <c r="J74" i="35" s="1"/>
  <c r="K7" i="36"/>
  <c r="Z6" i="55" s="1"/>
  <c r="W51" i="55"/>
  <c r="W46" i="55"/>
  <c r="AJ111" i="55"/>
  <c r="F78" i="34"/>
  <c r="O23" i="26"/>
  <c r="H78" i="34" s="1"/>
  <c r="N23" i="26"/>
  <c r="G78" i="34" s="1"/>
  <c r="O6" i="22"/>
  <c r="N6" i="22"/>
  <c r="H38" i="22"/>
  <c r="H39" i="22" s="1"/>
  <c r="I112" i="36"/>
  <c r="X21" i="55" s="1"/>
  <c r="O19" i="24"/>
  <c r="J160" i="35" s="1"/>
  <c r="H160" i="35"/>
  <c r="N19" i="24"/>
  <c r="I160" i="35" s="1"/>
  <c r="L55" i="36"/>
  <c r="AV12" i="55"/>
  <c r="O16" i="14"/>
  <c r="J80" i="35" s="1"/>
  <c r="N16" i="14"/>
  <c r="I80" i="35" s="1"/>
  <c r="H80" i="35"/>
  <c r="W37" i="55"/>
  <c r="W39" i="55"/>
  <c r="O6" i="16"/>
  <c r="H38" i="16"/>
  <c r="H39" i="16" s="1"/>
  <c r="N6" i="16"/>
  <c r="I72" i="36"/>
  <c r="X15" i="55" s="1"/>
  <c r="N59" i="33"/>
  <c r="F54" i="47" s="1"/>
  <c r="H75" i="34"/>
  <c r="G75" i="34"/>
  <c r="F75" i="34"/>
  <c r="O19" i="31"/>
  <c r="J203" i="35" s="1"/>
  <c r="N19" i="31"/>
  <c r="I203" i="35" s="1"/>
  <c r="H203" i="35"/>
  <c r="W57" i="55"/>
  <c r="AW2" i="55"/>
  <c r="I47" i="34"/>
  <c r="AJ98" i="55"/>
  <c r="I88" i="35"/>
  <c r="H88" i="35"/>
  <c r="J88" i="35"/>
  <c r="O10" i="14"/>
  <c r="K66" i="36" s="1"/>
  <c r="N10" i="14"/>
  <c r="J66" i="36" s="1"/>
  <c r="I66" i="36"/>
  <c r="J193" i="35"/>
  <c r="AM99" i="55" s="1"/>
  <c r="H193" i="35"/>
  <c r="AK90" i="55" s="1"/>
  <c r="I193" i="35"/>
  <c r="AL99" i="55" s="1"/>
  <c r="O8" i="31"/>
  <c r="K159" i="36" s="1"/>
  <c r="Z88" i="55" s="1"/>
  <c r="I159" i="36"/>
  <c r="X88" i="55" s="1"/>
  <c r="N8" i="31"/>
  <c r="J159" i="36" s="1"/>
  <c r="G43" i="55"/>
  <c r="M70" i="33"/>
  <c r="F73" i="34"/>
  <c r="O24" i="24"/>
  <c r="H73" i="34" s="1"/>
  <c r="N24" i="24"/>
  <c r="G73" i="34" s="1"/>
  <c r="N15" i="19"/>
  <c r="H126" i="35"/>
  <c r="O15" i="19"/>
  <c r="AU42" i="55"/>
  <c r="I9" i="34"/>
  <c r="AL34" i="55"/>
  <c r="AJ14" i="55"/>
  <c r="G32" i="31"/>
  <c r="H72" i="33"/>
  <c r="H55" i="33"/>
  <c r="H38" i="55" s="1"/>
  <c r="G32" i="24"/>
  <c r="AM73" i="55"/>
  <c r="N24" i="14"/>
  <c r="G40" i="34" s="1"/>
  <c r="O24" i="14"/>
  <c r="H40" i="34" s="1"/>
  <c r="F40" i="34"/>
  <c r="L32" i="34"/>
  <c r="AV23" i="55"/>
  <c r="AJ19" i="55"/>
  <c r="N4" i="33"/>
  <c r="M49" i="55" s="1"/>
  <c r="O10" i="26"/>
  <c r="K131" i="36" s="1"/>
  <c r="N10" i="26"/>
  <c r="J131" i="36" s="1"/>
  <c r="I131" i="36"/>
  <c r="G32" i="22"/>
  <c r="H49" i="33"/>
  <c r="H26" i="55" s="1"/>
  <c r="O19" i="14"/>
  <c r="J83" i="35" s="1"/>
  <c r="N19" i="14"/>
  <c r="I83" i="35" s="1"/>
  <c r="H83" i="35"/>
  <c r="N22" i="30"/>
  <c r="G92" i="34" s="1"/>
  <c r="F92" i="34"/>
  <c r="AV13" i="55" s="1"/>
  <c r="O22" i="30"/>
  <c r="H92" i="34" s="1"/>
  <c r="AX13" i="55" s="1"/>
  <c r="O7" i="22"/>
  <c r="K113" i="36" s="1"/>
  <c r="N7" i="22"/>
  <c r="J113" i="36" s="1"/>
  <c r="I113" i="36"/>
  <c r="AJ125" i="55"/>
  <c r="N13" i="14"/>
  <c r="I77" i="35" s="1"/>
  <c r="AL5" i="55" s="1"/>
  <c r="O13" i="14"/>
  <c r="J77" i="35" s="1"/>
  <c r="AM17" i="55" s="1"/>
  <c r="H77" i="35"/>
  <c r="AK17" i="55" s="1"/>
  <c r="I93" i="36"/>
  <c r="N7" i="25"/>
  <c r="J93" i="36" s="1"/>
  <c r="O7" i="25"/>
  <c r="K93" i="36" s="1"/>
  <c r="N135" i="35"/>
  <c r="K135" i="35"/>
  <c r="AH50" i="55"/>
  <c r="W44" i="55"/>
  <c r="Y70" i="55"/>
  <c r="L14" i="36"/>
  <c r="N23" i="14"/>
  <c r="G39" i="34" s="1"/>
  <c r="O23" i="14"/>
  <c r="H39" i="34" s="1"/>
  <c r="F39" i="34"/>
  <c r="AU37" i="55"/>
  <c r="O9" i="26"/>
  <c r="K130" i="36" s="1"/>
  <c r="Z101" i="55" s="1"/>
  <c r="I130" i="36"/>
  <c r="N9" i="26"/>
  <c r="J130" i="36" s="1"/>
  <c r="N65" i="35"/>
  <c r="AK6" i="55"/>
  <c r="N23" i="22"/>
  <c r="G66" i="34" s="1"/>
  <c r="O23" i="22"/>
  <c r="H66" i="34" s="1"/>
  <c r="F66" i="34"/>
  <c r="I22" i="34"/>
  <c r="AJ85" i="55"/>
  <c r="I100" i="36"/>
  <c r="O8" i="19"/>
  <c r="N8" i="19"/>
  <c r="N15" i="30"/>
  <c r="I192" i="35" s="1"/>
  <c r="H192" i="35"/>
  <c r="O15" i="30"/>
  <c r="J192" i="35" s="1"/>
  <c r="AJ24" i="55"/>
  <c r="O18" i="19"/>
  <c r="J128" i="35" s="1"/>
  <c r="N18" i="19"/>
  <c r="I128" i="35" s="1"/>
  <c r="H128" i="35"/>
  <c r="O7" i="13"/>
  <c r="K58" i="36" s="1"/>
  <c r="N7" i="13"/>
  <c r="J58" i="36" s="1"/>
  <c r="I58" i="36"/>
  <c r="O8" i="26"/>
  <c r="K129" i="36" s="1"/>
  <c r="I129" i="36"/>
  <c r="N8" i="26"/>
  <c r="J129" i="36" s="1"/>
  <c r="L47" i="34"/>
  <c r="AV2" i="55"/>
  <c r="AU28" i="55"/>
  <c r="AJ18" i="55"/>
  <c r="O24" i="13"/>
  <c r="H37" i="34" s="1"/>
  <c r="N24" i="13"/>
  <c r="G37" i="34" s="1"/>
  <c r="F37" i="34"/>
  <c r="W13" i="55"/>
  <c r="N43" i="35"/>
  <c r="I194" i="35"/>
  <c r="AL118" i="55" s="1"/>
  <c r="H194" i="35"/>
  <c r="J194" i="35"/>
  <c r="O81" i="36"/>
  <c r="I128" i="36"/>
  <c r="O7" i="26"/>
  <c r="K128" i="36" s="1"/>
  <c r="N7" i="26"/>
  <c r="J128" i="36" s="1"/>
  <c r="L20" i="34"/>
  <c r="W60" i="55"/>
  <c r="W32" i="55"/>
  <c r="AU46" i="55"/>
  <c r="O22" i="15"/>
  <c r="H41" i="34" s="1"/>
  <c r="AX49" i="55" s="1"/>
  <c r="N22" i="15"/>
  <c r="G41" i="34" s="1"/>
  <c r="AW43" i="55" s="1"/>
  <c r="F41" i="34"/>
  <c r="AV49" i="55" s="1"/>
  <c r="M56" i="33"/>
  <c r="AK34" i="55"/>
  <c r="I91" i="35"/>
  <c r="J91" i="35"/>
  <c r="H91" i="35"/>
  <c r="F32" i="31"/>
  <c r="G72" i="33"/>
  <c r="G13" i="55" s="1"/>
  <c r="O17" i="26"/>
  <c r="J165" i="35" s="1"/>
  <c r="H165" i="35"/>
  <c r="N17" i="26"/>
  <c r="I165" i="35" s="1"/>
  <c r="O19" i="19"/>
  <c r="J127" i="35" s="1"/>
  <c r="N19" i="19"/>
  <c r="I127" i="35" s="1"/>
  <c r="H127" i="35"/>
  <c r="O13" i="30"/>
  <c r="J190" i="35" s="1"/>
  <c r="AM29" i="55" s="1"/>
  <c r="H190" i="35"/>
  <c r="AK29" i="55" s="1"/>
  <c r="N13" i="30"/>
  <c r="I190" i="35" s="1"/>
  <c r="AL29" i="55" s="1"/>
  <c r="O17" i="31"/>
  <c r="J201" i="35" s="1"/>
  <c r="N17" i="31"/>
  <c r="I201" i="35" s="1"/>
  <c r="H201" i="35"/>
  <c r="N71" i="33"/>
  <c r="F32" i="22"/>
  <c r="G49" i="33"/>
  <c r="G32" i="16"/>
  <c r="H33" i="33"/>
  <c r="H8" i="55" s="1"/>
  <c r="AU36" i="55"/>
  <c r="H162" i="35"/>
  <c r="O14" i="26"/>
  <c r="J162" i="35" s="1"/>
  <c r="N14" i="26"/>
  <c r="I162" i="35" s="1"/>
  <c r="O16" i="24"/>
  <c r="J157" i="35" s="1"/>
  <c r="AM42" i="55" s="1"/>
  <c r="N16" i="24"/>
  <c r="I157" i="35" s="1"/>
  <c r="AL42" i="55" s="1"/>
  <c r="H157" i="35"/>
  <c r="G27" i="33"/>
  <c r="F32" i="13"/>
  <c r="Y55" i="55"/>
  <c r="F56" i="34"/>
  <c r="O22" i="19"/>
  <c r="H56" i="34" s="1"/>
  <c r="N22" i="19"/>
  <c r="G56" i="34" s="1"/>
  <c r="X27" i="55"/>
  <c r="N23" i="16"/>
  <c r="G45" i="34" s="1"/>
  <c r="O23" i="16"/>
  <c r="H45" i="34" s="1"/>
  <c r="F45" i="34"/>
  <c r="N64" i="35"/>
  <c r="Z86" i="55"/>
  <c r="N23" i="19"/>
  <c r="G57" i="34" s="1"/>
  <c r="O23" i="19"/>
  <c r="H57" i="34" s="1"/>
  <c r="F57" i="34"/>
  <c r="F97" i="34"/>
  <c r="G97" i="34"/>
  <c r="H97" i="34"/>
  <c r="W59" i="55"/>
  <c r="H73" i="35"/>
  <c r="O16" i="13"/>
  <c r="J73" i="35" s="1"/>
  <c r="N16" i="13"/>
  <c r="I73" i="35" s="1"/>
  <c r="N14" i="30"/>
  <c r="I191" i="35" s="1"/>
  <c r="O14" i="30"/>
  <c r="J191" i="35" s="1"/>
  <c r="AM46" i="55" s="1"/>
  <c r="H191" i="35"/>
  <c r="AK46" i="55" s="1"/>
  <c r="O9" i="13"/>
  <c r="K60" i="36" s="1"/>
  <c r="N9" i="13"/>
  <c r="J60" i="36" s="1"/>
  <c r="I60" i="36"/>
  <c r="K136" i="35"/>
  <c r="O7" i="14"/>
  <c r="K63" i="36" s="1"/>
  <c r="Z62" i="55" s="1"/>
  <c r="N7" i="14"/>
  <c r="J63" i="36" s="1"/>
  <c r="I63" i="36"/>
  <c r="X62" i="55" s="1"/>
  <c r="H38" i="19"/>
  <c r="H39" i="19" s="1"/>
  <c r="Z95" i="55"/>
  <c r="J7" i="36"/>
  <c r="O136" i="36"/>
  <c r="A8" i="35"/>
  <c r="L32" i="36"/>
  <c r="O32" i="36"/>
  <c r="O17" i="14"/>
  <c r="J81" i="35" s="1"/>
  <c r="N17" i="14"/>
  <c r="I81" i="35" s="1"/>
  <c r="AL84" i="55" s="1"/>
  <c r="H81" i="35"/>
  <c r="O9" i="25"/>
  <c r="K95" i="36" s="1"/>
  <c r="N9" i="25"/>
  <c r="J95" i="36" s="1"/>
  <c r="I95" i="36"/>
  <c r="N16" i="31"/>
  <c r="O16" i="31"/>
  <c r="H199" i="35"/>
  <c r="AK24" i="55" s="1"/>
  <c r="O18" i="24"/>
  <c r="N18" i="24"/>
  <c r="H156" i="35"/>
  <c r="O9" i="14"/>
  <c r="K65" i="36" s="1"/>
  <c r="N9" i="14"/>
  <c r="J65" i="36" s="1"/>
  <c r="I65" i="36"/>
  <c r="H118" i="35"/>
  <c r="N15" i="25"/>
  <c r="I118" i="35" s="1"/>
  <c r="O15" i="25"/>
  <c r="J118" i="35" s="1"/>
  <c r="N15" i="31"/>
  <c r="H202" i="35"/>
  <c r="O15" i="31"/>
  <c r="F72" i="34"/>
  <c r="N23" i="24"/>
  <c r="G72" i="34" s="1"/>
  <c r="O23" i="24"/>
  <c r="H72" i="34" s="1"/>
  <c r="O13" i="13"/>
  <c r="J70" i="35" s="1"/>
  <c r="H70" i="35"/>
  <c r="N13" i="13"/>
  <c r="I70" i="35" s="1"/>
  <c r="AL20" i="55" s="1"/>
  <c r="Z70" i="55"/>
  <c r="L81" i="36"/>
  <c r="AJ10" i="55"/>
  <c r="I70" i="36"/>
  <c r="X60" i="55" s="1"/>
  <c r="O9" i="15"/>
  <c r="K70" i="36" s="1"/>
  <c r="N9" i="15"/>
  <c r="J70" i="36" s="1"/>
  <c r="J107" i="36"/>
  <c r="G32" i="25"/>
  <c r="H41" i="33"/>
  <c r="O18" i="31"/>
  <c r="H200" i="35"/>
  <c r="N18" i="31"/>
  <c r="O6" i="26"/>
  <c r="N6" i="26"/>
  <c r="I127" i="36"/>
  <c r="H38" i="26"/>
  <c r="H39" i="26" s="1"/>
  <c r="N22" i="24"/>
  <c r="G71" i="34" s="1"/>
  <c r="O22" i="24"/>
  <c r="H71" i="34" s="1"/>
  <c r="F71" i="34"/>
  <c r="N8" i="13"/>
  <c r="J59" i="36" s="1"/>
  <c r="I59" i="36"/>
  <c r="O8" i="13"/>
  <c r="K59" i="36" s="1"/>
  <c r="N6" i="30"/>
  <c r="O6" i="30"/>
  <c r="I152" i="36"/>
  <c r="X8" i="55" s="1"/>
  <c r="H38" i="30"/>
  <c r="H39" i="30" s="1"/>
  <c r="N25" i="33"/>
  <c r="M25" i="33"/>
  <c r="W52" i="55"/>
  <c r="Y79" i="55"/>
  <c r="L24" i="36"/>
  <c r="AL69" i="55"/>
  <c r="K149" i="35"/>
  <c r="M8" i="33"/>
  <c r="G42" i="55"/>
  <c r="AK54" i="55"/>
  <c r="O18" i="14"/>
  <c r="J82" i="35" s="1"/>
  <c r="N18" i="14"/>
  <c r="I82" i="35" s="1"/>
  <c r="H82" i="35"/>
  <c r="J195" i="35"/>
  <c r="H195" i="35"/>
  <c r="I195" i="35"/>
  <c r="H76" i="34"/>
  <c r="F76" i="34"/>
  <c r="AV36" i="55" s="1"/>
  <c r="G76" i="34"/>
  <c r="O17" i="22"/>
  <c r="N17" i="22"/>
  <c r="H146" i="35"/>
  <c r="N74" i="33"/>
  <c r="G32" i="13"/>
  <c r="H27" i="33"/>
  <c r="AU40" i="55"/>
  <c r="AU41" i="55"/>
  <c r="K77" i="36"/>
  <c r="Z27" i="55" s="1"/>
  <c r="J38" i="17"/>
  <c r="J39" i="17" s="1"/>
  <c r="AA81" i="55"/>
  <c r="AJ35" i="55"/>
  <c r="N139" i="35"/>
  <c r="G32" i="19"/>
  <c r="H43" i="33"/>
  <c r="H10" i="55" s="1"/>
  <c r="N14" i="24"/>
  <c r="I155" i="35" s="1"/>
  <c r="AL27" i="55" s="1"/>
  <c r="H155" i="35"/>
  <c r="AK45" i="55" s="1"/>
  <c r="O14" i="24"/>
  <c r="J155" i="35" s="1"/>
  <c r="AM45" i="55" s="1"/>
  <c r="X70" i="55"/>
  <c r="O13" i="31"/>
  <c r="J197" i="35" s="1"/>
  <c r="AM26" i="55" s="1"/>
  <c r="H197" i="35"/>
  <c r="AK26" i="55" s="1"/>
  <c r="N13" i="31"/>
  <c r="I197" i="35" s="1"/>
  <c r="AL30" i="55" s="1"/>
  <c r="K64" i="35"/>
  <c r="AJ62" i="55"/>
  <c r="X72" i="55"/>
  <c r="L45" i="36"/>
  <c r="Y86" i="55"/>
  <c r="N24" i="26"/>
  <c r="G79" i="34" s="1"/>
  <c r="O24" i="26"/>
  <c r="H79" i="34" s="1"/>
  <c r="F79" i="34"/>
  <c r="M53" i="33"/>
  <c r="N53" i="33"/>
  <c r="M36" i="55" s="1"/>
  <c r="F36" i="34"/>
  <c r="N23" i="13"/>
  <c r="G36" i="34" s="1"/>
  <c r="O23" i="13"/>
  <c r="H36" i="34" s="1"/>
  <c r="I38" i="8"/>
  <c r="I39" i="8" s="1"/>
  <c r="O24" i="16"/>
  <c r="H46" i="34" s="1"/>
  <c r="N24" i="16"/>
  <c r="G46" i="34" s="1"/>
  <c r="F46" i="34"/>
  <c r="I153" i="36"/>
  <c r="O7" i="30"/>
  <c r="K153" i="36" s="1"/>
  <c r="N7" i="30"/>
  <c r="J153" i="36" s="1"/>
  <c r="O16" i="22"/>
  <c r="J144" i="35" s="1"/>
  <c r="AM131" i="55" s="1"/>
  <c r="N16" i="22"/>
  <c r="I144" i="35" s="1"/>
  <c r="AL131" i="55" s="1"/>
  <c r="H144" i="35"/>
  <c r="AK131" i="55" s="1"/>
  <c r="F10" i="55"/>
  <c r="H76" i="35"/>
  <c r="O19" i="13"/>
  <c r="J76" i="35" s="1"/>
  <c r="N19" i="13"/>
  <c r="I76" i="35" s="1"/>
  <c r="L22" i="34"/>
  <c r="I96" i="35"/>
  <c r="J96" i="35"/>
  <c r="H96" i="35"/>
  <c r="O14" i="31"/>
  <c r="J198" i="35" s="1"/>
  <c r="AM57" i="55" s="1"/>
  <c r="N14" i="31"/>
  <c r="I198" i="35" s="1"/>
  <c r="H198" i="35"/>
  <c r="AK57" i="55" s="1"/>
  <c r="O138" i="36"/>
  <c r="AJ45" i="55"/>
  <c r="I20" i="34"/>
  <c r="AW24" i="55"/>
  <c r="N6" i="14"/>
  <c r="O6" i="14"/>
  <c r="H38" i="14"/>
  <c r="H39" i="14" s="1"/>
  <c r="I62" i="36"/>
  <c r="O14" i="36"/>
  <c r="O9" i="16"/>
  <c r="K75" i="36" s="1"/>
  <c r="N9" i="16"/>
  <c r="J75" i="36" s="1"/>
  <c r="I75" i="36"/>
  <c r="O10" i="30"/>
  <c r="K156" i="36" s="1"/>
  <c r="I156" i="36"/>
  <c r="N10" i="30"/>
  <c r="J156" i="36" s="1"/>
  <c r="O10" i="25"/>
  <c r="K96" i="36" s="1"/>
  <c r="I96" i="36"/>
  <c r="N10" i="25"/>
  <c r="J96" i="36" s="1"/>
  <c r="AL80" i="55"/>
  <c r="N10" i="22"/>
  <c r="J116" i="36" s="1"/>
  <c r="O10" i="22"/>
  <c r="K116" i="36" s="1"/>
  <c r="I116" i="36"/>
  <c r="N14" i="19"/>
  <c r="I123" i="35" s="1"/>
  <c r="AL9" i="55" s="1"/>
  <c r="H123" i="35"/>
  <c r="O14" i="19"/>
  <c r="J123" i="35" s="1"/>
  <c r="K107" i="36"/>
  <c r="Z10" i="55" s="1"/>
  <c r="M30" i="55"/>
  <c r="F6" i="47"/>
  <c r="AJ46" i="55"/>
  <c r="J132" i="36"/>
  <c r="AJ26" i="55"/>
  <c r="N10" i="16"/>
  <c r="J76" i="36" s="1"/>
  <c r="O10" i="16"/>
  <c r="K76" i="36" s="1"/>
  <c r="I76" i="36"/>
  <c r="N62" i="33"/>
  <c r="H120" i="35"/>
  <c r="O16" i="25"/>
  <c r="J120" i="35" s="1"/>
  <c r="N16" i="25"/>
  <c r="N9" i="35"/>
  <c r="AJ83" i="55"/>
  <c r="O10" i="13"/>
  <c r="K61" i="36" s="1"/>
  <c r="N10" i="13"/>
  <c r="J61" i="36" s="1"/>
  <c r="I61" i="36"/>
  <c r="AK32" i="55"/>
  <c r="O7" i="2"/>
  <c r="I143" i="36"/>
  <c r="N7" i="2"/>
  <c r="H38" i="2"/>
  <c r="H39" i="2" s="1"/>
  <c r="AM69" i="55"/>
  <c r="O119" i="36"/>
  <c r="Y170" i="55"/>
  <c r="Y100" i="55"/>
  <c r="Y99" i="55"/>
  <c r="Y167" i="55"/>
  <c r="Y142" i="55"/>
  <c r="Y138" i="55"/>
  <c r="Y159" i="55"/>
  <c r="Y166" i="55"/>
  <c r="Y162" i="55"/>
  <c r="Y154" i="55"/>
  <c r="Y98" i="55"/>
  <c r="Y171" i="55"/>
  <c r="Y110" i="55"/>
  <c r="Y126" i="55"/>
  <c r="Y96" i="55"/>
  <c r="Y146" i="55"/>
  <c r="Y102" i="55"/>
  <c r="Y158" i="55"/>
  <c r="Y150" i="55"/>
  <c r="Y118" i="55"/>
  <c r="Y131" i="55"/>
  <c r="Y111" i="55"/>
  <c r="Y135" i="55"/>
  <c r="Y116" i="55"/>
  <c r="Y109" i="55"/>
  <c r="Y123" i="55"/>
  <c r="Y125" i="55"/>
  <c r="Y144" i="55"/>
  <c r="Y145" i="55"/>
  <c r="Y140" i="55"/>
  <c r="Y103" i="55"/>
  <c r="Y141" i="55"/>
  <c r="Y147" i="55"/>
  <c r="Y120" i="55"/>
  <c r="Y155" i="55"/>
  <c r="Y133" i="55"/>
  <c r="Y148" i="55"/>
  <c r="Y161" i="55"/>
  <c r="Y106" i="55"/>
  <c r="Y104" i="55"/>
  <c r="Y127" i="55"/>
  <c r="Y160" i="55"/>
  <c r="L5" i="36"/>
  <c r="Y137" i="55"/>
  <c r="Y143" i="55"/>
  <c r="Y107" i="55"/>
  <c r="Y151" i="55"/>
  <c r="Y136" i="55"/>
  <c r="Y139" i="55"/>
  <c r="Y101" i="55"/>
  <c r="Y165" i="55"/>
  <c r="Y114" i="55"/>
  <c r="Y121" i="55"/>
  <c r="Y153" i="55"/>
  <c r="Y112" i="55"/>
  <c r="Y105" i="55"/>
  <c r="Y130" i="55"/>
  <c r="Y134" i="55"/>
  <c r="Y124" i="55"/>
  <c r="Y149" i="55"/>
  <c r="Y132" i="55"/>
  <c r="Y113" i="55"/>
  <c r="Y164" i="55"/>
  <c r="Y97" i="55"/>
  <c r="Y117" i="55"/>
  <c r="Y169" i="55"/>
  <c r="Y152" i="55"/>
  <c r="Y129" i="55"/>
  <c r="Y163" i="55"/>
  <c r="Y94" i="55"/>
  <c r="Y122" i="55"/>
  <c r="Y115" i="55"/>
  <c r="Y119" i="55"/>
  <c r="Y128" i="55"/>
  <c r="Y157" i="55"/>
  <c r="Y108" i="55"/>
  <c r="Y156" i="55"/>
  <c r="Y168" i="55"/>
  <c r="AJ37" i="55"/>
  <c r="O15" i="24"/>
  <c r="J159" i="35" s="1"/>
  <c r="H159" i="35"/>
  <c r="N15" i="24"/>
  <c r="I159" i="35" s="1"/>
  <c r="N48" i="33"/>
  <c r="M39" i="55" s="1"/>
  <c r="F32" i="16"/>
  <c r="G33" i="33"/>
  <c r="M59" i="33"/>
  <c r="G25" i="55"/>
  <c r="AJ7" i="55"/>
  <c r="O10" i="31"/>
  <c r="K161" i="36" s="1"/>
  <c r="N10" i="31"/>
  <c r="J161" i="36" s="1"/>
  <c r="I161" i="36"/>
  <c r="U3" i="55"/>
  <c r="N9" i="24"/>
  <c r="J125" i="36" s="1"/>
  <c r="O9" i="24"/>
  <c r="K125" i="36" s="1"/>
  <c r="I125" i="36"/>
  <c r="N138" i="35"/>
  <c r="W62" i="55"/>
  <c r="J77" i="36"/>
  <c r="I38" i="17"/>
  <c r="I39" i="17" s="1"/>
  <c r="N8" i="30"/>
  <c r="J154" i="36" s="1"/>
  <c r="O8" i="30"/>
  <c r="K154" i="36" s="1"/>
  <c r="I154" i="36"/>
  <c r="H75" i="35"/>
  <c r="N18" i="13"/>
  <c r="I75" i="35" s="1"/>
  <c r="O18" i="13"/>
  <c r="J75" i="35" s="1"/>
  <c r="AU29" i="55"/>
  <c r="N149" i="35"/>
  <c r="Z155" i="55"/>
  <c r="Z96" i="55"/>
  <c r="Z100" i="55"/>
  <c r="Z170" i="55"/>
  <c r="Z118" i="55"/>
  <c r="Z106" i="55"/>
  <c r="Z99" i="55"/>
  <c r="Z138" i="55"/>
  <c r="Z154" i="55"/>
  <c r="Z134" i="55"/>
  <c r="Z103" i="55"/>
  <c r="Z123" i="55"/>
  <c r="Z158" i="55"/>
  <c r="Z166" i="55"/>
  <c r="Z150" i="55"/>
  <c r="Z122" i="55"/>
  <c r="Z98" i="55"/>
  <c r="Z171" i="55"/>
  <c r="Z126" i="55"/>
  <c r="Z162" i="55"/>
  <c r="Z146" i="55"/>
  <c r="Z97" i="55"/>
  <c r="Z102" i="55"/>
  <c r="Z131" i="55"/>
  <c r="Z108" i="55"/>
  <c r="Z168" i="55"/>
  <c r="Z128" i="55"/>
  <c r="Z115" i="55"/>
  <c r="Z132" i="55"/>
  <c r="Z94" i="55"/>
  <c r="Z111" i="55"/>
  <c r="Z161" i="55"/>
  <c r="Z165" i="55"/>
  <c r="Z159" i="55"/>
  <c r="Z152" i="55"/>
  <c r="Z145" i="55"/>
  <c r="Z109" i="55"/>
  <c r="Z130" i="55"/>
  <c r="Z105" i="55"/>
  <c r="Z133" i="55"/>
  <c r="Z136" i="55"/>
  <c r="Z112" i="55"/>
  <c r="Z141" i="55"/>
  <c r="Z144" i="55"/>
  <c r="Z164" i="55"/>
  <c r="Z107" i="55"/>
  <c r="Z169" i="55"/>
  <c r="Z142" i="55"/>
  <c r="Z148" i="55"/>
  <c r="Z104" i="55"/>
  <c r="Z137" i="55"/>
  <c r="Z114" i="55"/>
  <c r="Z117" i="55"/>
  <c r="Z149" i="55"/>
  <c r="Z167" i="55"/>
  <c r="Z110" i="55"/>
  <c r="Z135" i="55"/>
  <c r="Z160" i="55"/>
  <c r="Z120" i="55"/>
  <c r="Z151" i="55"/>
  <c r="Z116" i="55"/>
  <c r="Z121" i="55"/>
  <c r="Z139" i="55"/>
  <c r="Z127" i="55"/>
  <c r="Z156" i="55"/>
  <c r="Z143" i="55"/>
  <c r="Z119" i="55"/>
  <c r="Z125" i="55"/>
  <c r="Z129" i="55"/>
  <c r="Z147" i="55"/>
  <c r="Z140" i="55"/>
  <c r="Z157" i="55"/>
  <c r="Z124" i="55"/>
  <c r="Z153" i="55"/>
  <c r="Z163" i="55"/>
  <c r="Z113" i="55"/>
  <c r="O13" i="22"/>
  <c r="J141" i="35" s="1"/>
  <c r="N13" i="22"/>
  <c r="I141" i="35" s="1"/>
  <c r="H141" i="35"/>
  <c r="W84" i="55"/>
  <c r="O18" i="15"/>
  <c r="J89" i="35" s="1"/>
  <c r="N18" i="15"/>
  <c r="I89" i="35" s="1"/>
  <c r="H89" i="35"/>
  <c r="N13" i="25"/>
  <c r="I116" i="35" s="1"/>
  <c r="O13" i="25"/>
  <c r="J116" i="35" s="1"/>
  <c r="H116" i="35"/>
  <c r="AK7" i="55" s="1"/>
  <c r="O9" i="31"/>
  <c r="K160" i="36" s="1"/>
  <c r="Z87" i="55" s="1"/>
  <c r="N9" i="31"/>
  <c r="J160" i="36" s="1"/>
  <c r="I160" i="36"/>
  <c r="N18" i="22"/>
  <c r="O18" i="22"/>
  <c r="H145" i="35"/>
  <c r="X86" i="55"/>
  <c r="K139" i="35"/>
  <c r="AL117" i="55"/>
  <c r="N14" i="22"/>
  <c r="I142" i="35" s="1"/>
  <c r="O14" i="22"/>
  <c r="J142" i="35" s="1"/>
  <c r="H142" i="35"/>
  <c r="N7" i="24"/>
  <c r="J123" i="36" s="1"/>
  <c r="I123" i="36"/>
  <c r="X35" i="55" s="1"/>
  <c r="O7" i="24"/>
  <c r="K123" i="36" s="1"/>
  <c r="I101" i="36"/>
  <c r="O10" i="19"/>
  <c r="K101" i="36" s="1"/>
  <c r="N10" i="19"/>
  <c r="J101" i="36" s="1"/>
  <c r="AJ43" i="55"/>
  <c r="F32" i="14"/>
  <c r="G29" i="33"/>
  <c r="N148" i="35"/>
  <c r="N13" i="16"/>
  <c r="I90" i="35" s="1"/>
  <c r="O13" i="16"/>
  <c r="J90" i="35" s="1"/>
  <c r="H90" i="35"/>
  <c r="I68" i="36"/>
  <c r="X89" i="55" s="1"/>
  <c r="O7" i="15"/>
  <c r="K68" i="36" s="1"/>
  <c r="Z89" i="55" s="1"/>
  <c r="N7" i="15"/>
  <c r="J68" i="36" s="1"/>
  <c r="Y89" i="55" s="1"/>
  <c r="K68" i="35"/>
  <c r="Z57" i="55"/>
  <c r="Z48" i="55"/>
  <c r="W76" i="55"/>
  <c r="AK53" i="55"/>
  <c r="N177" i="35"/>
  <c r="O52" i="36"/>
  <c r="O6" i="15"/>
  <c r="N6" i="15"/>
  <c r="I67" i="36"/>
  <c r="X44" i="55" s="1"/>
  <c r="H38" i="15"/>
  <c r="H39" i="15" s="1"/>
  <c r="I94" i="35"/>
  <c r="J94" i="35"/>
  <c r="H94" i="35"/>
  <c r="F32" i="30"/>
  <c r="G69" i="33"/>
  <c r="G28" i="55" s="1"/>
  <c r="O7" i="31"/>
  <c r="K158" i="36" s="1"/>
  <c r="N7" i="31"/>
  <c r="J158" i="36" s="1"/>
  <c r="I158" i="36"/>
  <c r="X34" i="55" s="1"/>
  <c r="H72" i="35"/>
  <c r="O15" i="13"/>
  <c r="J72" i="35" s="1"/>
  <c r="N15" i="13"/>
  <c r="I72" i="35" s="1"/>
  <c r="AL63" i="55" s="1"/>
  <c r="K173" i="35"/>
  <c r="AJ48" i="55"/>
  <c r="AJ51" i="55"/>
  <c r="O18" i="25"/>
  <c r="J121" i="35" s="1"/>
  <c r="H121" i="35"/>
  <c r="N18" i="25"/>
  <c r="I121" i="35" s="1"/>
  <c r="N67" i="33"/>
  <c r="M32" i="55" s="1"/>
  <c r="N70" i="33"/>
  <c r="W63" i="55"/>
  <c r="L69" i="34"/>
  <c r="M26" i="33"/>
  <c r="K21" i="55"/>
  <c r="N14" i="25"/>
  <c r="I117" i="35" s="1"/>
  <c r="AL56" i="55" s="1"/>
  <c r="O14" i="25"/>
  <c r="J117" i="35" s="1"/>
  <c r="H117" i="35"/>
  <c r="O22" i="31"/>
  <c r="H95" i="34" s="1"/>
  <c r="F95" i="34"/>
  <c r="N22" i="31"/>
  <c r="G95" i="34" s="1"/>
  <c r="AW17" i="55" s="1"/>
  <c r="M71" i="33"/>
  <c r="AJ106" i="55"/>
  <c r="M63" i="33"/>
  <c r="H48" i="55"/>
  <c r="F42" i="34"/>
  <c r="AV48" i="55" s="1"/>
  <c r="O23" i="15"/>
  <c r="H42" i="34" s="1"/>
  <c r="AX48" i="55" s="1"/>
  <c r="N23" i="15"/>
  <c r="G42" i="34" s="1"/>
  <c r="AW48" i="55" s="1"/>
  <c r="AJ97" i="55"/>
  <c r="O7" i="16"/>
  <c r="K73" i="36" s="1"/>
  <c r="N7" i="16"/>
  <c r="J73" i="36" s="1"/>
  <c r="I73" i="36"/>
  <c r="N174" i="35"/>
  <c r="AN28" i="55" s="1"/>
  <c r="O22" i="25"/>
  <c r="H74" i="34" s="1"/>
  <c r="F74" i="34"/>
  <c r="N22" i="25"/>
  <c r="G74" i="34" s="1"/>
  <c r="AM83" i="55"/>
  <c r="L119" i="36"/>
  <c r="X107" i="55"/>
  <c r="X137" i="55"/>
  <c r="X128" i="55"/>
  <c r="X124" i="55"/>
  <c r="X133" i="55"/>
  <c r="X163" i="55"/>
  <c r="X105" i="55"/>
  <c r="X120" i="55"/>
  <c r="X100" i="55"/>
  <c r="X96" i="55"/>
  <c r="X123" i="55"/>
  <c r="X152" i="55"/>
  <c r="X169" i="55"/>
  <c r="X140" i="55"/>
  <c r="X104" i="55"/>
  <c r="X153" i="55"/>
  <c r="X132" i="55"/>
  <c r="X127" i="55"/>
  <c r="X158" i="55"/>
  <c r="X160" i="55"/>
  <c r="X167" i="55"/>
  <c r="X156" i="55"/>
  <c r="X148" i="55"/>
  <c r="X151" i="55"/>
  <c r="X142" i="55"/>
  <c r="X113" i="55"/>
  <c r="X99" i="55"/>
  <c r="X165" i="55"/>
  <c r="X143" i="55"/>
  <c r="X141" i="55"/>
  <c r="X108" i="55"/>
  <c r="X157" i="55"/>
  <c r="X145" i="55"/>
  <c r="X111" i="55"/>
  <c r="X112" i="55"/>
  <c r="X130" i="55"/>
  <c r="X159" i="55"/>
  <c r="X115" i="55"/>
  <c r="X135" i="55"/>
  <c r="X126" i="55"/>
  <c r="X109" i="55"/>
  <c r="X125" i="55"/>
  <c r="X117" i="55"/>
  <c r="X131" i="55"/>
  <c r="X168" i="55"/>
  <c r="X161" i="55"/>
  <c r="X103" i="55"/>
  <c r="X164" i="55"/>
  <c r="X95" i="55"/>
  <c r="X136" i="55"/>
  <c r="X144" i="55"/>
  <c r="X119" i="55"/>
  <c r="X171" i="55"/>
  <c r="X146" i="55"/>
  <c r="X106" i="55"/>
  <c r="X122" i="55"/>
  <c r="X147" i="55"/>
  <c r="X118" i="55"/>
  <c r="X154" i="55"/>
  <c r="X121" i="55"/>
  <c r="X129" i="55"/>
  <c r="X149" i="55"/>
  <c r="X114" i="55"/>
  <c r="X138" i="55"/>
  <c r="X170" i="55"/>
  <c r="X116" i="55"/>
  <c r="X110" i="55"/>
  <c r="X166" i="55"/>
  <c r="X150" i="55"/>
  <c r="X162" i="55"/>
  <c r="X98" i="55"/>
  <c r="X155" i="55"/>
  <c r="X102" i="55"/>
  <c r="X139" i="55"/>
  <c r="X134" i="55"/>
  <c r="X97" i="55"/>
  <c r="X94" i="55"/>
  <c r="X101" i="55"/>
  <c r="O5" i="36"/>
  <c r="O8" i="24"/>
  <c r="K124" i="36" s="1"/>
  <c r="Z84" i="55" s="1"/>
  <c r="I124" i="36"/>
  <c r="X84" i="55" s="1"/>
  <c r="N8" i="24"/>
  <c r="J124" i="36" s="1"/>
  <c r="N50" i="33"/>
  <c r="M51" i="55" s="1"/>
  <c r="AU16" i="55"/>
  <c r="H181" i="35"/>
  <c r="J181" i="35"/>
  <c r="I181" i="35"/>
  <c r="H38" i="31"/>
  <c r="H39" i="31" s="1"/>
  <c r="F43" i="34"/>
  <c r="O24" i="15"/>
  <c r="H43" i="34" s="1"/>
  <c r="N24" i="15"/>
  <c r="G43" i="34" s="1"/>
  <c r="J40" i="36"/>
  <c r="O24" i="30"/>
  <c r="H94" i="34" s="1"/>
  <c r="F94" i="34"/>
  <c r="N24" i="30"/>
  <c r="G94" i="34" s="1"/>
  <c r="I155" i="36"/>
  <c r="O9" i="30"/>
  <c r="K155" i="36" s="1"/>
  <c r="N9" i="30"/>
  <c r="J155" i="36" s="1"/>
  <c r="Y48" i="55"/>
  <c r="AJ66" i="55"/>
  <c r="O6" i="24"/>
  <c r="N6" i="24"/>
  <c r="I122" i="36"/>
  <c r="X26" i="55" s="1"/>
  <c r="H38" i="24"/>
  <c r="H39" i="24" s="1"/>
  <c r="AU44" i="55"/>
  <c r="O23" i="31"/>
  <c r="H96" i="34" s="1"/>
  <c r="N23" i="31"/>
  <c r="G96" i="34" s="1"/>
  <c r="F96" i="34"/>
  <c r="N13" i="15"/>
  <c r="I84" i="35" s="1"/>
  <c r="AL44" i="55" s="1"/>
  <c r="O13" i="15"/>
  <c r="J84" i="35" s="1"/>
  <c r="AM25" i="55" s="1"/>
  <c r="H84" i="35"/>
  <c r="AK25" i="55" s="1"/>
  <c r="G32" i="14"/>
  <c r="H29" i="33"/>
  <c r="H27" i="55" s="1"/>
  <c r="W9" i="55"/>
  <c r="N42" i="33"/>
  <c r="I23" i="34"/>
  <c r="M50" i="33"/>
  <c r="L51" i="55"/>
  <c r="W14" i="55"/>
  <c r="X57" i="55"/>
  <c r="X48" i="55"/>
  <c r="O8" i="22"/>
  <c r="K114" i="36" s="1"/>
  <c r="Z76" i="55" s="1"/>
  <c r="N8" i="22"/>
  <c r="J114" i="36" s="1"/>
  <c r="I114" i="36"/>
  <c r="X76" i="55" s="1"/>
  <c r="AL53" i="55"/>
  <c r="K177" i="35"/>
  <c r="L52" i="36"/>
  <c r="J38" i="8"/>
  <c r="J39" i="8" s="1"/>
  <c r="G65" i="33"/>
  <c r="F32" i="2"/>
  <c r="G32" i="30"/>
  <c r="H69" i="33"/>
  <c r="H28" i="55" s="1"/>
  <c r="AU25" i="55"/>
  <c r="O14" i="14"/>
  <c r="J78" i="35" s="1"/>
  <c r="AM48" i="55" s="1"/>
  <c r="N14" i="14"/>
  <c r="I78" i="35" s="1"/>
  <c r="H78" i="35"/>
  <c r="AK48" i="55" s="1"/>
  <c r="J92" i="35"/>
  <c r="I92" i="35"/>
  <c r="H92" i="35"/>
  <c r="AJ78" i="55"/>
  <c r="AU8" i="55"/>
  <c r="N24" i="22"/>
  <c r="G67" i="34" s="1"/>
  <c r="O24" i="22"/>
  <c r="H67" i="34" s="1"/>
  <c r="F67" i="34"/>
  <c r="I98" i="36"/>
  <c r="N7" i="19"/>
  <c r="J98" i="36" s="1"/>
  <c r="O7" i="19"/>
  <c r="K98" i="36" s="1"/>
  <c r="AJ76" i="55"/>
  <c r="AU6" i="55"/>
  <c r="H158" i="35"/>
  <c r="AK106" i="55" s="1"/>
  <c r="O17" i="24"/>
  <c r="J158" i="35" s="1"/>
  <c r="AM106" i="55" s="1"/>
  <c r="N17" i="24"/>
  <c r="I158" i="35" s="1"/>
  <c r="AL130" i="55" s="1"/>
  <c r="AJ128" i="55"/>
  <c r="AK76" i="55"/>
  <c r="AK73" i="55"/>
  <c r="N97" i="35"/>
  <c r="O15" i="14"/>
  <c r="J79" i="35" s="1"/>
  <c r="AM41" i="55" s="1"/>
  <c r="N15" i="14"/>
  <c r="I79" i="35" s="1"/>
  <c r="AL41" i="55" s="1"/>
  <c r="H79" i="35"/>
  <c r="AK41" i="55" s="1"/>
  <c r="I32" i="34"/>
  <c r="AW23" i="55"/>
  <c r="K174" i="35"/>
  <c r="W64" i="55"/>
  <c r="AK83" i="55"/>
  <c r="N85" i="35"/>
  <c r="O18" i="26"/>
  <c r="J166" i="35" s="1"/>
  <c r="N18" i="26"/>
  <c r="I166" i="35" s="1"/>
  <c r="H166" i="35"/>
  <c r="F26" i="55"/>
  <c r="N9" i="22"/>
  <c r="J115" i="36" s="1"/>
  <c r="O9" i="22"/>
  <c r="K115" i="36" s="1"/>
  <c r="I115" i="36"/>
  <c r="J86" i="35"/>
  <c r="H86" i="35"/>
  <c r="I86" i="35"/>
  <c r="AL71" i="55" s="1"/>
  <c r="O22" i="14"/>
  <c r="H38" i="34" s="1"/>
  <c r="AX16" i="55" s="1"/>
  <c r="N22" i="14"/>
  <c r="G38" i="34" s="1"/>
  <c r="F38" i="34"/>
  <c r="AV16" i="55" s="1"/>
  <c r="W17" i="55"/>
  <c r="K40" i="36"/>
  <c r="N8" i="14"/>
  <c r="J64" i="36" s="1"/>
  <c r="Y75" i="55" s="1"/>
  <c r="O8" i="14"/>
  <c r="K64" i="36" s="1"/>
  <c r="I64" i="36"/>
  <c r="X75" i="55" s="1"/>
  <c r="AU9" i="55"/>
  <c r="F87" i="34"/>
  <c r="O23" i="2"/>
  <c r="H87" i="34" s="1"/>
  <c r="N23" i="2"/>
  <c r="G87" i="34" s="1"/>
  <c r="AN93" i="55"/>
  <c r="D80" i="55"/>
  <c r="C23" i="55"/>
  <c r="C3" i="55"/>
  <c r="C5" i="55"/>
  <c r="D10" i="55"/>
  <c r="D45" i="55"/>
  <c r="D56" i="55"/>
  <c r="C42" i="55"/>
  <c r="D44" i="55"/>
  <c r="D5" i="55"/>
  <c r="D18" i="55"/>
  <c r="C18" i="55"/>
  <c r="C59" i="55"/>
  <c r="C4" i="55"/>
  <c r="C43" i="55"/>
  <c r="D21" i="55"/>
  <c r="C63" i="55"/>
  <c r="D3" i="55"/>
  <c r="C78" i="55"/>
  <c r="C66" i="55"/>
  <c r="D2" i="55"/>
  <c r="C45" i="55"/>
  <c r="D6" i="55"/>
  <c r="C7" i="55"/>
  <c r="C36" i="55"/>
  <c r="D36" i="55"/>
  <c r="D25" i="55"/>
  <c r="D9" i="55"/>
  <c r="C11" i="55"/>
  <c r="D37" i="55"/>
  <c r="C67" i="55"/>
  <c r="C15" i="55"/>
  <c r="D31" i="55"/>
  <c r="C9" i="55"/>
  <c r="D12" i="55"/>
  <c r="C19" i="55"/>
  <c r="D74" i="55"/>
  <c r="C35" i="55"/>
  <c r="D43" i="55"/>
  <c r="C74" i="55"/>
  <c r="D41" i="55"/>
  <c r="C61" i="55"/>
  <c r="D59" i="55"/>
  <c r="C77" i="55"/>
  <c r="D63" i="55"/>
  <c r="D26" i="55"/>
  <c r="D58" i="55"/>
  <c r="C72" i="55"/>
  <c r="L23" i="55"/>
  <c r="L22" i="55"/>
  <c r="C25" i="55"/>
  <c r="D13" i="55"/>
  <c r="C12" i="55"/>
  <c r="D47" i="55"/>
  <c r="C37" i="55"/>
  <c r="D8" i="55"/>
  <c r="D42" i="55"/>
  <c r="C6" i="55"/>
  <c r="D54" i="55"/>
  <c r="C14" i="55"/>
  <c r="D35" i="55"/>
  <c r="D22" i="55"/>
  <c r="C41" i="55"/>
  <c r="C46" i="55"/>
  <c r="D71" i="55"/>
  <c r="C65" i="55"/>
  <c r="C57" i="55"/>
  <c r="C56" i="55"/>
  <c r="D78" i="55"/>
  <c r="D62" i="55"/>
  <c r="C62" i="55"/>
  <c r="D52" i="55"/>
  <c r="D65" i="55"/>
  <c r="D16" i="55"/>
  <c r="C49" i="55"/>
  <c r="D20" i="55"/>
  <c r="C51" i="55"/>
  <c r="C20" i="55"/>
  <c r="C10" i="55"/>
  <c r="C76" i="55"/>
  <c r="D28" i="55"/>
  <c r="D76" i="55"/>
  <c r="D55" i="55"/>
  <c r="D77" i="55"/>
  <c r="C73" i="55"/>
  <c r="D57" i="55"/>
  <c r="C50" i="55"/>
  <c r="C69" i="55"/>
  <c r="D23" i="55"/>
  <c r="C38" i="55"/>
  <c r="D29" i="55"/>
  <c r="D15" i="55"/>
  <c r="C13" i="55"/>
  <c r="H16" i="55"/>
  <c r="C21" i="55"/>
  <c r="C47" i="55"/>
  <c r="D7" i="55"/>
  <c r="C48" i="55"/>
  <c r="C16" i="55"/>
  <c r="C70" i="55"/>
  <c r="C60" i="55"/>
  <c r="D24" i="55"/>
  <c r="C58" i="55"/>
  <c r="C55" i="55"/>
  <c r="D66" i="55"/>
  <c r="D50" i="55"/>
  <c r="D48" i="55"/>
  <c r="D75" i="55"/>
  <c r="D49" i="55"/>
  <c r="C29" i="55"/>
  <c r="C75" i="55"/>
  <c r="C22" i="55"/>
  <c r="C27" i="55"/>
  <c r="D17" i="55"/>
  <c r="D14" i="55"/>
  <c r="D60" i="55"/>
  <c r="D69" i="55"/>
  <c r="D38" i="55"/>
  <c r="D68" i="55"/>
  <c r="C53" i="55"/>
  <c r="C32" i="55"/>
  <c r="C68" i="55"/>
  <c r="D53" i="55"/>
  <c r="D40" i="55"/>
  <c r="D11" i="55"/>
  <c r="C8" i="55"/>
  <c r="D4" i="55"/>
  <c r="D51" i="55"/>
  <c r="D27" i="55"/>
  <c r="D61" i="55"/>
  <c r="C79" i="55"/>
  <c r="D67" i="55"/>
  <c r="C17" i="55"/>
  <c r="C71" i="55"/>
  <c r="C44" i="55"/>
  <c r="D73" i="55"/>
  <c r="C52" i="55"/>
  <c r="C26" i="55"/>
  <c r="C54" i="55"/>
  <c r="C24" i="55"/>
  <c r="C64" i="55"/>
  <c r="D46" i="55"/>
  <c r="C28" i="55"/>
  <c r="D70" i="55"/>
  <c r="D32" i="55"/>
  <c r="D64" i="55"/>
  <c r="D72" i="55"/>
  <c r="C80" i="55"/>
  <c r="C39" i="55"/>
  <c r="D79" i="55"/>
  <c r="C31" i="55"/>
  <c r="C40" i="55"/>
  <c r="D39" i="55"/>
  <c r="C2" i="55"/>
  <c r="D19" i="55"/>
  <c r="X42" i="55"/>
  <c r="X40" i="55"/>
  <c r="J91" i="34"/>
  <c r="K91" i="34"/>
  <c r="K87" i="36"/>
  <c r="Z58" i="55" s="1"/>
  <c r="X20" i="55"/>
  <c r="J87" i="36"/>
  <c r="Y58" i="55" s="1"/>
  <c r="K55" i="34"/>
  <c r="J55" i="34"/>
  <c r="L26" i="34"/>
  <c r="AY19" i="55" s="1"/>
  <c r="N52" i="35"/>
  <c r="N55" i="35"/>
  <c r="AK126" i="55"/>
  <c r="N56" i="35"/>
  <c r="K52" i="35"/>
  <c r="K55" i="35"/>
  <c r="AL126" i="55"/>
  <c r="G17" i="55"/>
  <c r="N20" i="33"/>
  <c r="M16" i="55" s="1"/>
  <c r="M20" i="33"/>
  <c r="O45" i="36"/>
  <c r="J44" i="36"/>
  <c r="I26" i="34"/>
  <c r="I31" i="36"/>
  <c r="N10" i="7"/>
  <c r="J31" i="36" s="1"/>
  <c r="O10" i="7"/>
  <c r="K31" i="36" s="1"/>
  <c r="O9" i="7"/>
  <c r="K30" i="36" s="1"/>
  <c r="Z93" i="55" s="1"/>
  <c r="I30" i="36"/>
  <c r="N9" i="7"/>
  <c r="J30" i="36" s="1"/>
  <c r="Y93" i="55" s="1"/>
  <c r="N24" i="7"/>
  <c r="G19" i="34" s="1"/>
  <c r="O24" i="7"/>
  <c r="H19" i="34" s="1"/>
  <c r="F19" i="34"/>
  <c r="W22" i="55"/>
  <c r="W23" i="55"/>
  <c r="O22" i="7"/>
  <c r="H17" i="34" s="1"/>
  <c r="AX14" i="55" s="1"/>
  <c r="F17" i="34"/>
  <c r="AV14" i="55" s="1"/>
  <c r="N22" i="7"/>
  <c r="G17" i="34" s="1"/>
  <c r="AU14" i="55"/>
  <c r="O6" i="7"/>
  <c r="I27" i="36"/>
  <c r="X24" i="55" s="1"/>
  <c r="N6" i="7"/>
  <c r="H38" i="7"/>
  <c r="H39" i="7" s="1"/>
  <c r="J38" i="35"/>
  <c r="AM124" i="55" s="1"/>
  <c r="I38" i="35"/>
  <c r="H38" i="35"/>
  <c r="AK124" i="55" s="1"/>
  <c r="N23" i="7"/>
  <c r="G18" i="34" s="1"/>
  <c r="F18" i="34"/>
  <c r="O23" i="7"/>
  <c r="H18" i="34" s="1"/>
  <c r="J37" i="35"/>
  <c r="H37" i="35"/>
  <c r="I37" i="35"/>
  <c r="AJ22" i="55"/>
  <c r="H15" i="33"/>
  <c r="G32" i="7"/>
  <c r="W47" i="55"/>
  <c r="H34" i="35"/>
  <c r="O13" i="7"/>
  <c r="J34" i="35" s="1"/>
  <c r="N13" i="7"/>
  <c r="I34" i="35" s="1"/>
  <c r="AJ81" i="55"/>
  <c r="G15" i="33"/>
  <c r="F32" i="7"/>
  <c r="I29" i="36"/>
  <c r="O8" i="7"/>
  <c r="K29" i="36" s="1"/>
  <c r="N8" i="7"/>
  <c r="J29" i="36" s="1"/>
  <c r="H40" i="35"/>
  <c r="N19" i="7"/>
  <c r="I40" i="35" s="1"/>
  <c r="O19" i="7"/>
  <c r="J40" i="35" s="1"/>
  <c r="O14" i="7"/>
  <c r="J35" i="35" s="1"/>
  <c r="N14" i="7"/>
  <c r="I35" i="35" s="1"/>
  <c r="H35" i="35"/>
  <c r="AJ94" i="55"/>
  <c r="O15" i="7"/>
  <c r="J36" i="35" s="1"/>
  <c r="H36" i="35"/>
  <c r="N15" i="7"/>
  <c r="I36" i="35" s="1"/>
  <c r="O18" i="7"/>
  <c r="J39" i="35" s="1"/>
  <c r="H39" i="35"/>
  <c r="N18" i="7"/>
  <c r="I39" i="35" s="1"/>
  <c r="I6" i="35"/>
  <c r="AL129" i="55" s="1"/>
  <c r="J3" i="34"/>
  <c r="K3" i="34"/>
  <c r="J6" i="35"/>
  <c r="AM129" i="55" s="1"/>
  <c r="N3" i="36"/>
  <c r="M3" i="36"/>
  <c r="O142" i="36"/>
  <c r="AA2" i="55" s="1"/>
  <c r="L142" i="36"/>
  <c r="Y2" i="55"/>
  <c r="K28" i="55"/>
  <c r="M23" i="55"/>
  <c r="AP94" i="47"/>
  <c r="J137" i="36"/>
  <c r="M139" i="36"/>
  <c r="N139" i="36"/>
  <c r="K137" i="36"/>
  <c r="J118" i="36"/>
  <c r="Y72" i="55" s="1"/>
  <c r="I38" i="23"/>
  <c r="K118" i="36"/>
  <c r="Z72" i="55" s="1"/>
  <c r="J38" i="23"/>
  <c r="X85" i="55"/>
  <c r="M46" i="33"/>
  <c r="N46" i="33"/>
  <c r="M42" i="55" s="1"/>
  <c r="F30" i="47"/>
  <c r="A43" i="36"/>
  <c r="L29" i="47" s="1"/>
  <c r="M21" i="55" l="1"/>
  <c r="AN40" i="55"/>
  <c r="AN58" i="55"/>
  <c r="M15" i="55"/>
  <c r="M11" i="55"/>
  <c r="M7" i="55"/>
  <c r="AN103" i="55"/>
  <c r="AN59" i="55"/>
  <c r="M50" i="55"/>
  <c r="AN3" i="55"/>
  <c r="AN2" i="55"/>
  <c r="AN82" i="55"/>
  <c r="M12" i="55"/>
  <c r="M46" i="55"/>
  <c r="O83" i="36"/>
  <c r="L85" i="36"/>
  <c r="N85" i="36" s="1"/>
  <c r="M109" i="35"/>
  <c r="AA74" i="55"/>
  <c r="Y28" i="55"/>
  <c r="AP3" i="47"/>
  <c r="AY5" i="55"/>
  <c r="K167" i="35"/>
  <c r="AL49" i="55"/>
  <c r="O135" i="36"/>
  <c r="N169" i="35"/>
  <c r="AN87" i="55" s="1"/>
  <c r="N167" i="35"/>
  <c r="AV15" i="55"/>
  <c r="K169" i="35"/>
  <c r="M169" i="35" s="1"/>
  <c r="AK114" i="55"/>
  <c r="AV8" i="55"/>
  <c r="X19" i="55"/>
  <c r="AX8" i="55"/>
  <c r="AV33" i="55"/>
  <c r="Y31" i="55"/>
  <c r="I199" i="35"/>
  <c r="AL88" i="55" s="1"/>
  <c r="AK88" i="55"/>
  <c r="AL23" i="55"/>
  <c r="AL57" i="55"/>
  <c r="H22" i="55"/>
  <c r="H13" i="55"/>
  <c r="AM30" i="55"/>
  <c r="AK30" i="55"/>
  <c r="AW34" i="55"/>
  <c r="O157" i="36"/>
  <c r="AA31" i="55" s="1"/>
  <c r="AX33" i="55"/>
  <c r="X5" i="55"/>
  <c r="AM65" i="55"/>
  <c r="AM122" i="55"/>
  <c r="AK122" i="55"/>
  <c r="AL65" i="55"/>
  <c r="AW49" i="55"/>
  <c r="AL25" i="55"/>
  <c r="AL17" i="55"/>
  <c r="AW20" i="55"/>
  <c r="AX20" i="55"/>
  <c r="Z75" i="55"/>
  <c r="AL21" i="55"/>
  <c r="AV20" i="55"/>
  <c r="AX21" i="55"/>
  <c r="AV21" i="55"/>
  <c r="AW21" i="55"/>
  <c r="AL90" i="55"/>
  <c r="X37" i="55"/>
  <c r="AM90" i="55"/>
  <c r="AL36" i="55"/>
  <c r="X30" i="55"/>
  <c r="AK79" i="55"/>
  <c r="J124" i="35"/>
  <c r="I126" i="35"/>
  <c r="I125" i="35"/>
  <c r="O23" i="36"/>
  <c r="L110" i="36"/>
  <c r="M110" i="36" s="1"/>
  <c r="AL68" i="55"/>
  <c r="K99" i="35"/>
  <c r="L99" i="35" s="1"/>
  <c r="N79" i="36"/>
  <c r="N100" i="35"/>
  <c r="K100" i="35"/>
  <c r="M100" i="35" s="1"/>
  <c r="N98" i="35"/>
  <c r="N99" i="35"/>
  <c r="I202" i="35"/>
  <c r="N202" i="35" s="1"/>
  <c r="J199" i="35"/>
  <c r="AM88" i="55" s="1"/>
  <c r="I200" i="35"/>
  <c r="J200" i="35"/>
  <c r="J202" i="35"/>
  <c r="I38" i="32"/>
  <c r="I34" i="34"/>
  <c r="K34" i="34" s="1"/>
  <c r="L16" i="35"/>
  <c r="I156" i="35"/>
  <c r="J156" i="35"/>
  <c r="AW11" i="55"/>
  <c r="L80" i="34"/>
  <c r="AY11" i="55" s="1"/>
  <c r="AK112" i="55"/>
  <c r="AL112" i="55"/>
  <c r="I171" i="35"/>
  <c r="AL114" i="55" s="1"/>
  <c r="J171" i="35"/>
  <c r="AM80" i="55" s="1"/>
  <c r="J168" i="35"/>
  <c r="AM49" i="55" s="1"/>
  <c r="J145" i="35"/>
  <c r="I145" i="35"/>
  <c r="I146" i="35"/>
  <c r="J146" i="35"/>
  <c r="I124" i="35"/>
  <c r="AL51" i="55" s="1"/>
  <c r="J126" i="35"/>
  <c r="J125" i="35"/>
  <c r="AM128" i="55" s="1"/>
  <c r="I120" i="35"/>
  <c r="N120" i="35" s="1"/>
  <c r="I119" i="35"/>
  <c r="AL79" i="55" s="1"/>
  <c r="J119" i="35"/>
  <c r="AM79" i="55" s="1"/>
  <c r="K100" i="36"/>
  <c r="Z63" i="55" s="1"/>
  <c r="J100" i="36"/>
  <c r="Y63" i="55" s="1"/>
  <c r="K99" i="36"/>
  <c r="J99" i="36"/>
  <c r="L83" i="36"/>
  <c r="N83" i="36" s="1"/>
  <c r="Z80" i="55"/>
  <c r="N86" i="36"/>
  <c r="N56" i="36"/>
  <c r="K69" i="35"/>
  <c r="L69" i="35" s="1"/>
  <c r="O53" i="36"/>
  <c r="L53" i="36"/>
  <c r="N53" i="36" s="1"/>
  <c r="L61" i="35"/>
  <c r="M61" i="35"/>
  <c r="J60" i="35"/>
  <c r="AM54" i="55" s="1"/>
  <c r="AM100" i="55"/>
  <c r="I59" i="35"/>
  <c r="AL54" i="55" s="1"/>
  <c r="K48" i="36"/>
  <c r="L48" i="36" s="1"/>
  <c r="J48" i="36"/>
  <c r="K50" i="36"/>
  <c r="L50" i="36" s="1"/>
  <c r="M50" i="36" s="1"/>
  <c r="J50" i="36"/>
  <c r="J49" i="36"/>
  <c r="Y91" i="55" s="1"/>
  <c r="K49" i="36"/>
  <c r="X91" i="55"/>
  <c r="K30" i="34"/>
  <c r="O44" i="36"/>
  <c r="Y66" i="55"/>
  <c r="K43" i="36"/>
  <c r="Z51" i="55" s="1"/>
  <c r="J43" i="36"/>
  <c r="X66" i="55"/>
  <c r="J38" i="9"/>
  <c r="J39" i="9" s="1"/>
  <c r="N49" i="35"/>
  <c r="L47" i="35"/>
  <c r="AW12" i="55"/>
  <c r="K49" i="35"/>
  <c r="L49" i="35" s="1"/>
  <c r="L28" i="36"/>
  <c r="M28" i="36" s="1"/>
  <c r="N18" i="35"/>
  <c r="O9" i="36"/>
  <c r="L5" i="34"/>
  <c r="AA6" i="47" s="1"/>
  <c r="L33" i="34"/>
  <c r="J38" i="5"/>
  <c r="J39" i="5" s="1"/>
  <c r="O37" i="36"/>
  <c r="M16" i="35"/>
  <c r="N13" i="35"/>
  <c r="O140" i="36"/>
  <c r="L36" i="36"/>
  <c r="N36" i="36" s="1"/>
  <c r="M13" i="35"/>
  <c r="N28" i="35"/>
  <c r="L37" i="36"/>
  <c r="M37" i="36" s="1"/>
  <c r="L34" i="34"/>
  <c r="L63" i="34"/>
  <c r="K140" i="35"/>
  <c r="L140" i="35" s="1"/>
  <c r="I38" i="12"/>
  <c r="I39" i="12" s="1"/>
  <c r="O86" i="36"/>
  <c r="O13" i="36"/>
  <c r="AA71" i="55" s="1"/>
  <c r="L13" i="36"/>
  <c r="M13" i="36" s="1"/>
  <c r="L60" i="34"/>
  <c r="AP55" i="47" s="1"/>
  <c r="J38" i="12"/>
  <c r="J39" i="12" s="1"/>
  <c r="I12" i="34"/>
  <c r="J12" i="34" s="1"/>
  <c r="I5" i="34"/>
  <c r="K5" i="34" s="1"/>
  <c r="AP13" i="47"/>
  <c r="L12" i="34"/>
  <c r="AY27" i="55" s="1"/>
  <c r="AA14" i="47"/>
  <c r="N140" i="35"/>
  <c r="K108" i="35"/>
  <c r="L108" i="35" s="1"/>
  <c r="I38" i="28"/>
  <c r="I39" i="28" s="1"/>
  <c r="N175" i="35"/>
  <c r="M178" i="35"/>
  <c r="J38" i="18"/>
  <c r="J39" i="18" s="1"/>
  <c r="O150" i="36"/>
  <c r="L103" i="36"/>
  <c r="N103" i="36" s="1"/>
  <c r="Z3" i="55"/>
  <c r="L157" i="36"/>
  <c r="M157" i="36" s="1"/>
  <c r="J38" i="3"/>
  <c r="J39" i="3" s="1"/>
  <c r="O134" i="36"/>
  <c r="N39" i="36"/>
  <c r="O103" i="36"/>
  <c r="M144" i="36"/>
  <c r="O110" i="36"/>
  <c r="L134" i="36"/>
  <c r="N134" i="36" s="1"/>
  <c r="L150" i="36"/>
  <c r="M150" i="36" s="1"/>
  <c r="N38" i="36"/>
  <c r="M89" i="36"/>
  <c r="M56" i="36"/>
  <c r="H17" i="55"/>
  <c r="F35" i="47"/>
  <c r="M5" i="33"/>
  <c r="N5" i="33"/>
  <c r="F5" i="47" s="1"/>
  <c r="N19" i="35"/>
  <c r="L19" i="35"/>
  <c r="L18" i="35"/>
  <c r="N16" i="35"/>
  <c r="AN101" i="55" s="1"/>
  <c r="K10" i="34"/>
  <c r="I38" i="4"/>
  <c r="I39" i="4" s="1"/>
  <c r="O10" i="36"/>
  <c r="J38" i="4"/>
  <c r="J39" i="4" s="1"/>
  <c r="AY94" i="55"/>
  <c r="N11" i="35"/>
  <c r="AY55" i="55"/>
  <c r="K11" i="35"/>
  <c r="L11" i="35" s="1"/>
  <c r="AP7" i="47"/>
  <c r="AY95" i="55"/>
  <c r="AY73" i="55"/>
  <c r="AY87" i="55"/>
  <c r="AY99" i="55"/>
  <c r="AY65" i="55"/>
  <c r="AY60" i="55"/>
  <c r="AY52" i="55"/>
  <c r="AY70" i="55"/>
  <c r="AY84" i="55"/>
  <c r="AY78" i="55"/>
  <c r="AY86" i="55"/>
  <c r="AY96" i="55"/>
  <c r="AY69" i="55"/>
  <c r="AY68" i="55"/>
  <c r="AY74" i="55"/>
  <c r="AY66" i="55"/>
  <c r="AW39" i="55"/>
  <c r="M149" i="36"/>
  <c r="N189" i="35"/>
  <c r="K189" i="35"/>
  <c r="L189" i="35" s="1"/>
  <c r="I38" i="29"/>
  <c r="I39" i="29" s="1"/>
  <c r="J38" i="29"/>
  <c r="J39" i="29" s="1"/>
  <c r="K175" i="35"/>
  <c r="M175" i="35" s="1"/>
  <c r="K83" i="34"/>
  <c r="J83" i="34"/>
  <c r="AK113" i="55"/>
  <c r="I38" i="27"/>
  <c r="I39" i="27" s="1"/>
  <c r="AK10" i="55"/>
  <c r="M151" i="35"/>
  <c r="M150" i="35"/>
  <c r="L152" i="35"/>
  <c r="J39" i="23"/>
  <c r="AS33" i="55"/>
  <c r="O109" i="36"/>
  <c r="N109" i="36"/>
  <c r="I38" i="21"/>
  <c r="I39" i="21" s="1"/>
  <c r="O111" i="36"/>
  <c r="L62" i="34"/>
  <c r="I62" i="34"/>
  <c r="AW18" i="55"/>
  <c r="L111" i="36"/>
  <c r="M111" i="36" s="1"/>
  <c r="J38" i="21"/>
  <c r="J39" i="21" s="1"/>
  <c r="AN52" i="55"/>
  <c r="K61" i="34"/>
  <c r="N133" i="35"/>
  <c r="AP56" i="47"/>
  <c r="O89" i="36"/>
  <c r="I38" i="18"/>
  <c r="I39" i="18" s="1"/>
  <c r="L112" i="35"/>
  <c r="N108" i="35"/>
  <c r="M84" i="36"/>
  <c r="L51" i="34"/>
  <c r="AY32" i="55" s="1"/>
  <c r="I38" i="3"/>
  <c r="I39" i="3" s="1"/>
  <c r="AW32" i="55"/>
  <c r="L105" i="35"/>
  <c r="M104" i="35"/>
  <c r="AV29" i="55"/>
  <c r="M98" i="35"/>
  <c r="M78" i="36"/>
  <c r="AN91" i="55"/>
  <c r="N80" i="36"/>
  <c r="L102" i="35"/>
  <c r="AL50" i="55"/>
  <c r="AL33" i="55"/>
  <c r="AK71" i="55"/>
  <c r="AT20" i="55"/>
  <c r="AS19" i="55"/>
  <c r="AS20" i="55"/>
  <c r="AT51" i="55"/>
  <c r="N69" i="35"/>
  <c r="AN121" i="55" s="1"/>
  <c r="N60" i="35"/>
  <c r="K60" i="35"/>
  <c r="L60" i="35" s="1"/>
  <c r="L31" i="34"/>
  <c r="M58" i="35"/>
  <c r="O47" i="36"/>
  <c r="AA26" i="47"/>
  <c r="N50" i="35"/>
  <c r="M38" i="36"/>
  <c r="N51" i="35"/>
  <c r="O38" i="36"/>
  <c r="M29" i="47" s="1"/>
  <c r="L51" i="35"/>
  <c r="I38" i="9"/>
  <c r="I39" i="9" s="1"/>
  <c r="AP23" i="47"/>
  <c r="AT14" i="55"/>
  <c r="AT4" i="55"/>
  <c r="AS18" i="55"/>
  <c r="AS23" i="55"/>
  <c r="AT97" i="55"/>
  <c r="AS42" i="55"/>
  <c r="AT96" i="55"/>
  <c r="AT37" i="55"/>
  <c r="AT98" i="55"/>
  <c r="AT68" i="55"/>
  <c r="AS67" i="55"/>
  <c r="AS82" i="55"/>
  <c r="AT92" i="55"/>
  <c r="AT13" i="55"/>
  <c r="AT41" i="55"/>
  <c r="AS65" i="55"/>
  <c r="AT70" i="55"/>
  <c r="AT71" i="55"/>
  <c r="AS77" i="55"/>
  <c r="AS26" i="55"/>
  <c r="AT73" i="55"/>
  <c r="AT93" i="55"/>
  <c r="AT50" i="55"/>
  <c r="AT95" i="55"/>
  <c r="AS10" i="55"/>
  <c r="AT43" i="55"/>
  <c r="AS52" i="55"/>
  <c r="AS87" i="55"/>
  <c r="AT80" i="55"/>
  <c r="AS69" i="55"/>
  <c r="AT49" i="55"/>
  <c r="AS56" i="55"/>
  <c r="AS59" i="55"/>
  <c r="AT86" i="55"/>
  <c r="AT26" i="55"/>
  <c r="AS35" i="55"/>
  <c r="AT21" i="55"/>
  <c r="AT33" i="55"/>
  <c r="AT36" i="55"/>
  <c r="AS2" i="55"/>
  <c r="AT24" i="55"/>
  <c r="AT58" i="55"/>
  <c r="AS100" i="55"/>
  <c r="AS45" i="55"/>
  <c r="AT8" i="55"/>
  <c r="AS34" i="55"/>
  <c r="AS95" i="55"/>
  <c r="AS50" i="55"/>
  <c r="AT88" i="55"/>
  <c r="AT83" i="55"/>
  <c r="AS97" i="55"/>
  <c r="AS98" i="55"/>
  <c r="AS84" i="55"/>
  <c r="AT30" i="55"/>
  <c r="AT25" i="55"/>
  <c r="AS60" i="55"/>
  <c r="AS49" i="55"/>
  <c r="AT34" i="55"/>
  <c r="AT55" i="55"/>
  <c r="AS21" i="55"/>
  <c r="AS41" i="55"/>
  <c r="AS73" i="55"/>
  <c r="AS16" i="55"/>
  <c r="AT6" i="55"/>
  <c r="AS68" i="55"/>
  <c r="AT35" i="55"/>
  <c r="AS63" i="55"/>
  <c r="AS13" i="55"/>
  <c r="AT2" i="55"/>
  <c r="AT100" i="55"/>
  <c r="AT59" i="55"/>
  <c r="AT66" i="55"/>
  <c r="AT62" i="55"/>
  <c r="AS9" i="55"/>
  <c r="AT32" i="55"/>
  <c r="AS54" i="55"/>
  <c r="AT84" i="55"/>
  <c r="AT16" i="55"/>
  <c r="AT94" i="55"/>
  <c r="AT81" i="55"/>
  <c r="AT44" i="55"/>
  <c r="AS90" i="55"/>
  <c r="AS32" i="55"/>
  <c r="AT87" i="55"/>
  <c r="AS62" i="55"/>
  <c r="AT69" i="55"/>
  <c r="AT61" i="55"/>
  <c r="AS86" i="55"/>
  <c r="AT63" i="55"/>
  <c r="AS89" i="55"/>
  <c r="AS99" i="55"/>
  <c r="AT101" i="55"/>
  <c r="AS51" i="55"/>
  <c r="AS78" i="55"/>
  <c r="AS4" i="55"/>
  <c r="AS29" i="55"/>
  <c r="AS94" i="55"/>
  <c r="AS93" i="55"/>
  <c r="AS81" i="55"/>
  <c r="AT29" i="55"/>
  <c r="AS25" i="55"/>
  <c r="AS92" i="55"/>
  <c r="AT11" i="55"/>
  <c r="AT90" i="55"/>
  <c r="AT78" i="55"/>
  <c r="AS8" i="55"/>
  <c r="AT99" i="55"/>
  <c r="AT19" i="55"/>
  <c r="AS39" i="55"/>
  <c r="AT18" i="55"/>
  <c r="AT67" i="55"/>
  <c r="AS74" i="55"/>
  <c r="AS75" i="55"/>
  <c r="AS57" i="55"/>
  <c r="AT75" i="55"/>
  <c r="AS76" i="55"/>
  <c r="AT77" i="55"/>
  <c r="AT79" i="55"/>
  <c r="AS36" i="55"/>
  <c r="AS70" i="55"/>
  <c r="AS43" i="55"/>
  <c r="AS72" i="55"/>
  <c r="AT57" i="55"/>
  <c r="AT64" i="55"/>
  <c r="AS11" i="55"/>
  <c r="AS37" i="55"/>
  <c r="AT22" i="55"/>
  <c r="AS28" i="55"/>
  <c r="AS101" i="55"/>
  <c r="AT85" i="55"/>
  <c r="AS58" i="55"/>
  <c r="AS47" i="55"/>
  <c r="AT40" i="55"/>
  <c r="AS40" i="55"/>
  <c r="AS30" i="55"/>
  <c r="AS22" i="55"/>
  <c r="AS14" i="55"/>
  <c r="AT39" i="55"/>
  <c r="AS88" i="55"/>
  <c r="AT52" i="55"/>
  <c r="AT60" i="55"/>
  <c r="AS71" i="55"/>
  <c r="AT91" i="55"/>
  <c r="AS83" i="55"/>
  <c r="AT45" i="55"/>
  <c r="AT12" i="55"/>
  <c r="AT53" i="55"/>
  <c r="AT28" i="55"/>
  <c r="AS96" i="55"/>
  <c r="AT76" i="55"/>
  <c r="AS5" i="55"/>
  <c r="AT9" i="55"/>
  <c r="AT74" i="55"/>
  <c r="AS46" i="55"/>
  <c r="AT72" i="55"/>
  <c r="AS24" i="55"/>
  <c r="AS64" i="55"/>
  <c r="AS66" i="55"/>
  <c r="AS85" i="55"/>
  <c r="AS53" i="55"/>
  <c r="AS80" i="55"/>
  <c r="AT56" i="55"/>
  <c r="AS55" i="55"/>
  <c r="AT47" i="55"/>
  <c r="AS17" i="55"/>
  <c r="AT48" i="55"/>
  <c r="AS48" i="55"/>
  <c r="AT54" i="55"/>
  <c r="AT42" i="55"/>
  <c r="AS91" i="55"/>
  <c r="AT17" i="55"/>
  <c r="AT5" i="55"/>
  <c r="AT46" i="55"/>
  <c r="AS44" i="55"/>
  <c r="AT23" i="55"/>
  <c r="AT82" i="55"/>
  <c r="AS79" i="55"/>
  <c r="AT65" i="55"/>
  <c r="AT89" i="55"/>
  <c r="AS6" i="55"/>
  <c r="AS61" i="55"/>
  <c r="AT10" i="55"/>
  <c r="O22" i="36"/>
  <c r="M15" i="47" s="1"/>
  <c r="L22" i="36"/>
  <c r="M22" i="36" s="1"/>
  <c r="N25" i="36"/>
  <c r="L30" i="35"/>
  <c r="K28" i="35"/>
  <c r="L28" i="35" s="1"/>
  <c r="M24" i="35"/>
  <c r="M17" i="36"/>
  <c r="L25" i="35"/>
  <c r="J38" i="6"/>
  <c r="J39" i="6" s="1"/>
  <c r="M23" i="35"/>
  <c r="O17" i="36"/>
  <c r="M14" i="47" s="1"/>
  <c r="N17" i="36"/>
  <c r="I38" i="5"/>
  <c r="I39" i="5" s="1"/>
  <c r="L8" i="34"/>
  <c r="AY3" i="55" s="1"/>
  <c r="I8" i="34"/>
  <c r="AW3" i="55"/>
  <c r="M12" i="47"/>
  <c r="M10" i="47"/>
  <c r="AY80" i="55"/>
  <c r="AY57" i="55"/>
  <c r="AY67" i="55"/>
  <c r="AY97" i="55"/>
  <c r="AY77" i="55"/>
  <c r="AY53" i="55"/>
  <c r="AY72" i="55"/>
  <c r="AY51" i="55"/>
  <c r="AY82" i="55"/>
  <c r="AY98" i="55"/>
  <c r="AY76" i="55"/>
  <c r="AY63" i="55"/>
  <c r="AY54" i="55"/>
  <c r="AY83" i="55"/>
  <c r="AY64" i="55"/>
  <c r="AY81" i="55"/>
  <c r="AY101" i="55"/>
  <c r="AY62" i="55"/>
  <c r="AY90" i="55"/>
  <c r="AY56" i="55"/>
  <c r="AY89" i="55"/>
  <c r="AY91" i="55"/>
  <c r="AY92" i="55"/>
  <c r="AY79" i="55"/>
  <c r="AY71" i="55"/>
  <c r="AY85" i="55"/>
  <c r="AY61" i="55"/>
  <c r="AY58" i="55"/>
  <c r="AY93" i="55"/>
  <c r="AY100" i="55"/>
  <c r="AY88" i="55"/>
  <c r="AY59" i="55"/>
  <c r="J38" i="32"/>
  <c r="N6" i="36"/>
  <c r="N2" i="35"/>
  <c r="AP103" i="47" s="1"/>
  <c r="K2" i="35"/>
  <c r="L2" i="35" s="1"/>
  <c r="AA95" i="55"/>
  <c r="J4" i="34"/>
  <c r="M9" i="47"/>
  <c r="M2" i="36"/>
  <c r="AP104" i="47"/>
  <c r="AM71" i="55"/>
  <c r="AA79" i="55"/>
  <c r="L103" i="35"/>
  <c r="L22" i="35"/>
  <c r="AN96" i="55"/>
  <c r="I38" i="6"/>
  <c r="I39" i="6" s="1"/>
  <c r="N19" i="36"/>
  <c r="I38" i="1"/>
  <c r="I39" i="1" s="1"/>
  <c r="J38" i="27"/>
  <c r="J39" i="27" s="1"/>
  <c r="N26" i="36"/>
  <c r="M32" i="35"/>
  <c r="L32" i="35"/>
  <c r="O145" i="36"/>
  <c r="AA68" i="55" s="1"/>
  <c r="L145" i="36"/>
  <c r="M145" i="36" s="1"/>
  <c r="K101" i="35"/>
  <c r="M101" i="35" s="1"/>
  <c r="N101" i="35"/>
  <c r="AL39" i="55"/>
  <c r="L47" i="36"/>
  <c r="F49" i="47"/>
  <c r="I39" i="23"/>
  <c r="AN115" i="55"/>
  <c r="L3" i="35"/>
  <c r="AL123" i="55"/>
  <c r="N187" i="35"/>
  <c r="AN123" i="55" s="1"/>
  <c r="K187" i="35"/>
  <c r="K172" i="35"/>
  <c r="M172" i="35" s="1"/>
  <c r="M117" i="36"/>
  <c r="M110" i="35"/>
  <c r="J38" i="11"/>
  <c r="J39" i="11" s="1"/>
  <c r="M31" i="35"/>
  <c r="N29" i="35"/>
  <c r="AN47" i="55" s="1"/>
  <c r="K29" i="35"/>
  <c r="M12" i="35"/>
  <c r="N172" i="35"/>
  <c r="AP4" i="47"/>
  <c r="I38" i="11"/>
  <c r="I39" i="11" s="1"/>
  <c r="M131" i="35"/>
  <c r="X33" i="55"/>
  <c r="O48" i="36"/>
  <c r="Y33" i="55"/>
  <c r="M130" i="35"/>
  <c r="L130" i="35"/>
  <c r="AA3" i="47"/>
  <c r="M111" i="35"/>
  <c r="M179" i="35"/>
  <c r="L179" i="35"/>
  <c r="L71" i="35"/>
  <c r="M106" i="36"/>
  <c r="K25" i="34"/>
  <c r="J25" i="34"/>
  <c r="L54" i="34"/>
  <c r="AA48" i="47" s="1"/>
  <c r="K2" i="34"/>
  <c r="J2" i="34"/>
  <c r="M133" i="36"/>
  <c r="L105" i="36"/>
  <c r="N105" i="36" s="1"/>
  <c r="L16" i="34"/>
  <c r="AY26" i="55" s="1"/>
  <c r="M5" i="55"/>
  <c r="F7" i="47"/>
  <c r="AV4" i="55"/>
  <c r="L59" i="34"/>
  <c r="K54" i="34"/>
  <c r="I59" i="34"/>
  <c r="AW4" i="55"/>
  <c r="M22" i="33"/>
  <c r="N22" i="33"/>
  <c r="AW15" i="55"/>
  <c r="I11" i="34"/>
  <c r="N121" i="36"/>
  <c r="M121" i="36"/>
  <c r="N134" i="35"/>
  <c r="L11" i="34"/>
  <c r="AP11" i="47" s="1"/>
  <c r="N11" i="36"/>
  <c r="J38" i="20"/>
  <c r="J39" i="20" s="1"/>
  <c r="J54" i="34"/>
  <c r="AM10" i="55"/>
  <c r="L129" i="35"/>
  <c r="M129" i="35"/>
  <c r="F12" i="47"/>
  <c r="J70" i="34"/>
  <c r="K70" i="34"/>
  <c r="M5" i="35"/>
  <c r="L5" i="35"/>
  <c r="K170" i="35"/>
  <c r="N170" i="35"/>
  <c r="I16" i="34"/>
  <c r="M66" i="35"/>
  <c r="L66" i="35"/>
  <c r="K82" i="34"/>
  <c r="J82" i="34"/>
  <c r="T6" i="47"/>
  <c r="AP106" i="47"/>
  <c r="J38" i="1"/>
  <c r="J39" i="1" s="1"/>
  <c r="K59" i="35"/>
  <c r="AL100" i="55"/>
  <c r="L27" i="35"/>
  <c r="N59" i="35"/>
  <c r="K134" i="35"/>
  <c r="L109" i="35"/>
  <c r="K81" i="34"/>
  <c r="M132" i="35"/>
  <c r="L132" i="35"/>
  <c r="M104" i="36"/>
  <c r="N104" i="36"/>
  <c r="N53" i="35"/>
  <c r="AN53" i="55" s="1"/>
  <c r="O105" i="36"/>
  <c r="I38" i="20"/>
  <c r="I39" i="20" s="1"/>
  <c r="K64" i="34"/>
  <c r="K154" i="35"/>
  <c r="M154" i="35" s="1"/>
  <c r="K82" i="35"/>
  <c r="L82" i="35" s="1"/>
  <c r="M137" i="35"/>
  <c r="K182" i="35"/>
  <c r="N154" i="35"/>
  <c r="M25" i="47"/>
  <c r="N182" i="35"/>
  <c r="M107" i="35"/>
  <c r="N28" i="36"/>
  <c r="L41" i="35"/>
  <c r="Z66" i="55"/>
  <c r="O42" i="36"/>
  <c r="L42" i="36"/>
  <c r="J38" i="10"/>
  <c r="J39" i="10" s="1"/>
  <c r="K6" i="34"/>
  <c r="L82" i="36"/>
  <c r="M82" i="36" s="1"/>
  <c r="M69" i="35"/>
  <c r="O31" i="36"/>
  <c r="M50" i="35"/>
  <c r="L50" i="35"/>
  <c r="I38" i="10"/>
  <c r="I39" i="10" s="1"/>
  <c r="K183" i="35"/>
  <c r="M183" i="35" s="1"/>
  <c r="AP24" i="47"/>
  <c r="AA24" i="47"/>
  <c r="O94" i="36"/>
  <c r="AA78" i="55" s="1"/>
  <c r="K49" i="34"/>
  <c r="K165" i="35"/>
  <c r="M165" i="35" s="1"/>
  <c r="N183" i="35"/>
  <c r="AK9" i="55"/>
  <c r="N46" i="36"/>
  <c r="M46" i="36"/>
  <c r="O7" i="36"/>
  <c r="M7" i="47" s="1"/>
  <c r="K31" i="34"/>
  <c r="J31" i="34"/>
  <c r="AV40" i="55"/>
  <c r="F25" i="47"/>
  <c r="K73" i="35"/>
  <c r="L73" i="35" s="1"/>
  <c r="AL74" i="55"/>
  <c r="L93" i="34"/>
  <c r="AP80" i="47" s="1"/>
  <c r="M7" i="35"/>
  <c r="L7" i="35"/>
  <c r="K166" i="35"/>
  <c r="M166" i="35" s="1"/>
  <c r="N75" i="35"/>
  <c r="M16" i="36"/>
  <c r="M10" i="35"/>
  <c r="N95" i="35"/>
  <c r="M19" i="35"/>
  <c r="L8" i="35"/>
  <c r="L58" i="34"/>
  <c r="AA53" i="47" s="1"/>
  <c r="J48" i="34"/>
  <c r="L45" i="34"/>
  <c r="L86" i="34"/>
  <c r="AY6" i="55" s="1"/>
  <c r="N166" i="35"/>
  <c r="M51" i="35"/>
  <c r="AL89" i="55"/>
  <c r="N83" i="35"/>
  <c r="L184" i="35"/>
  <c r="AN124" i="55"/>
  <c r="O69" i="36"/>
  <c r="AA77" i="55" s="1"/>
  <c r="X78" i="55"/>
  <c r="O154" i="36"/>
  <c r="O74" i="36"/>
  <c r="AA90" i="55" s="1"/>
  <c r="M138" i="36"/>
  <c r="N35" i="36"/>
  <c r="N110" i="36"/>
  <c r="M83" i="36"/>
  <c r="M147" i="36"/>
  <c r="M136" i="36"/>
  <c r="M148" i="36"/>
  <c r="F11" i="47"/>
  <c r="M3" i="55"/>
  <c r="F9" i="47"/>
  <c r="M18" i="55"/>
  <c r="L122" i="35"/>
  <c r="M122" i="35"/>
  <c r="O60" i="36"/>
  <c r="M49" i="35"/>
  <c r="M8" i="36"/>
  <c r="N164" i="35"/>
  <c r="J60" i="34"/>
  <c r="K60" i="34"/>
  <c r="L67" i="35"/>
  <c r="M67" i="35"/>
  <c r="O73" i="36"/>
  <c r="AA54" i="55" s="1"/>
  <c r="L101" i="36"/>
  <c r="N101" i="36" s="1"/>
  <c r="N127" i="35"/>
  <c r="K203" i="35"/>
  <c r="M203" i="35" s="1"/>
  <c r="L154" i="36"/>
  <c r="M154" i="36" s="1"/>
  <c r="AX44" i="55"/>
  <c r="L13" i="35"/>
  <c r="M8" i="47"/>
  <c r="K68" i="34"/>
  <c r="J68" i="34"/>
  <c r="L77" i="34"/>
  <c r="AV44" i="55"/>
  <c r="O65" i="36"/>
  <c r="M109" i="36"/>
  <c r="L115" i="36"/>
  <c r="M115" i="36" s="1"/>
  <c r="M20" i="35"/>
  <c r="L20" i="35"/>
  <c r="L46" i="34"/>
  <c r="N57" i="35"/>
  <c r="N126" i="36"/>
  <c r="M126" i="36"/>
  <c r="M36" i="36"/>
  <c r="AM97" i="55"/>
  <c r="L133" i="35"/>
  <c r="M133" i="35"/>
  <c r="M188" i="35"/>
  <c r="L42" i="35"/>
  <c r="M42" i="35"/>
  <c r="L17" i="35"/>
  <c r="M17" i="35"/>
  <c r="I36" i="34"/>
  <c r="J36" i="34" s="1"/>
  <c r="N34" i="36"/>
  <c r="M34" i="36"/>
  <c r="I39" i="34"/>
  <c r="J39" i="34" s="1"/>
  <c r="O63" i="36"/>
  <c r="AA62" i="55" s="1"/>
  <c r="N201" i="35"/>
  <c r="J89" i="34"/>
  <c r="K89" i="34"/>
  <c r="O59" i="36"/>
  <c r="O95" i="36"/>
  <c r="K201" i="35"/>
  <c r="M201" i="35" s="1"/>
  <c r="N128" i="35"/>
  <c r="N102" i="36"/>
  <c r="M102" i="36"/>
  <c r="M46" i="35"/>
  <c r="L46" i="35"/>
  <c r="L35" i="34"/>
  <c r="L76" i="34"/>
  <c r="AY50" i="55" s="1"/>
  <c r="J53" i="34"/>
  <c r="K53" i="34"/>
  <c r="L94" i="34"/>
  <c r="AK104" i="55"/>
  <c r="K74" i="35"/>
  <c r="M74" i="35" s="1"/>
  <c r="J38" i="19"/>
  <c r="J39" i="19" s="1"/>
  <c r="N159" i="35"/>
  <c r="AN120" i="55" s="1"/>
  <c r="O66" i="36"/>
  <c r="L66" i="36"/>
  <c r="M66" i="36" s="1"/>
  <c r="J29" i="34"/>
  <c r="K29" i="34"/>
  <c r="O76" i="36"/>
  <c r="K96" i="35"/>
  <c r="M96" i="35" s="1"/>
  <c r="N82" i="35"/>
  <c r="AV46" i="55"/>
  <c r="L76" i="36"/>
  <c r="M76" i="36" s="1"/>
  <c r="M114" i="35"/>
  <c r="L114" i="35"/>
  <c r="I38" i="19"/>
  <c r="I39" i="19" s="1"/>
  <c r="X63" i="55"/>
  <c r="M86" i="36"/>
  <c r="X9" i="55"/>
  <c r="AX40" i="55"/>
  <c r="N93" i="35"/>
  <c r="M53" i="35"/>
  <c r="L53" i="35"/>
  <c r="X46" i="55"/>
  <c r="AY45" i="55"/>
  <c r="J50" i="34"/>
  <c r="K50" i="34"/>
  <c r="O107" i="36"/>
  <c r="L65" i="36"/>
  <c r="M65" i="36" s="1"/>
  <c r="L73" i="34"/>
  <c r="N41" i="36"/>
  <c r="M41" i="36"/>
  <c r="X14" i="55"/>
  <c r="AP29" i="47"/>
  <c r="AA29" i="47"/>
  <c r="L57" i="34"/>
  <c r="L65" i="34"/>
  <c r="O61" i="36"/>
  <c r="L155" i="36"/>
  <c r="N155" i="36" s="1"/>
  <c r="M113" i="35"/>
  <c r="L113" i="35"/>
  <c r="M6" i="47"/>
  <c r="AA56" i="47"/>
  <c r="J90" i="34"/>
  <c r="K90" i="34"/>
  <c r="AK13" i="55"/>
  <c r="AM43" i="55"/>
  <c r="AM44" i="55"/>
  <c r="AK62" i="55"/>
  <c r="AK56" i="55"/>
  <c r="AK66" i="55"/>
  <c r="AK63" i="55"/>
  <c r="AM62" i="55"/>
  <c r="AM56" i="55"/>
  <c r="N116" i="35"/>
  <c r="N192" i="35"/>
  <c r="AK49" i="55"/>
  <c r="K83" i="35"/>
  <c r="M83" i="35" s="1"/>
  <c r="K160" i="35"/>
  <c r="M160" i="35" s="1"/>
  <c r="M151" i="36"/>
  <c r="N151" i="36"/>
  <c r="L40" i="36"/>
  <c r="M40" i="36" s="1"/>
  <c r="AP28" i="47"/>
  <c r="AA28" i="47"/>
  <c r="X47" i="55"/>
  <c r="X13" i="55"/>
  <c r="X11" i="55"/>
  <c r="AM19" i="55"/>
  <c r="AM111" i="55"/>
  <c r="AM98" i="55"/>
  <c r="AM118" i="55"/>
  <c r="N157" i="35"/>
  <c r="AN42" i="55" s="1"/>
  <c r="AK42" i="55"/>
  <c r="N194" i="35"/>
  <c r="AK118" i="55"/>
  <c r="N118" i="35"/>
  <c r="Z46" i="55"/>
  <c r="AK35" i="55"/>
  <c r="AK33" i="55"/>
  <c r="AM35" i="55"/>
  <c r="AM33" i="55"/>
  <c r="M18" i="35"/>
  <c r="N141" i="36"/>
  <c r="M141" i="36"/>
  <c r="AM27" i="55"/>
  <c r="O82" i="36"/>
  <c r="AA3" i="55" s="1"/>
  <c r="N73" i="35"/>
  <c r="AK97" i="55"/>
  <c r="AK27" i="55"/>
  <c r="N94" i="35"/>
  <c r="K159" i="35"/>
  <c r="L159" i="35" s="1"/>
  <c r="AK65" i="55"/>
  <c r="AK23" i="55"/>
  <c r="AK78" i="55"/>
  <c r="I37" i="34"/>
  <c r="K37" i="34" s="1"/>
  <c r="O131" i="36"/>
  <c r="I78" i="34"/>
  <c r="K78" i="34" s="1"/>
  <c r="AK14" i="55"/>
  <c r="AK39" i="55"/>
  <c r="L75" i="34"/>
  <c r="L4" i="35"/>
  <c r="M4" i="35"/>
  <c r="AX39" i="55"/>
  <c r="AK51" i="55"/>
  <c r="AK50" i="55"/>
  <c r="L73" i="36"/>
  <c r="N73" i="36" s="1"/>
  <c r="L116" i="36"/>
  <c r="M116" i="36" s="1"/>
  <c r="AM78" i="55"/>
  <c r="AM14" i="55"/>
  <c r="AM39" i="55"/>
  <c r="L93" i="36"/>
  <c r="N93" i="36" s="1"/>
  <c r="I75" i="34"/>
  <c r="K75" i="34" s="1"/>
  <c r="L78" i="34"/>
  <c r="AA71" i="47" s="1"/>
  <c r="K93" i="35"/>
  <c r="L93" i="35" s="1"/>
  <c r="K84" i="34"/>
  <c r="J84" i="34"/>
  <c r="K57" i="35"/>
  <c r="AM127" i="55"/>
  <c r="AM160" i="55"/>
  <c r="AM186" i="55"/>
  <c r="AM154" i="55"/>
  <c r="AM159" i="55"/>
  <c r="AM169" i="55"/>
  <c r="AM171" i="55"/>
  <c r="AM163" i="55"/>
  <c r="AM140" i="55"/>
  <c r="AM158" i="55"/>
  <c r="AM185" i="55"/>
  <c r="AM166" i="55"/>
  <c r="AM175" i="55"/>
  <c r="AM139" i="55"/>
  <c r="AM136" i="55"/>
  <c r="AM147" i="55"/>
  <c r="AM156" i="55"/>
  <c r="AM133" i="55"/>
  <c r="AM179" i="55"/>
  <c r="AM148" i="55"/>
  <c r="AM173" i="55"/>
  <c r="AM162" i="55"/>
  <c r="AM174" i="55"/>
  <c r="AM181" i="55"/>
  <c r="AM132" i="55"/>
  <c r="AM141" i="55"/>
  <c r="AM170" i="55"/>
  <c r="AM178" i="55"/>
  <c r="AM176" i="55"/>
  <c r="AM138" i="55"/>
  <c r="AM165" i="55"/>
  <c r="AM144" i="55"/>
  <c r="AM151" i="55"/>
  <c r="AM182" i="55"/>
  <c r="AM149" i="55"/>
  <c r="AM157" i="55"/>
  <c r="AM161" i="55"/>
  <c r="AM177" i="55"/>
  <c r="AM172" i="55"/>
  <c r="AM137" i="55"/>
  <c r="AM150" i="55"/>
  <c r="AM145" i="55"/>
  <c r="AM183" i="55"/>
  <c r="AM167" i="55"/>
  <c r="AM146" i="55"/>
  <c r="AM143" i="55"/>
  <c r="AM142" i="55"/>
  <c r="AM135" i="55"/>
  <c r="AM180" i="55"/>
  <c r="AM184" i="55"/>
  <c r="AM155" i="55"/>
  <c r="AM134" i="55"/>
  <c r="AM164" i="55"/>
  <c r="AM152" i="55"/>
  <c r="AM168" i="55"/>
  <c r="AM153" i="55"/>
  <c r="I38" i="31"/>
  <c r="I39" i="31" s="1"/>
  <c r="I93" i="34"/>
  <c r="K93" i="34" s="1"/>
  <c r="AP5" i="47"/>
  <c r="AA5" i="47"/>
  <c r="AM50" i="55"/>
  <c r="L36" i="34"/>
  <c r="AK77" i="55"/>
  <c r="AK5" i="55"/>
  <c r="AM77" i="55"/>
  <c r="AM5" i="55"/>
  <c r="L106" i="35"/>
  <c r="M106" i="35"/>
  <c r="AM9" i="55"/>
  <c r="N121" i="35"/>
  <c r="L96" i="36"/>
  <c r="M96" i="36" s="1"/>
  <c r="K195" i="35"/>
  <c r="M195" i="35" s="1"/>
  <c r="L129" i="36"/>
  <c r="M129" i="36" s="1"/>
  <c r="O130" i="36"/>
  <c r="AA101" i="55" s="1"/>
  <c r="AP27" i="47"/>
  <c r="AA27" i="47"/>
  <c r="X64" i="55"/>
  <c r="J7" i="34"/>
  <c r="K7" i="34"/>
  <c r="N72" i="35"/>
  <c r="L39" i="34"/>
  <c r="AN75" i="55"/>
  <c r="AV42" i="55"/>
  <c r="AV43" i="55"/>
  <c r="O129" i="36"/>
  <c r="L40" i="34"/>
  <c r="M26" i="47"/>
  <c r="AV39" i="55"/>
  <c r="AL150" i="55"/>
  <c r="AL143" i="55"/>
  <c r="AL163" i="55"/>
  <c r="AL137" i="55"/>
  <c r="AL158" i="55"/>
  <c r="AL161" i="55"/>
  <c r="AL180" i="55"/>
  <c r="AL136" i="55"/>
  <c r="AL145" i="55"/>
  <c r="AL157" i="55"/>
  <c r="AL155" i="55"/>
  <c r="AL171" i="55"/>
  <c r="AL170" i="55"/>
  <c r="AL132" i="55"/>
  <c r="AL133" i="55"/>
  <c r="AL178" i="55"/>
  <c r="AL174" i="55"/>
  <c r="AL148" i="55"/>
  <c r="AL173" i="55"/>
  <c r="AL162" i="55"/>
  <c r="AL156" i="55"/>
  <c r="AL177" i="55"/>
  <c r="AL134" i="55"/>
  <c r="AL138" i="55"/>
  <c r="AL184" i="55"/>
  <c r="AL169" i="55"/>
  <c r="AL141" i="55"/>
  <c r="AL154" i="55"/>
  <c r="AL147" i="55"/>
  <c r="AL153" i="55"/>
  <c r="AL181" i="55"/>
  <c r="AL142" i="55"/>
  <c r="AL146" i="55"/>
  <c r="AL176" i="55"/>
  <c r="AL135" i="55"/>
  <c r="AL166" i="55"/>
  <c r="AL186" i="55"/>
  <c r="AL183" i="55"/>
  <c r="AL149" i="55"/>
  <c r="AL160" i="55"/>
  <c r="AL182" i="55"/>
  <c r="AL172" i="55"/>
  <c r="AL144" i="55"/>
  <c r="AL179" i="55"/>
  <c r="AL159" i="55"/>
  <c r="AL140" i="55"/>
  <c r="AL185" i="55"/>
  <c r="AL167" i="55"/>
  <c r="AL165" i="55"/>
  <c r="AL152" i="55"/>
  <c r="AL164" i="55"/>
  <c r="AL139" i="55"/>
  <c r="AL151" i="55"/>
  <c r="AL175" i="55"/>
  <c r="AL168" i="55"/>
  <c r="L156" i="36"/>
  <c r="M156" i="36" s="1"/>
  <c r="Z78" i="55"/>
  <c r="AX42" i="55"/>
  <c r="AX43" i="55"/>
  <c r="T5" i="47"/>
  <c r="AP105" i="47"/>
  <c r="N193" i="35"/>
  <c r="AN99" i="55" s="1"/>
  <c r="AK99" i="55"/>
  <c r="M4" i="36"/>
  <c r="N4" i="36"/>
  <c r="J38" i="31"/>
  <c r="J39" i="31" s="1"/>
  <c r="AK18" i="55"/>
  <c r="AK20" i="55"/>
  <c r="J63" i="34"/>
  <c r="K63" i="34"/>
  <c r="L56" i="35"/>
  <c r="M56" i="35"/>
  <c r="AX46" i="55"/>
  <c r="AM18" i="55"/>
  <c r="AM20" i="55"/>
  <c r="AK85" i="55"/>
  <c r="AK84" i="55"/>
  <c r="N197" i="35"/>
  <c r="AN26" i="55" s="1"/>
  <c r="N74" i="35"/>
  <c r="N10" i="36"/>
  <c r="M10" i="36"/>
  <c r="AN117" i="55"/>
  <c r="AM85" i="55"/>
  <c r="AM84" i="55"/>
  <c r="AM104" i="55"/>
  <c r="AM105" i="55"/>
  <c r="O156" i="36"/>
  <c r="G47" i="55"/>
  <c r="AX41" i="55"/>
  <c r="L44" i="34"/>
  <c r="N87" i="35"/>
  <c r="AN67" i="55" s="1"/>
  <c r="X32" i="55"/>
  <c r="X4" i="55"/>
  <c r="AP20" i="47"/>
  <c r="AA20" i="47"/>
  <c r="AK107" i="55"/>
  <c r="N124" i="35"/>
  <c r="J51" i="34"/>
  <c r="K51" i="34"/>
  <c r="I79" i="34"/>
  <c r="K79" i="34" s="1"/>
  <c r="O155" i="36"/>
  <c r="AV37" i="55"/>
  <c r="AV17" i="55"/>
  <c r="N76" i="35"/>
  <c r="AV28" i="55"/>
  <c r="N69" i="33"/>
  <c r="F62" i="47" s="1"/>
  <c r="Z47" i="55"/>
  <c r="O64" i="36"/>
  <c r="AA75" i="55" s="1"/>
  <c r="AK43" i="55"/>
  <c r="AK44" i="55"/>
  <c r="AX37" i="55"/>
  <c r="AX17" i="55"/>
  <c r="AM66" i="55"/>
  <c r="AM63" i="55"/>
  <c r="L161" i="36"/>
  <c r="N161" i="36" s="1"/>
  <c r="X52" i="55"/>
  <c r="X53" i="55"/>
  <c r="N191" i="35"/>
  <c r="AK19" i="55"/>
  <c r="O128" i="36"/>
  <c r="M176" i="35"/>
  <c r="L176" i="35"/>
  <c r="M69" i="33"/>
  <c r="M72" i="33"/>
  <c r="N49" i="33"/>
  <c r="F46" i="47" s="1"/>
  <c r="H47" i="55"/>
  <c r="N65" i="33"/>
  <c r="F59" i="47" s="1"/>
  <c r="F24" i="47"/>
  <c r="M60" i="55"/>
  <c r="M65" i="55"/>
  <c r="M68" i="55"/>
  <c r="M57" i="55"/>
  <c r="M78" i="55"/>
  <c r="M79" i="55"/>
  <c r="M61" i="55"/>
  <c r="M62" i="55"/>
  <c r="M76" i="55"/>
  <c r="M77" i="55"/>
  <c r="M74" i="55"/>
  <c r="M67" i="55"/>
  <c r="M58" i="55"/>
  <c r="M80" i="55"/>
  <c r="M66" i="55"/>
  <c r="M56" i="55"/>
  <c r="M75" i="55"/>
  <c r="M55" i="55"/>
  <c r="M72" i="55"/>
  <c r="M73" i="55"/>
  <c r="M59" i="55"/>
  <c r="M70" i="55"/>
  <c r="M69" i="55"/>
  <c r="M52" i="55"/>
  <c r="M53" i="55"/>
  <c r="M64" i="55"/>
  <c r="M71" i="55"/>
  <c r="M54" i="55"/>
  <c r="M63" i="55"/>
  <c r="F57" i="47"/>
  <c r="F56" i="47"/>
  <c r="N43" i="33"/>
  <c r="M20" i="55" s="1"/>
  <c r="H29" i="55"/>
  <c r="H37" i="55"/>
  <c r="M19" i="55"/>
  <c r="J29" i="47"/>
  <c r="K29" i="47"/>
  <c r="R7" i="47"/>
  <c r="AN107" i="47"/>
  <c r="AO107" i="47"/>
  <c r="S7" i="47"/>
  <c r="AL107" i="47"/>
  <c r="Q7" i="47"/>
  <c r="AN34" i="55"/>
  <c r="J69" i="34"/>
  <c r="K69" i="34"/>
  <c r="M120" i="36"/>
  <c r="N120" i="36"/>
  <c r="K144" i="35"/>
  <c r="M144" i="35" s="1"/>
  <c r="N143" i="35"/>
  <c r="AN83" i="55" s="1"/>
  <c r="N144" i="35"/>
  <c r="AN131" i="55" s="1"/>
  <c r="Z37" i="55"/>
  <c r="N145" i="35"/>
  <c r="AV35" i="55"/>
  <c r="AV34" i="55"/>
  <c r="AK37" i="55"/>
  <c r="AK36" i="55"/>
  <c r="AX34" i="55"/>
  <c r="L66" i="34"/>
  <c r="AA60" i="47" s="1"/>
  <c r="AM37" i="55"/>
  <c r="AM36" i="55"/>
  <c r="K89" i="35"/>
  <c r="M89" i="35" s="1"/>
  <c r="N88" i="35"/>
  <c r="Z60" i="55"/>
  <c r="AN86" i="55"/>
  <c r="N181" i="35"/>
  <c r="K181" i="35"/>
  <c r="L181" i="35" s="1"/>
  <c r="AA89" i="47"/>
  <c r="AP89" i="47"/>
  <c r="AY36" i="55"/>
  <c r="AA44" i="47"/>
  <c r="AP44" i="47"/>
  <c r="AP62" i="47"/>
  <c r="AN125" i="55"/>
  <c r="M45" i="55"/>
  <c r="Y40" i="55"/>
  <c r="Y36" i="55"/>
  <c r="F48" i="47"/>
  <c r="L64" i="36"/>
  <c r="O115" i="36"/>
  <c r="I67" i="34"/>
  <c r="AW35" i="55"/>
  <c r="L114" i="36"/>
  <c r="Y76" i="55"/>
  <c r="L38" i="34"/>
  <c r="AW29" i="55"/>
  <c r="I74" i="34"/>
  <c r="K117" i="35"/>
  <c r="AL62" i="55"/>
  <c r="O98" i="36"/>
  <c r="N92" i="35"/>
  <c r="AN64" i="55" s="1"/>
  <c r="M68" i="35"/>
  <c r="L68" i="35"/>
  <c r="AL35" i="55"/>
  <c r="K90" i="35"/>
  <c r="AM8" i="55"/>
  <c r="AM7" i="55"/>
  <c r="AK69" i="55"/>
  <c r="Y27" i="55"/>
  <c r="L77" i="36"/>
  <c r="K120" i="35"/>
  <c r="O116" i="36"/>
  <c r="N155" i="35"/>
  <c r="AN27" i="55" s="1"/>
  <c r="K76" i="35"/>
  <c r="O93" i="36"/>
  <c r="L79" i="34"/>
  <c r="AA72" i="47" s="1"/>
  <c r="N45" i="36"/>
  <c r="M45" i="36"/>
  <c r="M149" i="35"/>
  <c r="L149" i="35"/>
  <c r="L107" i="36"/>
  <c r="Y10" i="55"/>
  <c r="K118" i="35"/>
  <c r="K156" i="35"/>
  <c r="AL78" i="55"/>
  <c r="Y78" i="55"/>
  <c r="L95" i="36"/>
  <c r="L63" i="36"/>
  <c r="Y62" i="55"/>
  <c r="I97" i="34"/>
  <c r="AV41" i="55"/>
  <c r="L56" i="34"/>
  <c r="AY31" i="55" s="1"/>
  <c r="AL15" i="55"/>
  <c r="K162" i="35"/>
  <c r="M43" i="55"/>
  <c r="K127" i="35"/>
  <c r="AY24" i="55"/>
  <c r="AP19" i="47"/>
  <c r="AA19" i="47"/>
  <c r="L72" i="34"/>
  <c r="AY47" i="55" s="1"/>
  <c r="X39" i="55"/>
  <c r="O58" i="36"/>
  <c r="L130" i="36"/>
  <c r="K77" i="35"/>
  <c r="AL77" i="55"/>
  <c r="N91" i="35"/>
  <c r="AM113" i="55"/>
  <c r="AM109" i="55"/>
  <c r="Y88" i="55"/>
  <c r="L159" i="36"/>
  <c r="I58" i="34"/>
  <c r="K164" i="35"/>
  <c r="AP9" i="47"/>
  <c r="AA9" i="47"/>
  <c r="N108" i="36"/>
  <c r="M108" i="36"/>
  <c r="AW25" i="55"/>
  <c r="I35" i="34"/>
  <c r="L74" i="36"/>
  <c r="I65" i="34"/>
  <c r="K143" i="35"/>
  <c r="F44" i="47"/>
  <c r="F45" i="47"/>
  <c r="I87" i="34"/>
  <c r="J32" i="34"/>
  <c r="K32" i="34"/>
  <c r="K78" i="35"/>
  <c r="AL48" i="55"/>
  <c r="M65" i="33"/>
  <c r="G45" i="55"/>
  <c r="J23" i="34"/>
  <c r="K23" i="34"/>
  <c r="I96" i="34"/>
  <c r="N86" i="35"/>
  <c r="AN71" i="55" s="1"/>
  <c r="N79" i="35"/>
  <c r="AN41" i="55" s="1"/>
  <c r="Y67" i="55"/>
  <c r="Y59" i="55"/>
  <c r="L68" i="36"/>
  <c r="O101" i="36"/>
  <c r="L139" i="35"/>
  <c r="M139" i="35"/>
  <c r="AL7" i="55"/>
  <c r="K116" i="35"/>
  <c r="K141" i="35"/>
  <c r="AL37" i="55"/>
  <c r="L74" i="34"/>
  <c r="Y54" i="55"/>
  <c r="Y61" i="55"/>
  <c r="L153" i="36"/>
  <c r="N117" i="35"/>
  <c r="AX35" i="55"/>
  <c r="AX36" i="55"/>
  <c r="J127" i="36"/>
  <c r="Y4" i="55" s="1"/>
  <c r="I38" i="26"/>
  <c r="I39" i="26" s="1"/>
  <c r="K191" i="35"/>
  <c r="AL46" i="55"/>
  <c r="L97" i="34"/>
  <c r="AM16" i="55"/>
  <c r="AM15" i="55"/>
  <c r="AL14" i="55"/>
  <c r="K91" i="35"/>
  <c r="L71" i="34"/>
  <c r="AY30" i="55" s="1"/>
  <c r="L128" i="36"/>
  <c r="Y39" i="55"/>
  <c r="L58" i="36"/>
  <c r="N81" i="35"/>
  <c r="N198" i="35"/>
  <c r="AN57" i="55" s="1"/>
  <c r="N190" i="35"/>
  <c r="AN29" i="55" s="1"/>
  <c r="AM76" i="55"/>
  <c r="M25" i="55"/>
  <c r="F55" i="47"/>
  <c r="K80" i="35"/>
  <c r="AL104" i="55"/>
  <c r="L69" i="36"/>
  <c r="Y77" i="55"/>
  <c r="K33" i="34"/>
  <c r="J33" i="34"/>
  <c r="K95" i="35"/>
  <c r="N80" i="35"/>
  <c r="M148" i="35"/>
  <c r="L148" i="35"/>
  <c r="AL105" i="55"/>
  <c r="AL106" i="55"/>
  <c r="K158" i="35"/>
  <c r="M41" i="55"/>
  <c r="N78" i="35"/>
  <c r="AN48" i="55" s="1"/>
  <c r="Z36" i="55"/>
  <c r="Z35" i="55"/>
  <c r="M33" i="33"/>
  <c r="G8" i="55"/>
  <c r="N33" i="33"/>
  <c r="F31" i="47" s="1"/>
  <c r="J38" i="14"/>
  <c r="J39" i="14" s="1"/>
  <c r="K62" i="36"/>
  <c r="F50" i="47"/>
  <c r="L64" i="35"/>
  <c r="M64" i="35"/>
  <c r="M24" i="36"/>
  <c r="N24" i="36"/>
  <c r="K127" i="36"/>
  <c r="J38" i="26"/>
  <c r="J39" i="26" s="1"/>
  <c r="Y60" i="55"/>
  <c r="L70" i="36"/>
  <c r="M81" i="36"/>
  <c r="N81" i="36"/>
  <c r="I72" i="34"/>
  <c r="AW28" i="55"/>
  <c r="N96" i="35"/>
  <c r="AA45" i="47"/>
  <c r="AP45" i="47"/>
  <c r="O158" i="36"/>
  <c r="N29" i="33"/>
  <c r="M9" i="36"/>
  <c r="N9" i="36"/>
  <c r="AK16" i="55"/>
  <c r="AK15" i="55"/>
  <c r="N162" i="35"/>
  <c r="M99" i="35"/>
  <c r="K22" i="34"/>
  <c r="J22" i="34"/>
  <c r="L95" i="34"/>
  <c r="N14" i="36"/>
  <c r="M14" i="36"/>
  <c r="AW13" i="55"/>
  <c r="I92" i="34"/>
  <c r="M167" i="35"/>
  <c r="L167" i="35"/>
  <c r="AL113" i="55"/>
  <c r="AL109" i="55"/>
  <c r="I44" i="34"/>
  <c r="AW9" i="55"/>
  <c r="O113" i="36"/>
  <c r="AA82" i="55" s="1"/>
  <c r="AL128" i="55"/>
  <c r="AL67" i="55"/>
  <c r="K87" i="35"/>
  <c r="M48" i="55"/>
  <c r="F58" i="47"/>
  <c r="L65" i="35"/>
  <c r="M65" i="35"/>
  <c r="I38" i="34"/>
  <c r="AW16" i="55"/>
  <c r="AX28" i="55"/>
  <c r="AX29" i="55"/>
  <c r="AW44" i="55"/>
  <c r="I42" i="34"/>
  <c r="Z67" i="55"/>
  <c r="Z59" i="55"/>
  <c r="L96" i="34"/>
  <c r="N141" i="35"/>
  <c r="L87" i="34"/>
  <c r="K79" i="35"/>
  <c r="AL97" i="55"/>
  <c r="Z39" i="55"/>
  <c r="M52" i="36"/>
  <c r="N52" i="36"/>
  <c r="AA48" i="55"/>
  <c r="J122" i="36"/>
  <c r="I38" i="24"/>
  <c r="I39" i="24" s="1"/>
  <c r="Y83" i="55"/>
  <c r="Y84" i="55"/>
  <c r="L124" i="36"/>
  <c r="AW37" i="55"/>
  <c r="I95" i="34"/>
  <c r="M35" i="55"/>
  <c r="F61" i="47"/>
  <c r="K94" i="35"/>
  <c r="X67" i="55"/>
  <c r="X59" i="55"/>
  <c r="M29" i="33"/>
  <c r="G27" i="55"/>
  <c r="K145" i="35"/>
  <c r="L61" i="36"/>
  <c r="I38" i="14"/>
  <c r="I39" i="14" s="1"/>
  <c r="J62" i="36"/>
  <c r="Y11" i="55" s="1"/>
  <c r="K198" i="35"/>
  <c r="X54" i="55"/>
  <c r="X61" i="55"/>
  <c r="O153" i="36"/>
  <c r="AL45" i="55"/>
  <c r="K155" i="35"/>
  <c r="L59" i="36"/>
  <c r="M135" i="36"/>
  <c r="N135" i="36"/>
  <c r="L136" i="35"/>
  <c r="M136" i="35"/>
  <c r="I45" i="34"/>
  <c r="L67" i="34"/>
  <c r="AA61" i="47" s="1"/>
  <c r="L37" i="34"/>
  <c r="AY2" i="55"/>
  <c r="AP46" i="47"/>
  <c r="AA46" i="47"/>
  <c r="AK109" i="55"/>
  <c r="AK111" i="55"/>
  <c r="I73" i="34"/>
  <c r="K193" i="35"/>
  <c r="K88" i="35"/>
  <c r="I38" i="16"/>
  <c r="I39" i="16" s="1"/>
  <c r="J72" i="36"/>
  <c r="Y15" i="55" s="1"/>
  <c r="AP22" i="47"/>
  <c r="AA22" i="47"/>
  <c r="AY12" i="55"/>
  <c r="L43" i="34"/>
  <c r="M138" i="35"/>
  <c r="L138" i="35"/>
  <c r="M85" i="35"/>
  <c r="L85" i="35"/>
  <c r="AW8" i="55"/>
  <c r="I77" i="34"/>
  <c r="M43" i="33"/>
  <c r="G10" i="55"/>
  <c r="K86" i="35"/>
  <c r="L98" i="36"/>
  <c r="K122" i="36"/>
  <c r="Z26" i="55" s="1"/>
  <c r="J38" i="24"/>
  <c r="J39" i="24" s="1"/>
  <c r="K121" i="35"/>
  <c r="L173" i="35"/>
  <c r="M173" i="35"/>
  <c r="Y35" i="55"/>
  <c r="L123" i="36"/>
  <c r="X87" i="55"/>
  <c r="O160" i="36"/>
  <c r="O75" i="36"/>
  <c r="AP21" i="47"/>
  <c r="AA21" i="47"/>
  <c r="F42" i="47"/>
  <c r="AL24" i="55"/>
  <c r="AL26" i="55"/>
  <c r="K197" i="35"/>
  <c r="K81" i="35"/>
  <c r="AL85" i="55"/>
  <c r="A9" i="35"/>
  <c r="AL108" i="47" s="1"/>
  <c r="O77" i="36"/>
  <c r="M27" i="33"/>
  <c r="N27" i="33"/>
  <c r="AL19" i="55"/>
  <c r="K190" i="35"/>
  <c r="AL111" i="55"/>
  <c r="K192" i="35"/>
  <c r="AY23" i="55"/>
  <c r="J9" i="34"/>
  <c r="K9" i="34"/>
  <c r="I38" i="22"/>
  <c r="I39" i="22" s="1"/>
  <c r="J112" i="36"/>
  <c r="K57" i="36"/>
  <c r="J38" i="13"/>
  <c r="J39" i="13" s="1"/>
  <c r="M97" i="35"/>
  <c r="L97" i="35"/>
  <c r="O159" i="36"/>
  <c r="AA88" i="55" s="1"/>
  <c r="N163" i="35"/>
  <c r="AN72" i="55" s="1"/>
  <c r="K163" i="35"/>
  <c r="N203" i="35"/>
  <c r="J92" i="36"/>
  <c r="Y64" i="55" s="1"/>
  <c r="I38" i="25"/>
  <c r="I39" i="25" s="1"/>
  <c r="AL12" i="55"/>
  <c r="K161" i="35"/>
  <c r="Z61" i="55"/>
  <c r="AA43" i="47"/>
  <c r="AP43" i="47"/>
  <c r="L174" i="35"/>
  <c r="M174" i="35"/>
  <c r="AN76" i="55"/>
  <c r="AN73" i="55"/>
  <c r="L177" i="35"/>
  <c r="M177" i="35"/>
  <c r="AN66" i="55"/>
  <c r="I94" i="34"/>
  <c r="AW33" i="55"/>
  <c r="I43" i="34"/>
  <c r="N119" i="36"/>
  <c r="M119" i="36"/>
  <c r="Y34" i="55"/>
  <c r="L158" i="36"/>
  <c r="O114" i="36"/>
  <c r="AA76" i="55" s="1"/>
  <c r="N84" i="35"/>
  <c r="AN25" i="55" s="1"/>
  <c r="L160" i="36"/>
  <c r="O125" i="36"/>
  <c r="AA83" i="55" s="1"/>
  <c r="N89" i="35"/>
  <c r="J143" i="36"/>
  <c r="Y53" i="55" s="1"/>
  <c r="I38" i="2"/>
  <c r="I39" i="2" s="1"/>
  <c r="L75" i="36"/>
  <c r="J20" i="34"/>
  <c r="K20" i="34"/>
  <c r="I46" i="34"/>
  <c r="K80" i="34"/>
  <c r="J80" i="34"/>
  <c r="N140" i="36"/>
  <c r="M140" i="36"/>
  <c r="X7" i="55"/>
  <c r="N142" i="35"/>
  <c r="AN61" i="55" s="1"/>
  <c r="AM23" i="55"/>
  <c r="AM24" i="55"/>
  <c r="L60" i="36"/>
  <c r="O68" i="36"/>
  <c r="AA89" i="55" s="1"/>
  <c r="I57" i="34"/>
  <c r="AK130" i="55"/>
  <c r="AK125" i="55"/>
  <c r="J85" i="34"/>
  <c r="K85" i="34"/>
  <c r="G22" i="55"/>
  <c r="N72" i="33"/>
  <c r="M13" i="55" s="1"/>
  <c r="K128" i="35"/>
  <c r="Y49" i="55"/>
  <c r="Y46" i="55"/>
  <c r="I66" i="34"/>
  <c r="L131" i="36"/>
  <c r="N165" i="35"/>
  <c r="J38" i="16"/>
  <c r="J39" i="16" s="1"/>
  <c r="K72" i="36"/>
  <c r="J38" i="22"/>
  <c r="J39" i="22" s="1"/>
  <c r="K112" i="36"/>
  <c r="Z21" i="55" s="1"/>
  <c r="N77" i="35"/>
  <c r="AN17" i="55" s="1"/>
  <c r="J57" i="36"/>
  <c r="I38" i="13"/>
  <c r="I39" i="13" s="1"/>
  <c r="L94" i="36"/>
  <c r="K92" i="36"/>
  <c r="J38" i="25"/>
  <c r="J39" i="25" s="1"/>
  <c r="AM13" i="55"/>
  <c r="AM12" i="55"/>
  <c r="F20" i="47"/>
  <c r="AA88" i="47"/>
  <c r="AP88" i="47"/>
  <c r="K92" i="35"/>
  <c r="M40" i="55"/>
  <c r="AL43" i="55"/>
  <c r="K84" i="35"/>
  <c r="AA100" i="55"/>
  <c r="AA99" i="55"/>
  <c r="AA96" i="55"/>
  <c r="AA98" i="55"/>
  <c r="AA140" i="55"/>
  <c r="AA113" i="55"/>
  <c r="AA117" i="55"/>
  <c r="AA166" i="55"/>
  <c r="AA164" i="55"/>
  <c r="AA147" i="55"/>
  <c r="AA130" i="55"/>
  <c r="AA104" i="55"/>
  <c r="AA121" i="55"/>
  <c r="AA119" i="55"/>
  <c r="AA143" i="55"/>
  <c r="AA127" i="55"/>
  <c r="AA108" i="55"/>
  <c r="AA146" i="55"/>
  <c r="AA124" i="55"/>
  <c r="AA145" i="55"/>
  <c r="AA144" i="55"/>
  <c r="AA160" i="55"/>
  <c r="AA137" i="55"/>
  <c r="AA136" i="55"/>
  <c r="AA105" i="55"/>
  <c r="AA158" i="55"/>
  <c r="AA159" i="55"/>
  <c r="AA142" i="55"/>
  <c r="AA134" i="55"/>
  <c r="AA107" i="55"/>
  <c r="AA97" i="55"/>
  <c r="AA138" i="55"/>
  <c r="AA148" i="55"/>
  <c r="AA161" i="55"/>
  <c r="AA129" i="55"/>
  <c r="AA128" i="55"/>
  <c r="AA157" i="55"/>
  <c r="AA154" i="55"/>
  <c r="AA126" i="55"/>
  <c r="AA118" i="55"/>
  <c r="AA123" i="55"/>
  <c r="AA94" i="55"/>
  <c r="AA153" i="55"/>
  <c r="AA112" i="55"/>
  <c r="AA150" i="55"/>
  <c r="AA149" i="55"/>
  <c r="AA141" i="55"/>
  <c r="AA165" i="55"/>
  <c r="AA114" i="55"/>
  <c r="AA139" i="55"/>
  <c r="AA125" i="55"/>
  <c r="AA151" i="55"/>
  <c r="AA103" i="55"/>
  <c r="AA116" i="55"/>
  <c r="AA152" i="55"/>
  <c r="AA156" i="55"/>
  <c r="AA171" i="55"/>
  <c r="AA162" i="55"/>
  <c r="AA110" i="55"/>
  <c r="AA135" i="55"/>
  <c r="AA122" i="55"/>
  <c r="AA109" i="55"/>
  <c r="AA111" i="55"/>
  <c r="AA133" i="55"/>
  <c r="AA163" i="55"/>
  <c r="AA168" i="55"/>
  <c r="AA167" i="55"/>
  <c r="AA132" i="55"/>
  <c r="AA106" i="55"/>
  <c r="AA102" i="55"/>
  <c r="AA155" i="55"/>
  <c r="AA120" i="55"/>
  <c r="AA115" i="55"/>
  <c r="AA131" i="55"/>
  <c r="AA170" i="55"/>
  <c r="AA169" i="55"/>
  <c r="Z33" i="55"/>
  <c r="Z34" i="55"/>
  <c r="J67" i="36"/>
  <c r="Y5" i="55" s="1"/>
  <c r="I38" i="15"/>
  <c r="I39" i="15" s="1"/>
  <c r="O124" i="36"/>
  <c r="AA84" i="55" s="1"/>
  <c r="AN8" i="55"/>
  <c r="M5" i="36"/>
  <c r="N5" i="36"/>
  <c r="Y12" i="55"/>
  <c r="L132" i="36"/>
  <c r="O132" i="36"/>
  <c r="O161" i="36"/>
  <c r="K152" i="36"/>
  <c r="Z30" i="55" s="1"/>
  <c r="J38" i="30"/>
  <c r="J39" i="30" s="1"/>
  <c r="AW46" i="55"/>
  <c r="I71" i="34"/>
  <c r="AL18" i="55"/>
  <c r="K70" i="35"/>
  <c r="L7" i="36"/>
  <c r="Y6" i="55"/>
  <c r="AW40" i="55"/>
  <c r="AW41" i="55"/>
  <c r="I56" i="34"/>
  <c r="K157" i="35"/>
  <c r="AL125" i="55"/>
  <c r="N195" i="35"/>
  <c r="M49" i="33"/>
  <c r="G26" i="55"/>
  <c r="I41" i="34"/>
  <c r="AW42" i="55"/>
  <c r="O70" i="36"/>
  <c r="AA60" i="55" s="1"/>
  <c r="AK101" i="55"/>
  <c r="AK98" i="55"/>
  <c r="N70" i="35"/>
  <c r="L113" i="36"/>
  <c r="Y37" i="55"/>
  <c r="M55" i="36"/>
  <c r="N55" i="36"/>
  <c r="M9" i="35"/>
  <c r="L9" i="35"/>
  <c r="L92" i="34"/>
  <c r="M55" i="33"/>
  <c r="N55" i="33"/>
  <c r="M38" i="55" s="1"/>
  <c r="I86" i="34"/>
  <c r="AW6" i="55"/>
  <c r="M41" i="33"/>
  <c r="G29" i="55"/>
  <c r="N41" i="33"/>
  <c r="M33" i="55" s="1"/>
  <c r="N160" i="35"/>
  <c r="AK12" i="55"/>
  <c r="N161" i="35"/>
  <c r="AN11" i="55" s="1"/>
  <c r="Z29" i="55"/>
  <c r="Z28" i="55"/>
  <c r="L42" i="34"/>
  <c r="AY48" i="55" s="1"/>
  <c r="N158" i="35"/>
  <c r="AN106" i="55" s="1"/>
  <c r="AL70" i="55"/>
  <c r="AL66" i="55"/>
  <c r="K72" i="35"/>
  <c r="K67" i="36"/>
  <c r="Z44" i="55" s="1"/>
  <c r="J38" i="15"/>
  <c r="J39" i="15" s="1"/>
  <c r="K142" i="35"/>
  <c r="AL13" i="55"/>
  <c r="AN69" i="55"/>
  <c r="K75" i="35"/>
  <c r="L125" i="36"/>
  <c r="K143" i="36"/>
  <c r="Z52" i="55" s="1"/>
  <c r="J38" i="2"/>
  <c r="J39" i="2" s="1"/>
  <c r="K123" i="35"/>
  <c r="AL10" i="55"/>
  <c r="O96" i="36"/>
  <c r="AA70" i="55"/>
  <c r="N90" i="35"/>
  <c r="AN35" i="55" s="1"/>
  <c r="AW36" i="55"/>
  <c r="I76" i="34"/>
  <c r="J152" i="36"/>
  <c r="Y30" i="55" s="1"/>
  <c r="I38" i="30"/>
  <c r="I39" i="30" s="1"/>
  <c r="N123" i="35"/>
  <c r="M32" i="36"/>
  <c r="N32" i="36"/>
  <c r="AM130" i="55"/>
  <c r="AM125" i="55"/>
  <c r="AL98" i="55"/>
  <c r="K194" i="35"/>
  <c r="N156" i="35"/>
  <c r="AN6" i="55"/>
  <c r="L135" i="35"/>
  <c r="M135" i="35"/>
  <c r="I40" i="34"/>
  <c r="L41" i="34"/>
  <c r="AY43" i="55" s="1"/>
  <c r="K47" i="34"/>
  <c r="J47" i="34"/>
  <c r="O123" i="36"/>
  <c r="O40" i="36"/>
  <c r="AX23" i="55"/>
  <c r="AX25" i="55"/>
  <c r="M43" i="35"/>
  <c r="L43" i="35"/>
  <c r="N39" i="35"/>
  <c r="N40" i="35"/>
  <c r="N34" i="35"/>
  <c r="AN22" i="55" s="1"/>
  <c r="L19" i="34"/>
  <c r="K39" i="35"/>
  <c r="M39" i="35" s="1"/>
  <c r="N37" i="35"/>
  <c r="AM81" i="55"/>
  <c r="AM74" i="55"/>
  <c r="AK94" i="55"/>
  <c r="AK89" i="55"/>
  <c r="K40" i="35"/>
  <c r="M40" i="35" s="1"/>
  <c r="K37" i="35"/>
  <c r="L37" i="35" s="1"/>
  <c r="O30" i="36"/>
  <c r="X93" i="55"/>
  <c r="AM94" i="55"/>
  <c r="AM89" i="55"/>
  <c r="AM22" i="55"/>
  <c r="AM21" i="55"/>
  <c r="AK22" i="55"/>
  <c r="AK21" i="55"/>
  <c r="L31" i="36"/>
  <c r="M31" i="36" s="1"/>
  <c r="X45" i="55"/>
  <c r="L18" i="34"/>
  <c r="AK81" i="55"/>
  <c r="AK74" i="55"/>
  <c r="I18" i="34"/>
  <c r="J18" i="34" s="1"/>
  <c r="Z45" i="55"/>
  <c r="O118" i="36"/>
  <c r="AA72" i="55" s="1"/>
  <c r="Y73" i="55"/>
  <c r="Z85" i="55"/>
  <c r="Z73" i="55"/>
  <c r="Z20" i="55"/>
  <c r="Z19" i="55"/>
  <c r="O87" i="36"/>
  <c r="AA58" i="55" s="1"/>
  <c r="Y19" i="55"/>
  <c r="Z42" i="55"/>
  <c r="Z40" i="55"/>
  <c r="Y20" i="55"/>
  <c r="L87" i="36"/>
  <c r="AN126" i="55"/>
  <c r="J26" i="34"/>
  <c r="K26" i="34"/>
  <c r="F19" i="47"/>
  <c r="Y45" i="55"/>
  <c r="L44" i="36"/>
  <c r="M55" i="35"/>
  <c r="L55" i="35"/>
  <c r="AP25" i="47"/>
  <c r="AA25" i="47"/>
  <c r="L52" i="35"/>
  <c r="M52" i="35"/>
  <c r="N15" i="33"/>
  <c r="M24" i="47"/>
  <c r="AL22" i="55"/>
  <c r="K34" i="35"/>
  <c r="N36" i="35"/>
  <c r="Y47" i="55"/>
  <c r="L29" i="36"/>
  <c r="N38" i="35"/>
  <c r="L17" i="34"/>
  <c r="AL81" i="55"/>
  <c r="K35" i="35"/>
  <c r="O29" i="36"/>
  <c r="AA45" i="55" s="1"/>
  <c r="J27" i="36"/>
  <c r="Y24" i="55" s="1"/>
  <c r="I38" i="7"/>
  <c r="I39" i="7" s="1"/>
  <c r="I19" i="34"/>
  <c r="AL94" i="55"/>
  <c r="K36" i="35"/>
  <c r="M15" i="33"/>
  <c r="X22" i="55"/>
  <c r="X23" i="55"/>
  <c r="AW14" i="55"/>
  <c r="I17" i="34"/>
  <c r="L30" i="36"/>
  <c r="N35" i="35"/>
  <c r="AN31" i="55" s="1"/>
  <c r="K27" i="36"/>
  <c r="Z24" i="55" s="1"/>
  <c r="J38" i="7"/>
  <c r="J39" i="7" s="1"/>
  <c r="AL124" i="55"/>
  <c r="K38" i="35"/>
  <c r="N23" i="36"/>
  <c r="M16" i="47"/>
  <c r="AL127" i="55"/>
  <c r="K6" i="35"/>
  <c r="N6" i="35"/>
  <c r="AN129" i="55" s="1"/>
  <c r="N142" i="36"/>
  <c r="M142" i="36"/>
  <c r="M28" i="55"/>
  <c r="O137" i="36"/>
  <c r="L137" i="36"/>
  <c r="Y29" i="55"/>
  <c r="Y85" i="55"/>
  <c r="L118" i="36"/>
  <c r="Y42" i="55"/>
  <c r="L97" i="36"/>
  <c r="O97" i="36"/>
  <c r="A44" i="36"/>
  <c r="M30" i="47" s="1"/>
  <c r="AA87" i="55" l="1"/>
  <c r="AN63" i="55"/>
  <c r="AN102" i="55"/>
  <c r="AY38" i="55"/>
  <c r="AN46" i="55"/>
  <c r="AA10" i="55"/>
  <c r="AA25" i="55"/>
  <c r="AN32" i="55"/>
  <c r="AA38" i="55"/>
  <c r="AA69" i="55"/>
  <c r="AA57" i="55"/>
  <c r="AN55" i="55"/>
  <c r="M14" i="55"/>
  <c r="AN110" i="55"/>
  <c r="AN95" i="55"/>
  <c r="F21" i="47"/>
  <c r="M31" i="55"/>
  <c r="AA80" i="55"/>
  <c r="F28" i="47"/>
  <c r="M6" i="55"/>
  <c r="AN7" i="55"/>
  <c r="AA43" i="55"/>
  <c r="AY18" i="55"/>
  <c r="AA22" i="55"/>
  <c r="AY22" i="55"/>
  <c r="M85" i="36"/>
  <c r="L169" i="35"/>
  <c r="AP73" i="47"/>
  <c r="AA73" i="47"/>
  <c r="AM114" i="55"/>
  <c r="AY8" i="55"/>
  <c r="N199" i="35"/>
  <c r="AN88" i="55" s="1"/>
  <c r="K199" i="35"/>
  <c r="M199" i="35" s="1"/>
  <c r="K200" i="35"/>
  <c r="M200" i="35" s="1"/>
  <c r="AL107" i="55"/>
  <c r="K202" i="35"/>
  <c r="M202" i="35" s="1"/>
  <c r="N200" i="35"/>
  <c r="AN30" i="55"/>
  <c r="AN65" i="55"/>
  <c r="AY49" i="55"/>
  <c r="AN122" i="55"/>
  <c r="Z5" i="55"/>
  <c r="AY21" i="55"/>
  <c r="AN90" i="55"/>
  <c r="N119" i="35"/>
  <c r="AN79" i="55" s="1"/>
  <c r="K124" i="35"/>
  <c r="K126" i="35"/>
  <c r="L126" i="35" s="1"/>
  <c r="K125" i="35"/>
  <c r="L125" i="35" s="1"/>
  <c r="N125" i="35"/>
  <c r="N126" i="35"/>
  <c r="AM107" i="55"/>
  <c r="AM51" i="55"/>
  <c r="L100" i="35"/>
  <c r="AN68" i="55"/>
  <c r="J34" i="34"/>
  <c r="N157" i="36"/>
  <c r="N171" i="35"/>
  <c r="K171" i="35"/>
  <c r="L171" i="35" s="1"/>
  <c r="AN112" i="55"/>
  <c r="AM31" i="55"/>
  <c r="N168" i="35"/>
  <c r="AN49" i="55" s="1"/>
  <c r="K168" i="35"/>
  <c r="AM112" i="55"/>
  <c r="N146" i="35"/>
  <c r="K146" i="35"/>
  <c r="M146" i="35" s="1"/>
  <c r="M103" i="36"/>
  <c r="O100" i="36"/>
  <c r="AA63" i="55" s="1"/>
  <c r="L100" i="36"/>
  <c r="M100" i="36" s="1"/>
  <c r="K119" i="35"/>
  <c r="L119" i="35" s="1"/>
  <c r="O99" i="36"/>
  <c r="AA56" i="55" s="1"/>
  <c r="L99" i="36"/>
  <c r="N99" i="36" s="1"/>
  <c r="M53" i="36"/>
  <c r="AA30" i="47"/>
  <c r="AP31" i="47"/>
  <c r="AN54" i="55"/>
  <c r="O50" i="36"/>
  <c r="AA86" i="55" s="1"/>
  <c r="Z91" i="55"/>
  <c r="AN100" i="55"/>
  <c r="O49" i="36"/>
  <c r="L49" i="36"/>
  <c r="Y51" i="55"/>
  <c r="L43" i="36"/>
  <c r="O43" i="36"/>
  <c r="AA51" i="55" s="1"/>
  <c r="K12" i="34"/>
  <c r="M11" i="47"/>
  <c r="N13" i="36"/>
  <c r="AY7" i="55"/>
  <c r="AP6" i="47"/>
  <c r="J5" i="34"/>
  <c r="M140" i="35"/>
  <c r="M108" i="35"/>
  <c r="N37" i="36"/>
  <c r="AA55" i="47"/>
  <c r="M17" i="55"/>
  <c r="M134" i="36"/>
  <c r="AP12" i="47"/>
  <c r="AA12" i="47"/>
  <c r="AP78" i="47"/>
  <c r="N150" i="36"/>
  <c r="AA8" i="47"/>
  <c r="AP8" i="47"/>
  <c r="M11" i="35"/>
  <c r="M2" i="35"/>
  <c r="AY17" i="55"/>
  <c r="AA85" i="47"/>
  <c r="AP85" i="47"/>
  <c r="AP86" i="47"/>
  <c r="AA86" i="47"/>
  <c r="F63" i="47"/>
  <c r="M189" i="35"/>
  <c r="L175" i="35"/>
  <c r="AA77" i="47"/>
  <c r="AP77" i="47"/>
  <c r="AA75" i="47"/>
  <c r="AA78" i="47"/>
  <c r="N145" i="36"/>
  <c r="AP70" i="47"/>
  <c r="AA70" i="47"/>
  <c r="AP72" i="47"/>
  <c r="AP71" i="47"/>
  <c r="AA65" i="47"/>
  <c r="AP61" i="47"/>
  <c r="AP60" i="47"/>
  <c r="F47" i="47"/>
  <c r="AP57" i="47"/>
  <c r="N111" i="36"/>
  <c r="K62" i="34"/>
  <c r="J62" i="34"/>
  <c r="AP53" i="47"/>
  <c r="AP51" i="47"/>
  <c r="AP50" i="47"/>
  <c r="AP47" i="47"/>
  <c r="AA47" i="47"/>
  <c r="AP68" i="47"/>
  <c r="AA38" i="47"/>
  <c r="AA39" i="47"/>
  <c r="AP34" i="47"/>
  <c r="AA32" i="47"/>
  <c r="M60" i="35"/>
  <c r="N50" i="36"/>
  <c r="M23" i="47"/>
  <c r="N22" i="36"/>
  <c r="M17" i="47"/>
  <c r="AA65" i="55"/>
  <c r="M28" i="35"/>
  <c r="AA11" i="47"/>
  <c r="J8" i="34"/>
  <c r="K8" i="34"/>
  <c r="T3" i="47"/>
  <c r="AY39" i="55"/>
  <c r="AA83" i="47"/>
  <c r="AA84" i="47"/>
  <c r="AP84" i="47"/>
  <c r="L101" i="35"/>
  <c r="F60" i="47"/>
  <c r="AP76" i="47"/>
  <c r="AA76" i="47"/>
  <c r="M47" i="36"/>
  <c r="N47" i="36"/>
  <c r="F64" i="47"/>
  <c r="F65" i="47"/>
  <c r="M187" i="35"/>
  <c r="L187" i="35"/>
  <c r="L172" i="35"/>
  <c r="L29" i="35"/>
  <c r="M29" i="35"/>
  <c r="M48" i="36"/>
  <c r="N48" i="36"/>
  <c r="AP48" i="47"/>
  <c r="L203" i="35"/>
  <c r="M105" i="36"/>
  <c r="L165" i="35"/>
  <c r="AN10" i="55"/>
  <c r="AY15" i="55"/>
  <c r="AP10" i="47"/>
  <c r="AA10" i="47"/>
  <c r="L74" i="35"/>
  <c r="J11" i="34"/>
  <c r="K11" i="34"/>
  <c r="K59" i="34"/>
  <c r="J59" i="34"/>
  <c r="AY4" i="55"/>
  <c r="AA52" i="47"/>
  <c r="AP52" i="47"/>
  <c r="M82" i="35"/>
  <c r="L166" i="35"/>
  <c r="AN43" i="55"/>
  <c r="M159" i="35"/>
  <c r="L59" i="35"/>
  <c r="M59" i="35"/>
  <c r="AP108" i="47"/>
  <c r="J16" i="34"/>
  <c r="K16" i="34"/>
  <c r="L170" i="35"/>
  <c r="M170" i="35"/>
  <c r="L201" i="35"/>
  <c r="M134" i="35"/>
  <c r="L134" i="35"/>
  <c r="N154" i="36"/>
  <c r="L154" i="35"/>
  <c r="M93" i="35"/>
  <c r="AA80" i="47"/>
  <c r="AA51" i="47"/>
  <c r="L182" i="35"/>
  <c r="M182" i="35"/>
  <c r="M73" i="35"/>
  <c r="N82" i="36"/>
  <c r="M42" i="36"/>
  <c r="N42" i="36"/>
  <c r="M28" i="47"/>
  <c r="L183" i="35"/>
  <c r="J93" i="34"/>
  <c r="N40" i="36"/>
  <c r="AY25" i="55"/>
  <c r="J75" i="34"/>
  <c r="AP39" i="47"/>
  <c r="J78" i="34"/>
  <c r="K39" i="34"/>
  <c r="K36" i="34"/>
  <c r="AP65" i="47"/>
  <c r="AP30" i="47"/>
  <c r="AP38" i="47"/>
  <c r="M181" i="35"/>
  <c r="AN97" i="55"/>
  <c r="L83" i="35"/>
  <c r="AN104" i="55"/>
  <c r="L146" i="35"/>
  <c r="L96" i="35"/>
  <c r="L160" i="35"/>
  <c r="N65" i="36"/>
  <c r="M101" i="36"/>
  <c r="N96" i="36"/>
  <c r="N76" i="36"/>
  <c r="N129" i="36"/>
  <c r="N66" i="36"/>
  <c r="M161" i="36"/>
  <c r="N115" i="36"/>
  <c r="F41" i="47"/>
  <c r="N116" i="36"/>
  <c r="M73" i="36"/>
  <c r="K18" i="34"/>
  <c r="J37" i="34"/>
  <c r="L144" i="35"/>
  <c r="M155" i="36"/>
  <c r="AA57" i="47"/>
  <c r="AP32" i="47"/>
  <c r="L195" i="35"/>
  <c r="AA50" i="47"/>
  <c r="AA34" i="47"/>
  <c r="AN9" i="55"/>
  <c r="AA31" i="47"/>
  <c r="AY9" i="55"/>
  <c r="AN89" i="55"/>
  <c r="N31" i="36"/>
  <c r="AA59" i="55"/>
  <c r="AA68" i="47"/>
  <c r="M93" i="36"/>
  <c r="AN19" i="55"/>
  <c r="N156" i="36"/>
  <c r="O122" i="36"/>
  <c r="AA26" i="55" s="1"/>
  <c r="Z53" i="55"/>
  <c r="AA79" i="47"/>
  <c r="AP79" i="47"/>
  <c r="AP81" i="47"/>
  <c r="AN18" i="55"/>
  <c r="AN20" i="55"/>
  <c r="Z32" i="55"/>
  <c r="Z4" i="55"/>
  <c r="AA81" i="47"/>
  <c r="AN78" i="55"/>
  <c r="AY34" i="55"/>
  <c r="AP59" i="47"/>
  <c r="AA59" i="47"/>
  <c r="AN50" i="55"/>
  <c r="M47" i="55"/>
  <c r="M57" i="35"/>
  <c r="L57" i="35"/>
  <c r="AN111" i="55"/>
  <c r="AN149" i="55"/>
  <c r="AN177" i="55"/>
  <c r="AN183" i="55"/>
  <c r="AN139" i="55"/>
  <c r="AN179" i="55"/>
  <c r="AN166" i="55"/>
  <c r="AN143" i="55"/>
  <c r="AN180" i="55"/>
  <c r="AN137" i="55"/>
  <c r="AN140" i="55"/>
  <c r="AN156" i="55"/>
  <c r="AN157" i="55"/>
  <c r="AN154" i="55"/>
  <c r="AN163" i="55"/>
  <c r="AN176" i="55"/>
  <c r="AN181" i="55"/>
  <c r="AN178" i="55"/>
  <c r="AN152" i="55"/>
  <c r="AN138" i="55"/>
  <c r="AN158" i="55"/>
  <c r="AN136" i="55"/>
  <c r="AN150" i="55"/>
  <c r="AN155" i="55"/>
  <c r="AN148" i="55"/>
  <c r="AN171" i="55"/>
  <c r="AN186" i="55"/>
  <c r="AN169" i="55"/>
  <c r="AN162" i="55"/>
  <c r="AN182" i="55"/>
  <c r="AN133" i="55"/>
  <c r="AN135" i="55"/>
  <c r="AN144" i="55"/>
  <c r="AN172" i="55"/>
  <c r="AN167" i="55"/>
  <c r="AN173" i="55"/>
  <c r="AN164" i="55"/>
  <c r="AN145" i="55"/>
  <c r="AN165" i="55"/>
  <c r="AN146" i="55"/>
  <c r="AN142" i="55"/>
  <c r="AN147" i="55"/>
  <c r="AN159" i="55"/>
  <c r="AN175" i="55"/>
  <c r="AN168" i="55"/>
  <c r="AN151" i="55"/>
  <c r="AN185" i="55"/>
  <c r="AN153" i="55"/>
  <c r="AN184" i="55"/>
  <c r="AN170" i="55"/>
  <c r="AN134" i="55"/>
  <c r="AN161" i="55"/>
  <c r="AN174" i="55"/>
  <c r="AN141" i="55"/>
  <c r="AN132" i="55"/>
  <c r="AN160" i="55"/>
  <c r="Z14" i="55"/>
  <c r="Z15" i="55"/>
  <c r="AN130" i="55"/>
  <c r="Z13" i="55"/>
  <c r="Z11" i="55"/>
  <c r="AN33" i="55"/>
  <c r="AN98" i="55"/>
  <c r="AN118" i="55"/>
  <c r="Z7" i="55"/>
  <c r="Z8" i="55"/>
  <c r="AA18" i="47"/>
  <c r="AP16" i="47"/>
  <c r="AY20" i="55"/>
  <c r="AA16" i="47"/>
  <c r="AN62" i="55"/>
  <c r="AN56" i="55"/>
  <c r="AA49" i="47"/>
  <c r="AP49" i="47"/>
  <c r="AA35" i="47"/>
  <c r="AP75" i="47"/>
  <c r="AN77" i="55"/>
  <c r="AN5" i="55"/>
  <c r="AP15" i="47"/>
  <c r="AA15" i="47"/>
  <c r="L40" i="35"/>
  <c r="L39" i="35"/>
  <c r="AP35" i="47"/>
  <c r="O152" i="36"/>
  <c r="Y8" i="55"/>
  <c r="AA46" i="55"/>
  <c r="AP33" i="47"/>
  <c r="AA33" i="47"/>
  <c r="AN14" i="55"/>
  <c r="AN39" i="55"/>
  <c r="AA62" i="47"/>
  <c r="AA58" i="47"/>
  <c r="AP58" i="47"/>
  <c r="AN85" i="55"/>
  <c r="AN84" i="55"/>
  <c r="Z9" i="55"/>
  <c r="Z64" i="55"/>
  <c r="AA64" i="47"/>
  <c r="AP64" i="47"/>
  <c r="L124" i="35"/>
  <c r="M124" i="35"/>
  <c r="AN105" i="55"/>
  <c r="J79" i="34"/>
  <c r="M26" i="55"/>
  <c r="F27" i="47"/>
  <c r="F26" i="47"/>
  <c r="F52" i="47"/>
  <c r="F51" i="47"/>
  <c r="F39" i="47"/>
  <c r="M37" i="55"/>
  <c r="K30" i="47"/>
  <c r="J30" i="47"/>
  <c r="L30" i="47"/>
  <c r="T8" i="47"/>
  <c r="R8" i="47"/>
  <c r="S8" i="47"/>
  <c r="Q8" i="47"/>
  <c r="AO108" i="47"/>
  <c r="AN108" i="47"/>
  <c r="AN37" i="55"/>
  <c r="AN36" i="55"/>
  <c r="L89" i="35"/>
  <c r="O67" i="36"/>
  <c r="AA44" i="55" s="1"/>
  <c r="O143" i="36"/>
  <c r="AA53" i="55" s="1"/>
  <c r="AA50" i="55"/>
  <c r="AA52" i="55"/>
  <c r="AA7" i="55"/>
  <c r="AA41" i="55"/>
  <c r="AA29" i="55"/>
  <c r="AA28" i="55"/>
  <c r="A10" i="35"/>
  <c r="AO109" i="47" s="1"/>
  <c r="Q9" i="47"/>
  <c r="M81" i="35"/>
  <c r="L81" i="35"/>
  <c r="M58" i="36"/>
  <c r="N58" i="36"/>
  <c r="AA94" i="47"/>
  <c r="AP92" i="47"/>
  <c r="AA92" i="47"/>
  <c r="J40" i="34"/>
  <c r="K40" i="34"/>
  <c r="AN13" i="55"/>
  <c r="AN12" i="55"/>
  <c r="K71" i="34"/>
  <c r="J71" i="34"/>
  <c r="L62" i="36"/>
  <c r="Y13" i="55"/>
  <c r="O62" i="36"/>
  <c r="J96" i="34"/>
  <c r="K96" i="34"/>
  <c r="K65" i="34"/>
  <c r="J65" i="34"/>
  <c r="M76" i="35"/>
  <c r="L76" i="35"/>
  <c r="L117" i="35"/>
  <c r="M117" i="35"/>
  <c r="K86" i="34"/>
  <c r="J86" i="34"/>
  <c r="AA12" i="55"/>
  <c r="N94" i="36"/>
  <c r="M94" i="36"/>
  <c r="M128" i="35"/>
  <c r="L128" i="35"/>
  <c r="M75" i="36"/>
  <c r="N75" i="36"/>
  <c r="M158" i="36"/>
  <c r="N158" i="36"/>
  <c r="L155" i="35"/>
  <c r="M155" i="35"/>
  <c r="J95" i="34"/>
  <c r="K95" i="34"/>
  <c r="J42" i="34"/>
  <c r="K42" i="34"/>
  <c r="M125" i="35"/>
  <c r="AY37" i="55"/>
  <c r="AA90" i="47"/>
  <c r="AP90" i="47"/>
  <c r="L80" i="35"/>
  <c r="M80" i="35"/>
  <c r="AA67" i="47"/>
  <c r="AP67" i="47"/>
  <c r="AY28" i="55"/>
  <c r="L162" i="35"/>
  <c r="M162" i="35"/>
  <c r="N95" i="36"/>
  <c r="M95" i="36"/>
  <c r="AN44" i="55"/>
  <c r="AN45" i="55"/>
  <c r="L90" i="35"/>
  <c r="M90" i="35"/>
  <c r="K74" i="34"/>
  <c r="J74" i="34"/>
  <c r="K67" i="34"/>
  <c r="J67" i="34"/>
  <c r="M75" i="35"/>
  <c r="L75" i="35"/>
  <c r="L72" i="35"/>
  <c r="M72" i="35"/>
  <c r="L157" i="35"/>
  <c r="M157" i="35"/>
  <c r="N132" i="36"/>
  <c r="M132" i="36"/>
  <c r="L84" i="35"/>
  <c r="M84" i="35"/>
  <c r="N131" i="36"/>
  <c r="M131" i="36"/>
  <c r="M22" i="55"/>
  <c r="F66" i="47"/>
  <c r="M60" i="36"/>
  <c r="N60" i="36"/>
  <c r="Y21" i="55"/>
  <c r="L112" i="36"/>
  <c r="N98" i="36"/>
  <c r="M98" i="36"/>
  <c r="Y14" i="55"/>
  <c r="L72" i="36"/>
  <c r="O72" i="36"/>
  <c r="M61" i="36"/>
  <c r="N61" i="36"/>
  <c r="AN16" i="55"/>
  <c r="AN15" i="55"/>
  <c r="M70" i="36"/>
  <c r="N70" i="36"/>
  <c r="M158" i="35"/>
  <c r="L158" i="35"/>
  <c r="N128" i="36"/>
  <c r="M128" i="36"/>
  <c r="L191" i="35"/>
  <c r="M191" i="35"/>
  <c r="N74" i="36"/>
  <c r="M74" i="36"/>
  <c r="M164" i="35"/>
  <c r="L164" i="35"/>
  <c r="Y7" i="55"/>
  <c r="L152" i="36"/>
  <c r="J57" i="34"/>
  <c r="K57" i="34"/>
  <c r="L123" i="35"/>
  <c r="M123" i="35"/>
  <c r="Y17" i="55"/>
  <c r="L57" i="36"/>
  <c r="O57" i="36"/>
  <c r="M121" i="35"/>
  <c r="L121" i="35"/>
  <c r="M124" i="36"/>
  <c r="N124" i="36"/>
  <c r="L79" i="35"/>
  <c r="M79" i="35"/>
  <c r="K92" i="34"/>
  <c r="J92" i="34"/>
  <c r="L95" i="35"/>
  <c r="M95" i="35"/>
  <c r="AY46" i="55"/>
  <c r="AA66" i="47"/>
  <c r="AP66" i="47"/>
  <c r="AP69" i="47"/>
  <c r="AA69" i="47"/>
  <c r="AY29" i="55"/>
  <c r="M68" i="36"/>
  <c r="N68" i="36"/>
  <c r="K35" i="34"/>
  <c r="J35" i="34"/>
  <c r="AY40" i="55"/>
  <c r="AP54" i="47"/>
  <c r="AA54" i="47"/>
  <c r="AY41" i="55"/>
  <c r="L120" i="35"/>
  <c r="M120" i="35"/>
  <c r="AA37" i="47"/>
  <c r="AP37" i="47"/>
  <c r="AY16" i="55"/>
  <c r="N64" i="36"/>
  <c r="M64" i="36"/>
  <c r="L161" i="35"/>
  <c r="M161" i="35"/>
  <c r="AA34" i="55"/>
  <c r="AA27" i="55"/>
  <c r="F14" i="47"/>
  <c r="F15" i="47"/>
  <c r="K76" i="34"/>
  <c r="J76" i="34"/>
  <c r="M142" i="35"/>
  <c r="L142" i="35"/>
  <c r="K56" i="34"/>
  <c r="J56" i="34"/>
  <c r="Y52" i="55"/>
  <c r="L143" i="36"/>
  <c r="M29" i="55"/>
  <c r="F40" i="47"/>
  <c r="AY13" i="55"/>
  <c r="AA87" i="47"/>
  <c r="AP87" i="47"/>
  <c r="L92" i="36"/>
  <c r="Y9" i="55"/>
  <c r="O92" i="36"/>
  <c r="M190" i="35"/>
  <c r="L190" i="35"/>
  <c r="L88" i="35"/>
  <c r="M88" i="35"/>
  <c r="L94" i="35"/>
  <c r="M94" i="35"/>
  <c r="AP83" i="47"/>
  <c r="AA82" i="47"/>
  <c r="AP82" i="47"/>
  <c r="L91" i="35"/>
  <c r="M91" i="35"/>
  <c r="N153" i="36"/>
  <c r="M153" i="36"/>
  <c r="K87" i="34"/>
  <c r="J87" i="34"/>
  <c r="M77" i="35"/>
  <c r="L77" i="35"/>
  <c r="M156" i="35"/>
  <c r="L156" i="35"/>
  <c r="AA74" i="47"/>
  <c r="AP74" i="47"/>
  <c r="N77" i="36"/>
  <c r="M77" i="36"/>
  <c r="N113" i="36"/>
  <c r="M113" i="36"/>
  <c r="K41" i="34"/>
  <c r="J41" i="34"/>
  <c r="L202" i="35"/>
  <c r="J66" i="34"/>
  <c r="K66" i="34"/>
  <c r="J43" i="34"/>
  <c r="K43" i="34"/>
  <c r="AY33" i="55"/>
  <c r="AP42" i="47"/>
  <c r="AA42" i="47"/>
  <c r="M193" i="35"/>
  <c r="L193" i="35"/>
  <c r="AA36" i="47"/>
  <c r="AP36" i="47"/>
  <c r="M145" i="35"/>
  <c r="L145" i="35"/>
  <c r="K44" i="34"/>
  <c r="J44" i="34"/>
  <c r="L141" i="35"/>
  <c r="M141" i="35"/>
  <c r="J58" i="34"/>
  <c r="K58" i="34"/>
  <c r="M130" i="36"/>
  <c r="N130" i="36"/>
  <c r="M127" i="35"/>
  <c r="L127" i="35"/>
  <c r="J97" i="34"/>
  <c r="K97" i="34"/>
  <c r="M118" i="35"/>
  <c r="L118" i="35"/>
  <c r="AA41" i="47"/>
  <c r="AP41" i="47"/>
  <c r="AY44" i="55"/>
  <c r="M70" i="35"/>
  <c r="L70" i="35"/>
  <c r="K46" i="34"/>
  <c r="J46" i="34"/>
  <c r="N160" i="36"/>
  <c r="M160" i="36"/>
  <c r="M163" i="35"/>
  <c r="L163" i="35"/>
  <c r="Z18" i="55"/>
  <c r="Z17" i="55"/>
  <c r="L192" i="35"/>
  <c r="M192" i="35"/>
  <c r="L197" i="35"/>
  <c r="M197" i="35"/>
  <c r="M123" i="36"/>
  <c r="N123" i="36"/>
  <c r="L86" i="35"/>
  <c r="M86" i="35"/>
  <c r="K77" i="34"/>
  <c r="J77" i="34"/>
  <c r="K73" i="34"/>
  <c r="J73" i="34"/>
  <c r="AP63" i="47"/>
  <c r="AA63" i="47"/>
  <c r="AY35" i="55"/>
  <c r="AA91" i="47"/>
  <c r="AP91" i="47"/>
  <c r="J38" i="34"/>
  <c r="K38" i="34"/>
  <c r="O112" i="36"/>
  <c r="AA21" i="55" s="1"/>
  <c r="M126" i="35"/>
  <c r="M8" i="55"/>
  <c r="F32" i="47"/>
  <c r="L127" i="36"/>
  <c r="Y32" i="55"/>
  <c r="O127" i="36"/>
  <c r="AA6" i="55" s="1"/>
  <c r="L116" i="35"/>
  <c r="M116" i="35"/>
  <c r="M78" i="35"/>
  <c r="L78" i="35"/>
  <c r="N159" i="36"/>
  <c r="M159" i="36"/>
  <c r="AN23" i="55"/>
  <c r="AN24" i="55"/>
  <c r="AA39" i="55"/>
  <c r="AA36" i="55"/>
  <c r="AA35" i="55"/>
  <c r="M194" i="35"/>
  <c r="L194" i="35"/>
  <c r="AP40" i="47"/>
  <c r="AA40" i="47"/>
  <c r="AY42" i="55"/>
  <c r="N125" i="36"/>
  <c r="M125" i="36"/>
  <c r="AN113" i="55"/>
  <c r="AN109" i="55"/>
  <c r="M7" i="36"/>
  <c r="N7" i="36"/>
  <c r="L67" i="36"/>
  <c r="Y44" i="55"/>
  <c r="L92" i="35"/>
  <c r="M92" i="35"/>
  <c r="J94" i="34"/>
  <c r="K94" i="34"/>
  <c r="J45" i="34"/>
  <c r="K45" i="34"/>
  <c r="M59" i="36"/>
  <c r="N59" i="36"/>
  <c r="M198" i="35"/>
  <c r="L198" i="35"/>
  <c r="Y26" i="55"/>
  <c r="L122" i="36"/>
  <c r="M87" i="35"/>
  <c r="L87" i="35"/>
  <c r="M27" i="55"/>
  <c r="F29" i="47"/>
  <c r="J72" i="34"/>
  <c r="K72" i="34"/>
  <c r="N69" i="36"/>
  <c r="M69" i="36"/>
  <c r="M143" i="35"/>
  <c r="L143" i="35"/>
  <c r="AA37" i="55"/>
  <c r="N63" i="36"/>
  <c r="M63" i="36"/>
  <c r="N107" i="36"/>
  <c r="M107" i="36"/>
  <c r="M114" i="36"/>
  <c r="N114" i="36"/>
  <c r="O27" i="36"/>
  <c r="AA24" i="55" s="1"/>
  <c r="AP18" i="47"/>
  <c r="M37" i="35"/>
  <c r="AN21" i="55"/>
  <c r="AA93" i="55"/>
  <c r="M22" i="47"/>
  <c r="AN74" i="55"/>
  <c r="AA85" i="55"/>
  <c r="AA73" i="55"/>
  <c r="AA20" i="55"/>
  <c r="AA19" i="55"/>
  <c r="AA42" i="55"/>
  <c r="AA40" i="55"/>
  <c r="N87" i="36"/>
  <c r="M87" i="36"/>
  <c r="N44" i="36"/>
  <c r="M44" i="36"/>
  <c r="M38" i="35"/>
  <c r="L38" i="35"/>
  <c r="M35" i="35"/>
  <c r="L35" i="35"/>
  <c r="N29" i="36"/>
  <c r="M29" i="36"/>
  <c r="Z22" i="55"/>
  <c r="Z23" i="55"/>
  <c r="AN81" i="55"/>
  <c r="L36" i="35"/>
  <c r="M36" i="35"/>
  <c r="AA17" i="47"/>
  <c r="AP17" i="47"/>
  <c r="AY14" i="55"/>
  <c r="AN94" i="55"/>
  <c r="M34" i="35"/>
  <c r="L34" i="35"/>
  <c r="M30" i="36"/>
  <c r="N30" i="36"/>
  <c r="J17" i="34"/>
  <c r="K17" i="34"/>
  <c r="J19" i="34"/>
  <c r="K19" i="34"/>
  <c r="Y22" i="55"/>
  <c r="Y23" i="55"/>
  <c r="L27" i="36"/>
  <c r="M20" i="47"/>
  <c r="AA47" i="55"/>
  <c r="AP107" i="47"/>
  <c r="AN127" i="55"/>
  <c r="T7" i="47"/>
  <c r="L6" i="35"/>
  <c r="M6" i="35"/>
  <c r="M137" i="36"/>
  <c r="N137" i="36"/>
  <c r="N118" i="36"/>
  <c r="M118" i="36"/>
  <c r="N97" i="36"/>
  <c r="M97" i="36"/>
  <c r="A45" i="36"/>
  <c r="AA61" i="55" l="1"/>
  <c r="AA23" i="55"/>
  <c r="AA8" i="55"/>
  <c r="AN128" i="55"/>
  <c r="AN116" i="55"/>
  <c r="AA49" i="55"/>
  <c r="AA91" i="55"/>
  <c r="AA67" i="55"/>
  <c r="M171" i="35"/>
  <c r="AN80" i="55"/>
  <c r="AN114" i="55"/>
  <c r="L199" i="35"/>
  <c r="L200" i="35"/>
  <c r="AN107" i="55"/>
  <c r="AA5" i="55"/>
  <c r="AA30" i="55"/>
  <c r="N100" i="36"/>
  <c r="AN51" i="55"/>
  <c r="M168" i="35"/>
  <c r="L168" i="35"/>
  <c r="M99" i="36"/>
  <c r="M119" i="35"/>
  <c r="AA33" i="55"/>
  <c r="M49" i="36"/>
  <c r="N49" i="36"/>
  <c r="AA66" i="55"/>
  <c r="M43" i="36"/>
  <c r="N43" i="36"/>
  <c r="M21" i="47"/>
  <c r="AP109" i="47"/>
  <c r="M18" i="47"/>
  <c r="AA9" i="55"/>
  <c r="AA64" i="55"/>
  <c r="AA14" i="55"/>
  <c r="AA15" i="55"/>
  <c r="AA32" i="55"/>
  <c r="AA4" i="55"/>
  <c r="AA13" i="55"/>
  <c r="AA11" i="55"/>
  <c r="AL109" i="47"/>
  <c r="R9" i="47"/>
  <c r="S9" i="47"/>
  <c r="T9" i="47"/>
  <c r="AN109" i="47"/>
  <c r="M127" i="36"/>
  <c r="N127" i="36"/>
  <c r="M57" i="36"/>
  <c r="N57" i="36"/>
  <c r="M19" i="47"/>
  <c r="M92" i="36"/>
  <c r="N92" i="36"/>
  <c r="N143" i="36"/>
  <c r="M143" i="36"/>
  <c r="N152" i="36"/>
  <c r="M152" i="36"/>
  <c r="M72" i="36"/>
  <c r="N72" i="36"/>
  <c r="N122" i="36"/>
  <c r="M122" i="36"/>
  <c r="M67" i="36"/>
  <c r="N67" i="36"/>
  <c r="AA18" i="55"/>
  <c r="AA17" i="55"/>
  <c r="M112" i="36"/>
  <c r="N112" i="36"/>
  <c r="M62" i="36"/>
  <c r="N62" i="36"/>
  <c r="A11" i="35"/>
  <c r="AP110" i="47" s="1"/>
  <c r="AJ97" i="47"/>
  <c r="AJ96" i="47"/>
  <c r="AJ100" i="47"/>
  <c r="AJ99" i="47"/>
  <c r="AJ98" i="47"/>
  <c r="AJ95" i="47"/>
  <c r="AJ102" i="47"/>
  <c r="AJ101" i="47"/>
  <c r="N27" i="36"/>
  <c r="M27" i="36"/>
  <c r="V74" i="47"/>
  <c r="V20" i="47"/>
  <c r="V96" i="47"/>
  <c r="V87" i="47"/>
  <c r="V90" i="47"/>
  <c r="V16" i="47"/>
  <c r="V48" i="47"/>
  <c r="V78" i="47"/>
  <c r="V60" i="47"/>
  <c r="V65" i="47"/>
  <c r="V38" i="47"/>
  <c r="V84" i="47"/>
  <c r="V19" i="47"/>
  <c r="V30" i="47"/>
  <c r="V91" i="47"/>
  <c r="V3" i="47"/>
  <c r="V45" i="47"/>
  <c r="V39" i="47"/>
  <c r="V72" i="47"/>
  <c r="V41" i="47"/>
  <c r="V29" i="47"/>
  <c r="V63" i="47"/>
  <c r="V24" i="47"/>
  <c r="V50" i="47"/>
  <c r="V75" i="47"/>
  <c r="V8" i="47"/>
  <c r="V49" i="47"/>
  <c r="V68" i="47"/>
  <c r="V95" i="47"/>
  <c r="V53" i="47"/>
  <c r="V98" i="47"/>
  <c r="V17" i="47"/>
  <c r="V36" i="47"/>
  <c r="V12" i="47"/>
  <c r="V14" i="47"/>
  <c r="V13" i="47"/>
  <c r="V101" i="47"/>
  <c r="V61" i="47"/>
  <c r="V31" i="47"/>
  <c r="V26" i="47"/>
  <c r="V59" i="47"/>
  <c r="V43" i="47"/>
  <c r="V4" i="47"/>
  <c r="V5" i="47"/>
  <c r="V7" i="47"/>
  <c r="V42" i="47"/>
  <c r="V51" i="47"/>
  <c r="V18" i="47"/>
  <c r="V46" i="47"/>
  <c r="V92" i="47"/>
  <c r="V6" i="47"/>
  <c r="V21" i="47"/>
  <c r="V66" i="47"/>
  <c r="V37" i="47"/>
  <c r="V28" i="47"/>
  <c r="V33" i="47"/>
  <c r="V44" i="47"/>
  <c r="V97" i="47"/>
  <c r="V85" i="47"/>
  <c r="V9" i="47"/>
  <c r="V76" i="47"/>
  <c r="V64" i="47"/>
  <c r="V34" i="47"/>
  <c r="V99" i="47"/>
  <c r="V56" i="47"/>
  <c r="V22" i="47"/>
  <c r="V79" i="47"/>
  <c r="V27" i="47"/>
  <c r="V100" i="47"/>
  <c r="V62" i="47"/>
  <c r="V58" i="47"/>
  <c r="V47" i="47"/>
  <c r="V52" i="47"/>
  <c r="V94" i="47"/>
  <c r="V40" i="47"/>
  <c r="V70" i="47"/>
  <c r="V15" i="47"/>
  <c r="V10" i="47"/>
  <c r="V71" i="47"/>
  <c r="V69" i="47"/>
  <c r="V54" i="47"/>
  <c r="V67" i="47"/>
  <c r="V55" i="47"/>
  <c r="V25" i="47"/>
  <c r="V57" i="47"/>
  <c r="V86" i="47"/>
  <c r="V11" i="47"/>
  <c r="V77" i="47"/>
  <c r="V93" i="47"/>
  <c r="V73" i="47"/>
  <c r="V82" i="47"/>
  <c r="V23" i="47"/>
  <c r="V81" i="47"/>
  <c r="V102" i="47"/>
  <c r="V83" i="47"/>
  <c r="V32" i="47"/>
  <c r="V89" i="47"/>
  <c r="V80" i="47"/>
  <c r="V88" i="47"/>
  <c r="V35" i="47"/>
  <c r="A46" i="36"/>
  <c r="AY10" i="54" l="1"/>
  <c r="AY34" i="54"/>
  <c r="AY58" i="54"/>
  <c r="AY82" i="54"/>
  <c r="AY11" i="54"/>
  <c r="AY35" i="54"/>
  <c r="AY59" i="54"/>
  <c r="AY83" i="54"/>
  <c r="AY12" i="54"/>
  <c r="AY36" i="54"/>
  <c r="AY60" i="54"/>
  <c r="AY84" i="54"/>
  <c r="AY23" i="54"/>
  <c r="AY47" i="54"/>
  <c r="AY71" i="54"/>
  <c r="AY95" i="54"/>
  <c r="AY24" i="54"/>
  <c r="AY48" i="54"/>
  <c r="AY72" i="54"/>
  <c r="AY96" i="54"/>
  <c r="AY2" i="54"/>
  <c r="AY26" i="54"/>
  <c r="AY50" i="54"/>
  <c r="AY74" i="54"/>
  <c r="AY98" i="54"/>
  <c r="AY25" i="54"/>
  <c r="AY56" i="54"/>
  <c r="AY89" i="54"/>
  <c r="AY27" i="54"/>
  <c r="AY57" i="54"/>
  <c r="AY90" i="54"/>
  <c r="AY62" i="54"/>
  <c r="AY94" i="54"/>
  <c r="AY28" i="54"/>
  <c r="AY61" i="54"/>
  <c r="AY91" i="54"/>
  <c r="AY29" i="54"/>
  <c r="AY92" i="54"/>
  <c r="AY64" i="54"/>
  <c r="AY30" i="54"/>
  <c r="AY63" i="54"/>
  <c r="AY93" i="54"/>
  <c r="AY31" i="54"/>
  <c r="AY32" i="54"/>
  <c r="AY65" i="54"/>
  <c r="AY97" i="54"/>
  <c r="AY3" i="54"/>
  <c r="AY33" i="54"/>
  <c r="AY66" i="54"/>
  <c r="AY99" i="54"/>
  <c r="AY5" i="54"/>
  <c r="AY38" i="54"/>
  <c r="AY68" i="54"/>
  <c r="AY101" i="54"/>
  <c r="AY9" i="54"/>
  <c r="AY42" i="54"/>
  <c r="AY75" i="54"/>
  <c r="AY14" i="54"/>
  <c r="AY69" i="54"/>
  <c r="AY15" i="54"/>
  <c r="AY70" i="54"/>
  <c r="AY80" i="54"/>
  <c r="AY16" i="54"/>
  <c r="AY73" i="54"/>
  <c r="AY17" i="54"/>
  <c r="AY76" i="54"/>
  <c r="AY18" i="54"/>
  <c r="AY77" i="54"/>
  <c r="AY21" i="54"/>
  <c r="AY22" i="54"/>
  <c r="AY19" i="54"/>
  <c r="AY78" i="54"/>
  <c r="AY81" i="54"/>
  <c r="AY20" i="54"/>
  <c r="AY79" i="54"/>
  <c r="AY37" i="54"/>
  <c r="AY85" i="54"/>
  <c r="AY39" i="54"/>
  <c r="AY86" i="54"/>
  <c r="AY43" i="54"/>
  <c r="AY100" i="54"/>
  <c r="AY44" i="54"/>
  <c r="AY49" i="54"/>
  <c r="AY51" i="54"/>
  <c r="AY7" i="54"/>
  <c r="AY8" i="54"/>
  <c r="AY55" i="54"/>
  <c r="AY67" i="54"/>
  <c r="AY87" i="54"/>
  <c r="AY88" i="54"/>
  <c r="AY4" i="54"/>
  <c r="AY40" i="54"/>
  <c r="AY6" i="54"/>
  <c r="AY13" i="54"/>
  <c r="AY41" i="54"/>
  <c r="AY52" i="54"/>
  <c r="AY53" i="54"/>
  <c r="AY54" i="54"/>
  <c r="AY45" i="54"/>
  <c r="AY46" i="54"/>
  <c r="Q10" i="47"/>
  <c r="AL110" i="47"/>
  <c r="T10" i="47"/>
  <c r="S10" i="47"/>
  <c r="AO110" i="47"/>
  <c r="AN110" i="47"/>
  <c r="A12" i="35"/>
  <c r="Z66" i="44"/>
  <c r="Z19" i="44"/>
  <c r="Z33" i="44"/>
  <c r="W26" i="48"/>
  <c r="Y14" i="48"/>
  <c r="Z43" i="48"/>
  <c r="Z85" i="44"/>
  <c r="Z62" i="48"/>
  <c r="Y83" i="44"/>
  <c r="X67" i="44"/>
  <c r="X30" i="44"/>
  <c r="X72" i="48"/>
  <c r="W83" i="48"/>
  <c r="W15" i="48"/>
  <c r="Z88" i="48"/>
  <c r="Z18" i="48"/>
  <c r="Z50" i="48"/>
  <c r="Z73" i="48"/>
  <c r="W60" i="48"/>
  <c r="BF260" i="48" s="1"/>
  <c r="W23" i="48"/>
  <c r="Z49" i="48"/>
  <c r="Z84" i="48"/>
  <c r="Z25" i="44"/>
  <c r="Z67" i="48"/>
  <c r="AR36" i="54"/>
  <c r="Y85" i="44"/>
  <c r="W89" i="48"/>
  <c r="AR42" i="54"/>
  <c r="AR29" i="54"/>
  <c r="Z71" i="48"/>
  <c r="X63" i="48"/>
  <c r="Y12" i="48"/>
  <c r="Z65" i="44"/>
  <c r="Z70" i="44"/>
  <c r="W10" i="48"/>
  <c r="Z41" i="44"/>
  <c r="AR2" i="54"/>
  <c r="Y72" i="48"/>
  <c r="BH272" i="48" s="1"/>
  <c r="W53" i="48"/>
  <c r="BF253" i="48" s="1"/>
  <c r="Z38" i="44"/>
  <c r="Y65" i="44"/>
  <c r="AR16" i="54"/>
  <c r="X56" i="48"/>
  <c r="W53" i="44"/>
  <c r="W11" i="48"/>
  <c r="X10" i="44"/>
  <c r="Z32" i="44"/>
  <c r="W17" i="48"/>
  <c r="Y63" i="44"/>
  <c r="X10" i="48"/>
  <c r="Y19" i="44"/>
  <c r="Y44" i="44"/>
  <c r="W23" i="44"/>
  <c r="Y92" i="48"/>
  <c r="W81" i="48"/>
  <c r="BF281" i="48" s="1"/>
  <c r="X25" i="48"/>
  <c r="Y21" i="48"/>
  <c r="AR18" i="54"/>
  <c r="X80" i="44"/>
  <c r="X29" i="48"/>
  <c r="X39" i="48"/>
  <c r="Z8" i="44"/>
  <c r="X56" i="44"/>
  <c r="Y18" i="44"/>
  <c r="X18" i="44"/>
  <c r="W61" i="48"/>
  <c r="BF261" i="48" s="1"/>
  <c r="Z15" i="44"/>
  <c r="Y54" i="48"/>
  <c r="BH254" i="48" s="1"/>
  <c r="X72" i="44"/>
  <c r="Y60" i="48"/>
  <c r="BH260" i="48" s="1"/>
  <c r="Y39" i="44"/>
  <c r="Y26" i="48"/>
  <c r="X62" i="48"/>
  <c r="Y87" i="44"/>
  <c r="X18" i="48"/>
  <c r="Y57" i="44"/>
  <c r="Z81" i="48"/>
  <c r="Z3" i="48"/>
  <c r="Y18" i="48"/>
  <c r="Z99" i="44"/>
  <c r="W64" i="48"/>
  <c r="BF264" i="48" s="1"/>
  <c r="Z16" i="48"/>
  <c r="Y80" i="48"/>
  <c r="BH280" i="48" s="1"/>
  <c r="W69" i="48"/>
  <c r="BF269" i="48" s="1"/>
  <c r="Z20" i="48"/>
  <c r="W33" i="44"/>
  <c r="W16" i="48"/>
  <c r="Z60" i="44"/>
  <c r="W42" i="48"/>
  <c r="W67" i="48"/>
  <c r="BF267" i="48" s="1"/>
  <c r="Z87" i="48"/>
  <c r="Z18" i="44"/>
  <c r="Z56" i="48"/>
  <c r="X8" i="48"/>
  <c r="Y27" i="48"/>
  <c r="W43" i="48"/>
  <c r="Z82" i="44"/>
  <c r="X81" i="44"/>
  <c r="Y81" i="44"/>
  <c r="Y8" i="48"/>
  <c r="Y74" i="44"/>
  <c r="Y75" i="48"/>
  <c r="BH275" i="48" s="1"/>
  <c r="X83" i="44"/>
  <c r="X34" i="48"/>
  <c r="Y89" i="44"/>
  <c r="X65" i="44"/>
  <c r="X97" i="48"/>
  <c r="Z63" i="48"/>
  <c r="X61" i="44"/>
  <c r="Z89" i="44"/>
  <c r="Y58" i="44"/>
  <c r="X78" i="44"/>
  <c r="Y53" i="48"/>
  <c r="BH253" i="48" s="1"/>
  <c r="W31" i="48"/>
  <c r="Z68" i="44"/>
  <c r="Y17" i="48"/>
  <c r="W21" i="48"/>
  <c r="X26" i="44"/>
  <c r="W99" i="44"/>
  <c r="Z93" i="48"/>
  <c r="X20" i="48"/>
  <c r="X42" i="48"/>
  <c r="X55" i="48"/>
  <c r="X79" i="44"/>
  <c r="X101" i="48"/>
  <c r="Y68" i="44"/>
  <c r="W98" i="44"/>
  <c r="Z58" i="48"/>
  <c r="Z51" i="48"/>
  <c r="Y42" i="44"/>
  <c r="Z92" i="44"/>
  <c r="Z91" i="44"/>
  <c r="AR51" i="54"/>
  <c r="Z79" i="44"/>
  <c r="W85" i="48"/>
  <c r="W66" i="48"/>
  <c r="BF266" i="48" s="1"/>
  <c r="W51" i="48"/>
  <c r="AR13" i="54"/>
  <c r="X25" i="44"/>
  <c r="Z48" i="48"/>
  <c r="X83" i="48"/>
  <c r="W46" i="44"/>
  <c r="Y8" i="44"/>
  <c r="X8" i="44"/>
  <c r="W34" i="48"/>
  <c r="X94" i="44"/>
  <c r="X29" i="44"/>
  <c r="X75" i="48"/>
  <c r="W32" i="48"/>
  <c r="Y58" i="48"/>
  <c r="BH258" i="48" s="1"/>
  <c r="Y40" i="48"/>
  <c r="X27" i="44"/>
  <c r="Z27" i="48"/>
  <c r="Z3" i="44"/>
  <c r="Z54" i="48"/>
  <c r="Z62" i="44"/>
  <c r="Z69" i="44"/>
  <c r="Y76" i="44"/>
  <c r="AR78" i="54"/>
  <c r="Y77" i="48"/>
  <c r="BH277" i="48" s="1"/>
  <c r="Z13" i="48"/>
  <c r="Y55" i="48"/>
  <c r="BH255" i="48" s="1"/>
  <c r="W27" i="48"/>
  <c r="X59" i="44"/>
  <c r="Y16" i="48"/>
  <c r="Z15" i="48"/>
  <c r="X41" i="44"/>
  <c r="X71" i="48"/>
  <c r="X53" i="48"/>
  <c r="Y24" i="44"/>
  <c r="Z12" i="48"/>
  <c r="X100" i="48"/>
  <c r="AR93" i="54"/>
  <c r="W83" i="44"/>
  <c r="Z49" i="44"/>
  <c r="Y98" i="44"/>
  <c r="X78" i="48"/>
  <c r="W71" i="44"/>
  <c r="Z46" i="44"/>
  <c r="Z59" i="48"/>
  <c r="Z97" i="48"/>
  <c r="Z77" i="44"/>
  <c r="Y41" i="44"/>
  <c r="X6" i="48"/>
  <c r="W49" i="48"/>
  <c r="Y3" i="44"/>
  <c r="Y16" i="44"/>
  <c r="Y70" i="44"/>
  <c r="X26" i="48"/>
  <c r="W73" i="48"/>
  <c r="BF273" i="48" s="1"/>
  <c r="Y94" i="44"/>
  <c r="AR89" i="54"/>
  <c r="W9" i="48"/>
  <c r="Y11" i="44"/>
  <c r="X4" i="48"/>
  <c r="Y78" i="44"/>
  <c r="X68" i="48"/>
  <c r="Y6" i="48"/>
  <c r="X13" i="44"/>
  <c r="X86" i="44"/>
  <c r="Z67" i="44"/>
  <c r="Y72" i="44"/>
  <c r="W58" i="44"/>
  <c r="X15" i="48"/>
  <c r="Y40" i="44"/>
  <c r="X31" i="48"/>
  <c r="W54" i="48"/>
  <c r="BF254" i="48" s="1"/>
  <c r="Y87" i="48"/>
  <c r="W37" i="48"/>
  <c r="X6" i="44"/>
  <c r="Z43" i="44"/>
  <c r="Z32" i="48"/>
  <c r="X86" i="48"/>
  <c r="W74" i="48"/>
  <c r="BF274" i="48" s="1"/>
  <c r="AR98" i="54"/>
  <c r="X37" i="44"/>
  <c r="X51" i="44"/>
  <c r="Z17" i="48"/>
  <c r="AR68" i="54"/>
  <c r="Y10" i="48"/>
  <c r="X36" i="48"/>
  <c r="Z61" i="48"/>
  <c r="Y29" i="48"/>
  <c r="X19" i="44"/>
  <c r="Z13" i="44"/>
  <c r="Z72" i="48"/>
  <c r="X100" i="44"/>
  <c r="X41" i="48"/>
  <c r="X14" i="48"/>
  <c r="Z78" i="44"/>
  <c r="Y66" i="44"/>
  <c r="W78" i="44"/>
  <c r="W85" i="44"/>
  <c r="X85" i="48"/>
  <c r="W51" i="44"/>
  <c r="AR3" i="54"/>
  <c r="Z75" i="48"/>
  <c r="W21" i="44"/>
  <c r="W25" i="48"/>
  <c r="X63" i="44"/>
  <c r="W57" i="44"/>
  <c r="W62" i="44"/>
  <c r="Y57" i="48"/>
  <c r="BH257" i="48" s="1"/>
  <c r="X4" i="44"/>
  <c r="Z66" i="48"/>
  <c r="Y92" i="44"/>
  <c r="Y74" i="48"/>
  <c r="BH274" i="48" s="1"/>
  <c r="Z68" i="48"/>
  <c r="W101" i="48"/>
  <c r="W67" i="44"/>
  <c r="W76" i="44"/>
  <c r="Y85" i="48"/>
  <c r="AR62" i="54"/>
  <c r="AR79" i="54"/>
  <c r="W6" i="44"/>
  <c r="W71" i="48"/>
  <c r="BF271" i="48" s="1"/>
  <c r="W79" i="44"/>
  <c r="W31" i="44"/>
  <c r="X57" i="48"/>
  <c r="AR54" i="54"/>
  <c r="X88" i="44"/>
  <c r="Y14" i="44"/>
  <c r="X60" i="44"/>
  <c r="AR52" i="54"/>
  <c r="Y59" i="44"/>
  <c r="X20" i="44"/>
  <c r="Z28" i="44"/>
  <c r="X19" i="48"/>
  <c r="X82" i="44"/>
  <c r="Y73" i="44"/>
  <c r="W96" i="48"/>
  <c r="W57" i="48"/>
  <c r="BF257" i="48" s="1"/>
  <c r="X95" i="44"/>
  <c r="Y7" i="44"/>
  <c r="Y66" i="48"/>
  <c r="BH266" i="48" s="1"/>
  <c r="Z45" i="44"/>
  <c r="W82" i="48"/>
  <c r="Y61" i="48"/>
  <c r="BH261" i="48" s="1"/>
  <c r="Z20" i="44"/>
  <c r="X47" i="44"/>
  <c r="Z31" i="44"/>
  <c r="Y49" i="44"/>
  <c r="X47" i="48"/>
  <c r="X66" i="44"/>
  <c r="X38" i="48"/>
  <c r="Y9" i="48"/>
  <c r="W56" i="48"/>
  <c r="BF256" i="48" s="1"/>
  <c r="X87" i="44"/>
  <c r="AR19" i="54"/>
  <c r="Y99" i="44"/>
  <c r="Z50" i="44"/>
  <c r="Y75" i="44"/>
  <c r="W65" i="44"/>
  <c r="Z47" i="44"/>
  <c r="Y32" i="44"/>
  <c r="X80" i="48"/>
  <c r="W95" i="44"/>
  <c r="X53" i="44"/>
  <c r="W72" i="48"/>
  <c r="BF272" i="48" s="1"/>
  <c r="X65" i="48"/>
  <c r="Y79" i="44"/>
  <c r="Z99" i="48"/>
  <c r="W30" i="48"/>
  <c r="W34" i="44"/>
  <c r="X2" i="48"/>
  <c r="Z83" i="44"/>
  <c r="X96" i="48"/>
  <c r="X73" i="48"/>
  <c r="Z38" i="48"/>
  <c r="Z10" i="44"/>
  <c r="Z80" i="44"/>
  <c r="Z35" i="48"/>
  <c r="Z30" i="44"/>
  <c r="Y30" i="44"/>
  <c r="X90" i="48"/>
  <c r="Y99" i="48"/>
  <c r="Y93" i="44"/>
  <c r="Z4" i="44"/>
  <c r="X11" i="48"/>
  <c r="X91" i="44"/>
  <c r="Y84" i="44"/>
  <c r="Y34" i="48"/>
  <c r="X17" i="44"/>
  <c r="Y101" i="44"/>
  <c r="Y73" i="48"/>
  <c r="BH273" i="48" s="1"/>
  <c r="Z14" i="48"/>
  <c r="Z44" i="48"/>
  <c r="Y17" i="44"/>
  <c r="W13" i="48"/>
  <c r="W46" i="48"/>
  <c r="X99" i="44"/>
  <c r="Z80" i="48"/>
  <c r="AR81" i="54"/>
  <c r="Z40" i="48"/>
  <c r="X58" i="48"/>
  <c r="Y91" i="48"/>
  <c r="X93" i="48"/>
  <c r="Y101" i="48"/>
  <c r="Y22" i="48"/>
  <c r="Z55" i="44"/>
  <c r="Y78" i="48"/>
  <c r="BH278" i="48" s="1"/>
  <c r="Z90" i="44"/>
  <c r="X52" i="48"/>
  <c r="Y4" i="44"/>
  <c r="Z72" i="44"/>
  <c r="Y65" i="48"/>
  <c r="BH265" i="48" s="1"/>
  <c r="AR91" i="54"/>
  <c r="Z14" i="44"/>
  <c r="W19" i="48"/>
  <c r="X51" i="48"/>
  <c r="Y37" i="44"/>
  <c r="Z6" i="44"/>
  <c r="Z37" i="44"/>
  <c r="Z9" i="44"/>
  <c r="Z76" i="44"/>
  <c r="Z25" i="48"/>
  <c r="Y38" i="44"/>
  <c r="Y13" i="48"/>
  <c r="Y67" i="44"/>
  <c r="Y54" i="44"/>
  <c r="W84" i="48"/>
  <c r="X28" i="44"/>
  <c r="W29" i="48"/>
  <c r="Y50" i="48"/>
  <c r="Y41" i="48"/>
  <c r="Z84" i="44"/>
  <c r="Y13" i="44"/>
  <c r="Z69" i="48"/>
  <c r="Y24" i="48"/>
  <c r="AR63" i="54"/>
  <c r="X61" i="48"/>
  <c r="W60" i="44"/>
  <c r="W47" i="48"/>
  <c r="Y71" i="44"/>
  <c r="W68" i="44"/>
  <c r="X49" i="48"/>
  <c r="Z76" i="48"/>
  <c r="Y6" i="44"/>
  <c r="W87" i="44"/>
  <c r="X101" i="44"/>
  <c r="Z39" i="48"/>
  <c r="W86" i="48"/>
  <c r="W76" i="48"/>
  <c r="BF276" i="48" s="1"/>
  <c r="Y81" i="48"/>
  <c r="BH281" i="48" s="1"/>
  <c r="W20" i="48"/>
  <c r="Z90" i="48"/>
  <c r="W92" i="48"/>
  <c r="Y26" i="44"/>
  <c r="X16" i="48"/>
  <c r="W40" i="48"/>
  <c r="X40" i="44"/>
  <c r="X37" i="48"/>
  <c r="Y76" i="48"/>
  <c r="BH276" i="48" s="1"/>
  <c r="Z16" i="44"/>
  <c r="Z4" i="48"/>
  <c r="W38" i="44"/>
  <c r="X69" i="44"/>
  <c r="X9" i="48"/>
  <c r="W94" i="48"/>
  <c r="X58" i="44"/>
  <c r="Y33" i="44"/>
  <c r="Z74" i="48"/>
  <c r="Z39" i="44"/>
  <c r="Y10" i="44"/>
  <c r="Z26" i="48"/>
  <c r="Z95" i="48"/>
  <c r="AR21" i="54"/>
  <c r="X23" i="48"/>
  <c r="Z81" i="44"/>
  <c r="Z37" i="48"/>
  <c r="Y35" i="44"/>
  <c r="Y20" i="48"/>
  <c r="Y9" i="44"/>
  <c r="W22" i="48"/>
  <c r="X24" i="48"/>
  <c r="Z34" i="48"/>
  <c r="Z34" i="44"/>
  <c r="X3" i="48"/>
  <c r="X38" i="44"/>
  <c r="X77" i="44"/>
  <c r="W28" i="44"/>
  <c r="W18" i="48"/>
  <c r="X93" i="44"/>
  <c r="W35" i="48"/>
  <c r="Z77" i="48"/>
  <c r="X28" i="48"/>
  <c r="X21" i="44"/>
  <c r="Z86" i="44"/>
  <c r="Z27" i="44"/>
  <c r="Y37" i="48"/>
  <c r="W79" i="48"/>
  <c r="BF279" i="48" s="1"/>
  <c r="Y91" i="44"/>
  <c r="Y70" i="48"/>
  <c r="BH270" i="48" s="1"/>
  <c r="Y15" i="48"/>
  <c r="Y30" i="48"/>
  <c r="AR49" i="54"/>
  <c r="Y63" i="48"/>
  <c r="BH263" i="48" s="1"/>
  <c r="X31" i="44"/>
  <c r="X69" i="48"/>
  <c r="W61" i="44"/>
  <c r="Y60" i="44"/>
  <c r="Y27" i="44"/>
  <c r="Z31" i="48"/>
  <c r="Y48" i="48"/>
  <c r="X49" i="44"/>
  <c r="X34" i="44"/>
  <c r="Z87" i="44"/>
  <c r="W62" i="48"/>
  <c r="BF262" i="48" s="1"/>
  <c r="W24" i="48"/>
  <c r="Y19" i="48"/>
  <c r="X15" i="44"/>
  <c r="X5" i="44"/>
  <c r="Z47" i="48"/>
  <c r="Y12" i="44"/>
  <c r="Z11" i="48"/>
  <c r="Y86" i="48"/>
  <c r="Y88" i="48"/>
  <c r="Y39" i="48"/>
  <c r="W95" i="48"/>
  <c r="Y69" i="44"/>
  <c r="Y2" i="48"/>
  <c r="W63" i="44"/>
  <c r="AR80" i="54"/>
  <c r="Y23" i="48"/>
  <c r="Y45" i="44"/>
  <c r="Z61" i="44"/>
  <c r="X46" i="44"/>
  <c r="X55" i="44"/>
  <c r="X67" i="48"/>
  <c r="X82" i="48"/>
  <c r="AR60" i="54"/>
  <c r="X50" i="44"/>
  <c r="Y56" i="48"/>
  <c r="BH256" i="48" s="1"/>
  <c r="W80" i="48"/>
  <c r="BF280" i="48" s="1"/>
  <c r="X36" i="44"/>
  <c r="W87" i="48"/>
  <c r="Z78" i="48"/>
  <c r="AR12" i="54"/>
  <c r="X81" i="48"/>
  <c r="X89" i="44"/>
  <c r="Z74" i="44"/>
  <c r="Y95" i="48"/>
  <c r="X96" i="44"/>
  <c r="Z33" i="48"/>
  <c r="X75" i="44"/>
  <c r="Y95" i="44"/>
  <c r="Y11" i="48"/>
  <c r="Y28" i="48"/>
  <c r="W63" i="48"/>
  <c r="BF263" i="48" s="1"/>
  <c r="X50" i="48"/>
  <c r="Z101" i="44"/>
  <c r="Z53" i="48"/>
  <c r="Z88" i="44"/>
  <c r="Z24" i="44"/>
  <c r="X62" i="44"/>
  <c r="X59" i="48"/>
  <c r="Y51" i="44"/>
  <c r="Y89" i="48"/>
  <c r="W12" i="44"/>
  <c r="W11" i="44"/>
  <c r="Z59" i="44"/>
  <c r="Z75" i="44"/>
  <c r="Z9" i="48"/>
  <c r="W80" i="44"/>
  <c r="W3" i="48"/>
  <c r="X9" i="44"/>
  <c r="X12" i="48"/>
  <c r="W16" i="44"/>
  <c r="W8" i="48"/>
  <c r="Z23" i="44"/>
  <c r="X35" i="48"/>
  <c r="W93" i="48"/>
  <c r="Y42" i="48"/>
  <c r="AR88" i="54"/>
  <c r="W18" i="44"/>
  <c r="X64" i="44"/>
  <c r="Z2" i="44"/>
  <c r="X85" i="44"/>
  <c r="Z57" i="44"/>
  <c r="Z21" i="44"/>
  <c r="X22" i="44"/>
  <c r="W43" i="44"/>
  <c r="W88" i="48"/>
  <c r="Y38" i="48"/>
  <c r="Y52" i="44"/>
  <c r="Z36" i="44"/>
  <c r="W59" i="48"/>
  <c r="BF259" i="48" s="1"/>
  <c r="Y64" i="44"/>
  <c r="W28" i="48"/>
  <c r="AR26" i="54"/>
  <c r="Z26" i="44"/>
  <c r="Z40" i="44"/>
  <c r="Y100" i="48"/>
  <c r="Z85" i="48"/>
  <c r="X30" i="48"/>
  <c r="W45" i="48"/>
  <c r="Y93" i="48"/>
  <c r="X91" i="48"/>
  <c r="Y31" i="48"/>
  <c r="AR83" i="54"/>
  <c r="X89" i="48"/>
  <c r="X32" i="48"/>
  <c r="Z19" i="48"/>
  <c r="AR67" i="54"/>
  <c r="Y21" i="44"/>
  <c r="Y28" i="44"/>
  <c r="Z12" i="44"/>
  <c r="W78" i="48"/>
  <c r="BF278" i="48" s="1"/>
  <c r="Z8" i="48"/>
  <c r="Y52" i="48"/>
  <c r="BH252" i="48" s="1"/>
  <c r="Y43" i="44"/>
  <c r="Y23" i="44"/>
  <c r="Z11" i="44"/>
  <c r="Z86" i="48"/>
  <c r="Z29" i="48"/>
  <c r="X7" i="48"/>
  <c r="Y62" i="48"/>
  <c r="BH262" i="48" s="1"/>
  <c r="X74" i="44"/>
  <c r="Y34" i="44"/>
  <c r="Z93" i="44"/>
  <c r="W36" i="44"/>
  <c r="X32" i="44"/>
  <c r="X95" i="48"/>
  <c r="Y61" i="44"/>
  <c r="W56" i="44"/>
  <c r="Y62" i="44"/>
  <c r="Y96" i="44"/>
  <c r="X45" i="44"/>
  <c r="Y45" i="48"/>
  <c r="Z44" i="44"/>
  <c r="Y64" i="48"/>
  <c r="BH264" i="48" s="1"/>
  <c r="Y15" i="44"/>
  <c r="X24" i="44"/>
  <c r="X71" i="44"/>
  <c r="Y90" i="48"/>
  <c r="W15" i="44"/>
  <c r="AR70" i="54"/>
  <c r="W50" i="44"/>
  <c r="Y2" i="44"/>
  <c r="X52" i="44"/>
  <c r="Z5" i="44"/>
  <c r="AR4" i="54"/>
  <c r="AR47" i="54"/>
  <c r="W55" i="44"/>
  <c r="W69" i="44"/>
  <c r="W2" i="48"/>
  <c r="Y82" i="44"/>
  <c r="Y97" i="48"/>
  <c r="Z79" i="48"/>
  <c r="Y94" i="48"/>
  <c r="Z46" i="48"/>
  <c r="AR35" i="54"/>
  <c r="X14" i="44"/>
  <c r="Z94" i="48"/>
  <c r="W84" i="44"/>
  <c r="Z57" i="48"/>
  <c r="W54" i="44"/>
  <c r="AR31" i="54"/>
  <c r="AR40" i="54"/>
  <c r="W41" i="48"/>
  <c r="AR55" i="54"/>
  <c r="AR28" i="54"/>
  <c r="Y46" i="48"/>
  <c r="Y35" i="48"/>
  <c r="AR23" i="54"/>
  <c r="AR7" i="54"/>
  <c r="W4" i="44"/>
  <c r="W89" i="44"/>
  <c r="Z28" i="48"/>
  <c r="X98" i="44"/>
  <c r="X40" i="48"/>
  <c r="X84" i="48"/>
  <c r="AR14" i="54"/>
  <c r="AR66" i="54"/>
  <c r="W8" i="44"/>
  <c r="X87" i="48"/>
  <c r="X73" i="44"/>
  <c r="Y69" i="48"/>
  <c r="BH269" i="48" s="1"/>
  <c r="Z91" i="48"/>
  <c r="W75" i="48"/>
  <c r="BF275" i="48" s="1"/>
  <c r="Y51" i="48"/>
  <c r="X64" i="48"/>
  <c r="X27" i="48"/>
  <c r="Y25" i="48"/>
  <c r="Z55" i="48"/>
  <c r="Y31" i="44"/>
  <c r="Y80" i="44"/>
  <c r="AR99" i="54"/>
  <c r="AR77" i="54"/>
  <c r="Z36" i="48"/>
  <c r="X45" i="48"/>
  <c r="Y29" i="44"/>
  <c r="Z95" i="44"/>
  <c r="Z100" i="44"/>
  <c r="AR34" i="54"/>
  <c r="AR9" i="54"/>
  <c r="Y7" i="48"/>
  <c r="Z21" i="48"/>
  <c r="W37" i="44"/>
  <c r="X43" i="44"/>
  <c r="Z22" i="44"/>
  <c r="X33" i="48"/>
  <c r="Z5" i="48"/>
  <c r="AR24" i="54"/>
  <c r="Y98" i="48"/>
  <c r="X70" i="48"/>
  <c r="AR48" i="54"/>
  <c r="X84" i="44"/>
  <c r="AR57" i="54"/>
  <c r="X74" i="48"/>
  <c r="AR27" i="54"/>
  <c r="X60" i="48"/>
  <c r="Y36" i="48"/>
  <c r="W38" i="48"/>
  <c r="Y56" i="44"/>
  <c r="W97" i="44"/>
  <c r="Z53" i="44"/>
  <c r="W59" i="44"/>
  <c r="W10" i="44"/>
  <c r="W12" i="48"/>
  <c r="W91" i="44"/>
  <c r="X97" i="44"/>
  <c r="Z97" i="44"/>
  <c r="Y50" i="44"/>
  <c r="Z63" i="44"/>
  <c r="W94" i="44"/>
  <c r="X48" i="44"/>
  <c r="Z54" i="44"/>
  <c r="W100" i="48"/>
  <c r="W47" i="44"/>
  <c r="Z7" i="48"/>
  <c r="Z22" i="48"/>
  <c r="W55" i="48"/>
  <c r="BF255" i="48" s="1"/>
  <c r="Z89" i="48"/>
  <c r="Y48" i="44"/>
  <c r="W45" i="44"/>
  <c r="Y32" i="48"/>
  <c r="AR65" i="54"/>
  <c r="Y88" i="44"/>
  <c r="AR25" i="54"/>
  <c r="AR53" i="54"/>
  <c r="AR17" i="54"/>
  <c r="Y100" i="44"/>
  <c r="Y53" i="44"/>
  <c r="Y20" i="44"/>
  <c r="Y59" i="48"/>
  <c r="BH259" i="48" s="1"/>
  <c r="AR73" i="54"/>
  <c r="W24" i="44"/>
  <c r="W48" i="48"/>
  <c r="X99" i="48"/>
  <c r="X39" i="44"/>
  <c r="AR64" i="54"/>
  <c r="W96" i="44"/>
  <c r="Z70" i="48"/>
  <c r="Z42" i="48"/>
  <c r="X35" i="44"/>
  <c r="Y67" i="48"/>
  <c r="BH267" i="48" s="1"/>
  <c r="X90" i="44"/>
  <c r="Z92" i="48"/>
  <c r="Y22" i="44"/>
  <c r="AR101" i="54"/>
  <c r="Z98" i="44"/>
  <c r="AR75" i="54"/>
  <c r="Z64" i="48"/>
  <c r="W44" i="44"/>
  <c r="W93" i="44"/>
  <c r="W41" i="44"/>
  <c r="W88" i="44"/>
  <c r="Y77" i="44"/>
  <c r="Z6" i="48"/>
  <c r="W42" i="44"/>
  <c r="AR95" i="54"/>
  <c r="Y71" i="48"/>
  <c r="BH271" i="48" s="1"/>
  <c r="X21" i="48"/>
  <c r="Z73" i="44"/>
  <c r="Y43" i="48"/>
  <c r="X66" i="48"/>
  <c r="AR69" i="54"/>
  <c r="AR90" i="54"/>
  <c r="W22" i="44"/>
  <c r="AR41" i="54"/>
  <c r="X22" i="48"/>
  <c r="X3" i="44"/>
  <c r="Z82" i="48"/>
  <c r="X76" i="44"/>
  <c r="Y86" i="44"/>
  <c r="Z29" i="44"/>
  <c r="X79" i="48"/>
  <c r="Z83" i="48"/>
  <c r="W3" i="44"/>
  <c r="AR84" i="54"/>
  <c r="Y5" i="48"/>
  <c r="Z35" i="44"/>
  <c r="W7" i="44"/>
  <c r="AR74" i="54"/>
  <c r="W101" i="44"/>
  <c r="AR76" i="54"/>
  <c r="Z48" i="44"/>
  <c r="Y82" i="48"/>
  <c r="Y79" i="48"/>
  <c r="BH279" i="48" s="1"/>
  <c r="AR8" i="54"/>
  <c r="Y55" i="44"/>
  <c r="W100" i="44"/>
  <c r="Z24" i="48"/>
  <c r="X23" i="44"/>
  <c r="AR15" i="54"/>
  <c r="AR30" i="54"/>
  <c r="Z23" i="48"/>
  <c r="AR87" i="54"/>
  <c r="W32" i="44"/>
  <c r="W26" i="44"/>
  <c r="X11" i="44"/>
  <c r="W91" i="48"/>
  <c r="W39" i="48"/>
  <c r="Z51" i="44"/>
  <c r="Z100" i="48"/>
  <c r="Z10" i="48"/>
  <c r="Y68" i="48"/>
  <c r="BH268" i="48" s="1"/>
  <c r="Z64" i="44"/>
  <c r="X77" i="48"/>
  <c r="X16" i="44"/>
  <c r="AR94" i="54"/>
  <c r="X33" i="44"/>
  <c r="W9" i="44"/>
  <c r="W98" i="48"/>
  <c r="Y46" i="44"/>
  <c r="Y47" i="44"/>
  <c r="Z17" i="44"/>
  <c r="X92" i="48"/>
  <c r="W50" i="48"/>
  <c r="X12" i="44"/>
  <c r="Y83" i="48"/>
  <c r="X54" i="48"/>
  <c r="Y3" i="48"/>
  <c r="Z96" i="48"/>
  <c r="AR43" i="54"/>
  <c r="X2" i="44"/>
  <c r="W99" i="48"/>
  <c r="AR37" i="54"/>
  <c r="AR20" i="54"/>
  <c r="Y4" i="48"/>
  <c r="W17" i="44"/>
  <c r="Z2" i="48"/>
  <c r="X7" i="44"/>
  <c r="W65" i="48"/>
  <c r="BF265" i="48" s="1"/>
  <c r="Y47" i="48"/>
  <c r="W14" i="48"/>
  <c r="Z101" i="48"/>
  <c r="W49" i="44"/>
  <c r="X5" i="48"/>
  <c r="Z7" i="44"/>
  <c r="AR44" i="54"/>
  <c r="Z71" i="44"/>
  <c r="W27" i="44"/>
  <c r="X43" i="48"/>
  <c r="X42" i="44"/>
  <c r="X70" i="44"/>
  <c r="W7" i="48"/>
  <c r="Y44" i="48"/>
  <c r="W66" i="44"/>
  <c r="W68" i="48"/>
  <c r="BF268" i="48" s="1"/>
  <c r="Z42" i="44"/>
  <c r="Z94" i="44"/>
  <c r="W70" i="48"/>
  <c r="BF270" i="48" s="1"/>
  <c r="X76" i="48"/>
  <c r="AR61" i="54"/>
  <c r="X94" i="48"/>
  <c r="W58" i="48"/>
  <c r="BF258" i="48" s="1"/>
  <c r="Z60" i="48"/>
  <c r="X44" i="48"/>
  <c r="W52" i="48"/>
  <c r="BF252" i="48" s="1"/>
  <c r="X57" i="44"/>
  <c r="AR22" i="54"/>
  <c r="Z30" i="48"/>
  <c r="W35" i="44"/>
  <c r="W40" i="44"/>
  <c r="W13" i="44"/>
  <c r="W70" i="44"/>
  <c r="W52" i="44"/>
  <c r="W14" i="44"/>
  <c r="W44" i="48"/>
  <c r="Z98" i="48"/>
  <c r="W75" i="44"/>
  <c r="AR56" i="54"/>
  <c r="W97" i="48"/>
  <c r="AR72" i="54"/>
  <c r="Z45" i="48"/>
  <c r="Y97" i="44"/>
  <c r="W20" i="44"/>
  <c r="AR11" i="54"/>
  <c r="W74" i="44"/>
  <c r="W30" i="44"/>
  <c r="X17" i="48"/>
  <c r="Y36" i="44"/>
  <c r="W81" i="44"/>
  <c r="AR96" i="54"/>
  <c r="Y5" i="44"/>
  <c r="W92" i="44"/>
  <c r="AR6" i="54"/>
  <c r="Y49" i="48"/>
  <c r="W33" i="48"/>
  <c r="Z58" i="44"/>
  <c r="W73" i="44"/>
  <c r="AR85" i="54"/>
  <c r="AR5" i="54"/>
  <c r="AR92" i="54"/>
  <c r="AR33" i="54"/>
  <c r="AR32" i="54"/>
  <c r="X68" i="44"/>
  <c r="Y84" i="48"/>
  <c r="Y96" i="48"/>
  <c r="Y33" i="48"/>
  <c r="W77" i="44"/>
  <c r="Z52" i="48"/>
  <c r="AR58" i="54"/>
  <c r="X46" i="48"/>
  <c r="AR45" i="54"/>
  <c r="W48" i="44"/>
  <c r="X98" i="48"/>
  <c r="AR50" i="54"/>
  <c r="X44" i="44"/>
  <c r="Z65" i="48"/>
  <c r="Z56" i="44"/>
  <c r="X13" i="48"/>
  <c r="AR71" i="54"/>
  <c r="AR46" i="54"/>
  <c r="W29" i="44"/>
  <c r="AR82" i="54"/>
  <c r="Z41" i="48"/>
  <c r="W82" i="44"/>
  <c r="W6" i="48"/>
  <c r="W90" i="44"/>
  <c r="W36" i="48"/>
  <c r="W64" i="44"/>
  <c r="X48" i="48"/>
  <c r="AR97" i="54"/>
  <c r="AR38" i="54"/>
  <c r="X92" i="44"/>
  <c r="W86" i="44"/>
  <c r="X54" i="44"/>
  <c r="AR100" i="54"/>
  <c r="W4" i="48"/>
  <c r="AR86" i="54"/>
  <c r="X88" i="48"/>
  <c r="W39" i="44"/>
  <c r="W5" i="44"/>
  <c r="AR10" i="54"/>
  <c r="AR59" i="54"/>
  <c r="AR39" i="54"/>
  <c r="W5" i="48"/>
  <c r="Z96" i="44"/>
  <c r="W2" i="44"/>
  <c r="W77" i="48"/>
  <c r="BF277" i="48" s="1"/>
  <c r="W19" i="44"/>
  <c r="W72" i="44"/>
  <c r="Z52" i="44"/>
  <c r="W25" i="44"/>
  <c r="W90" i="48"/>
  <c r="Y25" i="44"/>
  <c r="Y90" i="44"/>
  <c r="A47" i="36"/>
  <c r="K31" i="47" s="1"/>
  <c r="AW88" i="54" l="1"/>
  <c r="AX88" i="54"/>
  <c r="AV88" i="54"/>
  <c r="AU88" i="54"/>
  <c r="AW49" i="54"/>
  <c r="AV49" i="54"/>
  <c r="AU49" i="54"/>
  <c r="AX49" i="54"/>
  <c r="AW39" i="54"/>
  <c r="AX39" i="54"/>
  <c r="AV39" i="54"/>
  <c r="AU39" i="54"/>
  <c r="AV12" i="54"/>
  <c r="AU12" i="54"/>
  <c r="AW12" i="54"/>
  <c r="AX12" i="54"/>
  <c r="AV96" i="54"/>
  <c r="AX96" i="54"/>
  <c r="AW96" i="54"/>
  <c r="AU96" i="54"/>
  <c r="AV14" i="54"/>
  <c r="AU14" i="54"/>
  <c r="AX14" i="54"/>
  <c r="AW14" i="54"/>
  <c r="AV62" i="54"/>
  <c r="AX62" i="54"/>
  <c r="AW62" i="54"/>
  <c r="AU62" i="54"/>
  <c r="AW51" i="54"/>
  <c r="AV51" i="54"/>
  <c r="AX51" i="54"/>
  <c r="AU51" i="54"/>
  <c r="AW2" i="54"/>
  <c r="AX2" i="54"/>
  <c r="AV2" i="54"/>
  <c r="AU2" i="54"/>
  <c r="AV69" i="54"/>
  <c r="AU69" i="54"/>
  <c r="AW69" i="54"/>
  <c r="AX69" i="54"/>
  <c r="AV38" i="54"/>
  <c r="AX38" i="54"/>
  <c r="AW38" i="54"/>
  <c r="AU38" i="54"/>
  <c r="AX97" i="54"/>
  <c r="AV97" i="54"/>
  <c r="AU97" i="54"/>
  <c r="AW97" i="54"/>
  <c r="AU20" i="54"/>
  <c r="AX20" i="54"/>
  <c r="AW20" i="54"/>
  <c r="AV20" i="54"/>
  <c r="AU9" i="54"/>
  <c r="AX9" i="54"/>
  <c r="AW9" i="54"/>
  <c r="AV9" i="54"/>
  <c r="AV83" i="54"/>
  <c r="AW83" i="54"/>
  <c r="AU83" i="54"/>
  <c r="AX83" i="54"/>
  <c r="AW37" i="54"/>
  <c r="AX37" i="54"/>
  <c r="AV37" i="54"/>
  <c r="AU37" i="54"/>
  <c r="AV84" i="54"/>
  <c r="AW84" i="54"/>
  <c r="AU84" i="54"/>
  <c r="AX84" i="54"/>
  <c r="AU34" i="54"/>
  <c r="AX34" i="54"/>
  <c r="AV34" i="54"/>
  <c r="AW34" i="54"/>
  <c r="AU91" i="54"/>
  <c r="AX91" i="54"/>
  <c r="AW91" i="54"/>
  <c r="AV91" i="54"/>
  <c r="AX56" i="54"/>
  <c r="AU56" i="54"/>
  <c r="AW56" i="54"/>
  <c r="AV56" i="54"/>
  <c r="AU43" i="54"/>
  <c r="AX43" i="54"/>
  <c r="AW43" i="54"/>
  <c r="AV43" i="54"/>
  <c r="AX25" i="54"/>
  <c r="AW25" i="54"/>
  <c r="AU25" i="54"/>
  <c r="AV25" i="54"/>
  <c r="AV47" i="54"/>
  <c r="AU47" i="54"/>
  <c r="AW47" i="54"/>
  <c r="AX47" i="54"/>
  <c r="AX80" i="54"/>
  <c r="AU80" i="54"/>
  <c r="AV80" i="54"/>
  <c r="AW80" i="54"/>
  <c r="AU65" i="54"/>
  <c r="AX65" i="54"/>
  <c r="AV65" i="54"/>
  <c r="AW65" i="54"/>
  <c r="AX7" i="54"/>
  <c r="AU7" i="54"/>
  <c r="AV7" i="54"/>
  <c r="AW7" i="54"/>
  <c r="AW4" i="54"/>
  <c r="AX4" i="54"/>
  <c r="AU4" i="54"/>
  <c r="AV4" i="54"/>
  <c r="AW87" i="54"/>
  <c r="AX87" i="54"/>
  <c r="AV87" i="54"/>
  <c r="AU87" i="54"/>
  <c r="AW101" i="54"/>
  <c r="AV101" i="54"/>
  <c r="AX101" i="54"/>
  <c r="AU101" i="54"/>
  <c r="AV77" i="54"/>
  <c r="AU77" i="54"/>
  <c r="AX77" i="54"/>
  <c r="AW77" i="54"/>
  <c r="AV23" i="54"/>
  <c r="AX23" i="54"/>
  <c r="AW23" i="54"/>
  <c r="AU23" i="54"/>
  <c r="AX93" i="54"/>
  <c r="AW93" i="54"/>
  <c r="AU93" i="54"/>
  <c r="AV93" i="54"/>
  <c r="AX29" i="54"/>
  <c r="AV29" i="54"/>
  <c r="AU29" i="54"/>
  <c r="AW29" i="54"/>
  <c r="AU42" i="54"/>
  <c r="AW42" i="54"/>
  <c r="AX42" i="54"/>
  <c r="AV42" i="54"/>
  <c r="AX30" i="54"/>
  <c r="AW30" i="54"/>
  <c r="AU30" i="54"/>
  <c r="AV30" i="54"/>
  <c r="AW27" i="54"/>
  <c r="AX27" i="54"/>
  <c r="AV27" i="54"/>
  <c r="AU27" i="54"/>
  <c r="AU68" i="54"/>
  <c r="AX68" i="54"/>
  <c r="AV68" i="54"/>
  <c r="AW68" i="54"/>
  <c r="AW15" i="54"/>
  <c r="AV15" i="54"/>
  <c r="AU15" i="54"/>
  <c r="AX15" i="54"/>
  <c r="AX57" i="54"/>
  <c r="AW57" i="54"/>
  <c r="AV57" i="54"/>
  <c r="AU57" i="54"/>
  <c r="AV70" i="54"/>
  <c r="AX70" i="54"/>
  <c r="AU70" i="54"/>
  <c r="AW70" i="54"/>
  <c r="AU19" i="54"/>
  <c r="AX19" i="54"/>
  <c r="AW19" i="54"/>
  <c r="AV19" i="54"/>
  <c r="AV36" i="54"/>
  <c r="AX36" i="54"/>
  <c r="AW36" i="54"/>
  <c r="AU36" i="54"/>
  <c r="AX32" i="54"/>
  <c r="AU32" i="54"/>
  <c r="AW32" i="54"/>
  <c r="AV32" i="54"/>
  <c r="AU92" i="54"/>
  <c r="AX92" i="54"/>
  <c r="AW92" i="54"/>
  <c r="AV92" i="54"/>
  <c r="AX85" i="54"/>
  <c r="AW85" i="54"/>
  <c r="AV85" i="54"/>
  <c r="AU85" i="54"/>
  <c r="AV71" i="54"/>
  <c r="AX71" i="54"/>
  <c r="AW71" i="54"/>
  <c r="AU71" i="54"/>
  <c r="AV59" i="54"/>
  <c r="AX59" i="54"/>
  <c r="AW59" i="54"/>
  <c r="AU59" i="54"/>
  <c r="AW52" i="54"/>
  <c r="AX52" i="54"/>
  <c r="AV52" i="54"/>
  <c r="AU52" i="54"/>
  <c r="AX89" i="54"/>
  <c r="AW89" i="54"/>
  <c r="AV89" i="54"/>
  <c r="AU89" i="54"/>
  <c r="AW28" i="54"/>
  <c r="AX28" i="54"/>
  <c r="AV28" i="54"/>
  <c r="AU28" i="54"/>
  <c r="AU41" i="54"/>
  <c r="AX41" i="54"/>
  <c r="AW41" i="54"/>
  <c r="AV41" i="54"/>
  <c r="AX55" i="54"/>
  <c r="AU55" i="54"/>
  <c r="AW55" i="54"/>
  <c r="AV55" i="54"/>
  <c r="AU44" i="54"/>
  <c r="AX44" i="54"/>
  <c r="AV44" i="54"/>
  <c r="AW44" i="54"/>
  <c r="AU10" i="54"/>
  <c r="AX10" i="54"/>
  <c r="AW10" i="54"/>
  <c r="AV10" i="54"/>
  <c r="AX6" i="54"/>
  <c r="AW6" i="54"/>
  <c r="AV6" i="54"/>
  <c r="AU6" i="54"/>
  <c r="AU90" i="54"/>
  <c r="AW90" i="54"/>
  <c r="AX90" i="54"/>
  <c r="AV90" i="54"/>
  <c r="AV48" i="54"/>
  <c r="AW48" i="54"/>
  <c r="AU48" i="54"/>
  <c r="AX48" i="54"/>
  <c r="AW40" i="54"/>
  <c r="AU40" i="54"/>
  <c r="AX40" i="54"/>
  <c r="AV40" i="54"/>
  <c r="AX21" i="54"/>
  <c r="AW21" i="54"/>
  <c r="AV21" i="54"/>
  <c r="AU21" i="54"/>
  <c r="AW98" i="54"/>
  <c r="AX98" i="54"/>
  <c r="AV98" i="54"/>
  <c r="AU98" i="54"/>
  <c r="AX33" i="54"/>
  <c r="AW33" i="54"/>
  <c r="AV33" i="54"/>
  <c r="AU33" i="54"/>
  <c r="AX31" i="54"/>
  <c r="AU31" i="54"/>
  <c r="AW31" i="54"/>
  <c r="AV31" i="54"/>
  <c r="AV22" i="54"/>
  <c r="AX22" i="54"/>
  <c r="AW22" i="54"/>
  <c r="AU22" i="54"/>
  <c r="AX8" i="54"/>
  <c r="AU8" i="54"/>
  <c r="AV8" i="54"/>
  <c r="AW8" i="54"/>
  <c r="AW81" i="54"/>
  <c r="AV81" i="54"/>
  <c r="AU81" i="54"/>
  <c r="AX81" i="54"/>
  <c r="AW99" i="54"/>
  <c r="AX99" i="54"/>
  <c r="AV99" i="54"/>
  <c r="AU99" i="54"/>
  <c r="AX54" i="54"/>
  <c r="AW54" i="54"/>
  <c r="AV54" i="54"/>
  <c r="AU54" i="54"/>
  <c r="AW3" i="54"/>
  <c r="AX3" i="54"/>
  <c r="AU3" i="54"/>
  <c r="AV3" i="54"/>
  <c r="AW26" i="54"/>
  <c r="AX26" i="54"/>
  <c r="AV26" i="54"/>
  <c r="AU26" i="54"/>
  <c r="AV72" i="54"/>
  <c r="AW72" i="54"/>
  <c r="AU72" i="54"/>
  <c r="AX72" i="54"/>
  <c r="AW63" i="54"/>
  <c r="AU63" i="54"/>
  <c r="AX63" i="54"/>
  <c r="AV63" i="54"/>
  <c r="AW64" i="54"/>
  <c r="AX64" i="54"/>
  <c r="AU64" i="54"/>
  <c r="AV64" i="54"/>
  <c r="AV94" i="54"/>
  <c r="AX94" i="54"/>
  <c r="AW94" i="54"/>
  <c r="AU94" i="54"/>
  <c r="AV13" i="54"/>
  <c r="AU13" i="54"/>
  <c r="AW13" i="54"/>
  <c r="AX13" i="54"/>
  <c r="AW16" i="54"/>
  <c r="AV16" i="54"/>
  <c r="AU16" i="54"/>
  <c r="AX16" i="54"/>
  <c r="AU18" i="54"/>
  <c r="AW18" i="54"/>
  <c r="AV18" i="54"/>
  <c r="AX18" i="54"/>
  <c r="AX53" i="54"/>
  <c r="AW53" i="54"/>
  <c r="AV53" i="54"/>
  <c r="AU53" i="54"/>
  <c r="AU82" i="54"/>
  <c r="AW82" i="54"/>
  <c r="AV82" i="54"/>
  <c r="AX82" i="54"/>
  <c r="AV24" i="54"/>
  <c r="AX24" i="54"/>
  <c r="AW24" i="54"/>
  <c r="AU24" i="54"/>
  <c r="AV86" i="54"/>
  <c r="AX86" i="54"/>
  <c r="AW86" i="54"/>
  <c r="AU86" i="54"/>
  <c r="AW100" i="54"/>
  <c r="AV100" i="54"/>
  <c r="AX100" i="54"/>
  <c r="AU100" i="54"/>
  <c r="AV45" i="54"/>
  <c r="AU45" i="54"/>
  <c r="AW45" i="54"/>
  <c r="AX45" i="54"/>
  <c r="AW76" i="54"/>
  <c r="AU76" i="54"/>
  <c r="AX76" i="54"/>
  <c r="AV76" i="54"/>
  <c r="AV95" i="54"/>
  <c r="AX95" i="54"/>
  <c r="AW95" i="54"/>
  <c r="AU95" i="54"/>
  <c r="AV35" i="54"/>
  <c r="AX35" i="54"/>
  <c r="AW35" i="54"/>
  <c r="AU35" i="54"/>
  <c r="AU67" i="54"/>
  <c r="AX67" i="54"/>
  <c r="AV67" i="54"/>
  <c r="AW67" i="54"/>
  <c r="AX5" i="54"/>
  <c r="AW5" i="54"/>
  <c r="AV5" i="54"/>
  <c r="AU5" i="54"/>
  <c r="AV46" i="54"/>
  <c r="AX46" i="54"/>
  <c r="AU46" i="54"/>
  <c r="AW46" i="54"/>
  <c r="AU58" i="54"/>
  <c r="AX58" i="54"/>
  <c r="AW58" i="54"/>
  <c r="AV58" i="54"/>
  <c r="AW74" i="54"/>
  <c r="AU74" i="54"/>
  <c r="AV74" i="54"/>
  <c r="AX74" i="54"/>
  <c r="AU73" i="54"/>
  <c r="AW73" i="54"/>
  <c r="AV73" i="54"/>
  <c r="AX73" i="54"/>
  <c r="AV60" i="54"/>
  <c r="AX60" i="54"/>
  <c r="AW60" i="54"/>
  <c r="AU60" i="54"/>
  <c r="AX78" i="54"/>
  <c r="AV78" i="54"/>
  <c r="AU78" i="54"/>
  <c r="AW78" i="54"/>
  <c r="AW17" i="54"/>
  <c r="AV17" i="54"/>
  <c r="AU17" i="54"/>
  <c r="AX17" i="54"/>
  <c r="AW75" i="54"/>
  <c r="AU75" i="54"/>
  <c r="AX75" i="54"/>
  <c r="AV75" i="54"/>
  <c r="AW50" i="54"/>
  <c r="AV50" i="54"/>
  <c r="AU50" i="54"/>
  <c r="AX50" i="54"/>
  <c r="AV11" i="54"/>
  <c r="AU11" i="54"/>
  <c r="AX11" i="54"/>
  <c r="AW11" i="54"/>
  <c r="AX61" i="54"/>
  <c r="AW61" i="54"/>
  <c r="AU61" i="54"/>
  <c r="AV61" i="54"/>
  <c r="AU66" i="54"/>
  <c r="AW66" i="54"/>
  <c r="AV66" i="54"/>
  <c r="AX66" i="54"/>
  <c r="AX79" i="54"/>
  <c r="AU79" i="54"/>
  <c r="AV79" i="54"/>
  <c r="AW79" i="54"/>
  <c r="L31" i="47"/>
  <c r="J31" i="47"/>
  <c r="AA100" i="48"/>
  <c r="AA92" i="48"/>
  <c r="AL111" i="47"/>
  <c r="R11" i="47"/>
  <c r="AN111" i="47"/>
  <c r="Q11" i="47"/>
  <c r="AO111" i="47"/>
  <c r="T11" i="47"/>
  <c r="AP111" i="47"/>
  <c r="AA82" i="48"/>
  <c r="AA96" i="48"/>
  <c r="AA86" i="48"/>
  <c r="AA85" i="48"/>
  <c r="AA89" i="48"/>
  <c r="A13" i="35"/>
  <c r="AA101" i="48"/>
  <c r="AA83" i="48"/>
  <c r="AA95" i="48"/>
  <c r="AA98" i="48"/>
  <c r="AA91" i="48"/>
  <c r="AA94" i="48"/>
  <c r="AA90" i="48"/>
  <c r="AA99" i="48"/>
  <c r="AA93" i="48"/>
  <c r="AA87" i="48"/>
  <c r="AT59" i="54"/>
  <c r="AS59" i="54"/>
  <c r="BF204" i="48"/>
  <c r="AI254" i="48"/>
  <c r="BI265" i="48"/>
  <c r="AA65" i="48"/>
  <c r="BJ265" i="48" s="1"/>
  <c r="AS33" i="54"/>
  <c r="AT33" i="54"/>
  <c r="BH249" i="48"/>
  <c r="AK299" i="48"/>
  <c r="AS72" i="54"/>
  <c r="AT72" i="54"/>
  <c r="AT22" i="54"/>
  <c r="AS22" i="54"/>
  <c r="AI257" i="48"/>
  <c r="BF207" i="48"/>
  <c r="AL274" i="48"/>
  <c r="BI224" i="48"/>
  <c r="AA24" i="48"/>
  <c r="AT84" i="54"/>
  <c r="AS84" i="54"/>
  <c r="AS57" i="54"/>
  <c r="AT57" i="54"/>
  <c r="AK257" i="48"/>
  <c r="BH207" i="48"/>
  <c r="AT77" i="54"/>
  <c r="AS77" i="54"/>
  <c r="AK296" i="48"/>
  <c r="BH246" i="48"/>
  <c r="AT35" i="54"/>
  <c r="AS35" i="54"/>
  <c r="AS47" i="54"/>
  <c r="AT47" i="54"/>
  <c r="AT12" i="54"/>
  <c r="AS12" i="54"/>
  <c r="AT80" i="54"/>
  <c r="AS80" i="54"/>
  <c r="BF224" i="48"/>
  <c r="AI274" i="48"/>
  <c r="BI277" i="48"/>
  <c r="AA77" i="48"/>
  <c r="BJ277" i="48" s="1"/>
  <c r="BI237" i="48"/>
  <c r="AL287" i="48"/>
  <c r="AA37" i="48"/>
  <c r="BI274" i="48"/>
  <c r="AA74" i="48"/>
  <c r="BJ274" i="48" s="1"/>
  <c r="BF229" i="48"/>
  <c r="AI279" i="48"/>
  <c r="AS91" i="54"/>
  <c r="AT91" i="54"/>
  <c r="BI280" i="48"/>
  <c r="AA80" i="48"/>
  <c r="BJ280" i="48" s="1"/>
  <c r="BI238" i="48"/>
  <c r="AL288" i="48"/>
  <c r="AA38" i="48"/>
  <c r="AI287" i="48"/>
  <c r="BF237" i="48"/>
  <c r="BF209" i="48"/>
  <c r="AI259" i="48"/>
  <c r="AI299" i="48"/>
  <c r="BF249" i="48"/>
  <c r="AS93" i="54"/>
  <c r="AT93" i="54"/>
  <c r="AK266" i="48"/>
  <c r="BH216" i="48"/>
  <c r="BF243" i="48"/>
  <c r="AI293" i="48"/>
  <c r="BI216" i="48"/>
  <c r="AL266" i="48"/>
  <c r="AA16" i="48"/>
  <c r="AK262" i="48"/>
  <c r="BH212" i="48"/>
  <c r="BI267" i="48"/>
  <c r="AA67" i="48"/>
  <c r="BJ267" i="48" s="1"/>
  <c r="AL268" i="48"/>
  <c r="AA18" i="48"/>
  <c r="BI218" i="48"/>
  <c r="BI262" i="48"/>
  <c r="AA62" i="48"/>
  <c r="BJ262" i="48" s="1"/>
  <c r="AS100" i="54"/>
  <c r="AT100" i="54"/>
  <c r="BF236" i="48"/>
  <c r="AI286" i="48"/>
  <c r="AS46" i="54"/>
  <c r="AT46" i="54"/>
  <c r="BI252" i="48"/>
  <c r="AA52" i="48"/>
  <c r="BJ252" i="48" s="1"/>
  <c r="AS92" i="54"/>
  <c r="AT92" i="54"/>
  <c r="AT6" i="54"/>
  <c r="AS6" i="54"/>
  <c r="AK254" i="48"/>
  <c r="BH204" i="48"/>
  <c r="AK253" i="48"/>
  <c r="BH203" i="48"/>
  <c r="AL273" i="48"/>
  <c r="BI223" i="48"/>
  <c r="AA23" i="48"/>
  <c r="AS76" i="54"/>
  <c r="AT76" i="54"/>
  <c r="AK293" i="48"/>
  <c r="BH243" i="48"/>
  <c r="AL292" i="48"/>
  <c r="BI242" i="48"/>
  <c r="AA42" i="48"/>
  <c r="AT73" i="54"/>
  <c r="AS73" i="54"/>
  <c r="AS53" i="54"/>
  <c r="AT53" i="54"/>
  <c r="BF238" i="48"/>
  <c r="AI288" i="48"/>
  <c r="AS24" i="54"/>
  <c r="AT24" i="54"/>
  <c r="AT9" i="54"/>
  <c r="AS9" i="54"/>
  <c r="AT99" i="54"/>
  <c r="AS99" i="54"/>
  <c r="AA28" i="48"/>
  <c r="AL278" i="48"/>
  <c r="BI228" i="48"/>
  <c r="BI246" i="48"/>
  <c r="AL296" i="48"/>
  <c r="AA46" i="48"/>
  <c r="AS4" i="54"/>
  <c r="AT4" i="54"/>
  <c r="AT83" i="54"/>
  <c r="AS83" i="54"/>
  <c r="BF208" i="48"/>
  <c r="AI258" i="48"/>
  <c r="BI278" i="48"/>
  <c r="AA78" i="48"/>
  <c r="BJ278" i="48" s="1"/>
  <c r="BI211" i="48"/>
  <c r="AA11" i="48"/>
  <c r="AL261" i="48"/>
  <c r="BF235" i="48"/>
  <c r="AI285" i="48"/>
  <c r="BI234" i="48"/>
  <c r="AL284" i="48"/>
  <c r="AA34" i="48"/>
  <c r="AS63" i="54"/>
  <c r="AT63" i="54"/>
  <c r="AK272" i="48"/>
  <c r="BH222" i="48"/>
  <c r="BH209" i="48"/>
  <c r="AK259" i="48"/>
  <c r="AT79" i="54"/>
  <c r="AS79" i="54"/>
  <c r="AI275" i="48"/>
  <c r="BF225" i="48"/>
  <c r="AK279" i="48"/>
  <c r="BH229" i="48"/>
  <c r="AS89" i="54"/>
  <c r="AT89" i="54"/>
  <c r="BH227" i="48"/>
  <c r="AK277" i="48"/>
  <c r="BF242" i="48"/>
  <c r="AI292" i="48"/>
  <c r="AT18" i="54"/>
  <c r="AS18" i="54"/>
  <c r="AA88" i="48"/>
  <c r="AM46" i="47"/>
  <c r="AM87" i="47"/>
  <c r="AM19" i="47"/>
  <c r="AM3" i="47"/>
  <c r="AM17" i="47"/>
  <c r="AM21" i="47"/>
  <c r="AM89" i="47"/>
  <c r="AM77" i="47"/>
  <c r="AM101" i="47"/>
  <c r="AM11" i="47"/>
  <c r="AM59" i="47"/>
  <c r="AM13" i="47"/>
  <c r="AM25" i="47"/>
  <c r="AM58" i="47"/>
  <c r="AM29" i="47"/>
  <c r="AM47" i="47"/>
  <c r="AM86" i="47"/>
  <c r="AM40" i="47"/>
  <c r="AM91" i="47"/>
  <c r="AM73" i="47"/>
  <c r="AM37" i="47"/>
  <c r="AM44" i="47"/>
  <c r="AM57" i="47"/>
  <c r="AM43" i="47"/>
  <c r="AM39" i="47"/>
  <c r="AM18" i="47"/>
  <c r="AM81" i="47"/>
  <c r="AM80" i="47"/>
  <c r="AM82" i="47"/>
  <c r="AM4" i="47"/>
  <c r="AM85" i="47"/>
  <c r="AM102" i="47"/>
  <c r="AM20" i="47"/>
  <c r="AM63" i="47"/>
  <c r="AM41" i="47"/>
  <c r="AM100" i="47"/>
  <c r="AM26" i="47"/>
  <c r="AM56" i="47"/>
  <c r="AM54" i="47"/>
  <c r="AM60" i="47"/>
  <c r="AM34" i="47"/>
  <c r="AM38" i="47"/>
  <c r="AM33" i="47"/>
  <c r="AM71" i="47"/>
  <c r="AM12" i="47"/>
  <c r="AM15" i="47"/>
  <c r="AM93" i="47"/>
  <c r="AM24" i="47"/>
  <c r="AM95" i="47"/>
  <c r="AM96" i="47"/>
  <c r="AM98" i="47"/>
  <c r="AM42" i="47"/>
  <c r="AM68" i="47"/>
  <c r="AM75" i="47"/>
  <c r="AM8" i="47"/>
  <c r="AM30" i="47"/>
  <c r="AM72" i="47"/>
  <c r="AM70" i="47"/>
  <c r="AM67" i="47"/>
  <c r="AM53" i="47"/>
  <c r="AM9" i="47"/>
  <c r="AM28" i="47"/>
  <c r="AM16" i="47"/>
  <c r="AM62" i="47"/>
  <c r="AM7" i="47"/>
  <c r="AM61" i="47"/>
  <c r="AM31" i="47"/>
  <c r="AM83" i="47"/>
  <c r="AM14" i="47"/>
  <c r="AM10" i="47"/>
  <c r="AM78" i="47"/>
  <c r="AM79" i="47"/>
  <c r="AM88" i="47"/>
  <c r="AM55" i="47"/>
  <c r="AM6" i="47"/>
  <c r="AM51" i="47"/>
  <c r="AM99" i="47"/>
  <c r="AM66" i="47"/>
  <c r="AM49" i="47"/>
  <c r="AM50" i="47"/>
  <c r="AM94" i="47"/>
  <c r="AM32" i="47"/>
  <c r="AM22" i="47"/>
  <c r="AM36" i="47"/>
  <c r="AM23" i="47"/>
  <c r="AM69" i="47"/>
  <c r="AM48" i="47"/>
  <c r="AM74" i="47"/>
  <c r="AM35" i="47"/>
  <c r="AM27" i="47"/>
  <c r="AM65" i="47"/>
  <c r="AM5" i="47"/>
  <c r="AM84" i="47"/>
  <c r="AM45" i="47"/>
  <c r="AM92" i="47"/>
  <c r="AM97" i="47"/>
  <c r="AM64" i="47"/>
  <c r="AM90" i="47"/>
  <c r="AM76" i="47"/>
  <c r="AM52" i="47"/>
  <c r="AT10" i="54"/>
  <c r="AS10" i="54"/>
  <c r="AS71" i="54"/>
  <c r="AT71" i="54"/>
  <c r="AT50" i="54"/>
  <c r="AS50" i="54"/>
  <c r="AS5" i="54"/>
  <c r="AT5" i="54"/>
  <c r="AT20" i="54"/>
  <c r="AS20" i="54"/>
  <c r="AT30" i="54"/>
  <c r="AS30" i="54"/>
  <c r="AT101" i="54"/>
  <c r="AS101" i="54"/>
  <c r="AA70" i="48"/>
  <c r="BJ270" i="48" s="1"/>
  <c r="BI270" i="48"/>
  <c r="AI262" i="48"/>
  <c r="BF212" i="48"/>
  <c r="BH236" i="48"/>
  <c r="AK286" i="48"/>
  <c r="AL255" i="48"/>
  <c r="AA5" i="48"/>
  <c r="BI205" i="48"/>
  <c r="AT34" i="54"/>
  <c r="AS34" i="54"/>
  <c r="AK301" i="48"/>
  <c r="BH251" i="48"/>
  <c r="AT28" i="54"/>
  <c r="AS28" i="54"/>
  <c r="BF202" i="48"/>
  <c r="AI252" i="48"/>
  <c r="BH231" i="48"/>
  <c r="AK281" i="48"/>
  <c r="AK288" i="48"/>
  <c r="BH238" i="48"/>
  <c r="BI253" i="48"/>
  <c r="AA53" i="48"/>
  <c r="BJ253" i="48" s="1"/>
  <c r="BI233" i="48"/>
  <c r="AA33" i="48"/>
  <c r="AL283" i="48"/>
  <c r="BH202" i="48"/>
  <c r="AK252" i="48"/>
  <c r="AI270" i="48"/>
  <c r="BF220" i="48"/>
  <c r="BI276" i="48"/>
  <c r="AA76" i="48"/>
  <c r="BJ276" i="48" s="1"/>
  <c r="BH224" i="48"/>
  <c r="AK274" i="48"/>
  <c r="AI296" i="48"/>
  <c r="BF246" i="48"/>
  <c r="BH234" i="48"/>
  <c r="AK284" i="48"/>
  <c r="AS62" i="54"/>
  <c r="AT62" i="54"/>
  <c r="AA61" i="48"/>
  <c r="BJ261" i="48" s="1"/>
  <c r="BI261" i="48"/>
  <c r="AT98" i="54"/>
  <c r="AS98" i="54"/>
  <c r="AL262" i="48"/>
  <c r="AA12" i="48"/>
  <c r="BI212" i="48"/>
  <c r="AI277" i="48"/>
  <c r="BF227" i="48"/>
  <c r="BF232" i="48"/>
  <c r="AI282" i="48"/>
  <c r="AS51" i="54"/>
  <c r="AT51" i="54"/>
  <c r="AI271" i="48"/>
  <c r="BF221" i="48"/>
  <c r="BH226" i="48"/>
  <c r="AK276" i="48"/>
  <c r="AK271" i="48"/>
  <c r="BH221" i="48"/>
  <c r="BI271" i="48"/>
  <c r="AA71" i="48"/>
  <c r="BJ271" i="48" s="1"/>
  <c r="AA84" i="48"/>
  <c r="AI265" i="48"/>
  <c r="BF215" i="48"/>
  <c r="BI243" i="48"/>
  <c r="AA43" i="48"/>
  <c r="AL293" i="48"/>
  <c r="AI256" i="48"/>
  <c r="BF206" i="48"/>
  <c r="BH233" i="48"/>
  <c r="AK283" i="48"/>
  <c r="AS85" i="54"/>
  <c r="AT85" i="54"/>
  <c r="AS11" i="54"/>
  <c r="AT11" i="54"/>
  <c r="AT56" i="54"/>
  <c r="AS56" i="54"/>
  <c r="BF214" i="48"/>
  <c r="AI264" i="48"/>
  <c r="AT37" i="54"/>
  <c r="AS37" i="54"/>
  <c r="AS41" i="54"/>
  <c r="AT41" i="54"/>
  <c r="AS25" i="54"/>
  <c r="AT25" i="54"/>
  <c r="AL272" i="48"/>
  <c r="AA22" i="48"/>
  <c r="BI222" i="48"/>
  <c r="AT66" i="54"/>
  <c r="AS66" i="54"/>
  <c r="AS55" i="54"/>
  <c r="AT55" i="54"/>
  <c r="AS67" i="54"/>
  <c r="AT67" i="54"/>
  <c r="AL297" i="48"/>
  <c r="BI247" i="48"/>
  <c r="AA47" i="48"/>
  <c r="BH237" i="48"/>
  <c r="AK287" i="48"/>
  <c r="BF218" i="48"/>
  <c r="AI268" i="48"/>
  <c r="BF222" i="48"/>
  <c r="AI272" i="48"/>
  <c r="AS21" i="54"/>
  <c r="AT21" i="54"/>
  <c r="BI269" i="48"/>
  <c r="AA69" i="48"/>
  <c r="BJ269" i="48" s="1"/>
  <c r="AI263" i="48"/>
  <c r="BF213" i="48"/>
  <c r="AS54" i="54"/>
  <c r="AT54" i="54"/>
  <c r="AA66" i="48"/>
  <c r="BJ266" i="48" s="1"/>
  <c r="BI266" i="48"/>
  <c r="BI275" i="48"/>
  <c r="AA75" i="48"/>
  <c r="BJ275" i="48" s="1"/>
  <c r="AK256" i="48"/>
  <c r="BH206" i="48"/>
  <c r="AA54" i="48"/>
  <c r="BJ254" i="48" s="1"/>
  <c r="BI254" i="48"/>
  <c r="BI248" i="48"/>
  <c r="AA48" i="48"/>
  <c r="AL298" i="48"/>
  <c r="AK267" i="48"/>
  <c r="BH217" i="48"/>
  <c r="BI263" i="48"/>
  <c r="AA63" i="48"/>
  <c r="BJ263" i="48" s="1"/>
  <c r="AI266" i="48"/>
  <c r="BF216" i="48"/>
  <c r="AK268" i="48"/>
  <c r="BH218" i="48"/>
  <c r="BF211" i="48"/>
  <c r="AI261" i="48"/>
  <c r="AS2" i="54"/>
  <c r="AT2" i="54"/>
  <c r="AT29" i="54"/>
  <c r="AS29" i="54"/>
  <c r="AA49" i="48"/>
  <c r="BI249" i="48"/>
  <c r="AL299" i="48"/>
  <c r="BH214" i="48"/>
  <c r="AK264" i="48"/>
  <c r="BF205" i="48"/>
  <c r="AI255" i="48"/>
  <c r="BI260" i="48"/>
  <c r="AA60" i="48"/>
  <c r="BJ260" i="48" s="1"/>
  <c r="AK297" i="48"/>
  <c r="BH247" i="48"/>
  <c r="AL260" i="48"/>
  <c r="BI210" i="48"/>
  <c r="AA10" i="48"/>
  <c r="AT15" i="54"/>
  <c r="AS15" i="54"/>
  <c r="AS74" i="54"/>
  <c r="AT74" i="54"/>
  <c r="AT64" i="54"/>
  <c r="AS64" i="54"/>
  <c r="BI207" i="48"/>
  <c r="AA7" i="48"/>
  <c r="AL257" i="48"/>
  <c r="AT48" i="54"/>
  <c r="AS48" i="54"/>
  <c r="BI255" i="48"/>
  <c r="AA55" i="48"/>
  <c r="BJ255" i="48" s="1"/>
  <c r="AT14" i="54"/>
  <c r="AS14" i="54"/>
  <c r="AS7" i="54"/>
  <c r="AT7" i="54"/>
  <c r="BI257" i="48"/>
  <c r="AA57" i="48"/>
  <c r="BJ257" i="48" s="1"/>
  <c r="BI279" i="48"/>
  <c r="AA79" i="48"/>
  <c r="BJ279" i="48" s="1"/>
  <c r="BI219" i="48"/>
  <c r="AA19" i="48"/>
  <c r="AL269" i="48"/>
  <c r="AT26" i="54"/>
  <c r="AS26" i="54"/>
  <c r="AT88" i="54"/>
  <c r="AS88" i="54"/>
  <c r="AS3" i="54"/>
  <c r="AT3" i="54"/>
  <c r="AA97" i="48"/>
  <c r="AK258" i="48"/>
  <c r="BH208" i="48"/>
  <c r="BI256" i="48"/>
  <c r="AA56" i="48"/>
  <c r="BJ256" i="48" s="1"/>
  <c r="BI203" i="48"/>
  <c r="AA3" i="48"/>
  <c r="AL253" i="48"/>
  <c r="AS42" i="54"/>
  <c r="AT42" i="54"/>
  <c r="BF223" i="48"/>
  <c r="AI273" i="48"/>
  <c r="AI276" i="48"/>
  <c r="BF226" i="48"/>
  <c r="AS38" i="54"/>
  <c r="AT38" i="54"/>
  <c r="BI241" i="48"/>
  <c r="AA41" i="48"/>
  <c r="AL291" i="48"/>
  <c r="AS45" i="54"/>
  <c r="AT45" i="54"/>
  <c r="AS96" i="54"/>
  <c r="AT96" i="54"/>
  <c r="AI300" i="48"/>
  <c r="BF250" i="48"/>
  <c r="AT8" i="54"/>
  <c r="AS8" i="54"/>
  <c r="AS95" i="54"/>
  <c r="AT95" i="54"/>
  <c r="AT65" i="54"/>
  <c r="AS65" i="54"/>
  <c r="AS27" i="54"/>
  <c r="AT27" i="54"/>
  <c r="AK275" i="48"/>
  <c r="BH225" i="48"/>
  <c r="AS23" i="54"/>
  <c r="AT23" i="54"/>
  <c r="BF241" i="48"/>
  <c r="AI291" i="48"/>
  <c r="AL258" i="48"/>
  <c r="BI208" i="48"/>
  <c r="AA8" i="48"/>
  <c r="BF228" i="48"/>
  <c r="AI278" i="48"/>
  <c r="AK292" i="48"/>
  <c r="BH242" i="48"/>
  <c r="BF203" i="48"/>
  <c r="AI253" i="48"/>
  <c r="AK289" i="48"/>
  <c r="BH239" i="48"/>
  <c r="AK298" i="48"/>
  <c r="BH248" i="48"/>
  <c r="AT49" i="54"/>
  <c r="AS49" i="54"/>
  <c r="AL276" i="48"/>
  <c r="AA26" i="48"/>
  <c r="BI226" i="48"/>
  <c r="AI290" i="48"/>
  <c r="BF240" i="48"/>
  <c r="AK263" i="48"/>
  <c r="BH213" i="48"/>
  <c r="AL294" i="48"/>
  <c r="AA44" i="48"/>
  <c r="BI244" i="48"/>
  <c r="AA35" i="48"/>
  <c r="BI235" i="48"/>
  <c r="AL285" i="48"/>
  <c r="BH210" i="48"/>
  <c r="AK260" i="48"/>
  <c r="AL282" i="48"/>
  <c r="BI232" i="48"/>
  <c r="AA32" i="48"/>
  <c r="BI213" i="48"/>
  <c r="AL263" i="48"/>
  <c r="AA13" i="48"/>
  <c r="BI227" i="48"/>
  <c r="AL277" i="48"/>
  <c r="AA27" i="48"/>
  <c r="AS13" i="54"/>
  <c r="AT13" i="54"/>
  <c r="BF231" i="48"/>
  <c r="AI281" i="48"/>
  <c r="BI220" i="48"/>
  <c r="AA20" i="48"/>
  <c r="AL270" i="48"/>
  <c r="BI281" i="48"/>
  <c r="AA81" i="48"/>
  <c r="BJ281" i="48" s="1"/>
  <c r="AI260" i="48"/>
  <c r="BF210" i="48"/>
  <c r="AS86" i="54"/>
  <c r="AT86" i="54"/>
  <c r="AS97" i="54"/>
  <c r="AT97" i="54"/>
  <c r="AS82" i="54"/>
  <c r="AT82" i="54"/>
  <c r="AA30" i="48"/>
  <c r="BI230" i="48"/>
  <c r="AL280" i="48"/>
  <c r="AS44" i="54"/>
  <c r="AT44" i="54"/>
  <c r="AS90" i="54"/>
  <c r="AT90" i="54"/>
  <c r="BI264" i="48"/>
  <c r="AA64" i="48"/>
  <c r="BJ264" i="48" s="1"/>
  <c r="AK282" i="48"/>
  <c r="BH232" i="48"/>
  <c r="AK285" i="48"/>
  <c r="BH235" i="48"/>
  <c r="AT40" i="54"/>
  <c r="AS40" i="54"/>
  <c r="AS70" i="54"/>
  <c r="AT70" i="54"/>
  <c r="AK295" i="48"/>
  <c r="BH245" i="48"/>
  <c r="AI295" i="48"/>
  <c r="BF245" i="48"/>
  <c r="BH228" i="48"/>
  <c r="AK278" i="48"/>
  <c r="BI231" i="48"/>
  <c r="AA31" i="48"/>
  <c r="AL281" i="48"/>
  <c r="AK280" i="48"/>
  <c r="BH230" i="48"/>
  <c r="AK270" i="48"/>
  <c r="BH220" i="48"/>
  <c r="AL289" i="48"/>
  <c r="AA39" i="48"/>
  <c r="BI239" i="48"/>
  <c r="AI297" i="48"/>
  <c r="BF247" i="48"/>
  <c r="BH241" i="48"/>
  <c r="AK291" i="48"/>
  <c r="AI269" i="48"/>
  <c r="BF219" i="48"/>
  <c r="BI240" i="48"/>
  <c r="AL290" i="48"/>
  <c r="AA40" i="48"/>
  <c r="BI214" i="48"/>
  <c r="AL264" i="48"/>
  <c r="AA14" i="48"/>
  <c r="AT19" i="54"/>
  <c r="AS19" i="54"/>
  <c r="BI272" i="48"/>
  <c r="AA72" i="48"/>
  <c r="BJ272" i="48" s="1"/>
  <c r="AS68" i="54"/>
  <c r="AT68" i="54"/>
  <c r="AA59" i="48"/>
  <c r="BJ259" i="48" s="1"/>
  <c r="BI259" i="48"/>
  <c r="AI284" i="48"/>
  <c r="BF234" i="48"/>
  <c r="AI301" i="48"/>
  <c r="BF251" i="48"/>
  <c r="BI251" i="48"/>
  <c r="AA51" i="48"/>
  <c r="AL301" i="48"/>
  <c r="AT16" i="54"/>
  <c r="AS16" i="54"/>
  <c r="BI273" i="48"/>
  <c r="AA73" i="48"/>
  <c r="BJ273" i="48" s="1"/>
  <c r="AS39" i="54"/>
  <c r="AT39" i="54"/>
  <c r="AT58" i="54"/>
  <c r="AS58" i="54"/>
  <c r="AT32" i="54"/>
  <c r="AS32" i="54"/>
  <c r="AI283" i="48"/>
  <c r="BF233" i="48"/>
  <c r="AA45" i="48"/>
  <c r="AL295" i="48"/>
  <c r="BI245" i="48"/>
  <c r="BF244" i="48"/>
  <c r="AI294" i="48"/>
  <c r="AT61" i="54"/>
  <c r="AS61" i="54"/>
  <c r="BH244" i="48"/>
  <c r="AK294" i="48"/>
  <c r="BI202" i="48"/>
  <c r="AA2" i="48"/>
  <c r="AL252" i="48"/>
  <c r="AS43" i="54"/>
  <c r="AT43" i="54"/>
  <c r="AS94" i="54"/>
  <c r="AT94" i="54"/>
  <c r="BF239" i="48"/>
  <c r="AI289" i="48"/>
  <c r="AT87" i="54"/>
  <c r="AS87" i="54"/>
  <c r="AK255" i="48"/>
  <c r="BH205" i="48"/>
  <c r="AS69" i="54"/>
  <c r="AT69" i="54"/>
  <c r="AL256" i="48"/>
  <c r="BI206" i="48"/>
  <c r="AA6" i="48"/>
  <c r="AT75" i="54"/>
  <c r="AS75" i="54"/>
  <c r="BF248" i="48"/>
  <c r="AI298" i="48"/>
  <c r="AT17" i="54"/>
  <c r="AS17" i="54"/>
  <c r="AL271" i="48"/>
  <c r="AA21" i="48"/>
  <c r="BI221" i="48"/>
  <c r="AL286" i="48"/>
  <c r="AA36" i="48"/>
  <c r="BI236" i="48"/>
  <c r="AT31" i="54"/>
  <c r="AS31" i="54"/>
  <c r="AA29" i="48"/>
  <c r="AL279" i="48"/>
  <c r="BI229" i="48"/>
  <c r="AL259" i="48"/>
  <c r="BI209" i="48"/>
  <c r="AA9" i="48"/>
  <c r="AK261" i="48"/>
  <c r="BH211" i="48"/>
  <c r="AS60" i="54"/>
  <c r="AT60" i="54"/>
  <c r="BH223" i="48"/>
  <c r="AK273" i="48"/>
  <c r="AK269" i="48"/>
  <c r="BH219" i="48"/>
  <c r="BH215" i="48"/>
  <c r="AK265" i="48"/>
  <c r="AL254" i="48"/>
  <c r="AA4" i="48"/>
  <c r="BI204" i="48"/>
  <c r="BH250" i="48"/>
  <c r="AK300" i="48"/>
  <c r="AL275" i="48"/>
  <c r="BI225" i="48"/>
  <c r="AA25" i="48"/>
  <c r="AT81" i="54"/>
  <c r="AS81" i="54"/>
  <c r="BF230" i="48"/>
  <c r="AI280" i="48"/>
  <c r="AS52" i="54"/>
  <c r="AT52" i="54"/>
  <c r="BI268" i="48"/>
  <c r="AA68" i="48"/>
  <c r="BJ268" i="48" s="1"/>
  <c r="BI217" i="48"/>
  <c r="AL267" i="48"/>
  <c r="AA17" i="48"/>
  <c r="AL265" i="48"/>
  <c r="AA15" i="48"/>
  <c r="BI215" i="48"/>
  <c r="AT78" i="54"/>
  <c r="AS78" i="54"/>
  <c r="BH240" i="48"/>
  <c r="AK290" i="48"/>
  <c r="BI258" i="48"/>
  <c r="AA58" i="48"/>
  <c r="BJ258" i="48" s="1"/>
  <c r="BF217" i="48"/>
  <c r="AI267" i="48"/>
  <c r="AS36" i="54"/>
  <c r="AT36" i="54"/>
  <c r="AA50" i="48"/>
  <c r="AL300" i="48"/>
  <c r="BI250" i="48"/>
  <c r="A48" i="36"/>
  <c r="K32" i="47" s="1"/>
  <c r="J32" i="47" l="1"/>
  <c r="M32" i="47"/>
  <c r="L32" i="47"/>
  <c r="A14" i="35"/>
  <c r="Q12" i="47" s="1"/>
  <c r="BJ237" i="48"/>
  <c r="AM287" i="48"/>
  <c r="AM288" i="48"/>
  <c r="BJ238" i="48"/>
  <c r="AM256" i="48"/>
  <c r="BJ206" i="48"/>
  <c r="AM258" i="48"/>
  <c r="BJ208" i="48"/>
  <c r="AM260" i="48"/>
  <c r="BJ210" i="48"/>
  <c r="BJ214" i="48"/>
  <c r="AM264" i="48"/>
  <c r="AM273" i="48"/>
  <c r="BJ223" i="48"/>
  <c r="BJ213" i="48"/>
  <c r="AM263" i="48"/>
  <c r="AM272" i="48"/>
  <c r="BJ222" i="48"/>
  <c r="BJ204" i="48"/>
  <c r="AM254" i="48"/>
  <c r="AM259" i="48"/>
  <c r="BJ209" i="48"/>
  <c r="BJ227" i="48"/>
  <c r="AM277" i="48"/>
  <c r="BJ218" i="48"/>
  <c r="AM268" i="48"/>
  <c r="BJ250" i="48"/>
  <c r="AM300" i="48"/>
  <c r="AM269" i="48"/>
  <c r="BJ219" i="48"/>
  <c r="AM296" i="48"/>
  <c r="BJ246" i="48"/>
  <c r="BJ225" i="48"/>
  <c r="AM275" i="48"/>
  <c r="BJ241" i="48"/>
  <c r="AM291" i="48"/>
  <c r="BJ207" i="48"/>
  <c r="AM257" i="48"/>
  <c r="BJ215" i="48"/>
  <c r="AM265" i="48"/>
  <c r="BJ229" i="48"/>
  <c r="AM279" i="48"/>
  <c r="AM286" i="48"/>
  <c r="BJ236" i="48"/>
  <c r="AM290" i="48"/>
  <c r="BJ240" i="48"/>
  <c r="AM285" i="48"/>
  <c r="BJ235" i="48"/>
  <c r="AM299" i="48"/>
  <c r="BJ249" i="48"/>
  <c r="AM298" i="48"/>
  <c r="BJ248" i="48"/>
  <c r="BJ247" i="48"/>
  <c r="AM297" i="48"/>
  <c r="AM283" i="48"/>
  <c r="BJ233" i="48"/>
  <c r="BJ224" i="48"/>
  <c r="AM274" i="48"/>
  <c r="BJ205" i="48"/>
  <c r="AM255" i="48"/>
  <c r="AM278" i="48"/>
  <c r="BJ228" i="48"/>
  <c r="BJ216" i="48"/>
  <c r="AM266" i="48"/>
  <c r="AM271" i="48"/>
  <c r="BJ221" i="48"/>
  <c r="BJ202" i="48"/>
  <c r="AM252" i="48"/>
  <c r="BM5" i="48"/>
  <c r="BJ243" i="48"/>
  <c r="AM293" i="48"/>
  <c r="AM262" i="48"/>
  <c r="BJ212" i="48"/>
  <c r="BJ234" i="48"/>
  <c r="AM284" i="48"/>
  <c r="AM301" i="48"/>
  <c r="BJ251" i="48"/>
  <c r="BJ245" i="48"/>
  <c r="AM295" i="48"/>
  <c r="AM281" i="48"/>
  <c r="BJ231" i="48"/>
  <c r="AM280" i="48"/>
  <c r="BJ230" i="48"/>
  <c r="AM270" i="48"/>
  <c r="BJ220" i="48"/>
  <c r="BJ232" i="48"/>
  <c r="AM282" i="48"/>
  <c r="AM276" i="48"/>
  <c r="BJ226" i="48"/>
  <c r="AM267" i="48"/>
  <c r="BJ217" i="48"/>
  <c r="AM289" i="48"/>
  <c r="BJ239" i="48"/>
  <c r="BJ244" i="48"/>
  <c r="AM294" i="48"/>
  <c r="AM253" i="48"/>
  <c r="BJ203" i="48"/>
  <c r="AM261" i="48"/>
  <c r="BJ211" i="48"/>
  <c r="AM292" i="48"/>
  <c r="BJ242" i="48"/>
  <c r="A49" i="36"/>
  <c r="M33" i="47" l="1"/>
  <c r="J33" i="47"/>
  <c r="L33" i="47"/>
  <c r="K33" i="47"/>
  <c r="R12" i="47"/>
  <c r="AP112" i="47"/>
  <c r="T12" i="47"/>
  <c r="AO112" i="47"/>
  <c r="S12" i="47"/>
  <c r="A15" i="35"/>
  <c r="T13" i="47" s="1"/>
  <c r="A50" i="36"/>
  <c r="AP113" i="47" l="1"/>
  <c r="A16" i="35"/>
  <c r="AL114" i="47" s="1"/>
  <c r="A51" i="36"/>
  <c r="AP114" i="47" l="1"/>
  <c r="T14" i="47"/>
  <c r="A17" i="35"/>
  <c r="A52" i="36"/>
  <c r="J34" i="47" s="1"/>
  <c r="M34" i="47" l="1"/>
  <c r="L34" i="47"/>
  <c r="A18" i="35"/>
  <c r="A53" i="36"/>
  <c r="J35" i="47" s="1"/>
  <c r="M35" i="47" l="1"/>
  <c r="K35" i="47"/>
  <c r="L35" i="47"/>
  <c r="A19" i="35"/>
  <c r="A54" i="36"/>
  <c r="L36" i="47" s="1"/>
  <c r="AJ94" i="47"/>
  <c r="J36" i="47" l="1"/>
  <c r="K36" i="47"/>
  <c r="M36" i="47"/>
  <c r="A20" i="35"/>
  <c r="T15" i="47" s="1"/>
  <c r="A55" i="36"/>
  <c r="AP115" i="47" l="1"/>
  <c r="A21" i="35"/>
  <c r="A56" i="36"/>
  <c r="A22" i="35" l="1"/>
  <c r="A57" i="36"/>
  <c r="M37" i="47" s="1"/>
  <c r="K37" i="47" l="1"/>
  <c r="L37" i="47"/>
  <c r="J37" i="47"/>
  <c r="A23" i="35"/>
  <c r="A58" i="36"/>
  <c r="L38" i="47" s="1"/>
  <c r="K38" i="47" l="1"/>
  <c r="J38" i="47"/>
  <c r="M38" i="47"/>
  <c r="A24" i="35"/>
  <c r="A59" i="36"/>
  <c r="L39" i="47" s="1"/>
  <c r="J39" i="47" l="1"/>
  <c r="K39" i="47"/>
  <c r="M39" i="47"/>
  <c r="A25" i="35"/>
  <c r="A60" i="36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K40" i="47" l="1"/>
  <c r="M162" i="47"/>
  <c r="M31" i="47"/>
  <c r="K34" i="47"/>
  <c r="M40" i="47"/>
  <c r="L40" i="47"/>
  <c r="J40" i="47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L41" i="47"/>
  <c r="M41" i="47"/>
  <c r="K41" i="47"/>
  <c r="J41" i="47"/>
  <c r="L47" i="47"/>
  <c r="M53" i="47"/>
  <c r="K52" i="47"/>
  <c r="J44" i="47"/>
  <c r="K58" i="47"/>
  <c r="K53" i="47"/>
  <c r="M46" i="47"/>
  <c r="L65" i="47"/>
  <c r="L48" i="47"/>
  <c r="M79" i="47"/>
  <c r="K67" i="47"/>
  <c r="J81" i="47"/>
  <c r="K73" i="47"/>
  <c r="J66" i="47"/>
  <c r="M78" i="47"/>
  <c r="M64" i="47"/>
  <c r="L145" i="47"/>
  <c r="L108" i="47"/>
  <c r="L149" i="47"/>
  <c r="J160" i="47"/>
  <c r="L78" i="47"/>
  <c r="J100" i="47"/>
  <c r="K141" i="47"/>
  <c r="M167" i="47"/>
  <c r="M152" i="47"/>
  <c r="L106" i="47"/>
  <c r="K160" i="47"/>
  <c r="J134" i="47"/>
  <c r="J143" i="47"/>
  <c r="L57" i="47"/>
  <c r="K177" i="47"/>
  <c r="K175" i="47"/>
  <c r="J104" i="47"/>
  <c r="M75" i="47"/>
  <c r="K109" i="47"/>
  <c r="L94" i="47"/>
  <c r="J148" i="47"/>
  <c r="L135" i="47"/>
  <c r="K114" i="47"/>
  <c r="L81" i="47"/>
  <c r="K162" i="47"/>
  <c r="L139" i="47"/>
  <c r="L140" i="47"/>
  <c r="L74" i="47"/>
  <c r="L169" i="47"/>
  <c r="M123" i="47"/>
  <c r="J93" i="47"/>
  <c r="L161" i="47"/>
  <c r="L59" i="47"/>
  <c r="M161" i="47"/>
  <c r="M174" i="47"/>
  <c r="K148" i="47"/>
  <c r="L98" i="47"/>
  <c r="J97" i="47"/>
  <c r="M157" i="47"/>
  <c r="L84" i="47"/>
  <c r="K116" i="47"/>
  <c r="L171" i="47"/>
  <c r="M133" i="47"/>
  <c r="J122" i="47"/>
  <c r="J119" i="47"/>
  <c r="L137" i="47"/>
  <c r="J129" i="47"/>
  <c r="M66" i="47"/>
  <c r="K102" i="47"/>
  <c r="K153" i="47"/>
  <c r="L146" i="47"/>
  <c r="L156" i="47"/>
  <c r="M143" i="47"/>
  <c r="L90" i="47"/>
  <c r="L121" i="47"/>
  <c r="K44" i="47"/>
  <c r="K84" i="47"/>
  <c r="L105" i="47"/>
  <c r="M84" i="47"/>
  <c r="M163" i="47"/>
  <c r="K123" i="47"/>
  <c r="K59" i="47"/>
  <c r="K50" i="47"/>
  <c r="J135" i="47"/>
  <c r="M147" i="47"/>
  <c r="J154" i="47"/>
  <c r="L111" i="47"/>
  <c r="L109" i="47"/>
  <c r="L119" i="47"/>
  <c r="M159" i="47"/>
  <c r="K135" i="47"/>
  <c r="M73" i="47"/>
  <c r="K168" i="47"/>
  <c r="M168" i="47"/>
  <c r="L83" i="47"/>
  <c r="J63" i="47"/>
  <c r="M57" i="47"/>
  <c r="K105" i="47"/>
  <c r="K163" i="47"/>
  <c r="K142" i="47"/>
  <c r="L102" i="47"/>
  <c r="J140" i="47"/>
  <c r="L101" i="47"/>
  <c r="K152" i="47"/>
  <c r="K136" i="47"/>
  <c r="K88" i="47"/>
  <c r="M105" i="47"/>
  <c r="K69" i="47"/>
  <c r="M175" i="47"/>
  <c r="M116" i="47"/>
  <c r="K149" i="47"/>
  <c r="J52" i="47"/>
  <c r="J172" i="47"/>
  <c r="K99" i="47"/>
  <c r="M169" i="47"/>
  <c r="K111" i="47"/>
  <c r="M86" i="47"/>
  <c r="M115" i="47"/>
  <c r="J64" i="47"/>
  <c r="L144" i="47"/>
  <c r="K122" i="47"/>
  <c r="K89" i="47"/>
  <c r="K70" i="47"/>
  <c r="J123" i="47"/>
  <c r="K158" i="47"/>
  <c r="J94" i="47"/>
  <c r="J69" i="47"/>
  <c r="K113" i="47"/>
  <c r="L107" i="47"/>
  <c r="M100" i="47"/>
  <c r="L70" i="47"/>
  <c r="K140" i="47"/>
  <c r="L99" i="47"/>
  <c r="L89" i="47"/>
  <c r="L126" i="47"/>
  <c r="J103" i="47"/>
  <c r="M98" i="47"/>
  <c r="J85" i="47"/>
  <c r="J125" i="47"/>
  <c r="M82" i="47"/>
  <c r="L69" i="47"/>
  <c r="K174" i="47"/>
  <c r="J138" i="47"/>
  <c r="J171" i="47"/>
  <c r="K80" i="47"/>
  <c r="K134" i="47"/>
  <c r="L54" i="47"/>
  <c r="J82" i="47"/>
  <c r="M172" i="47"/>
  <c r="M68" i="47"/>
  <c r="K56" i="47"/>
  <c r="J170" i="47"/>
  <c r="K143" i="47"/>
  <c r="M139" i="47"/>
  <c r="M149" i="47"/>
  <c r="M99" i="47"/>
  <c r="J128" i="47"/>
  <c r="M77" i="47"/>
  <c r="K86" i="47"/>
  <c r="K82" i="47"/>
  <c r="K72" i="47"/>
  <c r="J67" i="47"/>
  <c r="L79" i="47"/>
  <c r="M103" i="47"/>
  <c r="J177" i="47"/>
  <c r="M171" i="47"/>
  <c r="J163" i="47"/>
  <c r="K97" i="47"/>
  <c r="L103" i="47"/>
  <c r="M63" i="47"/>
  <c r="M117" i="47"/>
  <c r="L147" i="47"/>
  <c r="L153" i="47"/>
  <c r="L96" i="47"/>
  <c r="J141" i="47"/>
  <c r="J84" i="47"/>
  <c r="M150" i="47"/>
  <c r="L151" i="47"/>
  <c r="K101" i="47"/>
  <c r="M112" i="47"/>
  <c r="L136" i="47"/>
  <c r="M101" i="47"/>
  <c r="L122" i="47"/>
  <c r="J126" i="47"/>
  <c r="L152" i="47"/>
  <c r="K98" i="47"/>
  <c r="J62" i="47"/>
  <c r="M47" i="47"/>
  <c r="K79" i="47"/>
  <c r="K57" i="47"/>
  <c r="J174" i="47"/>
  <c r="J149" i="47"/>
  <c r="K92" i="47"/>
  <c r="M166" i="47"/>
  <c r="J112" i="47"/>
  <c r="K125" i="47"/>
  <c r="K77" i="47"/>
  <c r="M107" i="47"/>
  <c r="J151" i="47"/>
  <c r="L157" i="47"/>
  <c r="L97" i="47"/>
  <c r="K171" i="47"/>
  <c r="K137" i="47"/>
  <c r="K115" i="47"/>
  <c r="L133" i="47"/>
  <c r="L177" i="47"/>
  <c r="L174" i="47"/>
  <c r="J91" i="47"/>
  <c r="L167" i="47"/>
  <c r="M89" i="47"/>
  <c r="J159" i="47"/>
  <c r="J58" i="47"/>
  <c r="M49" i="47"/>
  <c r="K76" i="47"/>
  <c r="J43" i="47"/>
  <c r="L45" i="47"/>
  <c r="K120" i="47"/>
  <c r="J145" i="47"/>
  <c r="J165" i="47"/>
  <c r="K172" i="47"/>
  <c r="L120" i="47"/>
  <c r="K112" i="47"/>
  <c r="J144" i="47"/>
  <c r="J157" i="47"/>
  <c r="J113" i="47"/>
  <c r="K157" i="47"/>
  <c r="K121" i="47"/>
  <c r="M164" i="47"/>
  <c r="M94" i="47"/>
  <c r="M122" i="47"/>
  <c r="M125" i="47"/>
  <c r="M127" i="47"/>
  <c r="L110" i="47"/>
  <c r="M110" i="47"/>
  <c r="K167" i="47"/>
  <c r="L142" i="47"/>
  <c r="M144" i="47"/>
  <c r="L158" i="47"/>
  <c r="K119" i="47"/>
  <c r="K103" i="47"/>
  <c r="M87" i="47"/>
  <c r="J87" i="47"/>
  <c r="J137" i="47"/>
  <c r="J150" i="47"/>
  <c r="J90" i="47"/>
  <c r="K127" i="47"/>
  <c r="M160" i="47"/>
  <c r="J146" i="47"/>
  <c r="J166" i="47"/>
  <c r="M93" i="47"/>
  <c r="J73" i="47"/>
  <c r="J155" i="47"/>
  <c r="K151" i="47"/>
  <c r="M121" i="47"/>
  <c r="M80" i="47"/>
  <c r="L127" i="47"/>
  <c r="L125" i="47"/>
  <c r="K124" i="47"/>
  <c r="K91" i="47"/>
  <c r="J78" i="47"/>
  <c r="M92" i="47"/>
  <c r="L114" i="47"/>
  <c r="L104" i="47"/>
  <c r="M177" i="47"/>
  <c r="K128" i="47"/>
  <c r="L162" i="47"/>
  <c r="J142" i="47"/>
  <c r="K146" i="47"/>
  <c r="K161" i="47"/>
  <c r="M102" i="47"/>
  <c r="L76" i="47"/>
  <c r="L115" i="47"/>
  <c r="K81" i="47"/>
  <c r="M153" i="47"/>
  <c r="K147" i="47"/>
  <c r="J79" i="47"/>
  <c r="K107" i="47"/>
  <c r="M71" i="47"/>
  <c r="L159" i="47"/>
  <c r="K118" i="47"/>
  <c r="J164" i="47"/>
  <c r="L129" i="47"/>
  <c r="J114" i="47"/>
  <c r="K93" i="47"/>
  <c r="M165" i="47"/>
  <c r="L64" i="47"/>
  <c r="J55" i="47"/>
  <c r="L56" i="47"/>
  <c r="J61" i="47"/>
  <c r="M70" i="47"/>
  <c r="K87" i="47"/>
  <c r="M62" i="47"/>
  <c r="L55" i="47"/>
  <c r="K132" i="47"/>
  <c r="M58" i="47"/>
  <c r="M60" i="47"/>
  <c r="M91" i="47"/>
  <c r="J42" i="47"/>
  <c r="J105" i="47"/>
  <c r="K65" i="47"/>
  <c r="J110" i="47"/>
  <c r="J147" i="47"/>
  <c r="K83" i="47"/>
  <c r="M109" i="47"/>
  <c r="J60" i="47"/>
  <c r="M88" i="47"/>
  <c r="M55" i="47"/>
  <c r="K60" i="47"/>
  <c r="M176" i="47"/>
  <c r="L128" i="47"/>
  <c r="J98" i="47"/>
  <c r="L60" i="47"/>
  <c r="M141" i="47"/>
  <c r="K108" i="47"/>
  <c r="J117" i="47"/>
  <c r="J175" i="47"/>
  <c r="L175" i="47"/>
  <c r="M120" i="47"/>
  <c r="M137" i="47"/>
  <c r="K150" i="47"/>
  <c r="M65" i="47"/>
  <c r="M173" i="47"/>
  <c r="L91" i="47"/>
  <c r="K90" i="47"/>
  <c r="M108" i="47"/>
  <c r="L61" i="47"/>
  <c r="J92" i="47"/>
  <c r="L73" i="47"/>
  <c r="K54" i="47"/>
  <c r="L131" i="47"/>
  <c r="M43" i="47"/>
  <c r="J46" i="47"/>
  <c r="L86" i="47"/>
  <c r="L112" i="47"/>
  <c r="K110" i="47"/>
  <c r="L66" i="47"/>
  <c r="L42" i="47"/>
  <c r="L163" i="47"/>
  <c r="J50" i="47"/>
  <c r="L113" i="47"/>
  <c r="L176" i="47"/>
  <c r="M61" i="47"/>
  <c r="L46" i="47"/>
  <c r="J72" i="47"/>
  <c r="J152" i="47"/>
  <c r="M72" i="47"/>
  <c r="K55" i="47"/>
  <c r="L100" i="47"/>
  <c r="K176" i="47"/>
  <c r="L51" i="47"/>
  <c r="K43" i="47"/>
  <c r="J107" i="47"/>
  <c r="L58" i="47"/>
  <c r="J86" i="47"/>
  <c r="M113" i="47"/>
  <c r="J53" i="47"/>
  <c r="L172" i="47"/>
  <c r="M50" i="47"/>
  <c r="J47" i="47"/>
  <c r="K144" i="47"/>
  <c r="L118" i="47"/>
  <c r="M132" i="47"/>
  <c r="K106" i="47"/>
  <c r="M124" i="47"/>
  <c r="M51" i="47"/>
  <c r="L68" i="47"/>
  <c r="J71" i="47"/>
  <c r="M59" i="47"/>
  <c r="K45" i="47"/>
  <c r="M74" i="47"/>
  <c r="M154" i="47"/>
  <c r="L87" i="47"/>
  <c r="J57" i="47"/>
  <c r="M45" i="47"/>
  <c r="J124" i="47"/>
  <c r="M138" i="47"/>
  <c r="L92" i="47"/>
  <c r="J131" i="47"/>
  <c r="J54" i="47"/>
  <c r="M95" i="47"/>
  <c r="L77" i="47"/>
  <c r="K133" i="47"/>
  <c r="L154" i="47"/>
  <c r="M134" i="47"/>
  <c r="J96" i="47"/>
  <c r="L44" i="47"/>
  <c r="K42" i="47"/>
  <c r="J132" i="47"/>
  <c r="M131" i="47"/>
  <c r="K46" i="47"/>
  <c r="M85" i="47"/>
  <c r="J70" i="47"/>
  <c r="J88" i="47"/>
  <c r="M54" i="47"/>
  <c r="M76" i="47"/>
  <c r="M96" i="47"/>
  <c r="J106" i="47"/>
  <c r="M42" i="47"/>
  <c r="K130" i="47"/>
  <c r="J115" i="47"/>
  <c r="K173" i="47"/>
  <c r="L117" i="47"/>
  <c r="J158" i="47"/>
  <c r="M44" i="47"/>
  <c r="K48" i="47"/>
  <c r="J77" i="47"/>
  <c r="L88" i="47"/>
  <c r="K49" i="47"/>
  <c r="L160" i="47"/>
  <c r="L49" i="47"/>
  <c r="J51" i="47"/>
  <c r="J109" i="47"/>
  <c r="L72" i="47"/>
  <c r="J49" i="47"/>
  <c r="K63" i="47"/>
  <c r="L52" i="47"/>
  <c r="J65" i="47"/>
  <c r="K166" i="47"/>
  <c r="K100" i="47"/>
  <c r="L124" i="47"/>
  <c r="J56" i="47"/>
  <c r="J76" i="47"/>
  <c r="J101" i="47"/>
  <c r="J68" i="47"/>
  <c r="J59" i="47"/>
  <c r="J99" i="47"/>
  <c r="M81" i="47"/>
  <c r="J156" i="47"/>
  <c r="K66" i="47"/>
  <c r="J136" i="47"/>
  <c r="K75" i="47"/>
  <c r="J75" i="47"/>
  <c r="M130" i="47"/>
  <c r="L50" i="47"/>
  <c r="K51" i="47"/>
  <c r="K138" i="47"/>
  <c r="L62" i="47"/>
  <c r="M69" i="47"/>
  <c r="J48" i="47"/>
  <c r="L63" i="47"/>
  <c r="J120" i="47"/>
  <c r="M146" i="47"/>
  <c r="K139" i="47"/>
  <c r="M97" i="47"/>
  <c r="K61" i="47"/>
  <c r="J45" i="47"/>
  <c r="J74" i="47"/>
  <c r="L43" i="47"/>
  <c r="L53" i="47"/>
  <c r="J95" i="47"/>
  <c r="M67" i="47"/>
  <c r="M118" i="47"/>
  <c r="K165" i="47"/>
  <c r="M56" i="47"/>
  <c r="L82" i="47"/>
  <c r="M128" i="47"/>
  <c r="L164" i="47"/>
  <c r="L75" i="47"/>
  <c r="J127" i="47"/>
  <c r="M148" i="47"/>
  <c r="K68" i="47"/>
  <c r="K96" i="47"/>
  <c r="M90" i="47"/>
  <c r="K47" i="47"/>
  <c r="M170" i="47"/>
  <c r="K131" i="47"/>
  <c r="J108" i="47"/>
  <c r="J130" i="47"/>
  <c r="J176" i="47"/>
  <c r="K155" i="47"/>
  <c r="M119" i="47"/>
  <c r="K62" i="47"/>
  <c r="L166" i="47"/>
  <c r="M158" i="47"/>
  <c r="M156" i="47"/>
  <c r="K126" i="47"/>
  <c r="J121" i="47"/>
  <c r="L148" i="47"/>
  <c r="L170" i="47"/>
  <c r="M136" i="47"/>
  <c r="K170" i="47"/>
  <c r="L143" i="47"/>
  <c r="J167" i="47"/>
  <c r="M111" i="47"/>
  <c r="K64" i="47"/>
  <c r="J89" i="47"/>
  <c r="J102" i="47"/>
  <c r="L134" i="47"/>
  <c r="K104" i="47"/>
  <c r="K71" i="47"/>
  <c r="M155" i="47"/>
  <c r="M48" i="47"/>
  <c r="J111" i="47"/>
  <c r="M142" i="47"/>
  <c r="M151" i="47"/>
  <c r="S67" i="55"/>
  <c r="L141" i="47"/>
  <c r="M126" i="47"/>
  <c r="M135" i="47"/>
  <c r="K154" i="47"/>
  <c r="K159" i="47"/>
  <c r="L123" i="47"/>
  <c r="M106" i="47"/>
  <c r="J80" i="47"/>
  <c r="L150" i="47"/>
  <c r="L95" i="47"/>
  <c r="K129" i="47"/>
  <c r="K164" i="47"/>
  <c r="M145" i="47"/>
  <c r="M52" i="47"/>
  <c r="M114" i="47"/>
  <c r="L165" i="47"/>
  <c r="L67" i="47"/>
  <c r="L116" i="47"/>
  <c r="J116" i="47"/>
  <c r="L130" i="47"/>
  <c r="J153" i="47"/>
  <c r="L173" i="47"/>
  <c r="K95" i="47"/>
  <c r="L80" i="47"/>
  <c r="M104" i="47"/>
  <c r="M83" i="47"/>
  <c r="J133" i="47"/>
  <c r="L85" i="47"/>
  <c r="K145" i="47"/>
  <c r="K169" i="47"/>
  <c r="K117" i="47"/>
  <c r="K78" i="47"/>
  <c r="K74" i="47"/>
  <c r="L93" i="47"/>
  <c r="L138" i="47"/>
  <c r="J118" i="47"/>
  <c r="J139" i="47"/>
  <c r="M140" i="47"/>
  <c r="J161" i="47"/>
  <c r="M129" i="47"/>
  <c r="J162" i="47"/>
  <c r="L155" i="47"/>
  <c r="J168" i="47"/>
  <c r="K94" i="47"/>
  <c r="L168" i="47"/>
  <c r="J83" i="47"/>
  <c r="K85" i="47"/>
  <c r="K156" i="47"/>
  <c r="J169" i="47"/>
  <c r="J173" i="47"/>
  <c r="L132" i="47"/>
  <c r="L71" i="47"/>
  <c r="R25" i="55" l="1"/>
  <c r="R5" i="55"/>
  <c r="S5" i="55"/>
  <c r="S25" i="55"/>
  <c r="R13" i="55"/>
  <c r="S17" i="55"/>
  <c r="R17" i="55"/>
  <c r="S11" i="55"/>
  <c r="R11" i="55"/>
  <c r="S82" i="55"/>
  <c r="R82" i="55"/>
  <c r="R14" i="55"/>
  <c r="A72" i="35"/>
  <c r="R9" i="55"/>
  <c r="R70" i="55"/>
  <c r="S70" i="55"/>
  <c r="S9" i="55"/>
  <c r="R92" i="55"/>
  <c r="S92" i="55"/>
  <c r="R63" i="55"/>
  <c r="R22" i="55"/>
  <c r="S7" i="55"/>
  <c r="S63" i="55"/>
  <c r="R7" i="55"/>
  <c r="S22" i="55"/>
  <c r="S97" i="55"/>
  <c r="R66" i="55"/>
  <c r="S52" i="55"/>
  <c r="S61" i="55"/>
  <c r="R52" i="55"/>
  <c r="R97" i="55"/>
  <c r="S66" i="55"/>
  <c r="R61" i="55"/>
  <c r="S13" i="55"/>
  <c r="R90" i="55"/>
  <c r="S37" i="55"/>
  <c r="S30" i="55"/>
  <c r="S43" i="55"/>
  <c r="S26" i="55"/>
  <c r="S100" i="55"/>
  <c r="R71" i="55"/>
  <c r="S18" i="55"/>
  <c r="R30" i="55"/>
  <c r="R18" i="55"/>
  <c r="R37" i="55"/>
  <c r="S58" i="55"/>
  <c r="S90" i="55"/>
  <c r="R58" i="55"/>
  <c r="R51" i="55"/>
  <c r="R77" i="55"/>
  <c r="R15" i="55"/>
  <c r="S71" i="55"/>
  <c r="S77" i="55"/>
  <c r="S62" i="55"/>
  <c r="R62" i="55"/>
  <c r="S47" i="55"/>
  <c r="R23" i="55"/>
  <c r="R47" i="55"/>
  <c r="R64" i="55"/>
  <c r="S23" i="55"/>
  <c r="S64" i="55"/>
  <c r="R45" i="55"/>
  <c r="R65" i="55"/>
  <c r="S65" i="55"/>
  <c r="S51" i="55"/>
  <c r="S45" i="55"/>
  <c r="R28" i="55"/>
  <c r="S15" i="55"/>
  <c r="R32" i="55"/>
  <c r="S59" i="55"/>
  <c r="S28" i="55"/>
  <c r="R59" i="55"/>
  <c r="S32" i="55"/>
  <c r="R26" i="55"/>
  <c r="R75" i="55"/>
  <c r="S49" i="55"/>
  <c r="S57" i="55"/>
  <c r="S98" i="55"/>
  <c r="S86" i="55"/>
  <c r="R88" i="55"/>
  <c r="R78" i="55"/>
  <c r="S78" i="55"/>
  <c r="R89" i="55"/>
  <c r="S10" i="55"/>
  <c r="S41" i="55"/>
  <c r="R21" i="55"/>
  <c r="S75" i="55"/>
  <c r="R73" i="55"/>
  <c r="S39" i="55"/>
  <c r="S34" i="55"/>
  <c r="R10" i="55"/>
  <c r="S85" i="55"/>
  <c r="S48" i="55"/>
  <c r="S24" i="55"/>
  <c r="S88" i="55"/>
  <c r="R48" i="55"/>
  <c r="S110" i="55"/>
  <c r="R43" i="55"/>
  <c r="R41" i="55"/>
  <c r="S21" i="55"/>
  <c r="S94" i="55"/>
  <c r="S55" i="55"/>
  <c r="S20" i="55"/>
  <c r="S56" i="55"/>
  <c r="S19" i="55"/>
  <c r="S74" i="55"/>
  <c r="S14" i="55"/>
  <c r="S91" i="55"/>
  <c r="S8" i="55"/>
  <c r="R19" i="55"/>
  <c r="R85" i="55"/>
  <c r="R24" i="55"/>
  <c r="R56" i="55"/>
  <c r="R86" i="55"/>
  <c r="R76" i="55"/>
  <c r="S125" i="55"/>
  <c r="S3" i="55"/>
  <c r="R100" i="55"/>
  <c r="R39" i="55"/>
  <c r="R57" i="55"/>
  <c r="R34" i="55"/>
  <c r="R67" i="55"/>
  <c r="R146" i="55"/>
  <c r="R42" i="55"/>
  <c r="R3" i="55"/>
  <c r="S60" i="55"/>
  <c r="R49" i="55"/>
  <c r="R94" i="55"/>
  <c r="R55" i="55"/>
  <c r="R91" i="55"/>
  <c r="R8" i="55"/>
  <c r="S89" i="55"/>
  <c r="R20" i="55"/>
  <c r="H18" i="47"/>
  <c r="H7" i="47"/>
  <c r="H114" i="47"/>
  <c r="H32" i="47"/>
  <c r="H106" i="47"/>
  <c r="H77" i="47"/>
  <c r="H34" i="47"/>
  <c r="H4" i="47"/>
  <c r="H26" i="47"/>
  <c r="H28" i="47"/>
  <c r="H12" i="47"/>
  <c r="H66" i="47"/>
  <c r="H104" i="47"/>
  <c r="H94" i="47"/>
  <c r="H37" i="47"/>
  <c r="H135" i="47"/>
  <c r="H78" i="47"/>
  <c r="R160" i="55"/>
  <c r="R143" i="55"/>
  <c r="S106" i="55"/>
  <c r="S112" i="55"/>
  <c r="S124" i="55"/>
  <c r="R93" i="55"/>
  <c r="R122" i="55"/>
  <c r="S163" i="55"/>
  <c r="R124" i="55"/>
  <c r="R136" i="55"/>
  <c r="S152" i="55"/>
  <c r="R87" i="55"/>
  <c r="R79" i="55"/>
  <c r="R138" i="55"/>
  <c r="S121" i="55"/>
  <c r="S169" i="55"/>
  <c r="S142" i="55"/>
  <c r="R95" i="55"/>
  <c r="R53" i="55"/>
  <c r="S138" i="55"/>
  <c r="S155" i="55"/>
  <c r="S168" i="55"/>
  <c r="S46" i="55"/>
  <c r="R50" i="55"/>
  <c r="S136" i="55"/>
  <c r="R84" i="55"/>
  <c r="S126" i="55"/>
  <c r="H151" i="47"/>
  <c r="H49" i="47"/>
  <c r="H11" i="47"/>
  <c r="H119" i="47"/>
  <c r="H115" i="47"/>
  <c r="H123" i="47"/>
  <c r="H131" i="47"/>
  <c r="H51" i="47"/>
  <c r="H108" i="47"/>
  <c r="H176" i="47"/>
  <c r="H23" i="47"/>
  <c r="H165" i="47"/>
  <c r="H122" i="47"/>
  <c r="H19" i="47"/>
  <c r="H86" i="47"/>
  <c r="H150" i="47"/>
  <c r="H35" i="47"/>
  <c r="H116" i="47"/>
  <c r="H144" i="47"/>
  <c r="H5" i="47"/>
  <c r="H126" i="47"/>
  <c r="S81" i="55"/>
  <c r="R46" i="55"/>
  <c r="S149" i="55"/>
  <c r="R68" i="55"/>
  <c r="R157" i="55"/>
  <c r="R134" i="55"/>
  <c r="S36" i="55"/>
  <c r="S115" i="55"/>
  <c r="R167" i="55"/>
  <c r="S54" i="55"/>
  <c r="S130" i="55"/>
  <c r="S147" i="55"/>
  <c r="R135" i="55"/>
  <c r="S171" i="55"/>
  <c r="R148" i="55"/>
  <c r="S156" i="55"/>
  <c r="S141" i="55"/>
  <c r="R158" i="55"/>
  <c r="R108" i="55"/>
  <c r="S38" i="55"/>
  <c r="S160" i="55"/>
  <c r="R126" i="55"/>
  <c r="R154" i="55"/>
  <c r="R110" i="55"/>
  <c r="S83" i="55"/>
  <c r="H142" i="47"/>
  <c r="H15" i="47"/>
  <c r="H89" i="47"/>
  <c r="H152" i="47"/>
  <c r="H148" i="47"/>
  <c r="H118" i="47"/>
  <c r="H97" i="47"/>
  <c r="H44" i="47"/>
  <c r="H96" i="47"/>
  <c r="H95" i="47"/>
  <c r="H124" i="47"/>
  <c r="H62" i="47"/>
  <c r="H93" i="47"/>
  <c r="H103" i="47"/>
  <c r="H159" i="47"/>
  <c r="H110" i="47"/>
  <c r="H140" i="47"/>
  <c r="H13" i="47"/>
  <c r="H175" i="47"/>
  <c r="H107" i="47"/>
  <c r="S135" i="55"/>
  <c r="S154" i="55"/>
  <c r="R114" i="55"/>
  <c r="R83" i="55"/>
  <c r="R109" i="55"/>
  <c r="S102" i="55"/>
  <c r="S103" i="55"/>
  <c r="S96" i="55"/>
  <c r="R150" i="55"/>
  <c r="R123" i="55"/>
  <c r="R120" i="55"/>
  <c r="S40" i="55"/>
  <c r="R107" i="55"/>
  <c r="R35" i="55"/>
  <c r="R99" i="55"/>
  <c r="R16" i="55"/>
  <c r="S165" i="55"/>
  <c r="R119" i="55"/>
  <c r="S140" i="55"/>
  <c r="S122" i="55"/>
  <c r="S137" i="55"/>
  <c r="R98" i="55"/>
  <c r="R118" i="55"/>
  <c r="R153" i="55"/>
  <c r="S158" i="55"/>
  <c r="S161" i="55"/>
  <c r="R60" i="55"/>
  <c r="H53" i="47"/>
  <c r="H67" i="47"/>
  <c r="H81" i="47"/>
  <c r="H76" i="47"/>
  <c r="H154" i="47"/>
  <c r="H113" i="47"/>
  <c r="H43" i="47"/>
  <c r="H55" i="47"/>
  <c r="H168" i="47"/>
  <c r="H80" i="47"/>
  <c r="H147" i="47"/>
  <c r="H164" i="47"/>
  <c r="H133" i="47"/>
  <c r="H166" i="47"/>
  <c r="H73" i="47"/>
  <c r="S159" i="55"/>
  <c r="R44" i="55"/>
  <c r="S68" i="55"/>
  <c r="R127" i="55"/>
  <c r="S164" i="55"/>
  <c r="S157" i="55"/>
  <c r="R145" i="55"/>
  <c r="R4" i="55"/>
  <c r="R159" i="55"/>
  <c r="S101" i="55"/>
  <c r="R168" i="55"/>
  <c r="R105" i="55"/>
  <c r="S27" i="55"/>
  <c r="S143" i="55"/>
  <c r="S116" i="55"/>
  <c r="S72" i="55"/>
  <c r="S33" i="55"/>
  <c r="R142" i="55"/>
  <c r="R72" i="55"/>
  <c r="S6" i="55"/>
  <c r="R81" i="55"/>
  <c r="S120" i="55"/>
  <c r="S127" i="55"/>
  <c r="S132" i="55"/>
  <c r="S42" i="55"/>
  <c r="H20" i="47"/>
  <c r="H48" i="47"/>
  <c r="H111" i="47"/>
  <c r="H143" i="47"/>
  <c r="H99" i="47"/>
  <c r="H21" i="47"/>
  <c r="H146" i="47"/>
  <c r="H54" i="47"/>
  <c r="H74" i="47"/>
  <c r="H132" i="47"/>
  <c r="H72" i="47"/>
  <c r="H173" i="47"/>
  <c r="H88" i="47"/>
  <c r="S146" i="55"/>
  <c r="S76" i="55"/>
  <c r="R116" i="55"/>
  <c r="S111" i="55"/>
  <c r="S150" i="55"/>
  <c r="H70" i="47"/>
  <c r="H9" i="47"/>
  <c r="H82" i="47"/>
  <c r="H127" i="47"/>
  <c r="H163" i="47"/>
  <c r="H117" i="47"/>
  <c r="R112" i="55"/>
  <c r="S109" i="55"/>
  <c r="S139" i="55"/>
  <c r="R113" i="55"/>
  <c r="S133" i="55"/>
  <c r="R101" i="55"/>
  <c r="S123" i="55"/>
  <c r="R31" i="55"/>
  <c r="R165" i="55"/>
  <c r="S148" i="55"/>
  <c r="R151" i="55"/>
  <c r="S129" i="55"/>
  <c r="S145" i="55"/>
  <c r="S95" i="55"/>
  <c r="S87" i="55"/>
  <c r="R38" i="55"/>
  <c r="R129" i="55"/>
  <c r="R132" i="55"/>
  <c r="R152" i="55"/>
  <c r="R128" i="55"/>
  <c r="S80" i="55"/>
  <c r="S99" i="55"/>
  <c r="R162" i="55"/>
  <c r="H27" i="47"/>
  <c r="H155" i="47"/>
  <c r="H64" i="47"/>
  <c r="H156" i="47"/>
  <c r="H149" i="47"/>
  <c r="H130" i="47"/>
  <c r="H65" i="47"/>
  <c r="H141" i="47"/>
  <c r="H91" i="47"/>
  <c r="H177" i="47"/>
  <c r="H92" i="47"/>
  <c r="H84" i="47"/>
  <c r="H101" i="47"/>
  <c r="H160" i="47"/>
  <c r="H22" i="47"/>
  <c r="H3" i="47"/>
  <c r="H52" i="47"/>
  <c r="H174" i="47"/>
  <c r="S117" i="55"/>
  <c r="S114" i="55"/>
  <c r="S166" i="55"/>
  <c r="R103" i="55"/>
  <c r="R36" i="55"/>
  <c r="S131" i="55"/>
  <c r="R80" i="55"/>
  <c r="S107" i="55"/>
  <c r="S2" i="55"/>
  <c r="S119" i="55"/>
  <c r="R161" i="55"/>
  <c r="R125" i="55"/>
  <c r="R27" i="55"/>
  <c r="R121" i="55"/>
  <c r="R111" i="55"/>
  <c r="R171" i="55"/>
  <c r="S44" i="55"/>
  <c r="R117" i="55"/>
  <c r="S151" i="55"/>
  <c r="R12" i="55"/>
  <c r="R54" i="55"/>
  <c r="S73" i="55"/>
  <c r="S79" i="55"/>
  <c r="R149" i="55"/>
  <c r="S167" i="55"/>
  <c r="R131" i="55"/>
  <c r="H30" i="47"/>
  <c r="H79" i="47"/>
  <c r="H158" i="47"/>
  <c r="H75" i="47"/>
  <c r="H128" i="47"/>
  <c r="H134" i="47"/>
  <c r="H138" i="47"/>
  <c r="H59" i="47"/>
  <c r="H109" i="47"/>
  <c r="H60" i="47"/>
  <c r="H121" i="47"/>
  <c r="H98" i="47"/>
  <c r="H125" i="47"/>
  <c r="H68" i="47"/>
  <c r="H153" i="47"/>
  <c r="H112" i="47"/>
  <c r="S84" i="55"/>
  <c r="H162" i="47"/>
  <c r="H145" i="47"/>
  <c r="H171" i="47"/>
  <c r="S53" i="55"/>
  <c r="S105" i="55"/>
  <c r="R40" i="55"/>
  <c r="R166" i="55"/>
  <c r="S29" i="55"/>
  <c r="R2" i="55"/>
  <c r="R6" i="55"/>
  <c r="R155" i="55"/>
  <c r="S108" i="55"/>
  <c r="S16" i="55"/>
  <c r="R104" i="55"/>
  <c r="S170" i="55"/>
  <c r="R170" i="55"/>
  <c r="R33" i="55"/>
  <c r="R164" i="55"/>
  <c r="S128" i="55"/>
  <c r="S50" i="55"/>
  <c r="S93" i="55"/>
  <c r="R133" i="55"/>
  <c r="S144" i="55"/>
  <c r="R147" i="55"/>
  <c r="R96" i="55"/>
  <c r="R115" i="55"/>
  <c r="R102" i="55"/>
  <c r="S134" i="55"/>
  <c r="H16" i="47"/>
  <c r="H167" i="47"/>
  <c r="H170" i="47"/>
  <c r="H46" i="47"/>
  <c r="H90" i="47"/>
  <c r="H85" i="47"/>
  <c r="H137" i="47"/>
  <c r="H58" i="47"/>
  <c r="H87" i="47"/>
  <c r="H100" i="47"/>
  <c r="H63" i="47"/>
  <c r="H157" i="47"/>
  <c r="H129" i="47"/>
  <c r="H169" i="47"/>
  <c r="H83" i="47"/>
  <c r="H36" i="47"/>
  <c r="H161" i="47"/>
  <c r="S31" i="55"/>
  <c r="R74" i="55"/>
  <c r="S113" i="55"/>
  <c r="S153" i="55"/>
  <c r="S162" i="55"/>
  <c r="R140" i="55"/>
  <c r="R156" i="55"/>
  <c r="R69" i="55"/>
  <c r="R29" i="55"/>
  <c r="R137" i="55"/>
  <c r="R169" i="55"/>
  <c r="S35" i="55"/>
  <c r="R144" i="55"/>
  <c r="S12" i="55"/>
  <c r="R163" i="55"/>
  <c r="S118" i="55"/>
  <c r="R141" i="55"/>
  <c r="R139" i="55"/>
  <c r="R106" i="55"/>
  <c r="S69" i="55"/>
  <c r="R130" i="55"/>
  <c r="S104" i="55"/>
  <c r="S4" i="55"/>
  <c r="H8" i="47"/>
  <c r="H136" i="47"/>
  <c r="H29" i="47"/>
  <c r="H47" i="47"/>
  <c r="H139" i="47"/>
  <c r="H56" i="47"/>
  <c r="H69" i="47"/>
  <c r="H42" i="47"/>
  <c r="H41" i="47"/>
  <c r="H31" i="47"/>
  <c r="H6" i="47"/>
  <c r="H33" i="47"/>
  <c r="H10" i="47"/>
  <c r="H38" i="47"/>
  <c r="H40" i="47"/>
  <c r="H17" i="47"/>
  <c r="H14" i="47"/>
  <c r="H25" i="47"/>
  <c r="H39" i="47"/>
  <c r="H45" i="47"/>
  <c r="H50" i="47"/>
  <c r="H61" i="47"/>
  <c r="H120" i="47"/>
  <c r="H71" i="47"/>
  <c r="H102" i="47"/>
  <c r="H24" i="47"/>
  <c r="H172" i="47"/>
  <c r="H105" i="47"/>
  <c r="H57" i="47"/>
  <c r="AA9" i="54" l="1"/>
  <c r="AA33" i="54"/>
  <c r="AA57" i="54"/>
  <c r="AA81" i="54"/>
  <c r="AA105" i="54"/>
  <c r="AA129" i="54"/>
  <c r="AA153" i="54"/>
  <c r="AA10" i="54"/>
  <c r="AA34" i="54"/>
  <c r="AA58" i="54"/>
  <c r="AA82" i="54"/>
  <c r="AA106" i="54"/>
  <c r="AA130" i="54"/>
  <c r="AA154" i="54"/>
  <c r="AA12" i="54"/>
  <c r="AA36" i="54"/>
  <c r="AA60" i="54"/>
  <c r="AA84" i="54"/>
  <c r="AA108" i="54"/>
  <c r="AA132" i="54"/>
  <c r="AA156" i="54"/>
  <c r="AA13" i="54"/>
  <c r="AA37" i="54"/>
  <c r="AA61" i="54"/>
  <c r="AA85" i="54"/>
  <c r="AA109" i="54"/>
  <c r="AA133" i="54"/>
  <c r="AA157" i="54"/>
  <c r="AA14" i="54"/>
  <c r="AA38" i="54"/>
  <c r="AA62" i="54"/>
  <c r="AA86" i="54"/>
  <c r="AA110" i="54"/>
  <c r="AA134" i="54"/>
  <c r="AA158" i="54"/>
  <c r="AA16" i="54"/>
  <c r="AA40" i="54"/>
  <c r="AA64" i="54"/>
  <c r="AA88" i="54"/>
  <c r="AA112" i="54"/>
  <c r="AA136" i="54"/>
  <c r="AA160" i="54"/>
  <c r="AA11" i="54"/>
  <c r="AA45" i="54"/>
  <c r="AA75" i="54"/>
  <c r="AA107" i="54"/>
  <c r="AA141" i="54"/>
  <c r="AA171" i="54"/>
  <c r="AA15" i="54"/>
  <c r="AA46" i="54"/>
  <c r="AA111" i="54"/>
  <c r="AA142" i="54"/>
  <c r="AA76" i="54"/>
  <c r="AA17" i="54"/>
  <c r="AA47" i="54"/>
  <c r="AA77" i="54"/>
  <c r="AA113" i="54"/>
  <c r="AA143" i="54"/>
  <c r="AA18" i="54"/>
  <c r="AA19" i="54"/>
  <c r="AA49" i="54"/>
  <c r="AA79" i="54"/>
  <c r="AA115" i="54"/>
  <c r="AA145" i="54"/>
  <c r="AA28" i="54"/>
  <c r="AA63" i="54"/>
  <c r="AA94" i="54"/>
  <c r="AA124" i="54"/>
  <c r="AA159" i="54"/>
  <c r="AA29" i="54"/>
  <c r="AA65" i="54"/>
  <c r="AA95" i="54"/>
  <c r="AA125" i="54"/>
  <c r="AA161" i="54"/>
  <c r="AA8" i="54"/>
  <c r="AA55" i="54"/>
  <c r="AA99" i="54"/>
  <c r="AA144" i="54"/>
  <c r="AA66" i="54"/>
  <c r="AA20" i="54"/>
  <c r="AA56" i="54"/>
  <c r="AA100" i="54"/>
  <c r="AA146" i="54"/>
  <c r="AA102" i="54"/>
  <c r="AA21" i="54"/>
  <c r="AA59" i="54"/>
  <c r="AA101" i="54"/>
  <c r="AA147" i="54"/>
  <c r="AA22" i="54"/>
  <c r="AA148" i="54"/>
  <c r="AA23" i="54"/>
  <c r="AA67" i="54"/>
  <c r="AA103" i="54"/>
  <c r="AA149" i="54"/>
  <c r="AA114" i="54"/>
  <c r="AA24" i="54"/>
  <c r="AA68" i="54"/>
  <c r="AA104" i="54"/>
  <c r="AA150" i="54"/>
  <c r="AA25" i="54"/>
  <c r="AA151" i="54"/>
  <c r="AA69" i="54"/>
  <c r="AA27" i="54"/>
  <c r="AA71" i="54"/>
  <c r="AA117" i="54"/>
  <c r="AA155" i="54"/>
  <c r="AA35" i="54"/>
  <c r="AA78" i="54"/>
  <c r="AA121" i="54"/>
  <c r="AA165" i="54"/>
  <c r="AA43" i="54"/>
  <c r="AA89" i="54"/>
  <c r="AA127" i="54"/>
  <c r="AA169" i="54"/>
  <c r="AA39" i="54"/>
  <c r="AA80" i="54"/>
  <c r="AA122" i="54"/>
  <c r="AA166" i="54"/>
  <c r="AA41" i="54"/>
  <c r="AA83" i="54"/>
  <c r="AA123" i="54"/>
  <c r="AA167" i="54"/>
  <c r="AA42" i="54"/>
  <c r="AA87" i="54"/>
  <c r="AA126" i="54"/>
  <c r="AA168" i="54"/>
  <c r="AA44" i="54"/>
  <c r="AA135" i="54"/>
  <c r="AA48" i="54"/>
  <c r="AA137" i="54"/>
  <c r="AA50" i="54"/>
  <c r="AA138" i="54"/>
  <c r="AA139" i="54"/>
  <c r="AA52" i="54"/>
  <c r="AA53" i="54"/>
  <c r="AA152" i="54"/>
  <c r="AA54" i="54"/>
  <c r="AA162" i="54"/>
  <c r="AA72" i="54"/>
  <c r="AA73" i="54"/>
  <c r="AA170" i="54"/>
  <c r="AA51" i="54"/>
  <c r="AA164" i="54"/>
  <c r="AA140" i="54"/>
  <c r="AA70" i="54"/>
  <c r="AA163" i="54"/>
  <c r="AA92" i="54"/>
  <c r="AA2" i="54"/>
  <c r="AA93" i="54"/>
  <c r="AA96" i="54"/>
  <c r="AA4" i="54"/>
  <c r="AA97" i="54"/>
  <c r="AA3" i="54"/>
  <c r="AA5" i="54"/>
  <c r="AA98" i="54"/>
  <c r="AA120" i="54"/>
  <c r="AA128" i="54"/>
  <c r="AA6" i="54"/>
  <c r="AA91" i="54"/>
  <c r="AA116" i="54"/>
  <c r="AA131" i="54"/>
  <c r="AA7" i="54"/>
  <c r="AA26" i="54"/>
  <c r="AA30" i="54"/>
  <c r="AA32" i="54"/>
  <c r="AA90" i="54"/>
  <c r="AA31" i="54"/>
  <c r="AA74" i="54"/>
  <c r="AA118" i="54"/>
  <c r="AA119" i="54"/>
  <c r="A73" i="35"/>
  <c r="I60" i="48"/>
  <c r="AI100" i="48" s="1"/>
  <c r="L26" i="44"/>
  <c r="I95" i="44"/>
  <c r="J89" i="48"/>
  <c r="I61" i="44"/>
  <c r="J94" i="44"/>
  <c r="K62" i="48"/>
  <c r="AK102" i="48" s="1"/>
  <c r="Q112" i="54"/>
  <c r="J70" i="48"/>
  <c r="K20" i="44"/>
  <c r="K116" i="44"/>
  <c r="Q62" i="54"/>
  <c r="Q49" i="54"/>
  <c r="J81" i="48"/>
  <c r="K27" i="48"/>
  <c r="AK67" i="48" s="1"/>
  <c r="I158" i="48"/>
  <c r="Q89" i="54"/>
  <c r="L106" i="48"/>
  <c r="J46" i="48"/>
  <c r="K4" i="44"/>
  <c r="I90" i="48"/>
  <c r="AI130" i="48" s="1"/>
  <c r="L59" i="44"/>
  <c r="I94" i="48"/>
  <c r="AI134" i="48" s="1"/>
  <c r="K26" i="44"/>
  <c r="J69" i="44"/>
  <c r="Q87" i="54"/>
  <c r="I77" i="48"/>
  <c r="AI117" i="48" s="1"/>
  <c r="K98" i="44"/>
  <c r="J95" i="48"/>
  <c r="K113" i="48"/>
  <c r="J18" i="44"/>
  <c r="I61" i="48"/>
  <c r="AI101" i="48" s="1"/>
  <c r="L14" i="44"/>
  <c r="J106" i="48"/>
  <c r="I4" i="48"/>
  <c r="AI44" i="48" s="1"/>
  <c r="Q21" i="54"/>
  <c r="J4" i="48"/>
  <c r="I15" i="44"/>
  <c r="I69" i="44"/>
  <c r="K89" i="44"/>
  <c r="I91" i="48"/>
  <c r="AI131" i="48" s="1"/>
  <c r="L63" i="44"/>
  <c r="L116" i="44"/>
  <c r="Q69" i="54"/>
  <c r="I161" i="48"/>
  <c r="K140" i="48"/>
  <c r="Q63" i="54"/>
  <c r="J58" i="44"/>
  <c r="L60" i="44"/>
  <c r="J60" i="44"/>
  <c r="Q95" i="54"/>
  <c r="I58" i="44"/>
  <c r="L91" i="44"/>
  <c r="I91" i="44"/>
  <c r="L30" i="44"/>
  <c r="Q30" i="54"/>
  <c r="K60" i="48"/>
  <c r="AK100" i="48" s="1"/>
  <c r="Q86" i="54"/>
  <c r="I95" i="48"/>
  <c r="AI135" i="48" s="1"/>
  <c r="K94" i="44"/>
  <c r="J86" i="44"/>
  <c r="K95" i="48"/>
  <c r="AK135" i="48" s="1"/>
  <c r="L21" i="44"/>
  <c r="J82" i="48"/>
  <c r="K92" i="44"/>
  <c r="L49" i="44"/>
  <c r="I123" i="48"/>
  <c r="L7" i="44"/>
  <c r="I59" i="44"/>
  <c r="Q76" i="54"/>
  <c r="L62" i="48"/>
  <c r="L98" i="48"/>
  <c r="Q135" i="54"/>
  <c r="I60" i="44"/>
  <c r="K26" i="48"/>
  <c r="AK66" i="48" s="1"/>
  <c r="I26" i="48"/>
  <c r="AI66" i="48" s="1"/>
  <c r="I97" i="44"/>
  <c r="I81" i="44"/>
  <c r="K58" i="48"/>
  <c r="AK98" i="48" s="1"/>
  <c r="L130" i="48"/>
  <c r="L11" i="48"/>
  <c r="K4" i="48"/>
  <c r="AK44" i="48" s="1"/>
  <c r="J172" i="48"/>
  <c r="J30" i="48"/>
  <c r="L8" i="48"/>
  <c r="I4" i="44"/>
  <c r="K49" i="44"/>
  <c r="I106" i="44"/>
  <c r="I130" i="44"/>
  <c r="K106" i="44"/>
  <c r="K63" i="48"/>
  <c r="AK103" i="48" s="1"/>
  <c r="J7" i="48"/>
  <c r="L58" i="44"/>
  <c r="Q106" i="54"/>
  <c r="J108" i="44"/>
  <c r="Q7" i="54"/>
  <c r="J89" i="44"/>
  <c r="I26" i="44"/>
  <c r="L58" i="48"/>
  <c r="Q50" i="54"/>
  <c r="I76" i="48"/>
  <c r="AI116" i="48" s="1"/>
  <c r="L86" i="44"/>
  <c r="L170" i="44"/>
  <c r="K60" i="44"/>
  <c r="J95" i="44"/>
  <c r="L94" i="48"/>
  <c r="L16" i="44"/>
  <c r="K94" i="48"/>
  <c r="AK134" i="48" s="1"/>
  <c r="K76" i="44"/>
  <c r="L62" i="44"/>
  <c r="J68" i="44"/>
  <c r="J58" i="48"/>
  <c r="J49" i="44"/>
  <c r="Q18" i="54"/>
  <c r="J21" i="48"/>
  <c r="I21" i="44"/>
  <c r="L89" i="48"/>
  <c r="I58" i="48"/>
  <c r="AI98" i="48" s="1"/>
  <c r="L7" i="48"/>
  <c r="K21" i="48"/>
  <c r="AK61" i="48" s="1"/>
  <c r="J158" i="48"/>
  <c r="K61" i="48"/>
  <c r="AK101" i="48" s="1"/>
  <c r="K91" i="44"/>
  <c r="I89" i="44"/>
  <c r="K70" i="44"/>
  <c r="L70" i="48"/>
  <c r="J37" i="48"/>
  <c r="L4" i="44"/>
  <c r="L63" i="48"/>
  <c r="I94" i="44"/>
  <c r="K98" i="48"/>
  <c r="AK138" i="48" s="1"/>
  <c r="K81" i="44"/>
  <c r="J63" i="48"/>
  <c r="J26" i="44"/>
  <c r="J26" i="48"/>
  <c r="J91" i="44"/>
  <c r="I98" i="48"/>
  <c r="AI138" i="48" s="1"/>
  <c r="J60" i="48"/>
  <c r="J94" i="48"/>
  <c r="Q60" i="54"/>
  <c r="K46" i="48"/>
  <c r="AK86" i="48" s="1"/>
  <c r="L20" i="44"/>
  <c r="L81" i="44"/>
  <c r="J46" i="44"/>
  <c r="I11" i="44"/>
  <c r="I76" i="44"/>
  <c r="I7" i="48"/>
  <c r="AI47" i="48" s="1"/>
  <c r="Q61" i="54"/>
  <c r="J113" i="44"/>
  <c r="K113" i="44"/>
  <c r="J30" i="44"/>
  <c r="J106" i="44"/>
  <c r="I62" i="44"/>
  <c r="Q26" i="54"/>
  <c r="K18" i="48"/>
  <c r="AK58" i="48" s="1"/>
  <c r="L60" i="48"/>
  <c r="K62" i="44"/>
  <c r="J50" i="48"/>
  <c r="J20" i="44"/>
  <c r="I7" i="44"/>
  <c r="I18" i="48"/>
  <c r="AI58" i="48" s="1"/>
  <c r="K162" i="48"/>
  <c r="J76" i="48"/>
  <c r="I30" i="44"/>
  <c r="I42" i="48"/>
  <c r="AI82" i="48" s="1"/>
  <c r="I59" i="48"/>
  <c r="AI99" i="48" s="1"/>
  <c r="I70" i="44"/>
  <c r="Q113" i="54"/>
  <c r="L18" i="48"/>
  <c r="L26" i="48"/>
  <c r="J175" i="48"/>
  <c r="K130" i="48"/>
  <c r="L18" i="44"/>
  <c r="K59" i="44"/>
  <c r="J7" i="44"/>
  <c r="L81" i="48"/>
  <c r="J98" i="44"/>
  <c r="I30" i="48"/>
  <c r="AI70" i="48" s="1"/>
  <c r="I86" i="48"/>
  <c r="AI126" i="48" s="1"/>
  <c r="Q46" i="54"/>
  <c r="I46" i="44"/>
  <c r="J59" i="44"/>
  <c r="K11" i="48"/>
  <c r="AK51" i="48" s="1"/>
  <c r="K58" i="44"/>
  <c r="J69" i="48"/>
  <c r="I33" i="48"/>
  <c r="AI73" i="48" s="1"/>
  <c r="I63" i="48"/>
  <c r="AI103" i="48" s="1"/>
  <c r="K86" i="44"/>
  <c r="K49" i="48"/>
  <c r="AK89" i="48" s="1"/>
  <c r="L95" i="44"/>
  <c r="L106" i="44"/>
  <c r="L61" i="44"/>
  <c r="K89" i="48"/>
  <c r="AK129" i="48" s="1"/>
  <c r="J76" i="44"/>
  <c r="J62" i="48"/>
  <c r="K46" i="44"/>
  <c r="K7" i="44"/>
  <c r="L120" i="44"/>
  <c r="I154" i="44"/>
  <c r="K45" i="44"/>
  <c r="I22" i="48"/>
  <c r="AI62" i="48" s="1"/>
  <c r="J19" i="48"/>
  <c r="Q23" i="54"/>
  <c r="I166" i="48"/>
  <c r="K114" i="48"/>
  <c r="L115" i="48"/>
  <c r="I3" i="44"/>
  <c r="L32" i="48"/>
  <c r="L130" i="44"/>
  <c r="K157" i="44"/>
  <c r="J157" i="44"/>
  <c r="L122" i="44"/>
  <c r="K32" i="44"/>
  <c r="Q130" i="54"/>
  <c r="J146" i="48"/>
  <c r="I92" i="48"/>
  <c r="AI132" i="48" s="1"/>
  <c r="Q147" i="54"/>
  <c r="I35" i="48"/>
  <c r="AI75" i="48" s="1"/>
  <c r="L77" i="48"/>
  <c r="I96" i="44"/>
  <c r="L66" i="48"/>
  <c r="I133" i="48"/>
  <c r="I44" i="48"/>
  <c r="AI84" i="48" s="1"/>
  <c r="K96" i="44"/>
  <c r="K93" i="48"/>
  <c r="AK133" i="48" s="1"/>
  <c r="I158" i="44"/>
  <c r="J155" i="48"/>
  <c r="J99" i="48"/>
  <c r="K3" i="48"/>
  <c r="AK43" i="48" s="1"/>
  <c r="L41" i="44"/>
  <c r="Q162" i="54"/>
  <c r="J101" i="44"/>
  <c r="Q19" i="54"/>
  <c r="I137" i="44"/>
  <c r="I56" i="44"/>
  <c r="I41" i="44"/>
  <c r="L83" i="44"/>
  <c r="L31" i="48"/>
  <c r="Q52" i="54"/>
  <c r="L44" i="44"/>
  <c r="J170" i="48"/>
  <c r="I126" i="48"/>
  <c r="J102" i="44"/>
  <c r="J78" i="48"/>
  <c r="J87" i="44"/>
  <c r="K134" i="48"/>
  <c r="L110" i="44"/>
  <c r="K96" i="48"/>
  <c r="AK136" i="48" s="1"/>
  <c r="K97" i="48"/>
  <c r="AK137" i="48" s="1"/>
  <c r="I57" i="48"/>
  <c r="AI97" i="48" s="1"/>
  <c r="Q14" i="54"/>
  <c r="I138" i="48"/>
  <c r="I136" i="48"/>
  <c r="I98" i="44"/>
  <c r="I18" i="44"/>
  <c r="J49" i="48"/>
  <c r="J51" i="44"/>
  <c r="K123" i="48"/>
  <c r="J70" i="44"/>
  <c r="K69" i="48"/>
  <c r="AK109" i="48" s="1"/>
  <c r="Q70" i="54"/>
  <c r="J4" i="44"/>
  <c r="L89" i="44"/>
  <c r="K87" i="44"/>
  <c r="J81" i="44"/>
  <c r="J161" i="48"/>
  <c r="I84" i="48"/>
  <c r="AI124" i="48" s="1"/>
  <c r="K106" i="48"/>
  <c r="J18" i="48"/>
  <c r="L46" i="44"/>
  <c r="I133" i="44"/>
  <c r="K28" i="44"/>
  <c r="I83" i="44"/>
  <c r="J88" i="48"/>
  <c r="I92" i="44"/>
  <c r="I93" i="44"/>
  <c r="I78" i="44"/>
  <c r="K38" i="48"/>
  <c r="AK78" i="48" s="1"/>
  <c r="Q2" i="54"/>
  <c r="Q78" i="54"/>
  <c r="L116" i="48"/>
  <c r="J130" i="44"/>
  <c r="K51" i="48"/>
  <c r="AK91" i="48" s="1"/>
  <c r="Q137" i="54"/>
  <c r="L53" i="44"/>
  <c r="J164" i="44"/>
  <c r="J107" i="48"/>
  <c r="K64" i="48"/>
  <c r="AK104" i="48" s="1"/>
  <c r="K155" i="48"/>
  <c r="J34" i="44"/>
  <c r="J32" i="48"/>
  <c r="I100" i="48"/>
  <c r="AI140" i="48" s="1"/>
  <c r="I31" i="48"/>
  <c r="AI71" i="48" s="1"/>
  <c r="L72" i="44"/>
  <c r="I35" i="44"/>
  <c r="I71" i="44"/>
  <c r="Q165" i="54"/>
  <c r="Q57" i="54"/>
  <c r="K128" i="44"/>
  <c r="K176" i="48"/>
  <c r="J176" i="48"/>
  <c r="I12" i="44"/>
  <c r="K54" i="48"/>
  <c r="AK94" i="48" s="1"/>
  <c r="K43" i="44"/>
  <c r="J164" i="48"/>
  <c r="K10" i="48"/>
  <c r="AK50" i="48" s="1"/>
  <c r="L133" i="48"/>
  <c r="K55" i="48"/>
  <c r="AK95" i="48" s="1"/>
  <c r="L132" i="48"/>
  <c r="K121" i="44"/>
  <c r="K32" i="48"/>
  <c r="AK72" i="48" s="1"/>
  <c r="I20" i="48"/>
  <c r="AI60" i="48" s="1"/>
  <c r="J21" i="44"/>
  <c r="L46" i="48"/>
  <c r="J11" i="44"/>
  <c r="I124" i="48"/>
  <c r="K63" i="44"/>
  <c r="K69" i="44"/>
  <c r="I20" i="44"/>
  <c r="Q168" i="54"/>
  <c r="L76" i="48"/>
  <c r="I113" i="44"/>
  <c r="K30" i="44"/>
  <c r="K81" i="48"/>
  <c r="AK121" i="48" s="1"/>
  <c r="I11" i="48"/>
  <c r="AI51" i="48" s="1"/>
  <c r="L137" i="44"/>
  <c r="Q98" i="54"/>
  <c r="L98" i="44"/>
  <c r="J159" i="48"/>
  <c r="K95" i="44"/>
  <c r="L49" i="48"/>
  <c r="K169" i="48"/>
  <c r="I43" i="48"/>
  <c r="AI83" i="48" s="1"/>
  <c r="J74" i="48"/>
  <c r="J149" i="48"/>
  <c r="L170" i="48"/>
  <c r="Q159" i="54"/>
  <c r="K42" i="44"/>
  <c r="Q114" i="54"/>
  <c r="Q93" i="54"/>
  <c r="Q56" i="54"/>
  <c r="J97" i="44"/>
  <c r="L28" i="44"/>
  <c r="L155" i="48"/>
  <c r="J66" i="48"/>
  <c r="K9" i="48"/>
  <c r="AK49" i="48" s="1"/>
  <c r="J57" i="44"/>
  <c r="K146" i="44"/>
  <c r="K148" i="44"/>
  <c r="I100" i="44"/>
  <c r="K100" i="48"/>
  <c r="AK140" i="48" s="1"/>
  <c r="K154" i="48"/>
  <c r="Q155" i="54"/>
  <c r="L27" i="44"/>
  <c r="J17" i="44"/>
  <c r="L159" i="44"/>
  <c r="K53" i="48"/>
  <c r="AK93" i="48" s="1"/>
  <c r="L139" i="44"/>
  <c r="J5" i="44"/>
  <c r="L25" i="48"/>
  <c r="L75" i="48"/>
  <c r="L102" i="48"/>
  <c r="L32" i="44"/>
  <c r="K109" i="48"/>
  <c r="K85" i="44"/>
  <c r="L65" i="44"/>
  <c r="J114" i="44"/>
  <c r="K124" i="48"/>
  <c r="L73" i="48"/>
  <c r="L137" i="48"/>
  <c r="J107" i="44"/>
  <c r="K143" i="44"/>
  <c r="J128" i="44"/>
  <c r="I48" i="44"/>
  <c r="L28" i="48"/>
  <c r="L96" i="44"/>
  <c r="K119" i="48"/>
  <c r="L150" i="48"/>
  <c r="I152" i="44"/>
  <c r="L99" i="48"/>
  <c r="L22" i="48"/>
  <c r="K57" i="44"/>
  <c r="L143" i="44"/>
  <c r="Q5" i="54"/>
  <c r="L12" i="44"/>
  <c r="J102" i="48"/>
  <c r="J110" i="44"/>
  <c r="I75" i="48"/>
  <c r="AI115" i="48" s="1"/>
  <c r="L21" i="48"/>
  <c r="J86" i="48"/>
  <c r="L113" i="48"/>
  <c r="J61" i="44"/>
  <c r="K30" i="48"/>
  <c r="AK70" i="48" s="1"/>
  <c r="L4" i="48"/>
  <c r="K5" i="48"/>
  <c r="AK45" i="48" s="1"/>
  <c r="I113" i="48"/>
  <c r="L95" i="48"/>
  <c r="L161" i="44"/>
  <c r="L25" i="44"/>
  <c r="J56" i="44"/>
  <c r="K91" i="48"/>
  <c r="AK131" i="48" s="1"/>
  <c r="K11" i="44"/>
  <c r="K76" i="48"/>
  <c r="AK116" i="48" s="1"/>
  <c r="J20" i="48"/>
  <c r="I39" i="48"/>
  <c r="AI79" i="48" s="1"/>
  <c r="I33" i="44"/>
  <c r="K127" i="44"/>
  <c r="L73" i="44"/>
  <c r="L141" i="48"/>
  <c r="K97" i="44"/>
  <c r="K74" i="48"/>
  <c r="AK114" i="48" s="1"/>
  <c r="I141" i="48"/>
  <c r="K100" i="44"/>
  <c r="Q127" i="54"/>
  <c r="L101" i="48"/>
  <c r="K83" i="44"/>
  <c r="K150" i="44"/>
  <c r="K56" i="48"/>
  <c r="AK96" i="48" s="1"/>
  <c r="K56" i="44"/>
  <c r="K126" i="44"/>
  <c r="J38" i="44"/>
  <c r="J13" i="44"/>
  <c r="L40" i="44"/>
  <c r="J119" i="44"/>
  <c r="L152" i="44"/>
  <c r="L48" i="48"/>
  <c r="Q141" i="54"/>
  <c r="L12" i="48"/>
  <c r="K84" i="48"/>
  <c r="AK124" i="48" s="1"/>
  <c r="Q129" i="54"/>
  <c r="J168" i="44"/>
  <c r="L105" i="48"/>
  <c r="I125" i="48"/>
  <c r="J31" i="44"/>
  <c r="J79" i="44"/>
  <c r="I120" i="48"/>
  <c r="K148" i="48"/>
  <c r="K5" i="44"/>
  <c r="I75" i="44"/>
  <c r="Q71" i="54"/>
  <c r="J112" i="44"/>
  <c r="I176" i="48"/>
  <c r="K66" i="48"/>
  <c r="AK106" i="48" s="1"/>
  <c r="L165" i="44"/>
  <c r="K44" i="48"/>
  <c r="AK84" i="48" s="1"/>
  <c r="L129" i="48"/>
  <c r="I172" i="48"/>
  <c r="K131" i="48"/>
  <c r="K77" i="44"/>
  <c r="I167" i="48"/>
  <c r="L117" i="48"/>
  <c r="J168" i="48"/>
  <c r="L96" i="48"/>
  <c r="I132" i="48"/>
  <c r="K139" i="44"/>
  <c r="Q48" i="54"/>
  <c r="L87" i="48"/>
  <c r="K66" i="44"/>
  <c r="K78" i="48"/>
  <c r="AK118" i="48" s="1"/>
  <c r="I21" i="48"/>
  <c r="AI61" i="48" s="1"/>
  <c r="J91" i="48"/>
  <c r="J62" i="44"/>
  <c r="Q116" i="54"/>
  <c r="L76" i="44"/>
  <c r="Q11" i="54"/>
  <c r="J75" i="44"/>
  <c r="L121" i="48"/>
  <c r="J156" i="48"/>
  <c r="I81" i="48"/>
  <c r="AI121" i="48" s="1"/>
  <c r="K65" i="48"/>
  <c r="AK105" i="48" s="1"/>
  <c r="L92" i="48"/>
  <c r="Q125" i="54"/>
  <c r="L113" i="44"/>
  <c r="I62" i="48"/>
  <c r="AI102" i="48" s="1"/>
  <c r="K67" i="44"/>
  <c r="K64" i="44"/>
  <c r="L29" i="48"/>
  <c r="L13" i="48"/>
  <c r="I39" i="44"/>
  <c r="I16" i="44"/>
  <c r="L44" i="48"/>
  <c r="I47" i="44"/>
  <c r="K25" i="48"/>
  <c r="AK65" i="48" s="1"/>
  <c r="K115" i="44"/>
  <c r="L79" i="48"/>
  <c r="I14" i="48"/>
  <c r="AI54" i="48" s="1"/>
  <c r="I68" i="48"/>
  <c r="AI108" i="48" s="1"/>
  <c r="L103" i="48"/>
  <c r="K133" i="48"/>
  <c r="I37" i="48"/>
  <c r="AI77" i="48" s="1"/>
  <c r="L107" i="48"/>
  <c r="L174" i="48"/>
  <c r="Q68" i="54"/>
  <c r="J137" i="44"/>
  <c r="L127" i="44"/>
  <c r="J29" i="44"/>
  <c r="L5" i="48"/>
  <c r="J114" i="48"/>
  <c r="I145" i="44"/>
  <c r="I16" i="48"/>
  <c r="AI56" i="48" s="1"/>
  <c r="Q133" i="54"/>
  <c r="K141" i="44"/>
  <c r="Q118" i="54"/>
  <c r="I38" i="48"/>
  <c r="AI78" i="48" s="1"/>
  <c r="L166" i="48"/>
  <c r="I64" i="48"/>
  <c r="AI104" i="48" s="1"/>
  <c r="J131" i="44"/>
  <c r="K22" i="44"/>
  <c r="K68" i="44"/>
  <c r="J120" i="44"/>
  <c r="Q100" i="54"/>
  <c r="K156" i="44"/>
  <c r="K41" i="48"/>
  <c r="AK81" i="48" s="1"/>
  <c r="J9" i="44"/>
  <c r="L142" i="44"/>
  <c r="L34" i="48"/>
  <c r="L153" i="48"/>
  <c r="I34" i="44"/>
  <c r="K16" i="48"/>
  <c r="AK56" i="48" s="1"/>
  <c r="I165" i="44"/>
  <c r="K35" i="44"/>
  <c r="K149" i="44"/>
  <c r="J139" i="48"/>
  <c r="K20" i="48"/>
  <c r="AK60" i="48" s="1"/>
  <c r="K75" i="44"/>
  <c r="Q160" i="54"/>
  <c r="J63" i="44"/>
  <c r="L45" i="44"/>
  <c r="K18" i="44"/>
  <c r="Q24" i="54"/>
  <c r="I49" i="48"/>
  <c r="AI89" i="48" s="1"/>
  <c r="Q81" i="54"/>
  <c r="L69" i="48"/>
  <c r="K70" i="48"/>
  <c r="AK110" i="48" s="1"/>
  <c r="Q20" i="54"/>
  <c r="L70" i="44"/>
  <c r="J55" i="48"/>
  <c r="L86" i="48"/>
  <c r="I89" i="48"/>
  <c r="AI129" i="48" s="1"/>
  <c r="I46" i="48"/>
  <c r="AI86" i="48" s="1"/>
  <c r="L59" i="48"/>
  <c r="K104" i="44"/>
  <c r="J121" i="44"/>
  <c r="I149" i="44"/>
  <c r="J8" i="48"/>
  <c r="I74" i="48"/>
  <c r="AI114" i="48" s="1"/>
  <c r="I122" i="48"/>
  <c r="Q152" i="54"/>
  <c r="Q79" i="54"/>
  <c r="K131" i="44"/>
  <c r="Q122" i="54"/>
  <c r="J165" i="48"/>
  <c r="I171" i="44"/>
  <c r="J2" i="44"/>
  <c r="J85" i="48"/>
  <c r="Q143" i="54"/>
  <c r="J6" i="44"/>
  <c r="Q41" i="54"/>
  <c r="L161" i="48"/>
  <c r="K151" i="44"/>
  <c r="L112" i="48"/>
  <c r="Q92" i="54"/>
  <c r="J135" i="44"/>
  <c r="L168" i="48"/>
  <c r="K29" i="48"/>
  <c r="AK69" i="48" s="1"/>
  <c r="L42" i="48"/>
  <c r="Q36" i="54"/>
  <c r="I65" i="44"/>
  <c r="I149" i="48"/>
  <c r="J145" i="48"/>
  <c r="J24" i="44"/>
  <c r="J163" i="48"/>
  <c r="I97" i="48"/>
  <c r="AI137" i="48" s="1"/>
  <c r="L77" i="44"/>
  <c r="K114" i="44"/>
  <c r="I155" i="48"/>
  <c r="K37" i="48"/>
  <c r="AK77" i="48" s="1"/>
  <c r="Q15" i="54"/>
  <c r="J43" i="48"/>
  <c r="I96" i="48"/>
  <c r="AI136" i="48" s="1"/>
  <c r="L54" i="48"/>
  <c r="K23" i="48"/>
  <c r="AK63" i="48" s="1"/>
  <c r="K167" i="44"/>
  <c r="I88" i="48"/>
  <c r="AI128" i="48" s="1"/>
  <c r="K137" i="48"/>
  <c r="J80" i="44"/>
  <c r="I107" i="44"/>
  <c r="I164" i="44"/>
  <c r="K138" i="44"/>
  <c r="I106" i="48"/>
  <c r="K21" i="44"/>
  <c r="Q97" i="54"/>
  <c r="J98" i="48"/>
  <c r="J59" i="48"/>
  <c r="I49" i="44"/>
  <c r="Q91" i="54"/>
  <c r="J45" i="44"/>
  <c r="Q156" i="54"/>
  <c r="L126" i="44"/>
  <c r="L35" i="44"/>
  <c r="L30" i="48"/>
  <c r="K40" i="48"/>
  <c r="AK80" i="48" s="1"/>
  <c r="Q59" i="54"/>
  <c r="K59" i="48"/>
  <c r="AK99" i="48" s="1"/>
  <c r="L69" i="44"/>
  <c r="Q4" i="54"/>
  <c r="Q94" i="54"/>
  <c r="Q96" i="54"/>
  <c r="I80" i="48"/>
  <c r="AI120" i="48" s="1"/>
  <c r="J105" i="48"/>
  <c r="I160" i="44"/>
  <c r="L146" i="48"/>
  <c r="L114" i="48"/>
  <c r="L126" i="48"/>
  <c r="Q38" i="54"/>
  <c r="K159" i="44"/>
  <c r="L159" i="48"/>
  <c r="L108" i="48"/>
  <c r="L56" i="48"/>
  <c r="I143" i="44"/>
  <c r="I161" i="44"/>
  <c r="I93" i="48"/>
  <c r="AI133" i="48" s="1"/>
  <c r="J12" i="48"/>
  <c r="Q158" i="54"/>
  <c r="L85" i="48"/>
  <c r="K17" i="44"/>
  <c r="J9" i="48"/>
  <c r="Q6" i="54"/>
  <c r="I74" i="44"/>
  <c r="J104" i="44"/>
  <c r="L43" i="44"/>
  <c r="J122" i="44"/>
  <c r="I109" i="44"/>
  <c r="L163" i="44"/>
  <c r="I119" i="44"/>
  <c r="J47" i="44"/>
  <c r="K124" i="44"/>
  <c r="L33" i="48"/>
  <c r="L27" i="48"/>
  <c r="J110" i="48"/>
  <c r="I43" i="44"/>
  <c r="L66" i="44"/>
  <c r="K104" i="48"/>
  <c r="L37" i="44"/>
  <c r="K101" i="48"/>
  <c r="AK141" i="48" s="1"/>
  <c r="J27" i="48"/>
  <c r="K47" i="48"/>
  <c r="AK87" i="48" s="1"/>
  <c r="K40" i="44"/>
  <c r="I169" i="48"/>
  <c r="K159" i="48"/>
  <c r="J138" i="44"/>
  <c r="J64" i="44"/>
  <c r="Q40" i="54"/>
  <c r="I15" i="48"/>
  <c r="AI55" i="48" s="1"/>
  <c r="L122" i="48"/>
  <c r="Q85" i="54"/>
  <c r="I44" i="44"/>
  <c r="I32" i="44"/>
  <c r="Q90" i="54"/>
  <c r="Q123" i="54"/>
  <c r="J41" i="48"/>
  <c r="L23" i="44"/>
  <c r="J113" i="48"/>
  <c r="K7" i="48"/>
  <c r="AK47" i="48" s="1"/>
  <c r="J11" i="48"/>
  <c r="K61" i="44"/>
  <c r="J61" i="48"/>
  <c r="J136" i="48"/>
  <c r="I63" i="44"/>
  <c r="K92" i="48"/>
  <c r="AK132" i="48" s="1"/>
  <c r="L20" i="48"/>
  <c r="J173" i="48"/>
  <c r="I69" i="48"/>
  <c r="AI109" i="48" s="1"/>
  <c r="I70" i="48"/>
  <c r="AI110" i="48" s="1"/>
  <c r="I86" i="44"/>
  <c r="L11" i="44"/>
  <c r="K86" i="48"/>
  <c r="AK126" i="48" s="1"/>
  <c r="L156" i="48"/>
  <c r="J37" i="44"/>
  <c r="L61" i="48"/>
  <c r="L91" i="48"/>
  <c r="Q58" i="54"/>
  <c r="L94" i="44"/>
  <c r="L93" i="48"/>
  <c r="Q126" i="54"/>
  <c r="J33" i="44"/>
  <c r="L51" i="44"/>
  <c r="J138" i="48"/>
  <c r="I111" i="44"/>
  <c r="I67" i="48"/>
  <c r="AI107" i="48" s="1"/>
  <c r="L53" i="48"/>
  <c r="I41" i="48"/>
  <c r="AI81" i="48" s="1"/>
  <c r="J122" i="48"/>
  <c r="L45" i="48"/>
  <c r="K48" i="48"/>
  <c r="AK88" i="48" s="1"/>
  <c r="I53" i="44"/>
  <c r="K119" i="44"/>
  <c r="Q32" i="54"/>
  <c r="K31" i="48"/>
  <c r="AK71" i="48" s="1"/>
  <c r="L128" i="48"/>
  <c r="L90" i="48"/>
  <c r="J84" i="44"/>
  <c r="Q3" i="54"/>
  <c r="J41" i="44"/>
  <c r="K165" i="44"/>
  <c r="K72" i="48"/>
  <c r="AK112" i="48" s="1"/>
  <c r="Q148" i="54"/>
  <c r="J36" i="48"/>
  <c r="J153" i="48"/>
  <c r="K38" i="44"/>
  <c r="K142" i="44"/>
  <c r="K142" i="48"/>
  <c r="I50" i="48"/>
  <c r="AI90" i="48" s="1"/>
  <c r="L80" i="48"/>
  <c r="J147" i="48"/>
  <c r="I168" i="48"/>
  <c r="J3" i="44"/>
  <c r="L162" i="48"/>
  <c r="Q161" i="54"/>
  <c r="K29" i="44"/>
  <c r="K15" i="48"/>
  <c r="AK55" i="48" s="1"/>
  <c r="K102" i="48"/>
  <c r="K145" i="44"/>
  <c r="L6" i="48"/>
  <c r="L48" i="44"/>
  <c r="K108" i="44"/>
  <c r="I143" i="48"/>
  <c r="J42" i="48"/>
  <c r="L120" i="48"/>
  <c r="Q83" i="54"/>
  <c r="J35" i="48"/>
  <c r="I140" i="48"/>
  <c r="L128" i="44"/>
  <c r="K105" i="48"/>
  <c r="K138" i="48"/>
  <c r="L90" i="44"/>
  <c r="L164" i="48"/>
  <c r="Q8" i="54"/>
  <c r="K51" i="44"/>
  <c r="I154" i="48"/>
  <c r="J169" i="48"/>
  <c r="Q128" i="54"/>
  <c r="I108" i="44"/>
  <c r="J112" i="48"/>
  <c r="K171" i="44"/>
  <c r="K14" i="44"/>
  <c r="Q101" i="54"/>
  <c r="K24" i="44"/>
  <c r="L14" i="48"/>
  <c r="L147" i="44"/>
  <c r="L131" i="44"/>
  <c r="I24" i="44"/>
  <c r="I144" i="44"/>
  <c r="Q88" i="54"/>
  <c r="J93" i="48"/>
  <c r="K168" i="44"/>
  <c r="L145" i="48"/>
  <c r="K71" i="44"/>
  <c r="I52" i="44"/>
  <c r="J29" i="48"/>
  <c r="J150" i="44"/>
  <c r="J171" i="48"/>
  <c r="L150" i="44"/>
  <c r="K6" i="44"/>
  <c r="K57" i="48"/>
  <c r="AK97" i="48" s="1"/>
  <c r="J132" i="44"/>
  <c r="K8" i="48"/>
  <c r="AK48" i="48" s="1"/>
  <c r="K154" i="44"/>
  <c r="L92" i="44"/>
  <c r="K109" i="44"/>
  <c r="K83" i="48"/>
  <c r="AK123" i="48" s="1"/>
  <c r="L57" i="44"/>
  <c r="K87" i="48"/>
  <c r="AK127" i="48" s="1"/>
  <c r="I77" i="44"/>
  <c r="K48" i="44"/>
  <c r="J111" i="48"/>
  <c r="I36" i="44"/>
  <c r="Q134" i="54"/>
  <c r="J151" i="44"/>
  <c r="I156" i="48"/>
  <c r="K2" i="44"/>
  <c r="I23" i="48"/>
  <c r="AI63" i="48" s="1"/>
  <c r="I126" i="44"/>
  <c r="K79" i="44"/>
  <c r="J53" i="44"/>
  <c r="J77" i="48"/>
  <c r="I29" i="48"/>
  <c r="AI69" i="48" s="1"/>
  <c r="I5" i="48"/>
  <c r="AI45" i="48" s="1"/>
  <c r="I64" i="44"/>
  <c r="I19" i="48"/>
  <c r="AI59" i="48" s="1"/>
  <c r="K111" i="44"/>
  <c r="J166" i="48"/>
  <c r="L135" i="44"/>
  <c r="J104" i="48"/>
  <c r="J28" i="44"/>
  <c r="I45" i="44"/>
  <c r="I107" i="48"/>
  <c r="Q65" i="54"/>
  <c r="I137" i="48"/>
  <c r="Q99" i="54"/>
  <c r="J129" i="44"/>
  <c r="J96" i="48"/>
  <c r="I99" i="44"/>
  <c r="I147" i="48"/>
  <c r="L133" i="44"/>
  <c r="I112" i="48"/>
  <c r="Q124" i="54"/>
  <c r="I165" i="48"/>
  <c r="K84" i="44"/>
  <c r="I121" i="48"/>
  <c r="Q31" i="54"/>
  <c r="L144" i="44"/>
  <c r="K99" i="44"/>
  <c r="J72" i="44"/>
  <c r="L9" i="48"/>
  <c r="K128" i="48"/>
  <c r="L82" i="44"/>
  <c r="K163" i="44"/>
  <c r="L166" i="44"/>
  <c r="L2" i="48"/>
  <c r="I117" i="48"/>
  <c r="Q75" i="54"/>
  <c r="I110" i="48"/>
  <c r="K65" i="44"/>
  <c r="I122" i="44"/>
  <c r="I112" i="44"/>
  <c r="J77" i="44"/>
  <c r="L141" i="44"/>
  <c r="J15" i="44"/>
  <c r="K140" i="44"/>
  <c r="J127" i="44"/>
  <c r="L143" i="48"/>
  <c r="I151" i="48"/>
  <c r="L15" i="48"/>
  <c r="K41" i="44"/>
  <c r="J141" i="44"/>
  <c r="I17" i="48"/>
  <c r="AI57" i="48" s="1"/>
  <c r="I142" i="44"/>
  <c r="K146" i="48"/>
  <c r="J2" i="48"/>
  <c r="K68" i="48"/>
  <c r="AK108" i="48" s="1"/>
  <c r="K103" i="48"/>
  <c r="L151" i="48"/>
  <c r="Q120" i="54"/>
  <c r="J64" i="48"/>
  <c r="L54" i="44"/>
  <c r="L100" i="44"/>
  <c r="I136" i="44"/>
  <c r="J162" i="44"/>
  <c r="J72" i="48"/>
  <c r="K158" i="44"/>
  <c r="K169" i="44"/>
  <c r="I105" i="44"/>
  <c r="J83" i="48"/>
  <c r="I128" i="44"/>
  <c r="K137" i="44"/>
  <c r="K103" i="44"/>
  <c r="L17" i="44"/>
  <c r="L172" i="48"/>
  <c r="I67" i="44"/>
  <c r="I48" i="48"/>
  <c r="AI88" i="48" s="1"/>
  <c r="K50" i="44"/>
  <c r="Q54" i="54"/>
  <c r="L118" i="48"/>
  <c r="Q80" i="54"/>
  <c r="L168" i="44"/>
  <c r="K15" i="44"/>
  <c r="Q34" i="54"/>
  <c r="L111" i="48"/>
  <c r="L84" i="48"/>
  <c r="K108" i="48"/>
  <c r="Q66" i="54"/>
  <c r="K35" i="48"/>
  <c r="AK75" i="48" s="1"/>
  <c r="L43" i="48"/>
  <c r="I110" i="44"/>
  <c r="L134" i="44"/>
  <c r="J71" i="48"/>
  <c r="L139" i="48"/>
  <c r="L167" i="44"/>
  <c r="Q132" i="54"/>
  <c r="I55" i="44"/>
  <c r="L108" i="44"/>
  <c r="I104" i="44"/>
  <c r="J125" i="48"/>
  <c r="L154" i="44"/>
  <c r="L171" i="48"/>
  <c r="K118" i="44"/>
  <c r="L42" i="44"/>
  <c r="K156" i="48"/>
  <c r="I151" i="44"/>
  <c r="K88" i="44"/>
  <c r="J117" i="48"/>
  <c r="J45" i="48"/>
  <c r="K37" i="44"/>
  <c r="Q39" i="54"/>
  <c r="K120" i="48"/>
  <c r="J87" i="48"/>
  <c r="L41" i="48"/>
  <c r="I124" i="44"/>
  <c r="J47" i="48"/>
  <c r="K125" i="44"/>
  <c r="K165" i="48"/>
  <c r="J57" i="48"/>
  <c r="K116" i="48"/>
  <c r="I163" i="44"/>
  <c r="I109" i="48"/>
  <c r="I127" i="48"/>
  <c r="L37" i="48"/>
  <c r="K110" i="44"/>
  <c r="K143" i="48"/>
  <c r="L153" i="44"/>
  <c r="K14" i="48"/>
  <c r="AK54" i="48" s="1"/>
  <c r="Q146" i="54"/>
  <c r="I79" i="44"/>
  <c r="J139" i="44"/>
  <c r="K153" i="44"/>
  <c r="J24" i="48"/>
  <c r="I79" i="48"/>
  <c r="AI119" i="48" s="1"/>
  <c r="L13" i="44"/>
  <c r="J16" i="48"/>
  <c r="L109" i="44"/>
  <c r="J126" i="48"/>
  <c r="L85" i="44"/>
  <c r="K71" i="48"/>
  <c r="AK111" i="48" s="1"/>
  <c r="K145" i="48"/>
  <c r="J83" i="44"/>
  <c r="J121" i="48"/>
  <c r="Q42" i="54"/>
  <c r="Q145" i="54"/>
  <c r="K168" i="48"/>
  <c r="K82" i="44"/>
  <c r="I83" i="48"/>
  <c r="AI123" i="48" s="1"/>
  <c r="J123" i="48"/>
  <c r="K52" i="48"/>
  <c r="AK92" i="48" s="1"/>
  <c r="K12" i="48"/>
  <c r="AK52" i="48" s="1"/>
  <c r="I170" i="44"/>
  <c r="L165" i="48"/>
  <c r="I167" i="44"/>
  <c r="L57" i="48"/>
  <c r="L160" i="48"/>
  <c r="L109" i="48"/>
  <c r="L135" i="48"/>
  <c r="K13" i="48"/>
  <c r="AK53" i="48" s="1"/>
  <c r="J152" i="44"/>
  <c r="L15" i="44"/>
  <c r="J40" i="48"/>
  <c r="I80" i="44"/>
  <c r="Q45" i="54"/>
  <c r="I108" i="48"/>
  <c r="J74" i="44"/>
  <c r="Q167" i="54"/>
  <c r="J126" i="44"/>
  <c r="Q17" i="54"/>
  <c r="J160" i="48"/>
  <c r="K132" i="44"/>
  <c r="J53" i="48"/>
  <c r="J14" i="44"/>
  <c r="I134" i="44"/>
  <c r="K73" i="44"/>
  <c r="I66" i="44"/>
  <c r="L74" i="44"/>
  <c r="I111" i="48"/>
  <c r="J146" i="44"/>
  <c r="L65" i="48"/>
  <c r="I135" i="44"/>
  <c r="J52" i="44"/>
  <c r="I119" i="48"/>
  <c r="L88" i="48"/>
  <c r="K136" i="44"/>
  <c r="K141" i="48"/>
  <c r="I103" i="48"/>
  <c r="K33" i="48"/>
  <c r="AK73" i="48" s="1"/>
  <c r="I51" i="48"/>
  <c r="AI91" i="48" s="1"/>
  <c r="L121" i="44"/>
  <c r="L102" i="44"/>
  <c r="I12" i="48"/>
  <c r="AI52" i="48" s="1"/>
  <c r="J120" i="48"/>
  <c r="J154" i="44"/>
  <c r="J174" i="48"/>
  <c r="K166" i="44"/>
  <c r="I27" i="48"/>
  <c r="AI67" i="48" s="1"/>
  <c r="J44" i="48"/>
  <c r="L55" i="44"/>
  <c r="L3" i="48"/>
  <c r="I105" i="48"/>
  <c r="L84" i="44"/>
  <c r="K55" i="44"/>
  <c r="K118" i="48"/>
  <c r="J73" i="48"/>
  <c r="J79" i="48"/>
  <c r="L97" i="44"/>
  <c r="J118" i="48"/>
  <c r="L52" i="48"/>
  <c r="K161" i="44"/>
  <c r="Q64" i="54"/>
  <c r="L167" i="48"/>
  <c r="K174" i="48"/>
  <c r="I146" i="44"/>
  <c r="K121" i="48"/>
  <c r="J115" i="48"/>
  <c r="L38" i="44"/>
  <c r="J158" i="44"/>
  <c r="L123" i="48"/>
  <c r="J143" i="48"/>
  <c r="I54" i="44"/>
  <c r="I13" i="44"/>
  <c r="J43" i="44"/>
  <c r="K172" i="48"/>
  <c r="L67" i="48"/>
  <c r="J100" i="48"/>
  <c r="I150" i="44"/>
  <c r="Q47" i="54"/>
  <c r="Q108" i="54"/>
  <c r="L148" i="44"/>
  <c r="J68" i="48"/>
  <c r="I131" i="44"/>
  <c r="K175" i="48"/>
  <c r="I82" i="48"/>
  <c r="AI122" i="48" s="1"/>
  <c r="I145" i="48"/>
  <c r="I3" i="48"/>
  <c r="AI43" i="48" s="1"/>
  <c r="L148" i="48"/>
  <c r="J167" i="48"/>
  <c r="J32" i="44"/>
  <c r="L163" i="48"/>
  <c r="J116" i="44"/>
  <c r="J143" i="44"/>
  <c r="L117" i="44"/>
  <c r="J54" i="44"/>
  <c r="I175" i="48"/>
  <c r="Q140" i="54"/>
  <c r="K54" i="44"/>
  <c r="J155" i="44"/>
  <c r="I116" i="48"/>
  <c r="Q117" i="54"/>
  <c r="I118" i="48"/>
  <c r="J135" i="48"/>
  <c r="L82" i="48"/>
  <c r="L79" i="44"/>
  <c r="Q166" i="54"/>
  <c r="L19" i="44"/>
  <c r="K144" i="48"/>
  <c r="L104" i="44"/>
  <c r="K111" i="48"/>
  <c r="L5" i="44"/>
  <c r="J84" i="48"/>
  <c r="L16" i="48"/>
  <c r="L111" i="44"/>
  <c r="I73" i="48"/>
  <c r="AI113" i="48" s="1"/>
  <c r="J141" i="48"/>
  <c r="I87" i="44"/>
  <c r="Q10" i="54"/>
  <c r="I121" i="44"/>
  <c r="I148" i="44"/>
  <c r="L123" i="44"/>
  <c r="I120" i="44"/>
  <c r="K149" i="48"/>
  <c r="K135" i="48"/>
  <c r="I71" i="48"/>
  <c r="AI111" i="48" s="1"/>
  <c r="Q107" i="54"/>
  <c r="K134" i="44"/>
  <c r="I157" i="44"/>
  <c r="I29" i="44"/>
  <c r="L36" i="44"/>
  <c r="I127" i="44"/>
  <c r="L136" i="48"/>
  <c r="L64" i="48"/>
  <c r="L162" i="44"/>
  <c r="I129" i="44"/>
  <c r="Q163" i="54"/>
  <c r="J117" i="44"/>
  <c r="J157" i="48"/>
  <c r="L136" i="44"/>
  <c r="K135" i="44"/>
  <c r="Q22" i="54"/>
  <c r="I115" i="48"/>
  <c r="J19" i="44"/>
  <c r="I24" i="48"/>
  <c r="AI64" i="48" s="1"/>
  <c r="J75" i="48"/>
  <c r="J101" i="48"/>
  <c r="J137" i="48"/>
  <c r="K152" i="48"/>
  <c r="J23" i="44"/>
  <c r="I117" i="44"/>
  <c r="K25" i="44"/>
  <c r="I104" i="48"/>
  <c r="L52" i="44"/>
  <c r="K34" i="48"/>
  <c r="AK74" i="48" s="1"/>
  <c r="J90" i="48"/>
  <c r="L100" i="48"/>
  <c r="L147" i="48"/>
  <c r="I131" i="48"/>
  <c r="I50" i="44"/>
  <c r="K72" i="44"/>
  <c r="I5" i="44"/>
  <c r="L171" i="44"/>
  <c r="I156" i="44"/>
  <c r="J3" i="48"/>
  <c r="Q119" i="54"/>
  <c r="L68" i="44"/>
  <c r="Q82" i="54"/>
  <c r="I141" i="44"/>
  <c r="J25" i="48"/>
  <c r="J78" i="44"/>
  <c r="K127" i="48"/>
  <c r="I139" i="48"/>
  <c r="K33" i="44"/>
  <c r="K120" i="44"/>
  <c r="J65" i="44"/>
  <c r="Q37" i="54"/>
  <c r="K17" i="48"/>
  <c r="AK57" i="48" s="1"/>
  <c r="L129" i="44"/>
  <c r="L88" i="44"/>
  <c r="J145" i="44"/>
  <c r="Q139" i="54"/>
  <c r="Q29" i="54"/>
  <c r="J8" i="44"/>
  <c r="L31" i="44"/>
  <c r="I36" i="48"/>
  <c r="AI76" i="48" s="1"/>
  <c r="J151" i="48"/>
  <c r="K153" i="48"/>
  <c r="L10" i="48"/>
  <c r="L127" i="48"/>
  <c r="K78" i="44"/>
  <c r="K160" i="48"/>
  <c r="K50" i="48"/>
  <c r="AK90" i="48" s="1"/>
  <c r="L6" i="44"/>
  <c r="I17" i="44"/>
  <c r="Q111" i="54"/>
  <c r="Q144" i="54"/>
  <c r="L169" i="48"/>
  <c r="K82" i="48"/>
  <c r="AK122" i="48" s="1"/>
  <c r="L9" i="44"/>
  <c r="J129" i="48"/>
  <c r="L87" i="44"/>
  <c r="I19" i="44"/>
  <c r="I171" i="48"/>
  <c r="L134" i="48"/>
  <c r="L152" i="48"/>
  <c r="Q136" i="54"/>
  <c r="K43" i="48"/>
  <c r="AK83" i="48" s="1"/>
  <c r="K110" i="48"/>
  <c r="L17" i="48"/>
  <c r="I166" i="44"/>
  <c r="J165" i="44"/>
  <c r="L119" i="44"/>
  <c r="Q16" i="54"/>
  <c r="J96" i="44"/>
  <c r="I2" i="44"/>
  <c r="J118" i="44"/>
  <c r="I159" i="44"/>
  <c r="L175" i="48"/>
  <c r="I32" i="48"/>
  <c r="AI72" i="48" s="1"/>
  <c r="K136" i="48"/>
  <c r="I142" i="48"/>
  <c r="Q74" i="54"/>
  <c r="J148" i="44"/>
  <c r="Q157" i="54"/>
  <c r="L40" i="48"/>
  <c r="J133" i="48"/>
  <c r="I157" i="48"/>
  <c r="J38" i="48"/>
  <c r="L24" i="44"/>
  <c r="J124" i="48"/>
  <c r="J147" i="44"/>
  <c r="I14" i="44"/>
  <c r="K147" i="44"/>
  <c r="I169" i="44"/>
  <c r="J80" i="48"/>
  <c r="L47" i="48"/>
  <c r="J50" i="44"/>
  <c r="I66" i="48"/>
  <c r="AI106" i="48" s="1"/>
  <c r="J130" i="48"/>
  <c r="J6" i="48"/>
  <c r="J142" i="48"/>
  <c r="J134" i="48"/>
  <c r="Q72" i="54"/>
  <c r="I25" i="48"/>
  <c r="AI65" i="48" s="1"/>
  <c r="K13" i="44"/>
  <c r="L50" i="48"/>
  <c r="L156" i="44"/>
  <c r="L39" i="44"/>
  <c r="I78" i="48"/>
  <c r="AI118" i="48" s="1"/>
  <c r="K39" i="48"/>
  <c r="AK79" i="48" s="1"/>
  <c r="I139" i="44"/>
  <c r="K79" i="48"/>
  <c r="AK119" i="48" s="1"/>
  <c r="K52" i="44"/>
  <c r="L50" i="44"/>
  <c r="K88" i="48"/>
  <c r="AK128" i="48" s="1"/>
  <c r="K77" i="48"/>
  <c r="AK117" i="48" s="1"/>
  <c r="Q67" i="54"/>
  <c r="K28" i="48"/>
  <c r="AK68" i="48" s="1"/>
  <c r="Q110" i="54"/>
  <c r="I28" i="44"/>
  <c r="L140" i="44"/>
  <c r="J140" i="48"/>
  <c r="I150" i="48"/>
  <c r="Q103" i="54"/>
  <c r="J22" i="48"/>
  <c r="K161" i="48"/>
  <c r="I129" i="48"/>
  <c r="I37" i="44"/>
  <c r="L47" i="44"/>
  <c r="K36" i="48"/>
  <c r="AK76" i="48" s="1"/>
  <c r="L51" i="48"/>
  <c r="J105" i="44"/>
  <c r="J167" i="44"/>
  <c r="J108" i="48"/>
  <c r="I164" i="48"/>
  <c r="K6" i="48"/>
  <c r="AK46" i="48" s="1"/>
  <c r="J156" i="44"/>
  <c r="I118" i="44"/>
  <c r="I54" i="48"/>
  <c r="AI94" i="48" s="1"/>
  <c r="I72" i="44"/>
  <c r="L64" i="44"/>
  <c r="J92" i="48"/>
  <c r="L138" i="44"/>
  <c r="J56" i="48"/>
  <c r="I159" i="48"/>
  <c r="J152" i="48"/>
  <c r="K80" i="48"/>
  <c r="AK120" i="48" s="1"/>
  <c r="K102" i="44"/>
  <c r="J67" i="48"/>
  <c r="J23" i="48"/>
  <c r="I53" i="48"/>
  <c r="AI93" i="48" s="1"/>
  <c r="L19" i="48"/>
  <c r="L164" i="44"/>
  <c r="J100" i="44"/>
  <c r="K173" i="48"/>
  <c r="L36" i="48"/>
  <c r="K112" i="48"/>
  <c r="L124" i="48"/>
  <c r="I102" i="44"/>
  <c r="J144" i="44"/>
  <c r="L75" i="44"/>
  <c r="J27" i="44"/>
  <c r="J85" i="44"/>
  <c r="J153" i="44"/>
  <c r="J10" i="48"/>
  <c r="I42" i="44"/>
  <c r="K151" i="48"/>
  <c r="L157" i="44"/>
  <c r="Q169" i="54"/>
  <c r="K34" i="44"/>
  <c r="L99" i="44"/>
  <c r="Q51" i="54"/>
  <c r="K101" i="44"/>
  <c r="L138" i="48"/>
  <c r="K115" i="48"/>
  <c r="J44" i="44"/>
  <c r="L149" i="48"/>
  <c r="I56" i="48"/>
  <c r="AI96" i="48" s="1"/>
  <c r="I47" i="48"/>
  <c r="AI87" i="48" s="1"/>
  <c r="K67" i="48"/>
  <c r="AK107" i="48" s="1"/>
  <c r="J127" i="48"/>
  <c r="J125" i="44"/>
  <c r="I85" i="48"/>
  <c r="AI125" i="48" s="1"/>
  <c r="I132" i="44"/>
  <c r="J162" i="48"/>
  <c r="Q43" i="54"/>
  <c r="L154" i="48"/>
  <c r="K85" i="48"/>
  <c r="AK125" i="48" s="1"/>
  <c r="I10" i="48"/>
  <c r="AI50" i="48" s="1"/>
  <c r="L125" i="48"/>
  <c r="I25" i="44"/>
  <c r="I57" i="44"/>
  <c r="Q171" i="54"/>
  <c r="J92" i="44"/>
  <c r="K44" i="44"/>
  <c r="L131" i="48"/>
  <c r="K122" i="44"/>
  <c r="Q53" i="54"/>
  <c r="I9" i="44"/>
  <c r="L39" i="48"/>
  <c r="I148" i="48"/>
  <c r="I40" i="44"/>
  <c r="J142" i="44"/>
  <c r="K107" i="48"/>
  <c r="Q33" i="54"/>
  <c r="I125" i="44"/>
  <c r="I173" i="48"/>
  <c r="J73" i="44"/>
  <c r="I103" i="44"/>
  <c r="K19" i="44"/>
  <c r="L93" i="44"/>
  <c r="Q154" i="54"/>
  <c r="Q149" i="54"/>
  <c r="L23" i="48"/>
  <c r="K22" i="48"/>
  <c r="AK62" i="48" s="1"/>
  <c r="I40" i="48"/>
  <c r="AI80" i="48" s="1"/>
  <c r="I45" i="48"/>
  <c r="AI85" i="48" s="1"/>
  <c r="Q44" i="54"/>
  <c r="L78" i="44"/>
  <c r="J109" i="48"/>
  <c r="Q142" i="54"/>
  <c r="I170" i="48"/>
  <c r="J128" i="48"/>
  <c r="I153" i="44"/>
  <c r="K19" i="48"/>
  <c r="AK59" i="48" s="1"/>
  <c r="L29" i="44"/>
  <c r="K16" i="44"/>
  <c r="L160" i="44"/>
  <c r="L8" i="44"/>
  <c r="J42" i="44"/>
  <c r="Q170" i="54"/>
  <c r="L173" i="48"/>
  <c r="I73" i="44"/>
  <c r="K36" i="44"/>
  <c r="K112" i="44"/>
  <c r="I114" i="48"/>
  <c r="Q84" i="54"/>
  <c r="L35" i="48"/>
  <c r="L78" i="48"/>
  <c r="K160" i="44"/>
  <c r="K74" i="44"/>
  <c r="J54" i="48"/>
  <c r="L24" i="48"/>
  <c r="I116" i="44"/>
  <c r="L157" i="48"/>
  <c r="L110" i="48"/>
  <c r="K166" i="48"/>
  <c r="I2" i="48"/>
  <c r="AI42" i="48" s="1"/>
  <c r="I27" i="44"/>
  <c r="I144" i="48"/>
  <c r="Q27" i="54"/>
  <c r="L34" i="44"/>
  <c r="I34" i="48"/>
  <c r="AI74" i="48" s="1"/>
  <c r="J170" i="44"/>
  <c r="L104" i="48"/>
  <c r="J116" i="48"/>
  <c r="J12" i="44"/>
  <c r="L71" i="48"/>
  <c r="I160" i="48"/>
  <c r="J67" i="44"/>
  <c r="I130" i="48"/>
  <c r="I146" i="48"/>
  <c r="J16" i="44"/>
  <c r="L142" i="48"/>
  <c r="J48" i="44"/>
  <c r="K12" i="44"/>
  <c r="I65" i="48"/>
  <c r="AI105" i="48" s="1"/>
  <c r="L103" i="44"/>
  <c r="L151" i="44"/>
  <c r="I55" i="48"/>
  <c r="AI95" i="48" s="1"/>
  <c r="I9" i="48"/>
  <c r="AI49" i="48" s="1"/>
  <c r="I153" i="48"/>
  <c r="L112" i="44"/>
  <c r="I38" i="44"/>
  <c r="L105" i="44"/>
  <c r="K31" i="44"/>
  <c r="J48" i="48"/>
  <c r="L169" i="44"/>
  <c r="Q138" i="54"/>
  <c r="Q121" i="54"/>
  <c r="K126" i="48"/>
  <c r="I135" i="48"/>
  <c r="J55" i="44"/>
  <c r="J15" i="48"/>
  <c r="J123" i="44"/>
  <c r="I138" i="44"/>
  <c r="K73" i="48"/>
  <c r="AK113" i="48" s="1"/>
  <c r="Q131" i="54"/>
  <c r="Q150" i="54"/>
  <c r="I68" i="44"/>
  <c r="I88" i="44"/>
  <c r="Q151" i="54"/>
  <c r="I10" i="44"/>
  <c r="J39" i="44"/>
  <c r="J124" i="44"/>
  <c r="Q9" i="54"/>
  <c r="I140" i="44"/>
  <c r="K155" i="44"/>
  <c r="J90" i="44"/>
  <c r="Q28" i="54"/>
  <c r="L158" i="48"/>
  <c r="L72" i="48"/>
  <c r="K170" i="44"/>
  <c r="K93" i="44"/>
  <c r="J51" i="48"/>
  <c r="L114" i="44"/>
  <c r="J10" i="44"/>
  <c r="L83" i="48"/>
  <c r="J28" i="48"/>
  <c r="L146" i="44"/>
  <c r="L107" i="44"/>
  <c r="K162" i="44"/>
  <c r="J161" i="44"/>
  <c r="J33" i="48"/>
  <c r="I162" i="48"/>
  <c r="L22" i="44"/>
  <c r="J149" i="44"/>
  <c r="K107" i="44"/>
  <c r="J36" i="44"/>
  <c r="K139" i="48"/>
  <c r="J14" i="48"/>
  <c r="I134" i="48"/>
  <c r="L144" i="48"/>
  <c r="I152" i="48"/>
  <c r="K171" i="48"/>
  <c r="J111" i="44"/>
  <c r="I84" i="44"/>
  <c r="K129" i="44"/>
  <c r="J40" i="44"/>
  <c r="Q115" i="54"/>
  <c r="J103" i="44"/>
  <c r="L158" i="44"/>
  <c r="K75" i="48"/>
  <c r="AK115" i="48" s="1"/>
  <c r="K164" i="44"/>
  <c r="Q164" i="54"/>
  <c r="J17" i="48"/>
  <c r="L55" i="48"/>
  <c r="L3" i="44"/>
  <c r="L149" i="44"/>
  <c r="L10" i="44"/>
  <c r="I155" i="44"/>
  <c r="I31" i="44"/>
  <c r="I87" i="48"/>
  <c r="AI127" i="48" s="1"/>
  <c r="K147" i="48"/>
  <c r="I8" i="44"/>
  <c r="K163" i="48"/>
  <c r="K122" i="48"/>
  <c r="I90" i="44"/>
  <c r="J66" i="44"/>
  <c r="L118" i="44"/>
  <c r="K130" i="44"/>
  <c r="J71" i="44"/>
  <c r="I162" i="44"/>
  <c r="J140" i="44"/>
  <c r="L140" i="48"/>
  <c r="I85" i="44"/>
  <c r="L80" i="44"/>
  <c r="J159" i="44"/>
  <c r="I99" i="48"/>
  <c r="AI139" i="48" s="1"/>
  <c r="L56" i="44"/>
  <c r="J22" i="44"/>
  <c r="K129" i="48"/>
  <c r="I123" i="44"/>
  <c r="J154" i="48"/>
  <c r="J115" i="44"/>
  <c r="I28" i="48"/>
  <c r="AI68" i="48" s="1"/>
  <c r="I23" i="44"/>
  <c r="I8" i="48"/>
  <c r="AI48" i="48" s="1"/>
  <c r="L115" i="44"/>
  <c r="L155" i="44"/>
  <c r="K80" i="44"/>
  <c r="J99" i="44"/>
  <c r="J39" i="48"/>
  <c r="Q35" i="54"/>
  <c r="K8" i="44"/>
  <c r="K47" i="44"/>
  <c r="K123" i="44"/>
  <c r="L74" i="48"/>
  <c r="K164" i="48"/>
  <c r="K170" i="48"/>
  <c r="K10" i="44"/>
  <c r="Q13" i="54"/>
  <c r="K27" i="44"/>
  <c r="I101" i="44"/>
  <c r="Q104" i="54"/>
  <c r="I13" i="48"/>
  <c r="AI53" i="48" s="1"/>
  <c r="J35" i="44"/>
  <c r="K152" i="44"/>
  <c r="J82" i="44"/>
  <c r="J97" i="48"/>
  <c r="J52" i="48"/>
  <c r="K99" i="48"/>
  <c r="AK139" i="48" s="1"/>
  <c r="L2" i="44"/>
  <c r="I128" i="48"/>
  <c r="J93" i="44"/>
  <c r="Q12" i="54"/>
  <c r="I115" i="44"/>
  <c r="J31" i="48"/>
  <c r="J132" i="48"/>
  <c r="J171" i="44"/>
  <c r="I102" i="48"/>
  <c r="L101" i="44"/>
  <c r="K158" i="48"/>
  <c r="L67" i="44"/>
  <c r="L125" i="44"/>
  <c r="I6" i="44"/>
  <c r="I163" i="48"/>
  <c r="J88" i="44"/>
  <c r="Q105" i="54"/>
  <c r="K42" i="48"/>
  <c r="AK82" i="48" s="1"/>
  <c r="K117" i="48"/>
  <c r="K90" i="48"/>
  <c r="AK130" i="48" s="1"/>
  <c r="J133" i="44"/>
  <c r="Q77" i="54"/>
  <c r="K2" i="48"/>
  <c r="AK42" i="48" s="1"/>
  <c r="K150" i="48"/>
  <c r="K144" i="44"/>
  <c r="L33" i="44"/>
  <c r="J160" i="44"/>
  <c r="I22" i="44"/>
  <c r="L145" i="44"/>
  <c r="I168" i="44"/>
  <c r="J65" i="48"/>
  <c r="L71" i="44"/>
  <c r="L97" i="48"/>
  <c r="K9" i="44"/>
  <c r="J13" i="48"/>
  <c r="K3" i="44"/>
  <c r="L132" i="44"/>
  <c r="Q102" i="54"/>
  <c r="J25" i="44"/>
  <c r="J109" i="44"/>
  <c r="L176" i="48"/>
  <c r="K167" i="48"/>
  <c r="Q25" i="54"/>
  <c r="J131" i="48"/>
  <c r="K90" i="44"/>
  <c r="L119" i="48"/>
  <c r="I174" i="48"/>
  <c r="K157" i="48"/>
  <c r="Q55" i="54"/>
  <c r="J144" i="48"/>
  <c r="J150" i="48"/>
  <c r="L124" i="44"/>
  <c r="J34" i="48"/>
  <c r="J169" i="44"/>
  <c r="I114" i="44"/>
  <c r="Q153" i="54"/>
  <c r="J136" i="44"/>
  <c r="Q109" i="54"/>
  <c r="J5" i="48"/>
  <c r="J148" i="48"/>
  <c r="K132" i="48"/>
  <c r="K105" i="44"/>
  <c r="I82" i="44"/>
  <c r="Q73" i="54"/>
  <c r="I52" i="48"/>
  <c r="AI92" i="48" s="1"/>
  <c r="K133" i="44"/>
  <c r="I147" i="44"/>
  <c r="K23" i="44"/>
  <c r="J134" i="44"/>
  <c r="I101" i="48"/>
  <c r="AI141" i="48" s="1"/>
  <c r="L38" i="48"/>
  <c r="L68" i="48"/>
  <c r="K24" i="48"/>
  <c r="AK64" i="48" s="1"/>
  <c r="J163" i="44"/>
  <c r="K53" i="44"/>
  <c r="J119" i="48"/>
  <c r="K125" i="48"/>
  <c r="K45" i="48"/>
  <c r="AK85" i="48" s="1"/>
  <c r="I72" i="48"/>
  <c r="AI112" i="48" s="1"/>
  <c r="I6" i="48"/>
  <c r="AI46" i="48" s="1"/>
  <c r="K39" i="44"/>
  <c r="K117" i="44"/>
  <c r="I51" i="44"/>
  <c r="J166" i="44"/>
  <c r="J103" i="48"/>
  <c r="Y105" i="54" l="1"/>
  <c r="U105" i="54"/>
  <c r="V105" i="54"/>
  <c r="Z105" i="54"/>
  <c r="T105" i="54"/>
  <c r="W105" i="54"/>
  <c r="X105" i="54"/>
  <c r="Y8" i="54"/>
  <c r="X8" i="54"/>
  <c r="U8" i="54"/>
  <c r="V8" i="54"/>
  <c r="T8" i="54"/>
  <c r="Z8" i="54"/>
  <c r="W8" i="54"/>
  <c r="V167" i="54"/>
  <c r="T167" i="54"/>
  <c r="X167" i="54"/>
  <c r="W167" i="54"/>
  <c r="Z167" i="54"/>
  <c r="U167" i="54"/>
  <c r="Y167" i="54"/>
  <c r="W124" i="54"/>
  <c r="V124" i="54"/>
  <c r="X124" i="54"/>
  <c r="Y124" i="54"/>
  <c r="Z124" i="54"/>
  <c r="T124" i="54"/>
  <c r="U124" i="54"/>
  <c r="X38" i="54"/>
  <c r="Y38" i="54"/>
  <c r="Z38" i="54"/>
  <c r="U38" i="54"/>
  <c r="W38" i="54"/>
  <c r="T38" i="54"/>
  <c r="V38" i="54"/>
  <c r="Z36" i="54"/>
  <c r="Y36" i="54"/>
  <c r="W36" i="54"/>
  <c r="T36" i="54"/>
  <c r="V36" i="54"/>
  <c r="X36" i="54"/>
  <c r="U36" i="54"/>
  <c r="V98" i="54"/>
  <c r="U98" i="54"/>
  <c r="W98" i="54"/>
  <c r="X98" i="54"/>
  <c r="Z98" i="54"/>
  <c r="T98" i="54"/>
  <c r="Y98" i="54"/>
  <c r="V2" i="54"/>
  <c r="U2" i="54"/>
  <c r="Z2" i="54"/>
  <c r="X2" i="54"/>
  <c r="T2" i="54"/>
  <c r="Y2" i="54"/>
  <c r="W2" i="54"/>
  <c r="T162" i="54"/>
  <c r="U162" i="54"/>
  <c r="V162" i="54"/>
  <c r="Z162" i="54"/>
  <c r="W162" i="54"/>
  <c r="X162" i="54"/>
  <c r="Y162" i="54"/>
  <c r="Y137" i="54"/>
  <c r="V137" i="54"/>
  <c r="Z137" i="54"/>
  <c r="T137" i="54"/>
  <c r="X137" i="54"/>
  <c r="W137" i="54"/>
  <c r="U137" i="54"/>
  <c r="Y104" i="54"/>
  <c r="X104" i="54"/>
  <c r="U104" i="54"/>
  <c r="V104" i="54"/>
  <c r="W104" i="54"/>
  <c r="Z104" i="54"/>
  <c r="T104" i="54"/>
  <c r="W145" i="54"/>
  <c r="U145" i="54"/>
  <c r="X145" i="54"/>
  <c r="Y145" i="54"/>
  <c r="Z145" i="54"/>
  <c r="T145" i="54"/>
  <c r="V145" i="54"/>
  <c r="Z84" i="54"/>
  <c r="X84" i="54"/>
  <c r="U84" i="54"/>
  <c r="Y84" i="54"/>
  <c r="V84" i="54"/>
  <c r="W84" i="54"/>
  <c r="T84" i="54"/>
  <c r="Y149" i="54"/>
  <c r="W149" i="54"/>
  <c r="U149" i="54"/>
  <c r="X149" i="54"/>
  <c r="V149" i="54"/>
  <c r="Z149" i="54"/>
  <c r="T149" i="54"/>
  <c r="T67" i="54"/>
  <c r="X67" i="54"/>
  <c r="Y67" i="54"/>
  <c r="V67" i="54"/>
  <c r="W67" i="54"/>
  <c r="U67" i="54"/>
  <c r="Z67" i="54"/>
  <c r="W169" i="54"/>
  <c r="U169" i="54"/>
  <c r="T169" i="54"/>
  <c r="X169" i="54"/>
  <c r="V169" i="54"/>
  <c r="Y169" i="54"/>
  <c r="Z169" i="54"/>
  <c r="V42" i="54"/>
  <c r="W42" i="54"/>
  <c r="X42" i="54"/>
  <c r="U42" i="54"/>
  <c r="Y42" i="54"/>
  <c r="Z42" i="54"/>
  <c r="T42" i="54"/>
  <c r="X78" i="54"/>
  <c r="W78" i="54"/>
  <c r="T78" i="54"/>
  <c r="U78" i="54"/>
  <c r="V78" i="54"/>
  <c r="Y78" i="54"/>
  <c r="Z78" i="54"/>
  <c r="Z154" i="54"/>
  <c r="Y154" i="54"/>
  <c r="X154" i="54"/>
  <c r="U154" i="54"/>
  <c r="V154" i="54"/>
  <c r="W154" i="54"/>
  <c r="T154" i="54"/>
  <c r="T163" i="54"/>
  <c r="Z163" i="54"/>
  <c r="W163" i="54"/>
  <c r="U163" i="54"/>
  <c r="Y163" i="54"/>
  <c r="X163" i="54"/>
  <c r="V163" i="54"/>
  <c r="X126" i="54"/>
  <c r="W126" i="54"/>
  <c r="Z126" i="54"/>
  <c r="T126" i="54"/>
  <c r="Y126" i="54"/>
  <c r="U126" i="54"/>
  <c r="V126" i="54"/>
  <c r="W68" i="54"/>
  <c r="X68" i="54"/>
  <c r="Y68" i="54"/>
  <c r="V68" i="54"/>
  <c r="T68" i="54"/>
  <c r="U68" i="54"/>
  <c r="Z68" i="54"/>
  <c r="W49" i="54"/>
  <c r="U49" i="54"/>
  <c r="Y49" i="54"/>
  <c r="T49" i="54"/>
  <c r="X49" i="54"/>
  <c r="V49" i="54"/>
  <c r="Z49" i="54"/>
  <c r="Z155" i="54"/>
  <c r="X155" i="54"/>
  <c r="U155" i="54"/>
  <c r="V155" i="54"/>
  <c r="T155" i="54"/>
  <c r="W155" i="54"/>
  <c r="Y155" i="54"/>
  <c r="Y125" i="54"/>
  <c r="W125" i="54"/>
  <c r="X125" i="54"/>
  <c r="Z125" i="54"/>
  <c r="T125" i="54"/>
  <c r="U125" i="54"/>
  <c r="V125" i="54"/>
  <c r="X102" i="54"/>
  <c r="W102" i="54"/>
  <c r="V102" i="54"/>
  <c r="Y102" i="54"/>
  <c r="T102" i="54"/>
  <c r="Z102" i="54"/>
  <c r="U102" i="54"/>
  <c r="W13" i="54"/>
  <c r="T13" i="54"/>
  <c r="X13" i="54"/>
  <c r="Y13" i="54"/>
  <c r="V13" i="54"/>
  <c r="U13" i="54"/>
  <c r="Z13" i="54"/>
  <c r="U45" i="54"/>
  <c r="X45" i="54"/>
  <c r="Y45" i="54"/>
  <c r="V45" i="54"/>
  <c r="T45" i="54"/>
  <c r="W45" i="54"/>
  <c r="Z45" i="54"/>
  <c r="X123" i="54"/>
  <c r="V123" i="54"/>
  <c r="T123" i="54"/>
  <c r="W123" i="54"/>
  <c r="Y123" i="54"/>
  <c r="Z123" i="54"/>
  <c r="U123" i="54"/>
  <c r="T46" i="54"/>
  <c r="U46" i="54"/>
  <c r="V46" i="54"/>
  <c r="X46" i="54"/>
  <c r="Y46" i="54"/>
  <c r="Z46" i="54"/>
  <c r="W46" i="54"/>
  <c r="U21" i="54"/>
  <c r="T21" i="54"/>
  <c r="Y21" i="54"/>
  <c r="Z21" i="54"/>
  <c r="W21" i="54"/>
  <c r="X21" i="54"/>
  <c r="V21" i="54"/>
  <c r="Z62" i="54"/>
  <c r="Y62" i="54"/>
  <c r="V62" i="54"/>
  <c r="W62" i="54"/>
  <c r="X62" i="54"/>
  <c r="U62" i="54"/>
  <c r="T62" i="54"/>
  <c r="Y109" i="54"/>
  <c r="V109" i="54"/>
  <c r="Z109" i="54"/>
  <c r="W109" i="54"/>
  <c r="T109" i="54"/>
  <c r="X109" i="54"/>
  <c r="U109" i="54"/>
  <c r="T115" i="54"/>
  <c r="V115" i="54"/>
  <c r="X115" i="54"/>
  <c r="U115" i="54"/>
  <c r="Y115" i="54"/>
  <c r="W115" i="54"/>
  <c r="Z115" i="54"/>
  <c r="T43" i="54"/>
  <c r="V43" i="54"/>
  <c r="X43" i="54"/>
  <c r="U43" i="54"/>
  <c r="Y43" i="54"/>
  <c r="W43" i="54"/>
  <c r="Z43" i="54"/>
  <c r="T136" i="54"/>
  <c r="U136" i="54"/>
  <c r="Y136" i="54"/>
  <c r="V136" i="54"/>
  <c r="W136" i="54"/>
  <c r="X136" i="54"/>
  <c r="Z136" i="54"/>
  <c r="Y29" i="54"/>
  <c r="W29" i="54"/>
  <c r="V29" i="54"/>
  <c r="Z29" i="54"/>
  <c r="X29" i="54"/>
  <c r="T29" i="54"/>
  <c r="U29" i="54"/>
  <c r="Y64" i="54"/>
  <c r="Z64" i="54"/>
  <c r="V64" i="54"/>
  <c r="T64" i="54"/>
  <c r="W64" i="54"/>
  <c r="X64" i="54"/>
  <c r="U64" i="54"/>
  <c r="W148" i="54"/>
  <c r="V148" i="54"/>
  <c r="Y148" i="54"/>
  <c r="Z148" i="54"/>
  <c r="U148" i="54"/>
  <c r="X148" i="54"/>
  <c r="T148" i="54"/>
  <c r="Z90" i="54"/>
  <c r="W90" i="54"/>
  <c r="T90" i="54"/>
  <c r="V90" i="54"/>
  <c r="U90" i="54"/>
  <c r="Y90" i="54"/>
  <c r="X90" i="54"/>
  <c r="Z14" i="54"/>
  <c r="V14" i="54"/>
  <c r="W14" i="54"/>
  <c r="X14" i="54"/>
  <c r="T14" i="54"/>
  <c r="Y14" i="54"/>
  <c r="U14" i="54"/>
  <c r="V23" i="54"/>
  <c r="T23" i="54"/>
  <c r="X23" i="54"/>
  <c r="Z23" i="54"/>
  <c r="U23" i="54"/>
  <c r="W23" i="54"/>
  <c r="Y23" i="54"/>
  <c r="T70" i="54"/>
  <c r="V70" i="54"/>
  <c r="W70" i="54"/>
  <c r="X70" i="54"/>
  <c r="Y70" i="54"/>
  <c r="Z70" i="54"/>
  <c r="U70" i="54"/>
  <c r="Z31" i="54"/>
  <c r="X31" i="54"/>
  <c r="V31" i="54"/>
  <c r="Y31" i="54"/>
  <c r="W31" i="54"/>
  <c r="T31" i="54"/>
  <c r="U31" i="54"/>
  <c r="U89" i="54"/>
  <c r="T89" i="54"/>
  <c r="Z89" i="54"/>
  <c r="W89" i="54"/>
  <c r="V89" i="54"/>
  <c r="Y89" i="54"/>
  <c r="X89" i="54"/>
  <c r="T164" i="54"/>
  <c r="U164" i="54"/>
  <c r="W164" i="54"/>
  <c r="Z164" i="54"/>
  <c r="V164" i="54"/>
  <c r="Y164" i="54"/>
  <c r="X164" i="54"/>
  <c r="T86" i="54"/>
  <c r="U86" i="54"/>
  <c r="V86" i="54"/>
  <c r="Y86" i="54"/>
  <c r="Z86" i="54"/>
  <c r="X86" i="54"/>
  <c r="W86" i="54"/>
  <c r="U165" i="54"/>
  <c r="T165" i="54"/>
  <c r="Y165" i="54"/>
  <c r="Z165" i="54"/>
  <c r="W165" i="54"/>
  <c r="X165" i="54"/>
  <c r="V165" i="54"/>
  <c r="V170" i="54"/>
  <c r="U170" i="54"/>
  <c r="T170" i="54"/>
  <c r="W170" i="54"/>
  <c r="Y170" i="54"/>
  <c r="Z170" i="54"/>
  <c r="X170" i="54"/>
  <c r="X66" i="54"/>
  <c r="Y66" i="54"/>
  <c r="Z66" i="54"/>
  <c r="V66" i="54"/>
  <c r="W66" i="54"/>
  <c r="T66" i="54"/>
  <c r="U66" i="54"/>
  <c r="X99" i="54"/>
  <c r="V99" i="54"/>
  <c r="W99" i="54"/>
  <c r="Y99" i="54"/>
  <c r="Z99" i="54"/>
  <c r="T99" i="54"/>
  <c r="U99" i="54"/>
  <c r="W85" i="54"/>
  <c r="X85" i="54"/>
  <c r="Y85" i="54"/>
  <c r="V85" i="54"/>
  <c r="U85" i="54"/>
  <c r="T85" i="54"/>
  <c r="Z85" i="54"/>
  <c r="U96" i="54"/>
  <c r="T96" i="54"/>
  <c r="W96" i="54"/>
  <c r="X96" i="54"/>
  <c r="Y96" i="54"/>
  <c r="V96" i="54"/>
  <c r="Z96" i="54"/>
  <c r="V71" i="54"/>
  <c r="T71" i="54"/>
  <c r="U71" i="54"/>
  <c r="Y71" i="54"/>
  <c r="Z71" i="54"/>
  <c r="W71" i="54"/>
  <c r="X71" i="54"/>
  <c r="U168" i="54"/>
  <c r="T168" i="54"/>
  <c r="Z168" i="54"/>
  <c r="X168" i="54"/>
  <c r="V168" i="54"/>
  <c r="Y168" i="54"/>
  <c r="W168" i="54"/>
  <c r="X30" i="54"/>
  <c r="W30" i="54"/>
  <c r="Z30" i="54"/>
  <c r="V30" i="54"/>
  <c r="Y30" i="54"/>
  <c r="T30" i="54"/>
  <c r="U30" i="54"/>
  <c r="X112" i="54"/>
  <c r="U112" i="54"/>
  <c r="Y112" i="54"/>
  <c r="Z112" i="54"/>
  <c r="V112" i="54"/>
  <c r="W112" i="54"/>
  <c r="T112" i="54"/>
  <c r="Z35" i="54"/>
  <c r="T35" i="54"/>
  <c r="Y35" i="54"/>
  <c r="V35" i="54"/>
  <c r="W35" i="54"/>
  <c r="X35" i="54"/>
  <c r="U35" i="54"/>
  <c r="T166" i="54"/>
  <c r="Z166" i="54"/>
  <c r="W166" i="54"/>
  <c r="U166" i="54"/>
  <c r="X166" i="54"/>
  <c r="V166" i="54"/>
  <c r="Y166" i="54"/>
  <c r="X39" i="54"/>
  <c r="U39" i="54"/>
  <c r="Z39" i="54"/>
  <c r="W39" i="54"/>
  <c r="Y39" i="54"/>
  <c r="T39" i="54"/>
  <c r="V39" i="54"/>
  <c r="X3" i="54"/>
  <c r="V3" i="54"/>
  <c r="Z3" i="54"/>
  <c r="U3" i="54"/>
  <c r="T3" i="54"/>
  <c r="Y3" i="54"/>
  <c r="W3" i="54"/>
  <c r="T94" i="54"/>
  <c r="X94" i="54"/>
  <c r="Y94" i="54"/>
  <c r="Z94" i="54"/>
  <c r="U94" i="54"/>
  <c r="W94" i="54"/>
  <c r="V94" i="54"/>
  <c r="T20" i="54"/>
  <c r="U20" i="54"/>
  <c r="Z20" i="54"/>
  <c r="W20" i="54"/>
  <c r="X20" i="54"/>
  <c r="V20" i="54"/>
  <c r="Y20" i="54"/>
  <c r="W100" i="54"/>
  <c r="V100" i="54"/>
  <c r="Y100" i="54"/>
  <c r="X100" i="54"/>
  <c r="U100" i="54"/>
  <c r="Z100" i="54"/>
  <c r="T100" i="54"/>
  <c r="X116" i="54"/>
  <c r="U116" i="54"/>
  <c r="Y116" i="54"/>
  <c r="V116" i="54"/>
  <c r="W116" i="54"/>
  <c r="Z116" i="54"/>
  <c r="T116" i="54"/>
  <c r="Z151" i="54"/>
  <c r="X151" i="54"/>
  <c r="Y151" i="54"/>
  <c r="T151" i="54"/>
  <c r="U151" i="54"/>
  <c r="W151" i="54"/>
  <c r="V151" i="54"/>
  <c r="Y152" i="54"/>
  <c r="X152" i="54"/>
  <c r="U152" i="54"/>
  <c r="Z152" i="54"/>
  <c r="T152" i="54"/>
  <c r="W152" i="54"/>
  <c r="V152" i="54"/>
  <c r="U44" i="54"/>
  <c r="V44" i="54"/>
  <c r="W44" i="54"/>
  <c r="X44" i="54"/>
  <c r="T44" i="54"/>
  <c r="Y44" i="54"/>
  <c r="Z44" i="54"/>
  <c r="T22" i="54"/>
  <c r="Z22" i="54"/>
  <c r="W22" i="54"/>
  <c r="U22" i="54"/>
  <c r="X22" i="54"/>
  <c r="V22" i="54"/>
  <c r="Y22" i="54"/>
  <c r="Z132" i="54"/>
  <c r="U132" i="54"/>
  <c r="V132" i="54"/>
  <c r="W132" i="54"/>
  <c r="T132" i="54"/>
  <c r="X132" i="54"/>
  <c r="Y132" i="54"/>
  <c r="T139" i="54"/>
  <c r="X139" i="54"/>
  <c r="Y139" i="54"/>
  <c r="V139" i="54"/>
  <c r="Z139" i="54"/>
  <c r="W139" i="54"/>
  <c r="U139" i="54"/>
  <c r="Y92" i="54"/>
  <c r="Z92" i="54"/>
  <c r="T92" i="54"/>
  <c r="W92" i="54"/>
  <c r="X92" i="54"/>
  <c r="U92" i="54"/>
  <c r="V92" i="54"/>
  <c r="Y65" i="54"/>
  <c r="V65" i="54"/>
  <c r="Z65" i="54"/>
  <c r="T65" i="54"/>
  <c r="W65" i="54"/>
  <c r="X65" i="54"/>
  <c r="U65" i="54"/>
  <c r="W4" i="54"/>
  <c r="V4" i="54"/>
  <c r="Y4" i="54"/>
  <c r="U4" i="54"/>
  <c r="X4" i="54"/>
  <c r="T4" i="54"/>
  <c r="Z4" i="54"/>
  <c r="W28" i="54"/>
  <c r="V28" i="54"/>
  <c r="Y28" i="54"/>
  <c r="T28" i="54"/>
  <c r="X28" i="54"/>
  <c r="U28" i="54"/>
  <c r="Z28" i="54"/>
  <c r="X27" i="54"/>
  <c r="V27" i="54"/>
  <c r="Y27" i="54"/>
  <c r="U27" i="54"/>
  <c r="W27" i="54"/>
  <c r="T27" i="54"/>
  <c r="Z27" i="54"/>
  <c r="V47" i="54"/>
  <c r="T47" i="54"/>
  <c r="U47" i="54"/>
  <c r="Z47" i="54"/>
  <c r="X47" i="54"/>
  <c r="Y47" i="54"/>
  <c r="W47" i="54"/>
  <c r="Z34" i="54"/>
  <c r="Y34" i="54"/>
  <c r="V34" i="54"/>
  <c r="W34" i="54"/>
  <c r="T34" i="54"/>
  <c r="X34" i="54"/>
  <c r="U34" i="54"/>
  <c r="U120" i="54"/>
  <c r="T120" i="54"/>
  <c r="Y120" i="54"/>
  <c r="Z120" i="54"/>
  <c r="W120" i="54"/>
  <c r="X120" i="54"/>
  <c r="V120" i="54"/>
  <c r="X6" i="54"/>
  <c r="W6" i="54"/>
  <c r="Y6" i="54"/>
  <c r="U6" i="54"/>
  <c r="V6" i="54"/>
  <c r="T6" i="54"/>
  <c r="Z6" i="54"/>
  <c r="V143" i="54"/>
  <c r="T143" i="54"/>
  <c r="Y143" i="54"/>
  <c r="Z143" i="54"/>
  <c r="W143" i="54"/>
  <c r="U143" i="54"/>
  <c r="X143" i="54"/>
  <c r="Y81" i="54"/>
  <c r="U81" i="54"/>
  <c r="X81" i="54"/>
  <c r="V81" i="54"/>
  <c r="T81" i="54"/>
  <c r="Z81" i="54"/>
  <c r="W81" i="54"/>
  <c r="U93" i="54"/>
  <c r="Y93" i="54"/>
  <c r="Z93" i="54"/>
  <c r="T93" i="54"/>
  <c r="W93" i="54"/>
  <c r="X93" i="54"/>
  <c r="V93" i="54"/>
  <c r="U61" i="54"/>
  <c r="T61" i="54"/>
  <c r="X61" i="54"/>
  <c r="Z61" i="54"/>
  <c r="Y61" i="54"/>
  <c r="W61" i="54"/>
  <c r="V61" i="54"/>
  <c r="V50" i="54"/>
  <c r="U50" i="54"/>
  <c r="T50" i="54"/>
  <c r="Z50" i="54"/>
  <c r="W50" i="54"/>
  <c r="Y50" i="54"/>
  <c r="X50" i="54"/>
  <c r="T18" i="54"/>
  <c r="U18" i="54"/>
  <c r="V18" i="54"/>
  <c r="Z18" i="54"/>
  <c r="W18" i="54"/>
  <c r="Y18" i="54"/>
  <c r="X18" i="54"/>
  <c r="Z88" i="54"/>
  <c r="W88" i="54"/>
  <c r="T88" i="54"/>
  <c r="V88" i="54"/>
  <c r="U88" i="54"/>
  <c r="Y88" i="54"/>
  <c r="X88" i="54"/>
  <c r="Z127" i="54"/>
  <c r="X127" i="54"/>
  <c r="W127" i="54"/>
  <c r="T127" i="54"/>
  <c r="Y127" i="54"/>
  <c r="V127" i="54"/>
  <c r="U127" i="54"/>
  <c r="W157" i="54"/>
  <c r="T157" i="54"/>
  <c r="X157" i="54"/>
  <c r="U157" i="54"/>
  <c r="Y157" i="54"/>
  <c r="V157" i="54"/>
  <c r="Z157" i="54"/>
  <c r="Z59" i="54"/>
  <c r="V59" i="54"/>
  <c r="T59" i="54"/>
  <c r="W59" i="54"/>
  <c r="X59" i="54"/>
  <c r="U59" i="54"/>
  <c r="Y59" i="54"/>
  <c r="X114" i="54"/>
  <c r="U114" i="54"/>
  <c r="W114" i="54"/>
  <c r="Y114" i="54"/>
  <c r="T114" i="54"/>
  <c r="Z114" i="54"/>
  <c r="V114" i="54"/>
  <c r="V95" i="54"/>
  <c r="T95" i="54"/>
  <c r="X95" i="54"/>
  <c r="Z95" i="54"/>
  <c r="W95" i="54"/>
  <c r="U95" i="54"/>
  <c r="Y95" i="54"/>
  <c r="Z79" i="54"/>
  <c r="X79" i="54"/>
  <c r="T79" i="54"/>
  <c r="U79" i="54"/>
  <c r="Y79" i="54"/>
  <c r="W79" i="54"/>
  <c r="V79" i="54"/>
  <c r="W25" i="54"/>
  <c r="U25" i="54"/>
  <c r="Y25" i="54"/>
  <c r="V25" i="54"/>
  <c r="T25" i="54"/>
  <c r="Z25" i="54"/>
  <c r="X25" i="54"/>
  <c r="X150" i="54"/>
  <c r="W150" i="54"/>
  <c r="Y150" i="54"/>
  <c r="Z150" i="54"/>
  <c r="U150" i="54"/>
  <c r="T150" i="54"/>
  <c r="V150" i="54"/>
  <c r="U16" i="54"/>
  <c r="V16" i="54"/>
  <c r="W16" i="54"/>
  <c r="Z16" i="54"/>
  <c r="T16" i="54"/>
  <c r="X16" i="54"/>
  <c r="Y16" i="54"/>
  <c r="W73" i="54"/>
  <c r="U73" i="54"/>
  <c r="V73" i="54"/>
  <c r="Z73" i="54"/>
  <c r="T73" i="54"/>
  <c r="X73" i="54"/>
  <c r="Y73" i="54"/>
  <c r="U17" i="54"/>
  <c r="Z17" i="54"/>
  <c r="W17" i="54"/>
  <c r="T17" i="54"/>
  <c r="V17" i="54"/>
  <c r="Y17" i="54"/>
  <c r="X17" i="54"/>
  <c r="Z58" i="54"/>
  <c r="Y58" i="54"/>
  <c r="W58" i="54"/>
  <c r="T58" i="54"/>
  <c r="X58" i="54"/>
  <c r="U58" i="54"/>
  <c r="V58" i="54"/>
  <c r="Z12" i="54"/>
  <c r="W12" i="54"/>
  <c r="X12" i="54"/>
  <c r="Y12" i="54"/>
  <c r="T12" i="54"/>
  <c r="U12" i="54"/>
  <c r="V12" i="54"/>
  <c r="Z107" i="54"/>
  <c r="T107" i="54"/>
  <c r="Y107" i="54"/>
  <c r="V107" i="54"/>
  <c r="W107" i="54"/>
  <c r="X107" i="54"/>
  <c r="U107" i="54"/>
  <c r="Z55" i="54"/>
  <c r="X55" i="54"/>
  <c r="W55" i="54"/>
  <c r="T55" i="54"/>
  <c r="Y55" i="54"/>
  <c r="V55" i="54"/>
  <c r="U55" i="54"/>
  <c r="U117" i="54"/>
  <c r="X117" i="54"/>
  <c r="Y117" i="54"/>
  <c r="V117" i="54"/>
  <c r="W117" i="54"/>
  <c r="Z117" i="54"/>
  <c r="T117" i="54"/>
  <c r="Y32" i="54"/>
  <c r="X32" i="54"/>
  <c r="Z32" i="54"/>
  <c r="V32" i="54"/>
  <c r="T32" i="54"/>
  <c r="W32" i="54"/>
  <c r="U32" i="54"/>
  <c r="V15" i="54"/>
  <c r="W15" i="54"/>
  <c r="T15" i="54"/>
  <c r="Y15" i="54"/>
  <c r="U15" i="54"/>
  <c r="Z15" i="54"/>
  <c r="X15" i="54"/>
  <c r="U24" i="54"/>
  <c r="T24" i="54"/>
  <c r="W24" i="54"/>
  <c r="X24" i="54"/>
  <c r="V24" i="54"/>
  <c r="Z24" i="54"/>
  <c r="Y24" i="54"/>
  <c r="V87" i="54"/>
  <c r="Z87" i="54"/>
  <c r="W87" i="54"/>
  <c r="T87" i="54"/>
  <c r="X87" i="54"/>
  <c r="Y87" i="54"/>
  <c r="U87" i="54"/>
  <c r="Z103" i="54"/>
  <c r="X103" i="54"/>
  <c r="V103" i="54"/>
  <c r="Y103" i="54"/>
  <c r="T103" i="54"/>
  <c r="W103" i="54"/>
  <c r="U103" i="54"/>
  <c r="Z82" i="54"/>
  <c r="Y82" i="54"/>
  <c r="T82" i="54"/>
  <c r="X82" i="54"/>
  <c r="U82" i="54"/>
  <c r="V82" i="54"/>
  <c r="W82" i="54"/>
  <c r="Z60" i="54"/>
  <c r="W60" i="54"/>
  <c r="X60" i="54"/>
  <c r="U60" i="54"/>
  <c r="T60" i="54"/>
  <c r="Y60" i="54"/>
  <c r="V60" i="54"/>
  <c r="Z131" i="54"/>
  <c r="V131" i="54"/>
  <c r="W131" i="54"/>
  <c r="U131" i="54"/>
  <c r="T131" i="54"/>
  <c r="Y131" i="54"/>
  <c r="X131" i="54"/>
  <c r="Y57" i="54"/>
  <c r="W57" i="54"/>
  <c r="T57" i="54"/>
  <c r="Z57" i="54"/>
  <c r="U57" i="54"/>
  <c r="X57" i="54"/>
  <c r="V57" i="54"/>
  <c r="V26" i="54"/>
  <c r="U26" i="54"/>
  <c r="T26" i="54"/>
  <c r="W26" i="54"/>
  <c r="Y26" i="54"/>
  <c r="Z26" i="54"/>
  <c r="X26" i="54"/>
  <c r="Z11" i="54"/>
  <c r="X11" i="54"/>
  <c r="Y11" i="54"/>
  <c r="V11" i="54"/>
  <c r="W11" i="54"/>
  <c r="U11" i="54"/>
  <c r="T11" i="54"/>
  <c r="Y9" i="54"/>
  <c r="X9" i="54"/>
  <c r="U9" i="54"/>
  <c r="V9" i="54"/>
  <c r="Z9" i="54"/>
  <c r="T9" i="54"/>
  <c r="W9" i="54"/>
  <c r="U144" i="54"/>
  <c r="T144" i="54"/>
  <c r="V144" i="54"/>
  <c r="Z144" i="54"/>
  <c r="W144" i="54"/>
  <c r="Y144" i="54"/>
  <c r="X144" i="54"/>
  <c r="V146" i="54"/>
  <c r="U146" i="54"/>
  <c r="Z146" i="54"/>
  <c r="X146" i="54"/>
  <c r="W146" i="54"/>
  <c r="T146" i="54"/>
  <c r="Y146" i="54"/>
  <c r="Y80" i="54"/>
  <c r="X80" i="54"/>
  <c r="T80" i="54"/>
  <c r="U80" i="54"/>
  <c r="Z80" i="54"/>
  <c r="W80" i="54"/>
  <c r="V80" i="54"/>
  <c r="V159" i="54"/>
  <c r="T159" i="54"/>
  <c r="X159" i="54"/>
  <c r="Y159" i="54"/>
  <c r="U159" i="54"/>
  <c r="W159" i="54"/>
  <c r="Z159" i="54"/>
  <c r="X147" i="54"/>
  <c r="V147" i="54"/>
  <c r="Z147" i="54"/>
  <c r="T147" i="54"/>
  <c r="U147" i="54"/>
  <c r="W147" i="54"/>
  <c r="Y147" i="54"/>
  <c r="T135" i="54"/>
  <c r="Z135" i="54"/>
  <c r="U135" i="54"/>
  <c r="X135" i="54"/>
  <c r="Y135" i="54"/>
  <c r="V135" i="54"/>
  <c r="W135" i="54"/>
  <c r="U69" i="54"/>
  <c r="W69" i="54"/>
  <c r="Y69" i="54"/>
  <c r="T69" i="54"/>
  <c r="Z69" i="54"/>
  <c r="X69" i="54"/>
  <c r="V69" i="54"/>
  <c r="U141" i="54"/>
  <c r="W141" i="54"/>
  <c r="Y141" i="54"/>
  <c r="V141" i="54"/>
  <c r="Z141" i="54"/>
  <c r="T141" i="54"/>
  <c r="X141" i="54"/>
  <c r="T19" i="54"/>
  <c r="Z19" i="54"/>
  <c r="W19" i="54"/>
  <c r="U19" i="54"/>
  <c r="V19" i="54"/>
  <c r="Y19" i="54"/>
  <c r="X19" i="54"/>
  <c r="T138" i="54"/>
  <c r="Y138" i="54"/>
  <c r="V138" i="54"/>
  <c r="Z138" i="54"/>
  <c r="X138" i="54"/>
  <c r="W138" i="54"/>
  <c r="U138" i="54"/>
  <c r="Y33" i="54"/>
  <c r="Z33" i="54"/>
  <c r="U33" i="54"/>
  <c r="V33" i="54"/>
  <c r="W33" i="54"/>
  <c r="T33" i="54"/>
  <c r="X33" i="54"/>
  <c r="X75" i="54"/>
  <c r="V75" i="54"/>
  <c r="Z75" i="54"/>
  <c r="U75" i="54"/>
  <c r="W75" i="54"/>
  <c r="T75" i="54"/>
  <c r="Y75" i="54"/>
  <c r="V74" i="54"/>
  <c r="U74" i="54"/>
  <c r="X74" i="54"/>
  <c r="Y74" i="54"/>
  <c r="Z74" i="54"/>
  <c r="W74" i="54"/>
  <c r="T74" i="54"/>
  <c r="U72" i="54"/>
  <c r="T72" i="54"/>
  <c r="V72" i="54"/>
  <c r="W72" i="54"/>
  <c r="Y72" i="54"/>
  <c r="Z72" i="54"/>
  <c r="X72" i="54"/>
  <c r="X111" i="54"/>
  <c r="U111" i="54"/>
  <c r="V111" i="54"/>
  <c r="W111" i="54"/>
  <c r="Z111" i="54"/>
  <c r="Y111" i="54"/>
  <c r="T111" i="54"/>
  <c r="V158" i="54"/>
  <c r="W158" i="54"/>
  <c r="X158" i="54"/>
  <c r="T158" i="54"/>
  <c r="Y158" i="54"/>
  <c r="Z158" i="54"/>
  <c r="U158" i="54"/>
  <c r="U48" i="54"/>
  <c r="T48" i="54"/>
  <c r="V48" i="54"/>
  <c r="Y48" i="54"/>
  <c r="Z48" i="54"/>
  <c r="X48" i="54"/>
  <c r="W48" i="54"/>
  <c r="Y5" i="54"/>
  <c r="W5" i="54"/>
  <c r="Z5" i="54"/>
  <c r="U5" i="54"/>
  <c r="X5" i="54"/>
  <c r="T5" i="54"/>
  <c r="V5" i="54"/>
  <c r="W113" i="54"/>
  <c r="X113" i="54"/>
  <c r="U113" i="54"/>
  <c r="V113" i="54"/>
  <c r="Y113" i="54"/>
  <c r="T113" i="54"/>
  <c r="Z113" i="54"/>
  <c r="Z7" i="54"/>
  <c r="X7" i="54"/>
  <c r="Y7" i="54"/>
  <c r="T7" i="54"/>
  <c r="U7" i="54"/>
  <c r="V7" i="54"/>
  <c r="W7" i="54"/>
  <c r="Z10" i="54"/>
  <c r="Y10" i="54"/>
  <c r="X10" i="54"/>
  <c r="U10" i="54"/>
  <c r="V10" i="54"/>
  <c r="W10" i="54"/>
  <c r="T10" i="54"/>
  <c r="X171" i="54"/>
  <c r="V171" i="54"/>
  <c r="Y171" i="54"/>
  <c r="T171" i="54"/>
  <c r="W171" i="54"/>
  <c r="U171" i="54"/>
  <c r="Z171" i="54"/>
  <c r="V119" i="54"/>
  <c r="T119" i="54"/>
  <c r="Z119" i="54"/>
  <c r="U119" i="54"/>
  <c r="Y119" i="54"/>
  <c r="X119" i="54"/>
  <c r="W119" i="54"/>
  <c r="T110" i="54"/>
  <c r="Y110" i="54"/>
  <c r="Z110" i="54"/>
  <c r="W110" i="54"/>
  <c r="X110" i="54"/>
  <c r="V110" i="54"/>
  <c r="U110" i="54"/>
  <c r="W97" i="54"/>
  <c r="U97" i="54"/>
  <c r="V97" i="54"/>
  <c r="Z97" i="54"/>
  <c r="T97" i="54"/>
  <c r="X97" i="54"/>
  <c r="Y97" i="54"/>
  <c r="Z83" i="54"/>
  <c r="X83" i="54"/>
  <c r="U83" i="54"/>
  <c r="Y83" i="54"/>
  <c r="V83" i="54"/>
  <c r="W83" i="54"/>
  <c r="T83" i="54"/>
  <c r="Y153" i="54"/>
  <c r="X153" i="54"/>
  <c r="U153" i="54"/>
  <c r="V153" i="54"/>
  <c r="Z153" i="54"/>
  <c r="W153" i="54"/>
  <c r="T153" i="54"/>
  <c r="W121" i="54"/>
  <c r="U121" i="54"/>
  <c r="Y121" i="54"/>
  <c r="V121" i="54"/>
  <c r="T121" i="54"/>
  <c r="X121" i="54"/>
  <c r="Z121" i="54"/>
  <c r="W41" i="54"/>
  <c r="X41" i="54"/>
  <c r="U41" i="54"/>
  <c r="Y41" i="54"/>
  <c r="V41" i="54"/>
  <c r="Z41" i="54"/>
  <c r="T41" i="54"/>
  <c r="Y37" i="54"/>
  <c r="X37" i="54"/>
  <c r="U37" i="54"/>
  <c r="V37" i="54"/>
  <c r="W37" i="54"/>
  <c r="Z37" i="54"/>
  <c r="T37" i="54"/>
  <c r="W40" i="54"/>
  <c r="X40" i="54"/>
  <c r="Y40" i="54"/>
  <c r="U40" i="54"/>
  <c r="Z40" i="54"/>
  <c r="T40" i="54"/>
  <c r="V40" i="54"/>
  <c r="Y77" i="54"/>
  <c r="W77" i="54"/>
  <c r="U77" i="54"/>
  <c r="X77" i="54"/>
  <c r="V77" i="54"/>
  <c r="Z77" i="54"/>
  <c r="T77" i="54"/>
  <c r="Y53" i="54"/>
  <c r="W53" i="54"/>
  <c r="T53" i="54"/>
  <c r="Z53" i="54"/>
  <c r="U53" i="54"/>
  <c r="V53" i="54"/>
  <c r="X53" i="54"/>
  <c r="X54" i="54"/>
  <c r="W54" i="54"/>
  <c r="T54" i="54"/>
  <c r="Z54" i="54"/>
  <c r="Y54" i="54"/>
  <c r="V54" i="54"/>
  <c r="U54" i="54"/>
  <c r="U161" i="54"/>
  <c r="Z161" i="54"/>
  <c r="W161" i="54"/>
  <c r="T161" i="54"/>
  <c r="X161" i="54"/>
  <c r="Y161" i="54"/>
  <c r="V161" i="54"/>
  <c r="V122" i="54"/>
  <c r="U122" i="54"/>
  <c r="X122" i="54"/>
  <c r="Y122" i="54"/>
  <c r="Z122" i="54"/>
  <c r="W122" i="54"/>
  <c r="T122" i="54"/>
  <c r="T118" i="54"/>
  <c r="Z118" i="54"/>
  <c r="U118" i="54"/>
  <c r="X118" i="54"/>
  <c r="Y118" i="54"/>
  <c r="V118" i="54"/>
  <c r="W118" i="54"/>
  <c r="W52" i="54"/>
  <c r="V52" i="54"/>
  <c r="T52" i="54"/>
  <c r="U52" i="54"/>
  <c r="X52" i="54"/>
  <c r="Z52" i="54"/>
  <c r="Y52" i="54"/>
  <c r="Z63" i="54"/>
  <c r="T63" i="54"/>
  <c r="Y63" i="54"/>
  <c r="V63" i="54"/>
  <c r="W63" i="54"/>
  <c r="X63" i="54"/>
  <c r="U63" i="54"/>
  <c r="X51" i="54"/>
  <c r="V51" i="54"/>
  <c r="T51" i="54"/>
  <c r="Z51" i="54"/>
  <c r="W51" i="54"/>
  <c r="Y51" i="54"/>
  <c r="U51" i="54"/>
  <c r="U133" i="54"/>
  <c r="Z133" i="54"/>
  <c r="W133" i="54"/>
  <c r="X133" i="54"/>
  <c r="T133" i="54"/>
  <c r="Y133" i="54"/>
  <c r="V133" i="54"/>
  <c r="T91" i="54"/>
  <c r="Z91" i="54"/>
  <c r="W91" i="54"/>
  <c r="X91" i="54"/>
  <c r="U91" i="54"/>
  <c r="V91" i="54"/>
  <c r="Y91" i="54"/>
  <c r="T134" i="54"/>
  <c r="U134" i="54"/>
  <c r="V134" i="54"/>
  <c r="W134" i="54"/>
  <c r="Z134" i="54"/>
  <c r="X134" i="54"/>
  <c r="Y134" i="54"/>
  <c r="Z108" i="54"/>
  <c r="T108" i="54"/>
  <c r="U108" i="54"/>
  <c r="Y108" i="54"/>
  <c r="V108" i="54"/>
  <c r="W108" i="54"/>
  <c r="X108" i="54"/>
  <c r="Y56" i="54"/>
  <c r="X56" i="54"/>
  <c r="W56" i="54"/>
  <c r="T56" i="54"/>
  <c r="Z56" i="54"/>
  <c r="V56" i="54"/>
  <c r="U56" i="54"/>
  <c r="Y101" i="54"/>
  <c r="W101" i="54"/>
  <c r="V101" i="54"/>
  <c r="U101" i="54"/>
  <c r="Z101" i="54"/>
  <c r="T101" i="54"/>
  <c r="X101" i="54"/>
  <c r="T142" i="54"/>
  <c r="Y142" i="54"/>
  <c r="V142" i="54"/>
  <c r="Z142" i="54"/>
  <c r="W142" i="54"/>
  <c r="X142" i="54"/>
  <c r="U142" i="54"/>
  <c r="Y140" i="54"/>
  <c r="V140" i="54"/>
  <c r="W140" i="54"/>
  <c r="T140" i="54"/>
  <c r="Z140" i="54"/>
  <c r="X140" i="54"/>
  <c r="U140" i="54"/>
  <c r="Y128" i="54"/>
  <c r="X128" i="54"/>
  <c r="W128" i="54"/>
  <c r="Z128" i="54"/>
  <c r="T128" i="54"/>
  <c r="U128" i="54"/>
  <c r="V128" i="54"/>
  <c r="Z156" i="54"/>
  <c r="W156" i="54"/>
  <c r="X156" i="54"/>
  <c r="Y156" i="54"/>
  <c r="V156" i="54"/>
  <c r="U156" i="54"/>
  <c r="T156" i="54"/>
  <c r="U160" i="54"/>
  <c r="V160" i="54"/>
  <c r="W160" i="54"/>
  <c r="T160" i="54"/>
  <c r="Y160" i="54"/>
  <c r="X160" i="54"/>
  <c r="Z160" i="54"/>
  <c r="Y129" i="54"/>
  <c r="W129" i="54"/>
  <c r="Z129" i="54"/>
  <c r="T129" i="54"/>
  <c r="U129" i="54"/>
  <c r="X129" i="54"/>
  <c r="V129" i="54"/>
  <c r="Z130" i="54"/>
  <c r="Y130" i="54"/>
  <c r="V130" i="54"/>
  <c r="W130" i="54"/>
  <c r="X130" i="54"/>
  <c r="T130" i="54"/>
  <c r="U130" i="54"/>
  <c r="Z106" i="54"/>
  <c r="Y106" i="54"/>
  <c r="T106" i="54"/>
  <c r="U106" i="54"/>
  <c r="V106" i="54"/>
  <c r="W106" i="54"/>
  <c r="X106" i="54"/>
  <c r="W76" i="54"/>
  <c r="V76" i="54"/>
  <c r="U76" i="54"/>
  <c r="X76" i="54"/>
  <c r="T76" i="54"/>
  <c r="Z76" i="54"/>
  <c r="Y76" i="54"/>
  <c r="M154" i="48"/>
  <c r="M173" i="48"/>
  <c r="M136" i="48"/>
  <c r="M123" i="48"/>
  <c r="M111" i="48"/>
  <c r="M152" i="48"/>
  <c r="M162" i="48"/>
  <c r="A74" i="35"/>
  <c r="M119" i="48"/>
  <c r="M124" i="48"/>
  <c r="M175" i="48"/>
  <c r="M134" i="48"/>
  <c r="M169" i="48"/>
  <c r="M163" i="48"/>
  <c r="M127" i="48"/>
  <c r="M164" i="48"/>
  <c r="M128" i="48"/>
  <c r="M135" i="48"/>
  <c r="M140" i="48"/>
  <c r="M157" i="48"/>
  <c r="M149" i="48"/>
  <c r="M109" i="48"/>
  <c r="M172" i="48"/>
  <c r="M151" i="48"/>
  <c r="M120" i="48"/>
  <c r="M110" i="48"/>
  <c r="M148" i="48"/>
  <c r="M160" i="48"/>
  <c r="M145" i="48"/>
  <c r="M158" i="48"/>
  <c r="M144" i="48"/>
  <c r="M142" i="48"/>
  <c r="M125" i="48"/>
  <c r="M147" i="48"/>
  <c r="M171" i="48"/>
  <c r="M118" i="48"/>
  <c r="M131" i="48"/>
  <c r="M143" i="48"/>
  <c r="M138" i="48"/>
  <c r="M176" i="48"/>
  <c r="M104" i="48"/>
  <c r="M167" i="48"/>
  <c r="M165" i="48"/>
  <c r="M139" i="48"/>
  <c r="M156" i="48"/>
  <c r="R105" i="54"/>
  <c r="S105" i="54"/>
  <c r="AL91" i="48"/>
  <c r="M51" i="48"/>
  <c r="S103" i="54"/>
  <c r="R103" i="54"/>
  <c r="AL56" i="48"/>
  <c r="M16" i="48"/>
  <c r="R166" i="54"/>
  <c r="S166" i="54"/>
  <c r="AL107" i="48"/>
  <c r="M67" i="48"/>
  <c r="S64" i="54"/>
  <c r="R64" i="54"/>
  <c r="R42" i="54"/>
  <c r="S42" i="54"/>
  <c r="R146" i="54"/>
  <c r="S146" i="54"/>
  <c r="R75" i="54"/>
  <c r="S75" i="54"/>
  <c r="M9" i="48"/>
  <c r="AL49" i="48"/>
  <c r="S124" i="54"/>
  <c r="R124" i="54"/>
  <c r="S88" i="54"/>
  <c r="R88" i="54"/>
  <c r="R101" i="54"/>
  <c r="S101" i="54"/>
  <c r="AL46" i="48"/>
  <c r="M6" i="48"/>
  <c r="AL85" i="48"/>
  <c r="M45" i="48"/>
  <c r="AL101" i="48"/>
  <c r="M61" i="48"/>
  <c r="R6" i="54"/>
  <c r="S6" i="54"/>
  <c r="M114" i="48"/>
  <c r="S4" i="54"/>
  <c r="R4" i="54"/>
  <c r="S41" i="54"/>
  <c r="R41" i="54"/>
  <c r="AL126" i="48"/>
  <c r="M86" i="48"/>
  <c r="R24" i="54"/>
  <c r="S24" i="54"/>
  <c r="S100" i="54"/>
  <c r="R100" i="54"/>
  <c r="AL45" i="48"/>
  <c r="M5" i="48"/>
  <c r="M87" i="48"/>
  <c r="AL127" i="48"/>
  <c r="R141" i="54"/>
  <c r="S141" i="54"/>
  <c r="AL141" i="48"/>
  <c r="M101" i="48"/>
  <c r="AL44" i="48"/>
  <c r="M4" i="48"/>
  <c r="M150" i="48"/>
  <c r="M155" i="48"/>
  <c r="AL89" i="48"/>
  <c r="M49" i="48"/>
  <c r="R70" i="54"/>
  <c r="S70" i="54"/>
  <c r="AL106" i="48"/>
  <c r="M66" i="48"/>
  <c r="R61" i="54"/>
  <c r="S61" i="54"/>
  <c r="AL47" i="48"/>
  <c r="M7" i="48"/>
  <c r="AL51" i="48"/>
  <c r="M11" i="48"/>
  <c r="R135" i="54"/>
  <c r="S135" i="54"/>
  <c r="S49" i="54"/>
  <c r="R49" i="54"/>
  <c r="R9" i="54"/>
  <c r="S9" i="54"/>
  <c r="S150" i="54"/>
  <c r="R150" i="54"/>
  <c r="AL118" i="48"/>
  <c r="M78" i="48"/>
  <c r="S170" i="54"/>
  <c r="R170" i="54"/>
  <c r="AL79" i="48"/>
  <c r="M39" i="48"/>
  <c r="R171" i="54"/>
  <c r="S171" i="54"/>
  <c r="S43" i="54"/>
  <c r="R43" i="54"/>
  <c r="R67" i="54"/>
  <c r="S67" i="54"/>
  <c r="S37" i="54"/>
  <c r="R37" i="54"/>
  <c r="S167" i="54"/>
  <c r="R167" i="54"/>
  <c r="S34" i="54"/>
  <c r="R34" i="54"/>
  <c r="R65" i="54"/>
  <c r="S65" i="54"/>
  <c r="S8" i="54"/>
  <c r="R8" i="54"/>
  <c r="AL130" i="48"/>
  <c r="M90" i="48"/>
  <c r="AL60" i="48"/>
  <c r="M20" i="48"/>
  <c r="S85" i="54"/>
  <c r="R85" i="54"/>
  <c r="AL96" i="48"/>
  <c r="M56" i="48"/>
  <c r="M146" i="48"/>
  <c r="R97" i="54"/>
  <c r="S97" i="54"/>
  <c r="M168" i="48"/>
  <c r="S122" i="54"/>
  <c r="R122" i="54"/>
  <c r="S116" i="54"/>
  <c r="R116" i="54"/>
  <c r="AL88" i="48"/>
  <c r="M48" i="48"/>
  <c r="S127" i="54"/>
  <c r="R127" i="54"/>
  <c r="S159" i="54"/>
  <c r="R159" i="54"/>
  <c r="M133" i="48"/>
  <c r="M116" i="48"/>
  <c r="AL66" i="48"/>
  <c r="M26" i="48"/>
  <c r="S26" i="54"/>
  <c r="R26" i="54"/>
  <c r="S60" i="54"/>
  <c r="R60" i="54"/>
  <c r="AL110" i="48"/>
  <c r="M70" i="48"/>
  <c r="R106" i="54"/>
  <c r="S106" i="54"/>
  <c r="M130" i="48"/>
  <c r="AL138" i="48"/>
  <c r="M98" i="48"/>
  <c r="S95" i="54"/>
  <c r="R95" i="54"/>
  <c r="S69" i="54"/>
  <c r="R69" i="54"/>
  <c r="R21" i="54"/>
  <c r="S21" i="54"/>
  <c r="R62" i="54"/>
  <c r="S62" i="54"/>
  <c r="R102" i="54"/>
  <c r="S102" i="54"/>
  <c r="S104" i="54"/>
  <c r="R104" i="54"/>
  <c r="R131" i="54"/>
  <c r="S131" i="54"/>
  <c r="S121" i="54"/>
  <c r="R121" i="54"/>
  <c r="AL75" i="48"/>
  <c r="M35" i="48"/>
  <c r="S51" i="54"/>
  <c r="R51" i="54"/>
  <c r="AL80" i="48"/>
  <c r="M40" i="48"/>
  <c r="S144" i="54"/>
  <c r="R144" i="54"/>
  <c r="S29" i="54"/>
  <c r="R29" i="54"/>
  <c r="R82" i="54"/>
  <c r="S82" i="54"/>
  <c r="R107" i="54"/>
  <c r="S107" i="54"/>
  <c r="AL122" i="48"/>
  <c r="M82" i="48"/>
  <c r="AL92" i="48"/>
  <c r="M52" i="48"/>
  <c r="AL105" i="48"/>
  <c r="M65" i="48"/>
  <c r="R39" i="54"/>
  <c r="S39" i="54"/>
  <c r="S120" i="54"/>
  <c r="R120" i="54"/>
  <c r="AL42" i="48"/>
  <c r="M2" i="48"/>
  <c r="R83" i="54"/>
  <c r="S83" i="54"/>
  <c r="R126" i="54"/>
  <c r="S126" i="54"/>
  <c r="M122" i="48"/>
  <c r="M108" i="48"/>
  <c r="M153" i="48"/>
  <c r="S118" i="54"/>
  <c r="R118" i="54"/>
  <c r="M103" i="48"/>
  <c r="S48" i="54"/>
  <c r="R48" i="54"/>
  <c r="S5" i="54"/>
  <c r="R5" i="54"/>
  <c r="M137" i="48"/>
  <c r="M170" i="48"/>
  <c r="AL86" i="48"/>
  <c r="M46" i="48"/>
  <c r="R78" i="54"/>
  <c r="S78" i="54"/>
  <c r="AL117" i="48"/>
  <c r="M77" i="48"/>
  <c r="S23" i="54"/>
  <c r="R23" i="54"/>
  <c r="AL121" i="48"/>
  <c r="M81" i="48"/>
  <c r="AL58" i="48"/>
  <c r="M18" i="48"/>
  <c r="AL129" i="48"/>
  <c r="M89" i="48"/>
  <c r="AL102" i="48"/>
  <c r="M62" i="48"/>
  <c r="R86" i="54"/>
  <c r="S86" i="54"/>
  <c r="S77" i="54"/>
  <c r="R77" i="54"/>
  <c r="AL114" i="48"/>
  <c r="M74" i="48"/>
  <c r="AL112" i="48"/>
  <c r="M72" i="48"/>
  <c r="R138" i="54"/>
  <c r="S138" i="54"/>
  <c r="AL111" i="48"/>
  <c r="M71" i="48"/>
  <c r="S84" i="54"/>
  <c r="R84" i="54"/>
  <c r="AL63" i="48"/>
  <c r="M23" i="48"/>
  <c r="AL76" i="48"/>
  <c r="M36" i="48"/>
  <c r="R157" i="54"/>
  <c r="S157" i="54"/>
  <c r="AL57" i="48"/>
  <c r="M17" i="48"/>
  <c r="R111" i="54"/>
  <c r="S111" i="54"/>
  <c r="AL50" i="48"/>
  <c r="M10" i="48"/>
  <c r="R139" i="54"/>
  <c r="S139" i="54"/>
  <c r="S163" i="54"/>
  <c r="R163" i="54"/>
  <c r="S10" i="54"/>
  <c r="R10" i="54"/>
  <c r="S140" i="54"/>
  <c r="R140" i="54"/>
  <c r="AL83" i="48"/>
  <c r="M43" i="48"/>
  <c r="AL93" i="48"/>
  <c r="M53" i="48"/>
  <c r="AL133" i="48"/>
  <c r="M93" i="48"/>
  <c r="AL67" i="48"/>
  <c r="M27" i="48"/>
  <c r="AL125" i="48"/>
  <c r="M85" i="48"/>
  <c r="M159" i="48"/>
  <c r="S156" i="54"/>
  <c r="R156" i="54"/>
  <c r="R15" i="54"/>
  <c r="S15" i="54"/>
  <c r="S92" i="54"/>
  <c r="R92" i="54"/>
  <c r="R79" i="54"/>
  <c r="S79" i="54"/>
  <c r="S20" i="54"/>
  <c r="R20" i="54"/>
  <c r="AL74" i="48"/>
  <c r="M34" i="48"/>
  <c r="AL84" i="48"/>
  <c r="M44" i="48"/>
  <c r="R71" i="54"/>
  <c r="S71" i="54"/>
  <c r="M105" i="48"/>
  <c r="AL135" i="48"/>
  <c r="M95" i="48"/>
  <c r="M113" i="48"/>
  <c r="AL113" i="48"/>
  <c r="M73" i="48"/>
  <c r="M102" i="48"/>
  <c r="R56" i="54"/>
  <c r="S56" i="54"/>
  <c r="AL116" i="48"/>
  <c r="M76" i="48"/>
  <c r="S2" i="54"/>
  <c r="R2" i="54"/>
  <c r="R19" i="54"/>
  <c r="S19" i="54"/>
  <c r="S113" i="54"/>
  <c r="R113" i="54"/>
  <c r="S50" i="54"/>
  <c r="R50" i="54"/>
  <c r="AL48" i="48"/>
  <c r="M8" i="48"/>
  <c r="S76" i="54"/>
  <c r="R76" i="54"/>
  <c r="S87" i="54"/>
  <c r="R87" i="54"/>
  <c r="M106" i="48"/>
  <c r="R55" i="54"/>
  <c r="S55" i="54"/>
  <c r="S109" i="54"/>
  <c r="R109" i="54"/>
  <c r="R25" i="54"/>
  <c r="S25" i="54"/>
  <c r="R115" i="54"/>
  <c r="S115" i="54"/>
  <c r="S142" i="54"/>
  <c r="R142" i="54"/>
  <c r="R149" i="54"/>
  <c r="S149" i="54"/>
  <c r="S33" i="54"/>
  <c r="R33" i="54"/>
  <c r="S53" i="54"/>
  <c r="R53" i="54"/>
  <c r="AL90" i="48"/>
  <c r="M50" i="48"/>
  <c r="R119" i="54"/>
  <c r="S119" i="54"/>
  <c r="R108" i="54"/>
  <c r="S108" i="54"/>
  <c r="AL43" i="48"/>
  <c r="M3" i="48"/>
  <c r="R45" i="54"/>
  <c r="S45" i="54"/>
  <c r="S80" i="54"/>
  <c r="R80" i="54"/>
  <c r="AL55" i="48"/>
  <c r="M15" i="48"/>
  <c r="S31" i="54"/>
  <c r="R31" i="54"/>
  <c r="R3" i="54"/>
  <c r="S3" i="54"/>
  <c r="S32" i="54"/>
  <c r="R32" i="54"/>
  <c r="S123" i="54"/>
  <c r="R123" i="54"/>
  <c r="S40" i="54"/>
  <c r="R40" i="54"/>
  <c r="R158" i="54"/>
  <c r="S158" i="54"/>
  <c r="R59" i="54"/>
  <c r="S59" i="54"/>
  <c r="M112" i="48"/>
  <c r="S143" i="54"/>
  <c r="R143" i="54"/>
  <c r="R133" i="54"/>
  <c r="S133" i="54"/>
  <c r="AL115" i="48"/>
  <c r="M75" i="48"/>
  <c r="R93" i="54"/>
  <c r="S93" i="54"/>
  <c r="R168" i="54"/>
  <c r="S168" i="54"/>
  <c r="R57" i="54"/>
  <c r="S57" i="54"/>
  <c r="R52" i="54"/>
  <c r="S52" i="54"/>
  <c r="S147" i="54"/>
  <c r="R147" i="54"/>
  <c r="AL98" i="48"/>
  <c r="M58" i="48"/>
  <c r="S30" i="54"/>
  <c r="R30" i="54"/>
  <c r="R89" i="54"/>
  <c r="S89" i="54"/>
  <c r="AL95" i="48"/>
  <c r="M55" i="48"/>
  <c r="AL123" i="48"/>
  <c r="M83" i="48"/>
  <c r="R28" i="54"/>
  <c r="S28" i="54"/>
  <c r="R151" i="54"/>
  <c r="S151" i="54"/>
  <c r="S27" i="54"/>
  <c r="R27" i="54"/>
  <c r="AL64" i="48"/>
  <c r="M24" i="48"/>
  <c r="S154" i="54"/>
  <c r="R154" i="54"/>
  <c r="R74" i="54"/>
  <c r="S74" i="54"/>
  <c r="R47" i="54"/>
  <c r="S47" i="54"/>
  <c r="AL97" i="48"/>
  <c r="M57" i="48"/>
  <c r="AL77" i="48"/>
  <c r="M37" i="48"/>
  <c r="R132" i="54"/>
  <c r="S132" i="54"/>
  <c r="S66" i="54"/>
  <c r="R66" i="54"/>
  <c r="AL54" i="48"/>
  <c r="M14" i="48"/>
  <c r="S128" i="54"/>
  <c r="R128" i="54"/>
  <c r="AL120" i="48"/>
  <c r="M80" i="48"/>
  <c r="R90" i="54"/>
  <c r="S90" i="54"/>
  <c r="AL73" i="48"/>
  <c r="M33" i="48"/>
  <c r="S38" i="54"/>
  <c r="R38" i="54"/>
  <c r="S91" i="54"/>
  <c r="R91" i="54"/>
  <c r="R152" i="54"/>
  <c r="S152" i="54"/>
  <c r="AL99" i="48"/>
  <c r="M59" i="48"/>
  <c r="AL109" i="48"/>
  <c r="M69" i="48"/>
  <c r="S160" i="54"/>
  <c r="R160" i="54"/>
  <c r="S68" i="54"/>
  <c r="R68" i="54"/>
  <c r="M121" i="48"/>
  <c r="AL136" i="48"/>
  <c r="M96" i="48"/>
  <c r="M129" i="48"/>
  <c r="S129" i="54"/>
  <c r="R129" i="54"/>
  <c r="AL61" i="48"/>
  <c r="M21" i="48"/>
  <c r="AL62" i="48"/>
  <c r="M22" i="48"/>
  <c r="AL68" i="48"/>
  <c r="M28" i="48"/>
  <c r="AL65" i="48"/>
  <c r="M25" i="48"/>
  <c r="S155" i="54"/>
  <c r="R155" i="54"/>
  <c r="S98" i="54"/>
  <c r="R98" i="54"/>
  <c r="R165" i="54"/>
  <c r="S165" i="54"/>
  <c r="R137" i="54"/>
  <c r="S137" i="54"/>
  <c r="R162" i="54"/>
  <c r="S162" i="54"/>
  <c r="AL72" i="48"/>
  <c r="M32" i="48"/>
  <c r="R46" i="54"/>
  <c r="S46" i="54"/>
  <c r="S18" i="54"/>
  <c r="R18" i="54"/>
  <c r="AL134" i="48"/>
  <c r="M94" i="48"/>
  <c r="M68" i="48"/>
  <c r="AL108" i="48"/>
  <c r="R73" i="54"/>
  <c r="S73" i="54"/>
  <c r="R153" i="54"/>
  <c r="S153" i="54"/>
  <c r="R13" i="54"/>
  <c r="S13" i="54"/>
  <c r="R169" i="54"/>
  <c r="S169" i="54"/>
  <c r="S16" i="54"/>
  <c r="R16" i="54"/>
  <c r="AL140" i="48"/>
  <c r="M100" i="48"/>
  <c r="R22" i="54"/>
  <c r="S22" i="54"/>
  <c r="AL128" i="48"/>
  <c r="M88" i="48"/>
  <c r="R17" i="54"/>
  <c r="S17" i="54"/>
  <c r="S54" i="54"/>
  <c r="R54" i="54"/>
  <c r="R134" i="54"/>
  <c r="S134" i="54"/>
  <c r="R58" i="54"/>
  <c r="S58" i="54"/>
  <c r="R96" i="54"/>
  <c r="S96" i="54"/>
  <c r="S36" i="54"/>
  <c r="R36" i="54"/>
  <c r="S81" i="54"/>
  <c r="R81" i="54"/>
  <c r="M166" i="48"/>
  <c r="M174" i="48"/>
  <c r="AL53" i="48"/>
  <c r="M13" i="48"/>
  <c r="R125" i="54"/>
  <c r="S125" i="54"/>
  <c r="M141" i="48"/>
  <c r="AL139" i="48"/>
  <c r="M99" i="48"/>
  <c r="R14" i="54"/>
  <c r="S14" i="54"/>
  <c r="AL71" i="48"/>
  <c r="M31" i="48"/>
  <c r="AL103" i="48"/>
  <c r="M63" i="48"/>
  <c r="S63" i="54"/>
  <c r="R63" i="54"/>
  <c r="AL78" i="48"/>
  <c r="M38" i="48"/>
  <c r="AL137" i="48"/>
  <c r="M97" i="48"/>
  <c r="S12" i="54"/>
  <c r="R12" i="54"/>
  <c r="S35" i="54"/>
  <c r="R35" i="54"/>
  <c r="S164" i="54"/>
  <c r="R164" i="54"/>
  <c r="R44" i="54"/>
  <c r="S44" i="54"/>
  <c r="AL59" i="48"/>
  <c r="M19" i="48"/>
  <c r="S110" i="54"/>
  <c r="R110" i="54"/>
  <c r="S72" i="54"/>
  <c r="R72" i="54"/>
  <c r="AL87" i="48"/>
  <c r="M47" i="48"/>
  <c r="R136" i="54"/>
  <c r="S136" i="54"/>
  <c r="AL104" i="48"/>
  <c r="M64" i="48"/>
  <c r="S117" i="54"/>
  <c r="R117" i="54"/>
  <c r="R145" i="54"/>
  <c r="S145" i="54"/>
  <c r="AL81" i="48"/>
  <c r="M41" i="48"/>
  <c r="AL124" i="48"/>
  <c r="M84" i="48"/>
  <c r="S99" i="54"/>
  <c r="R99" i="54"/>
  <c r="S161" i="54"/>
  <c r="R161" i="54"/>
  <c r="R148" i="54"/>
  <c r="S148" i="54"/>
  <c r="AL131" i="48"/>
  <c r="M91" i="48"/>
  <c r="M126" i="48"/>
  <c r="R94" i="54"/>
  <c r="S94" i="54"/>
  <c r="AL70" i="48"/>
  <c r="M30" i="48"/>
  <c r="AL94" i="48"/>
  <c r="M54" i="48"/>
  <c r="AL82" i="48"/>
  <c r="M42" i="48"/>
  <c r="M161" i="48"/>
  <c r="M107" i="48"/>
  <c r="AL119" i="48"/>
  <c r="M79" i="48"/>
  <c r="AL69" i="48"/>
  <c r="M29" i="48"/>
  <c r="AL132" i="48"/>
  <c r="M92" i="48"/>
  <c r="S11" i="54"/>
  <c r="R11" i="54"/>
  <c r="M117" i="48"/>
  <c r="AL52" i="48"/>
  <c r="M12" i="48"/>
  <c r="R114" i="54"/>
  <c r="S114" i="54"/>
  <c r="M132" i="48"/>
  <c r="S130" i="54"/>
  <c r="R130" i="54"/>
  <c r="M115" i="48"/>
  <c r="AL100" i="48"/>
  <c r="M60" i="48"/>
  <c r="S7" i="54"/>
  <c r="R7" i="54"/>
  <c r="R112" i="54"/>
  <c r="S112" i="54"/>
  <c r="A75" i="35" l="1"/>
  <c r="AM69" i="48"/>
  <c r="AM52" i="48"/>
  <c r="AM119" i="48"/>
  <c r="AM137" i="48"/>
  <c r="AM120" i="48"/>
  <c r="AM113" i="48"/>
  <c r="AM84" i="48"/>
  <c r="AM50" i="48"/>
  <c r="AM63" i="48"/>
  <c r="AM112" i="48"/>
  <c r="AM121" i="48"/>
  <c r="AM122" i="48"/>
  <c r="AM138" i="48"/>
  <c r="AM51" i="48"/>
  <c r="AM44" i="48"/>
  <c r="AM45" i="48"/>
  <c r="AM56" i="48"/>
  <c r="AM82" i="48"/>
  <c r="AM61" i="48"/>
  <c r="AM99" i="48"/>
  <c r="AM90" i="48"/>
  <c r="AM130" i="48"/>
  <c r="AM101" i="48"/>
  <c r="AM100" i="48"/>
  <c r="AM70" i="48"/>
  <c r="AM131" i="48"/>
  <c r="AM87" i="48"/>
  <c r="AM59" i="48"/>
  <c r="AM108" i="48"/>
  <c r="AM73" i="48"/>
  <c r="AM64" i="48"/>
  <c r="AM123" i="48"/>
  <c r="AM74" i="48"/>
  <c r="AM67" i="48"/>
  <c r="AM129" i="48"/>
  <c r="AM96" i="48"/>
  <c r="AM47" i="48"/>
  <c r="AM141" i="48"/>
  <c r="AM124" i="48"/>
  <c r="AM103" i="48"/>
  <c r="AM53" i="48"/>
  <c r="AM140" i="48"/>
  <c r="AM65" i="48"/>
  <c r="AM77" i="48"/>
  <c r="AM116" i="48"/>
  <c r="AM135" i="48"/>
  <c r="AM76" i="48"/>
  <c r="AM114" i="48"/>
  <c r="AM86" i="48"/>
  <c r="AM75" i="48"/>
  <c r="AM66" i="48"/>
  <c r="AM85" i="48"/>
  <c r="AM132" i="48"/>
  <c r="AM78" i="48"/>
  <c r="AM54" i="48"/>
  <c r="AM95" i="48"/>
  <c r="AM115" i="48"/>
  <c r="AM43" i="48"/>
  <c r="AM48" i="48"/>
  <c r="AM83" i="48"/>
  <c r="AM111" i="48"/>
  <c r="AM117" i="48"/>
  <c r="BM3" i="48"/>
  <c r="AM42" i="48"/>
  <c r="AM105" i="48"/>
  <c r="AM118" i="48"/>
  <c r="AM89" i="48"/>
  <c r="AM107" i="48"/>
  <c r="AM72" i="48"/>
  <c r="AM68" i="48"/>
  <c r="AM97" i="48"/>
  <c r="AM133" i="48"/>
  <c r="AM57" i="48"/>
  <c r="AM80" i="48"/>
  <c r="AM110" i="48"/>
  <c r="AM46" i="48"/>
  <c r="AM91" i="48"/>
  <c r="AM81" i="48"/>
  <c r="AM104" i="48"/>
  <c r="AM139" i="48"/>
  <c r="AM128" i="48"/>
  <c r="AM134" i="48"/>
  <c r="AM136" i="48"/>
  <c r="AM98" i="48"/>
  <c r="AM55" i="48"/>
  <c r="AM58" i="48"/>
  <c r="AM92" i="48"/>
  <c r="AM88" i="48"/>
  <c r="AM106" i="48"/>
  <c r="AM126" i="48"/>
  <c r="AM94" i="48"/>
  <c r="AM71" i="48"/>
  <c r="AM62" i="48"/>
  <c r="AM109" i="48"/>
  <c r="AM125" i="48"/>
  <c r="AM93" i="48"/>
  <c r="AM102" i="48"/>
  <c r="AM60" i="48"/>
  <c r="AM79" i="48"/>
  <c r="AM127" i="48"/>
  <c r="AM49" i="48"/>
  <c r="A76" i="35" l="1"/>
  <c r="A77" i="35" l="1"/>
  <c r="Q59" i="47" s="1"/>
  <c r="A78" i="35" l="1"/>
  <c r="A79" i="35" l="1"/>
  <c r="A80" i="35" l="1"/>
  <c r="A81" i="35" l="1"/>
  <c r="A82" i="35" l="1"/>
  <c r="A83" i="35" l="1"/>
  <c r="A84" i="35" l="1"/>
  <c r="A85" i="35" l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O173" i="47"/>
  <c r="AL174" i="47"/>
  <c r="S73" i="47"/>
  <c r="AN172" i="47"/>
  <c r="R73" i="47"/>
  <c r="AO175" i="47"/>
  <c r="R72" i="47"/>
  <c r="AP173" i="47"/>
  <c r="AP172" i="47"/>
  <c r="S74" i="47"/>
  <c r="T73" i="47"/>
  <c r="Q73" i="47"/>
  <c r="Q74" i="47"/>
  <c r="Q75" i="47"/>
  <c r="AO174" i="47"/>
  <c r="AO176" i="47"/>
  <c r="AL172" i="47"/>
  <c r="AL173" i="47"/>
  <c r="T74" i="47"/>
  <c r="AN174" i="47"/>
  <c r="R75" i="47"/>
  <c r="AN173" i="47"/>
  <c r="R74" i="47"/>
  <c r="AP174" i="47"/>
  <c r="AN175" i="47"/>
  <c r="T75" i="47"/>
  <c r="AL175" i="47"/>
  <c r="T72" i="47"/>
  <c r="S75" i="47"/>
  <c r="AP175" i="47"/>
  <c r="A98" i="35"/>
  <c r="AN176" i="47" s="1"/>
  <c r="T76" i="47" l="1"/>
  <c r="Q76" i="47"/>
  <c r="AP176" i="47"/>
  <c r="AL176" i="47"/>
  <c r="R76" i="47"/>
  <c r="S76" i="47"/>
  <c r="A99" i="35"/>
  <c r="AP177" i="47" s="1"/>
  <c r="T77" i="47" l="1"/>
  <c r="AL177" i="47"/>
  <c r="AN177" i="47"/>
  <c r="S77" i="47"/>
  <c r="AO177" i="47"/>
  <c r="R77" i="47"/>
  <c r="Q77" i="47"/>
  <c r="A100" i="35"/>
  <c r="R78" i="47" s="1"/>
  <c r="S78" i="47" l="1"/>
  <c r="AL178" i="47"/>
  <c r="AN178" i="47"/>
  <c r="T78" i="47"/>
  <c r="Q78" i="47"/>
  <c r="AP178" i="47"/>
  <c r="AO178" i="47"/>
  <c r="A101" i="35"/>
  <c r="Q79" i="47" s="1"/>
  <c r="R10" i="47"/>
  <c r="AL112" i="47"/>
  <c r="Q31" i="47"/>
  <c r="S11" i="47"/>
  <c r="AN112" i="47"/>
  <c r="AO113" i="47"/>
  <c r="AL113" i="47"/>
  <c r="Q26" i="47"/>
  <c r="AN113" i="47"/>
  <c r="S14" i="47"/>
  <c r="AN117" i="47"/>
  <c r="AL120" i="47"/>
  <c r="AL121" i="47"/>
  <c r="R35" i="47"/>
  <c r="AL115" i="47"/>
  <c r="S28" i="47"/>
  <c r="AL118" i="47"/>
  <c r="S23" i="47"/>
  <c r="AP122" i="47"/>
  <c r="Q13" i="47"/>
  <c r="R13" i="47"/>
  <c r="AO124" i="47"/>
  <c r="R21" i="47"/>
  <c r="AN149" i="47"/>
  <c r="T22" i="47"/>
  <c r="AN115" i="47"/>
  <c r="AO118" i="47"/>
  <c r="AO147" i="47"/>
  <c r="Q22" i="47"/>
  <c r="AL122" i="47"/>
  <c r="S13" i="47"/>
  <c r="AN138" i="47"/>
  <c r="AL138" i="47"/>
  <c r="R36" i="47"/>
  <c r="AN125" i="47"/>
  <c r="R32" i="47"/>
  <c r="R34" i="47"/>
  <c r="R16" i="47"/>
  <c r="S45" i="47"/>
  <c r="Q41" i="47"/>
  <c r="R42" i="47"/>
  <c r="AL116" i="47"/>
  <c r="S41" i="47"/>
  <c r="S37" i="47"/>
  <c r="Q43" i="47"/>
  <c r="AN124" i="47"/>
  <c r="R17" i="47"/>
  <c r="Q28" i="47"/>
  <c r="AN128" i="47"/>
  <c r="AL119" i="47"/>
  <c r="AO123" i="47"/>
  <c r="AL140" i="47"/>
  <c r="S18" i="47"/>
  <c r="AN144" i="47"/>
  <c r="AL144" i="47"/>
  <c r="AN145" i="47"/>
  <c r="AO133" i="47"/>
  <c r="Q45" i="47"/>
  <c r="AL146" i="47"/>
  <c r="Q42" i="47"/>
  <c r="AO126" i="47"/>
  <c r="Q47" i="47"/>
  <c r="Q48" i="47"/>
  <c r="AO114" i="47"/>
  <c r="T21" i="47"/>
  <c r="S20" i="47"/>
  <c r="AO120" i="47"/>
  <c r="R50" i="47"/>
  <c r="T38" i="47"/>
  <c r="Q20" i="47"/>
  <c r="AO141" i="47"/>
  <c r="AL149" i="47"/>
  <c r="Q33" i="47"/>
  <c r="Q27" i="47"/>
  <c r="AP119" i="47"/>
  <c r="AO148" i="47"/>
  <c r="T36" i="47"/>
  <c r="Q25" i="47"/>
  <c r="Q29" i="47"/>
  <c r="R22" i="47"/>
  <c r="AL133" i="47"/>
  <c r="AL117" i="47"/>
  <c r="AO134" i="47"/>
  <c r="S48" i="47"/>
  <c r="AN130" i="47"/>
  <c r="S31" i="47"/>
  <c r="AN120" i="47"/>
  <c r="Q39" i="47"/>
  <c r="R26" i="47"/>
  <c r="AP142" i="47"/>
  <c r="AO131" i="47"/>
  <c r="R39" i="47"/>
  <c r="Q15" i="47"/>
  <c r="R48" i="47"/>
  <c r="R18" i="47"/>
  <c r="AL132" i="47"/>
  <c r="S26" i="47"/>
  <c r="AN116" i="47"/>
  <c r="AO142" i="47"/>
  <c r="AO119" i="47"/>
  <c r="AO125" i="47"/>
  <c r="AN131" i="47"/>
  <c r="Q17" i="47"/>
  <c r="R23" i="47"/>
  <c r="AL136" i="47"/>
  <c r="AN148" i="47"/>
  <c r="AN140" i="47"/>
  <c r="R47" i="47"/>
  <c r="AL143" i="47"/>
  <c r="S25" i="47"/>
  <c r="AL129" i="47"/>
  <c r="S42" i="47"/>
  <c r="AO127" i="47"/>
  <c r="Q30" i="47"/>
  <c r="T52" i="47"/>
  <c r="S35" i="47"/>
  <c r="R14" i="47"/>
  <c r="AN121" i="47"/>
  <c r="Q35" i="47"/>
  <c r="R43" i="47"/>
  <c r="AN137" i="47"/>
  <c r="R15" i="47"/>
  <c r="T19" i="47"/>
  <c r="AL131" i="47"/>
  <c r="AL134" i="47"/>
  <c r="Q49" i="47"/>
  <c r="AO149" i="47"/>
  <c r="S43" i="47"/>
  <c r="S47" i="47"/>
  <c r="Q36" i="47"/>
  <c r="R20" i="47"/>
  <c r="Q37" i="47"/>
  <c r="AO122" i="47"/>
  <c r="S36" i="47"/>
  <c r="R46" i="47"/>
  <c r="Q14" i="47"/>
  <c r="AP138" i="47"/>
  <c r="AP143" i="47"/>
  <c r="R27" i="47"/>
  <c r="AO129" i="47"/>
  <c r="Q38" i="47"/>
  <c r="AN147" i="47"/>
  <c r="Q24" i="47"/>
  <c r="S15" i="47"/>
  <c r="AO140" i="47"/>
  <c r="AO150" i="47"/>
  <c r="S50" i="47"/>
  <c r="AL147" i="47"/>
  <c r="AP116" i="47"/>
  <c r="T39" i="47"/>
  <c r="AL128" i="47"/>
  <c r="AO136" i="47"/>
  <c r="R30" i="47"/>
  <c r="Q34" i="47"/>
  <c r="S39" i="47"/>
  <c r="S34" i="47"/>
  <c r="AO135" i="47"/>
  <c r="AN142" i="47"/>
  <c r="AO139" i="47"/>
  <c r="AO132" i="47"/>
  <c r="AL141" i="47"/>
  <c r="AL126" i="47"/>
  <c r="AO117" i="47"/>
  <c r="AN127" i="47"/>
  <c r="AO128" i="47"/>
  <c r="AO115" i="47"/>
  <c r="S49" i="47"/>
  <c r="AN132" i="47"/>
  <c r="S16" i="47"/>
  <c r="AN143" i="47"/>
  <c r="AL150" i="47"/>
  <c r="S33" i="47"/>
  <c r="AO116" i="47"/>
  <c r="R41" i="47"/>
  <c r="S51" i="47"/>
  <c r="Q46" i="47"/>
  <c r="AN150" i="47"/>
  <c r="R24" i="47"/>
  <c r="R44" i="47"/>
  <c r="S38" i="47"/>
  <c r="AL135" i="47"/>
  <c r="R19" i="47"/>
  <c r="AN114" i="47"/>
  <c r="R33" i="47"/>
  <c r="AO151" i="47"/>
  <c r="AN133" i="47"/>
  <c r="AN129" i="47"/>
  <c r="AN141" i="47"/>
  <c r="AN123" i="47"/>
  <c r="AL125" i="47"/>
  <c r="AO146" i="47"/>
  <c r="AN119" i="47"/>
  <c r="S24" i="47"/>
  <c r="T37" i="47"/>
  <c r="T47" i="47"/>
  <c r="AP121" i="47"/>
  <c r="T27" i="47"/>
  <c r="AO143" i="47"/>
  <c r="AN136" i="47"/>
  <c r="AN135" i="47"/>
  <c r="S40" i="47"/>
  <c r="R37" i="47"/>
  <c r="Q19" i="47"/>
  <c r="S19" i="47"/>
  <c r="Q18" i="47"/>
  <c r="AP118" i="47"/>
  <c r="AL124" i="47"/>
  <c r="AP151" i="47"/>
  <c r="AL130" i="47"/>
  <c r="R28" i="47"/>
  <c r="AO144" i="47"/>
  <c r="S27" i="47"/>
  <c r="AO145" i="47"/>
  <c r="Q40" i="47"/>
  <c r="S30" i="47"/>
  <c r="R40" i="47"/>
  <c r="Q16" i="47"/>
  <c r="AL123" i="47"/>
  <c r="AP137" i="47"/>
  <c r="AP117" i="47"/>
  <c r="Q44" i="47"/>
  <c r="S17" i="47"/>
  <c r="Q32" i="47"/>
  <c r="AN139" i="47"/>
  <c r="AL145" i="47"/>
  <c r="R45" i="47"/>
  <c r="AL148" i="47"/>
  <c r="T42" i="47"/>
  <c r="T46" i="47"/>
  <c r="T20" i="47"/>
  <c r="T50" i="47"/>
  <c r="AN151" i="47"/>
  <c r="R29" i="47"/>
  <c r="S32" i="47"/>
  <c r="AP136" i="47"/>
  <c r="AP150" i="47"/>
  <c r="AN118" i="47"/>
  <c r="T41" i="47"/>
  <c r="R31" i="47"/>
  <c r="AN134" i="47"/>
  <c r="R38" i="47"/>
  <c r="AP123" i="47"/>
  <c r="T24" i="47"/>
  <c r="AL152" i="47"/>
  <c r="AL127" i="47"/>
  <c r="AP124" i="47"/>
  <c r="AN126" i="47"/>
  <c r="AN122" i="47"/>
  <c r="T43" i="47"/>
  <c r="S46" i="47"/>
  <c r="AP125" i="47"/>
  <c r="T26" i="47"/>
  <c r="AO138" i="47"/>
  <c r="AL137" i="47"/>
  <c r="T35" i="47"/>
  <c r="AO130" i="47"/>
  <c r="T16" i="47"/>
  <c r="R51" i="47"/>
  <c r="S29" i="47"/>
  <c r="Q50" i="47"/>
  <c r="T51" i="47"/>
  <c r="AO137" i="47"/>
  <c r="Q51" i="47"/>
  <c r="Q21" i="47"/>
  <c r="T18" i="47"/>
  <c r="AP120" i="47"/>
  <c r="T40" i="47"/>
  <c r="Q23" i="47"/>
  <c r="AN146" i="47"/>
  <c r="S44" i="47"/>
  <c r="R49" i="47"/>
  <c r="AL139" i="47"/>
  <c r="T17" i="47"/>
  <c r="T23" i="47"/>
  <c r="R25" i="47"/>
  <c r="AO121" i="47"/>
  <c r="AP146" i="47"/>
  <c r="AP139" i="47"/>
  <c r="AL142" i="47"/>
  <c r="AP140" i="47"/>
  <c r="AP152" i="47"/>
  <c r="AP135" i="47"/>
  <c r="S22" i="47"/>
  <c r="S21" i="47"/>
  <c r="AL151" i="47"/>
  <c r="AP128" i="47"/>
  <c r="AP147" i="47"/>
  <c r="AP126" i="47"/>
  <c r="AP144" i="47"/>
  <c r="T45" i="47"/>
  <c r="T25" i="47"/>
  <c r="AP141" i="47"/>
  <c r="T28" i="47"/>
  <c r="T44" i="47"/>
  <c r="T33" i="47"/>
  <c r="AN153" i="47"/>
  <c r="R53" i="47"/>
  <c r="AP148" i="47"/>
  <c r="AP129" i="47"/>
  <c r="AP130" i="47"/>
  <c r="R52" i="47"/>
  <c r="AO152" i="47"/>
  <c r="Q52" i="47"/>
  <c r="AN152" i="47"/>
  <c r="T48" i="47"/>
  <c r="S52" i="47"/>
  <c r="AP127" i="47"/>
  <c r="AP149" i="47"/>
  <c r="T49" i="47"/>
  <c r="AP145" i="47"/>
  <c r="T31" i="47"/>
  <c r="AP133" i="47"/>
  <c r="AL155" i="47"/>
  <c r="Q55" i="47"/>
  <c r="Q54" i="47"/>
  <c r="Q53" i="47"/>
  <c r="AN154" i="47"/>
  <c r="T32" i="47"/>
  <c r="AP132" i="47"/>
  <c r="AL153" i="47"/>
  <c r="AO153" i="47"/>
  <c r="S54" i="47"/>
  <c r="T54" i="47"/>
  <c r="S53" i="47"/>
  <c r="AO154" i="47"/>
  <c r="AP131" i="47"/>
  <c r="AL154" i="47"/>
  <c r="T34" i="47"/>
  <c r="T30" i="47"/>
  <c r="AP153" i="47"/>
  <c r="T53" i="47"/>
  <c r="AP134" i="47"/>
  <c r="T29" i="47"/>
  <c r="AO155" i="47"/>
  <c r="AN155" i="47"/>
  <c r="S55" i="47"/>
  <c r="AL156" i="47"/>
  <c r="S56" i="47"/>
  <c r="AO156" i="47"/>
  <c r="R59" i="47"/>
  <c r="AP154" i="47"/>
  <c r="T57" i="47"/>
  <c r="R54" i="47"/>
  <c r="AL159" i="47"/>
  <c r="T56" i="47"/>
  <c r="R55" i="47"/>
  <c r="R57" i="47"/>
  <c r="AP155" i="47"/>
  <c r="T55" i="47"/>
  <c r="T60" i="47"/>
  <c r="AP156" i="47"/>
  <c r="AN156" i="47"/>
  <c r="T58" i="47"/>
  <c r="S59" i="47"/>
  <c r="S57" i="47"/>
  <c r="R56" i="47"/>
  <c r="T59" i="47"/>
  <c r="Q58" i="47"/>
  <c r="AN160" i="47"/>
  <c r="Q56" i="47"/>
  <c r="AP157" i="47"/>
  <c r="AL158" i="47"/>
  <c r="AO161" i="47"/>
  <c r="AL157" i="47"/>
  <c r="AO159" i="47"/>
  <c r="S58" i="47"/>
  <c r="AP158" i="47"/>
  <c r="S61" i="47"/>
  <c r="Q57" i="47"/>
  <c r="AN157" i="47"/>
  <c r="AP159" i="47"/>
  <c r="AO158" i="47"/>
  <c r="T61" i="47"/>
  <c r="R58" i="47"/>
  <c r="AN159" i="47"/>
  <c r="AL161" i="47"/>
  <c r="AO157" i="47"/>
  <c r="AN158" i="47"/>
  <c r="AP160" i="47"/>
  <c r="S60" i="47"/>
  <c r="AL160" i="47"/>
  <c r="AO166" i="47"/>
  <c r="T62" i="47"/>
  <c r="AO160" i="47"/>
  <c r="AN162" i="47"/>
  <c r="Q60" i="47"/>
  <c r="AP161" i="47"/>
  <c r="AO162" i="47"/>
  <c r="R62" i="47"/>
  <c r="R60" i="47"/>
  <c r="Q61" i="47"/>
  <c r="AN161" i="47"/>
  <c r="R61" i="47"/>
  <c r="R63" i="47"/>
  <c r="T63" i="47"/>
  <c r="AP164" i="47"/>
  <c r="AO164" i="47"/>
  <c r="AP162" i="47"/>
  <c r="Q62" i="47"/>
  <c r="AO163" i="47"/>
  <c r="AL163" i="47"/>
  <c r="S62" i="47"/>
  <c r="AL162" i="47"/>
  <c r="Q63" i="47"/>
  <c r="AP163" i="47"/>
  <c r="AN163" i="47"/>
  <c r="AN164" i="47"/>
  <c r="T64" i="47"/>
  <c r="AL164" i="47"/>
  <c r="R64" i="47"/>
  <c r="S64" i="47"/>
  <c r="AN166" i="47"/>
  <c r="Q64" i="47"/>
  <c r="AN168" i="47"/>
  <c r="S63" i="47"/>
  <c r="T66" i="47"/>
  <c r="S65" i="47"/>
  <c r="AL168" i="47"/>
  <c r="AL166" i="47"/>
  <c r="R66" i="47"/>
  <c r="AN165" i="47"/>
  <c r="AO165" i="47"/>
  <c r="T65" i="47"/>
  <c r="R65" i="47"/>
  <c r="AP165" i="47"/>
  <c r="AO167" i="47"/>
  <c r="Q66" i="47"/>
  <c r="AP166" i="47"/>
  <c r="Q65" i="47"/>
  <c r="AL165" i="47"/>
  <c r="Q68" i="47"/>
  <c r="S66" i="47"/>
  <c r="T68" i="47"/>
  <c r="S67" i="47"/>
  <c r="AP168" i="47"/>
  <c r="AP167" i="47"/>
  <c r="AO168" i="47"/>
  <c r="S68" i="47"/>
  <c r="R67" i="47"/>
  <c r="Q67" i="47"/>
  <c r="AL167" i="47"/>
  <c r="R68" i="47"/>
  <c r="AN169" i="47"/>
  <c r="AP169" i="47"/>
  <c r="S69" i="47"/>
  <c r="AN167" i="47"/>
  <c r="Q69" i="47"/>
  <c r="Q71" i="47"/>
  <c r="R71" i="47"/>
  <c r="T67" i="47"/>
  <c r="AO169" i="47"/>
  <c r="T69" i="47"/>
  <c r="R69" i="47"/>
  <c r="AL169" i="47"/>
  <c r="AO171" i="47"/>
  <c r="S72" i="47"/>
  <c r="AN170" i="47"/>
  <c r="T71" i="47"/>
  <c r="T70" i="47"/>
  <c r="AO170" i="47"/>
  <c r="S70" i="47"/>
  <c r="AL171" i="47"/>
  <c r="Q70" i="47"/>
  <c r="AN171" i="47"/>
  <c r="S71" i="47"/>
  <c r="R70" i="47"/>
  <c r="AP171" i="47"/>
  <c r="AL170" i="47"/>
  <c r="AO172" i="47"/>
  <c r="AP170" i="47"/>
  <c r="Q72" i="47"/>
  <c r="AG66" i="55" l="1"/>
  <c r="AF66" i="55"/>
  <c r="AP179" i="47"/>
  <c r="R79" i="47"/>
  <c r="AN179" i="47"/>
  <c r="AO179" i="47"/>
  <c r="AL179" i="47"/>
  <c r="T79" i="47"/>
  <c r="S79" i="47"/>
  <c r="A102" i="35"/>
  <c r="AG59" i="55"/>
  <c r="AF47" i="55"/>
  <c r="AF16" i="55"/>
  <c r="AF41" i="55"/>
  <c r="AG47" i="55"/>
  <c r="AG41" i="55"/>
  <c r="AG16" i="55"/>
  <c r="AF122" i="55"/>
  <c r="AG122" i="55"/>
  <c r="AF59" i="55"/>
  <c r="AG45" i="55"/>
  <c r="AG84" i="55"/>
  <c r="AF121" i="55"/>
  <c r="AF6" i="55"/>
  <c r="AF45" i="55"/>
  <c r="AG121" i="55"/>
  <c r="AF63" i="55"/>
  <c r="AG6" i="55"/>
  <c r="AF21" i="55"/>
  <c r="AF84" i="55"/>
  <c r="AG63" i="55"/>
  <c r="AG21" i="55"/>
  <c r="AG124" i="55"/>
  <c r="AF40" i="55"/>
  <c r="AF124" i="55"/>
  <c r="AG40" i="55"/>
  <c r="AF73" i="55"/>
  <c r="AG73" i="55"/>
  <c r="AJ93" i="47"/>
  <c r="A103" i="35" l="1"/>
  <c r="Q80" i="47" s="1"/>
  <c r="AN180" i="47" l="1"/>
  <c r="R80" i="47"/>
  <c r="S80" i="47"/>
  <c r="AP180" i="47"/>
  <c r="AO180" i="47"/>
  <c r="T80" i="47"/>
  <c r="AL180" i="47"/>
  <c r="A104" i="35"/>
  <c r="AO181" i="47" s="1"/>
  <c r="AG19" i="55"/>
  <c r="T81" i="47" l="1"/>
  <c r="R81" i="47"/>
  <c r="S81" i="47"/>
  <c r="AN181" i="47"/>
  <c r="AP181" i="47"/>
  <c r="AL181" i="47"/>
  <c r="Q81" i="47"/>
  <c r="AF19" i="55"/>
  <c r="A105" i="35"/>
  <c r="AG44" i="55" l="1"/>
  <c r="AF44" i="55"/>
  <c r="AN182" i="47"/>
  <c r="S82" i="47"/>
  <c r="AP182" i="47"/>
  <c r="R82" i="47"/>
  <c r="AO182" i="47"/>
  <c r="Q82" i="47"/>
  <c r="AF33" i="55" s="1"/>
  <c r="AL182" i="47"/>
  <c r="T82" i="47"/>
  <c r="A106" i="35"/>
  <c r="AL183" i="47" s="1"/>
  <c r="AG33" i="55" l="1"/>
  <c r="AP183" i="47"/>
  <c r="R83" i="47"/>
  <c r="AO183" i="47"/>
  <c r="AN183" i="47"/>
  <c r="S83" i="47"/>
  <c r="Q83" i="47"/>
  <c r="T83" i="47"/>
  <c r="A107" i="35"/>
  <c r="A108" i="35" l="1"/>
  <c r="A109" i="35" l="1"/>
  <c r="A110" i="35" l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P218" i="47" s="1"/>
  <c r="R91" i="47" l="1"/>
  <c r="AP184" i="47"/>
  <c r="T84" i="47"/>
  <c r="R84" i="47"/>
  <c r="AL184" i="47"/>
  <c r="S84" i="47"/>
  <c r="AO184" i="47"/>
  <c r="Q84" i="47"/>
  <c r="AN184" i="47"/>
  <c r="S103" i="47"/>
  <c r="AL185" i="47"/>
  <c r="AN185" i="47"/>
  <c r="AN194" i="47"/>
  <c r="T93" i="47"/>
  <c r="Q85" i="47"/>
  <c r="R85" i="47"/>
  <c r="T85" i="47"/>
  <c r="AP185" i="47"/>
  <c r="AO185" i="47"/>
  <c r="S85" i="47"/>
  <c r="Q93" i="47"/>
  <c r="AN191" i="47"/>
  <c r="T86" i="47"/>
  <c r="T110" i="47"/>
  <c r="R115" i="47"/>
  <c r="S133" i="47"/>
  <c r="Q96" i="47"/>
  <c r="R122" i="47"/>
  <c r="AP208" i="47"/>
  <c r="AL198" i="47"/>
  <c r="AL186" i="47"/>
  <c r="AO202" i="47"/>
  <c r="AO205" i="47"/>
  <c r="AP186" i="47"/>
  <c r="AO186" i="47"/>
  <c r="AN186" i="47"/>
  <c r="R86" i="47"/>
  <c r="S86" i="47"/>
  <c r="Q86" i="47"/>
  <c r="AP274" i="47"/>
  <c r="AL233" i="47"/>
  <c r="R144" i="47"/>
  <c r="T102" i="47"/>
  <c r="AO208" i="47"/>
  <c r="AN223" i="47"/>
  <c r="AL217" i="47"/>
  <c r="T90" i="47"/>
  <c r="AO322" i="47"/>
  <c r="S134" i="47"/>
  <c r="Q128" i="47"/>
  <c r="AL261" i="47"/>
  <c r="T220" i="47"/>
  <c r="T134" i="47"/>
  <c r="S130" i="47"/>
  <c r="AO276" i="47"/>
  <c r="Q168" i="47"/>
  <c r="AL326" i="47"/>
  <c r="Q198" i="47"/>
  <c r="Q165" i="47"/>
  <c r="Q127" i="47"/>
  <c r="Q123" i="47"/>
  <c r="S177" i="47"/>
  <c r="AL306" i="47"/>
  <c r="AN256" i="47"/>
  <c r="T152" i="47"/>
  <c r="S201" i="47"/>
  <c r="AO311" i="47"/>
  <c r="AL287" i="47"/>
  <c r="R226" i="47"/>
  <c r="AN301" i="47"/>
  <c r="R185" i="47"/>
  <c r="T112" i="47"/>
  <c r="T156" i="47"/>
  <c r="AO292" i="47"/>
  <c r="R163" i="47"/>
  <c r="AP284" i="47"/>
  <c r="AL253" i="47"/>
  <c r="S121" i="47"/>
  <c r="AP217" i="47"/>
  <c r="Q155" i="47"/>
  <c r="T223" i="47"/>
  <c r="T108" i="47"/>
  <c r="S87" i="47"/>
  <c r="AN285" i="47"/>
  <c r="AO248" i="47"/>
  <c r="Q191" i="47"/>
  <c r="R176" i="47"/>
  <c r="R143" i="47"/>
  <c r="R207" i="47"/>
  <c r="AO321" i="47"/>
  <c r="Q176" i="47"/>
  <c r="S187" i="47"/>
  <c r="AO218" i="47"/>
  <c r="AL295" i="47"/>
  <c r="T87" i="47"/>
  <c r="AN227" i="47"/>
  <c r="T205" i="47"/>
  <c r="R174" i="47"/>
  <c r="T194" i="47"/>
  <c r="AP320" i="47"/>
  <c r="AL262" i="47"/>
  <c r="R139" i="47"/>
  <c r="R87" i="47"/>
  <c r="S215" i="47"/>
  <c r="Q151" i="47"/>
  <c r="AN262" i="47"/>
  <c r="T170" i="47"/>
  <c r="T91" i="47"/>
  <c r="T159" i="47"/>
  <c r="AN293" i="47"/>
  <c r="S169" i="47"/>
  <c r="AP216" i="47"/>
  <c r="AO279" i="47"/>
  <c r="S170" i="47"/>
  <c r="AP245" i="47"/>
  <c r="AL202" i="47"/>
  <c r="R126" i="47"/>
  <c r="AL275" i="47"/>
  <c r="AL254" i="47"/>
  <c r="AO187" i="47"/>
  <c r="T113" i="47"/>
  <c r="R138" i="47"/>
  <c r="AO246" i="47"/>
  <c r="R152" i="47"/>
  <c r="AP262" i="47"/>
  <c r="AL248" i="47"/>
  <c r="AP200" i="47"/>
  <c r="Q177" i="47"/>
  <c r="Q109" i="47"/>
  <c r="S176" i="47"/>
  <c r="AL252" i="47"/>
  <c r="AN308" i="47"/>
  <c r="AL318" i="47"/>
  <c r="AP222" i="47"/>
  <c r="S154" i="47"/>
  <c r="AN187" i="47"/>
  <c r="AP234" i="47"/>
  <c r="R164" i="47"/>
  <c r="T119" i="47"/>
  <c r="R148" i="47"/>
  <c r="AO198" i="47"/>
  <c r="AP236" i="47"/>
  <c r="T183" i="47"/>
  <c r="AP214" i="47"/>
  <c r="AL187" i="47"/>
  <c r="Q87" i="47"/>
  <c r="AP210" i="47"/>
  <c r="AL226" i="47"/>
  <c r="R184" i="47"/>
  <c r="AN281" i="47"/>
  <c r="AO259" i="47"/>
  <c r="AP187" i="47"/>
  <c r="AN252" i="47"/>
  <c r="AP275" i="47"/>
  <c r="T222" i="47"/>
  <c r="Q218" i="47"/>
  <c r="T144" i="47"/>
  <c r="T206" i="47"/>
  <c r="T117" i="47"/>
  <c r="AP270" i="47"/>
  <c r="R141" i="47"/>
  <c r="AN327" i="47"/>
  <c r="R179" i="47"/>
  <c r="AO220" i="47"/>
  <c r="Q227" i="47"/>
  <c r="R136" i="47"/>
  <c r="AP224" i="47"/>
  <c r="AN261" i="47"/>
  <c r="AN292" i="47"/>
  <c r="R173" i="47"/>
  <c r="S114" i="47"/>
  <c r="AO309" i="47"/>
  <c r="AO310" i="47"/>
  <c r="T137" i="47"/>
  <c r="AP264" i="47"/>
  <c r="AP312" i="47"/>
  <c r="R178" i="47"/>
  <c r="Q211" i="47"/>
  <c r="T125" i="47"/>
  <c r="S161" i="47"/>
  <c r="R204" i="47"/>
  <c r="T132" i="47"/>
  <c r="AP263" i="47"/>
  <c r="T200" i="47"/>
  <c r="S89" i="47"/>
  <c r="Q158" i="47"/>
  <c r="S88" i="47"/>
  <c r="T169" i="47"/>
  <c r="R175" i="47"/>
  <c r="T165" i="47"/>
  <c r="AN268" i="47"/>
  <c r="AP297" i="47"/>
  <c r="AN243" i="47"/>
  <c r="Q175" i="47"/>
  <c r="AP304" i="47"/>
  <c r="S181" i="47"/>
  <c r="Q145" i="47"/>
  <c r="Q163" i="47"/>
  <c r="Q138" i="47"/>
  <c r="AL247" i="47"/>
  <c r="AN241" i="47"/>
  <c r="AO230" i="47"/>
  <c r="AO319" i="47"/>
  <c r="T116" i="47"/>
  <c r="AP223" i="47"/>
  <c r="AN235" i="47"/>
  <c r="AN188" i="47"/>
  <c r="R160" i="47"/>
  <c r="AO316" i="47"/>
  <c r="AN303" i="47"/>
  <c r="AP277" i="47"/>
  <c r="Q221" i="47"/>
  <c r="Q210" i="47"/>
  <c r="Q119" i="47"/>
  <c r="R95" i="47"/>
  <c r="Q209" i="47"/>
  <c r="S150" i="47"/>
  <c r="Q125" i="47"/>
  <c r="AO188" i="47"/>
  <c r="T145" i="47"/>
  <c r="AN263" i="47"/>
  <c r="AO204" i="47"/>
  <c r="T178" i="47"/>
  <c r="AP288" i="47"/>
  <c r="R168" i="47"/>
  <c r="S112" i="47"/>
  <c r="Q223" i="47"/>
  <c r="Q184" i="47"/>
  <c r="AL230" i="47"/>
  <c r="Q214" i="47"/>
  <c r="Q120" i="47"/>
  <c r="S147" i="47"/>
  <c r="AL285" i="47"/>
  <c r="AN324" i="47"/>
  <c r="S100" i="47"/>
  <c r="R88" i="47"/>
  <c r="T226" i="47"/>
  <c r="Q205" i="47"/>
  <c r="AP299" i="47"/>
  <c r="Q135" i="47"/>
  <c r="AL301" i="47"/>
  <c r="AN210" i="47"/>
  <c r="AN209" i="47"/>
  <c r="Q212" i="47"/>
  <c r="T130" i="47"/>
  <c r="T166" i="47"/>
  <c r="AL244" i="47"/>
  <c r="T148" i="47"/>
  <c r="AL327" i="47"/>
  <c r="AN203" i="47"/>
  <c r="AP266" i="47"/>
  <c r="R198" i="47"/>
  <c r="R128" i="47"/>
  <c r="S151" i="47"/>
  <c r="R116" i="47"/>
  <c r="S137" i="47"/>
  <c r="AL220" i="47"/>
  <c r="R172" i="47"/>
  <c r="AL255" i="47"/>
  <c r="AN304" i="47"/>
  <c r="T158" i="47"/>
  <c r="AN287" i="47"/>
  <c r="R220" i="47"/>
  <c r="T88" i="47"/>
  <c r="S178" i="47"/>
  <c r="R121" i="47"/>
  <c r="T128" i="47"/>
  <c r="Q130" i="47"/>
  <c r="AO298" i="47"/>
  <c r="AL303" i="47"/>
  <c r="AP243" i="47"/>
  <c r="AL204" i="47"/>
  <c r="R180" i="47"/>
  <c r="Q117" i="47"/>
  <c r="S188" i="47"/>
  <c r="AP310" i="47"/>
  <c r="T218" i="47"/>
  <c r="AL238" i="47"/>
  <c r="AO296" i="47"/>
  <c r="Q202" i="47"/>
  <c r="AL311" i="47"/>
  <c r="AN238" i="47"/>
  <c r="AP188" i="47"/>
  <c r="S157" i="47"/>
  <c r="R203" i="47"/>
  <c r="R193" i="47"/>
  <c r="AP308" i="47"/>
  <c r="R182" i="47"/>
  <c r="T224" i="47"/>
  <c r="AN265" i="47"/>
  <c r="AP192" i="47"/>
  <c r="AN189" i="47"/>
  <c r="AL316" i="47"/>
  <c r="T106" i="47"/>
  <c r="Q88" i="47"/>
  <c r="AN319" i="47"/>
  <c r="AP219" i="47"/>
  <c r="T196" i="47"/>
  <c r="T181" i="47"/>
  <c r="T173" i="47"/>
  <c r="AN305" i="47"/>
  <c r="AN208" i="47"/>
  <c r="AL320" i="47"/>
  <c r="AL309" i="47"/>
  <c r="R145" i="47"/>
  <c r="R99" i="47"/>
  <c r="AP257" i="47"/>
  <c r="T95" i="47"/>
  <c r="AP290" i="47"/>
  <c r="AL188" i="47"/>
  <c r="R219" i="47"/>
  <c r="AL282" i="47"/>
  <c r="Q159" i="47"/>
  <c r="S168" i="47"/>
  <c r="S173" i="47"/>
  <c r="AN258" i="47"/>
  <c r="R186" i="47"/>
  <c r="AL305" i="47"/>
  <c r="T176" i="47"/>
  <c r="R181" i="47"/>
  <c r="AN309" i="47"/>
  <c r="AO323" i="47"/>
  <c r="S200" i="47"/>
  <c r="AL268" i="47"/>
  <c r="S180" i="47"/>
  <c r="AL297" i="47"/>
  <c r="S129" i="47"/>
  <c r="AP265" i="47"/>
  <c r="Q186" i="47"/>
  <c r="S179" i="47"/>
  <c r="R153" i="47"/>
  <c r="T135" i="47"/>
  <c r="T190" i="47"/>
  <c r="AL321" i="47"/>
  <c r="AO264" i="47"/>
  <c r="T174" i="47"/>
  <c r="S145" i="47"/>
  <c r="Q215" i="47"/>
  <c r="AP323" i="47"/>
  <c r="AL322" i="47"/>
  <c r="Q185" i="47"/>
  <c r="AO240" i="47"/>
  <c r="Q160" i="47"/>
  <c r="AN289" i="47"/>
  <c r="AN218" i="47"/>
  <c r="Q201" i="47"/>
  <c r="AP317" i="47"/>
  <c r="S123" i="47"/>
  <c r="T171" i="47"/>
  <c r="Q142" i="47"/>
  <c r="AN225" i="47"/>
  <c r="S91" i="47"/>
  <c r="AP295" i="47"/>
  <c r="S219" i="47"/>
  <c r="AL232" i="47"/>
  <c r="Q104" i="47"/>
  <c r="Q217" i="47"/>
  <c r="AN247" i="47"/>
  <c r="S163" i="47"/>
  <c r="Q111" i="47"/>
  <c r="AN302" i="47"/>
  <c r="AP286" i="47"/>
  <c r="R137" i="47"/>
  <c r="AL283" i="47"/>
  <c r="AO216" i="47"/>
  <c r="T207" i="47"/>
  <c r="R133" i="47"/>
  <c r="T123" i="47"/>
  <c r="S97" i="47"/>
  <c r="AO277" i="47"/>
  <c r="R222" i="47"/>
  <c r="AN229" i="47"/>
  <c r="AL274" i="47"/>
  <c r="AL317" i="47"/>
  <c r="AO290" i="47"/>
  <c r="AL291" i="47"/>
  <c r="AO300" i="47"/>
  <c r="S92" i="47"/>
  <c r="AO225" i="47"/>
  <c r="Q100" i="47"/>
  <c r="AO191" i="47"/>
  <c r="R165" i="47"/>
  <c r="AL324" i="47"/>
  <c r="AN312" i="47"/>
  <c r="T146" i="47"/>
  <c r="S182" i="47"/>
  <c r="AL191" i="47"/>
  <c r="AP253" i="47"/>
  <c r="AP239" i="47"/>
  <c r="T143" i="47"/>
  <c r="S127" i="47"/>
  <c r="AP189" i="47"/>
  <c r="AN325" i="47"/>
  <c r="AP289" i="47"/>
  <c r="Q122" i="47"/>
  <c r="AP258" i="47"/>
  <c r="Q129" i="47"/>
  <c r="S162" i="47"/>
  <c r="S148" i="47"/>
  <c r="T204" i="47"/>
  <c r="AO315" i="47"/>
  <c r="T151" i="47"/>
  <c r="AP228" i="47"/>
  <c r="Q153" i="47"/>
  <c r="AO224" i="47"/>
  <c r="R208" i="47"/>
  <c r="T189" i="47"/>
  <c r="AL312" i="47"/>
  <c r="S220" i="47"/>
  <c r="R227" i="47"/>
  <c r="AP279" i="47"/>
  <c r="AL242" i="47"/>
  <c r="R146" i="47"/>
  <c r="R127" i="47"/>
  <c r="R183" i="47"/>
  <c r="AO307" i="47"/>
  <c r="AL190" i="47"/>
  <c r="AO312" i="47"/>
  <c r="AL200" i="47"/>
  <c r="R123" i="47"/>
  <c r="T154" i="47"/>
  <c r="AL199" i="47"/>
  <c r="Q105" i="47"/>
  <c r="S149" i="47"/>
  <c r="AO217" i="47"/>
  <c r="S223" i="47"/>
  <c r="AP209" i="47"/>
  <c r="AO233" i="47"/>
  <c r="AL221" i="47"/>
  <c r="T104" i="47"/>
  <c r="AP267" i="47"/>
  <c r="Q116" i="47"/>
  <c r="AO192" i="47"/>
  <c r="Q224" i="47"/>
  <c r="T121" i="47"/>
  <c r="Q136" i="47"/>
  <c r="AN284" i="47"/>
  <c r="T221" i="47"/>
  <c r="AO249" i="47"/>
  <c r="S90" i="47"/>
  <c r="Q182" i="47"/>
  <c r="AL223" i="47"/>
  <c r="AL218" i="47"/>
  <c r="AO325" i="47"/>
  <c r="S221" i="47"/>
  <c r="AN245" i="47"/>
  <c r="AO297" i="47"/>
  <c r="T155" i="47"/>
  <c r="AN279" i="47"/>
  <c r="S203" i="47"/>
  <c r="T105" i="47"/>
  <c r="AP322" i="47"/>
  <c r="R191" i="47"/>
  <c r="AN199" i="47"/>
  <c r="S160" i="47"/>
  <c r="AN216" i="47"/>
  <c r="AN260" i="47"/>
  <c r="S171" i="47"/>
  <c r="AO253" i="47"/>
  <c r="AP305" i="47"/>
  <c r="AL278" i="47"/>
  <c r="S174" i="47"/>
  <c r="AL319" i="47"/>
  <c r="Q95" i="47"/>
  <c r="AP272" i="47"/>
  <c r="AO236" i="47"/>
  <c r="R106" i="47"/>
  <c r="S202" i="47"/>
  <c r="AL245" i="47"/>
  <c r="R202" i="47"/>
  <c r="T193" i="47"/>
  <c r="S225" i="47"/>
  <c r="R117" i="47"/>
  <c r="T203" i="47"/>
  <c r="AO221" i="47"/>
  <c r="AP255" i="47"/>
  <c r="AP315" i="47"/>
  <c r="AN326" i="47"/>
  <c r="AO327" i="47"/>
  <c r="R109" i="47"/>
  <c r="S172" i="47"/>
  <c r="Q192" i="47"/>
  <c r="R124" i="47"/>
  <c r="AO210" i="47"/>
  <c r="T157" i="47"/>
  <c r="R169" i="47"/>
  <c r="S212" i="47"/>
  <c r="AO227" i="47"/>
  <c r="R111" i="47"/>
  <c r="AP240" i="47"/>
  <c r="AN322" i="47"/>
  <c r="AN259" i="47"/>
  <c r="AL292" i="47"/>
  <c r="AN195" i="47"/>
  <c r="S101" i="47"/>
  <c r="AO209" i="47"/>
  <c r="T141" i="47"/>
  <c r="T227" i="47"/>
  <c r="AN278" i="47"/>
  <c r="R200" i="47"/>
  <c r="AP202" i="47"/>
  <c r="AL197" i="47"/>
  <c r="AN269" i="47"/>
  <c r="Q203" i="47"/>
  <c r="R209" i="47"/>
  <c r="Q140" i="47"/>
  <c r="AP197" i="47"/>
  <c r="AO256" i="47"/>
  <c r="Q166" i="47"/>
  <c r="AN282" i="47"/>
  <c r="AO278" i="47"/>
  <c r="R224" i="47"/>
  <c r="AL243" i="47"/>
  <c r="AN296" i="47"/>
  <c r="AL259" i="47"/>
  <c r="AN275" i="47"/>
  <c r="S209" i="47"/>
  <c r="AN288" i="47"/>
  <c r="T177" i="47"/>
  <c r="S210" i="47"/>
  <c r="AO203" i="47"/>
  <c r="R188" i="47"/>
  <c r="Q193" i="47"/>
  <c r="R217" i="47"/>
  <c r="S131" i="47"/>
  <c r="R194" i="47"/>
  <c r="AO308" i="47"/>
  <c r="AL302" i="47"/>
  <c r="AP268" i="47"/>
  <c r="T163" i="47"/>
  <c r="AO313" i="47"/>
  <c r="AO299" i="47"/>
  <c r="AP285" i="47"/>
  <c r="AL300" i="47"/>
  <c r="T98" i="47"/>
  <c r="AN196" i="47"/>
  <c r="AP326" i="47"/>
  <c r="AN219" i="47"/>
  <c r="Q90" i="47"/>
  <c r="AL212" i="47"/>
  <c r="AL236" i="47"/>
  <c r="AL263" i="47"/>
  <c r="Q152" i="47"/>
  <c r="T202" i="47"/>
  <c r="AO306" i="47"/>
  <c r="S204" i="47"/>
  <c r="AO320" i="47"/>
  <c r="AO252" i="47"/>
  <c r="T111" i="47"/>
  <c r="AN270" i="47"/>
  <c r="T129" i="47"/>
  <c r="AP311" i="47"/>
  <c r="AP248" i="47"/>
  <c r="AP198" i="47"/>
  <c r="AL272" i="47"/>
  <c r="T219" i="47"/>
  <c r="Q195" i="47"/>
  <c r="R102" i="47"/>
  <c r="AP250" i="47"/>
  <c r="T120" i="47"/>
  <c r="AO274" i="47"/>
  <c r="AL210" i="47"/>
  <c r="S138" i="47"/>
  <c r="AP231" i="47"/>
  <c r="AO265" i="47"/>
  <c r="T133" i="47"/>
  <c r="AN317" i="47"/>
  <c r="R151" i="47"/>
  <c r="S208" i="47"/>
  <c r="S141" i="47"/>
  <c r="Q147" i="47"/>
  <c r="S192" i="47"/>
  <c r="S116" i="47"/>
  <c r="AN267" i="47"/>
  <c r="AN311" i="47"/>
  <c r="AO226" i="47"/>
  <c r="S226" i="47"/>
  <c r="S146" i="47"/>
  <c r="S199" i="47"/>
  <c r="R114" i="47"/>
  <c r="AO247" i="47"/>
  <c r="AP194" i="47"/>
  <c r="R159" i="47"/>
  <c r="AP199" i="47"/>
  <c r="S167" i="47"/>
  <c r="Q99" i="47"/>
  <c r="AN283" i="47"/>
  <c r="AP232" i="47"/>
  <c r="R225" i="47"/>
  <c r="AN220" i="47"/>
  <c r="AL214" i="47"/>
  <c r="S118" i="47"/>
  <c r="R89" i="47"/>
  <c r="AL196" i="47"/>
  <c r="AO269" i="47"/>
  <c r="R92" i="47"/>
  <c r="Q174" i="47"/>
  <c r="AO270" i="47"/>
  <c r="Q106" i="47"/>
  <c r="AO232" i="47"/>
  <c r="AO303" i="47"/>
  <c r="Q91" i="47"/>
  <c r="Q124" i="47"/>
  <c r="AN307" i="47"/>
  <c r="AN221" i="47"/>
  <c r="AN240" i="47"/>
  <c r="Q143" i="47"/>
  <c r="T167" i="47"/>
  <c r="AO272" i="47"/>
  <c r="AN316" i="47"/>
  <c r="AL286" i="47"/>
  <c r="Q137" i="47"/>
  <c r="AP314" i="47"/>
  <c r="R177" i="47"/>
  <c r="Q94" i="47"/>
  <c r="T195" i="47"/>
  <c r="R210" i="47"/>
  <c r="Q144" i="47"/>
  <c r="AN230" i="47"/>
  <c r="R119" i="47"/>
  <c r="AO241" i="47"/>
  <c r="AL277" i="47"/>
  <c r="AO255" i="47"/>
  <c r="T187" i="47"/>
  <c r="S111" i="47"/>
  <c r="AN290" i="47"/>
  <c r="AO305" i="47"/>
  <c r="T182" i="47"/>
  <c r="AL296" i="47"/>
  <c r="AP207" i="47"/>
  <c r="AO254" i="47"/>
  <c r="AN226" i="47"/>
  <c r="AP306" i="47"/>
  <c r="AL265" i="47"/>
  <c r="AN224" i="47"/>
  <c r="AL192" i="47"/>
  <c r="AP205" i="47"/>
  <c r="AL289" i="47"/>
  <c r="T198" i="47"/>
  <c r="AL235" i="47"/>
  <c r="T160" i="47"/>
  <c r="AN197" i="47"/>
  <c r="AO200" i="47"/>
  <c r="R113" i="47"/>
  <c r="AN273" i="47"/>
  <c r="R147" i="47"/>
  <c r="T118" i="47"/>
  <c r="S152" i="47"/>
  <c r="AP203" i="47"/>
  <c r="AP303" i="47"/>
  <c r="S106" i="47"/>
  <c r="Q180" i="47"/>
  <c r="AO238" i="47"/>
  <c r="Q226" i="47"/>
  <c r="AP260" i="47"/>
  <c r="T191" i="47"/>
  <c r="Q207" i="47"/>
  <c r="AN217" i="47"/>
  <c r="T114" i="47"/>
  <c r="AP229" i="47"/>
  <c r="T103" i="47"/>
  <c r="AP269" i="47"/>
  <c r="AP212" i="47"/>
  <c r="AN313" i="47"/>
  <c r="Q134" i="47"/>
  <c r="AN248" i="47"/>
  <c r="AL231" i="47"/>
  <c r="AO294" i="47"/>
  <c r="AO215" i="47"/>
  <c r="AL308" i="47"/>
  <c r="S183" i="47"/>
  <c r="S128" i="47"/>
  <c r="R156" i="47"/>
  <c r="AP237" i="47"/>
  <c r="S99" i="47"/>
  <c r="S96" i="47"/>
  <c r="R215" i="47"/>
  <c r="S206" i="47"/>
  <c r="T168" i="47"/>
  <c r="Q126" i="47"/>
  <c r="AO301" i="47"/>
  <c r="AL260" i="47"/>
  <c r="AO250" i="47"/>
  <c r="S119" i="47"/>
  <c r="S140" i="47"/>
  <c r="R197" i="47"/>
  <c r="S120" i="47"/>
  <c r="Q220" i="47"/>
  <c r="AP307" i="47"/>
  <c r="Q204" i="47"/>
  <c r="S211" i="47"/>
  <c r="AN255" i="47"/>
  <c r="AP292" i="47"/>
  <c r="Q154" i="47"/>
  <c r="AN237" i="47"/>
  <c r="Q213" i="47"/>
  <c r="AP280" i="47"/>
  <c r="AP196" i="47"/>
  <c r="T140" i="47"/>
  <c r="AO317" i="47"/>
  <c r="AP302" i="47"/>
  <c r="AP195" i="47"/>
  <c r="AL269" i="47"/>
  <c r="AL298" i="47"/>
  <c r="R195" i="47"/>
  <c r="AO244" i="47"/>
  <c r="S216" i="47"/>
  <c r="R129" i="47"/>
  <c r="AO243" i="47"/>
  <c r="AP278" i="47"/>
  <c r="AN249" i="47"/>
  <c r="AO263" i="47"/>
  <c r="AL229" i="47"/>
  <c r="AP221" i="47"/>
  <c r="AL250" i="47"/>
  <c r="Q173" i="47"/>
  <c r="S186" i="47"/>
  <c r="Q107" i="47"/>
  <c r="S156" i="47"/>
  <c r="AN253" i="47"/>
  <c r="S175" i="47"/>
  <c r="AL271" i="47"/>
  <c r="R118" i="47"/>
  <c r="S136" i="47"/>
  <c r="AN206" i="47"/>
  <c r="AN299" i="47"/>
  <c r="AO261" i="47"/>
  <c r="AO211" i="47"/>
  <c r="R107" i="47"/>
  <c r="Q206" i="47"/>
  <c r="AL224" i="47"/>
  <c r="T138" i="47"/>
  <c r="R108" i="47"/>
  <c r="R157" i="47"/>
  <c r="AP190" i="47"/>
  <c r="R140" i="47"/>
  <c r="Q149" i="47"/>
  <c r="AL249" i="47"/>
  <c r="AO302" i="47"/>
  <c r="AP211" i="47"/>
  <c r="AP271" i="47"/>
  <c r="R131" i="47"/>
  <c r="AL201" i="47"/>
  <c r="AN274" i="47"/>
  <c r="T172" i="47"/>
  <c r="AN277" i="47"/>
  <c r="AP215" i="47"/>
  <c r="AL251" i="47"/>
  <c r="AN266" i="47"/>
  <c r="Q150" i="47"/>
  <c r="AN205" i="47"/>
  <c r="T122" i="47"/>
  <c r="Q161" i="47"/>
  <c r="Q200" i="47"/>
  <c r="R212" i="47"/>
  <c r="AL325" i="47"/>
  <c r="T142" i="47"/>
  <c r="Q208" i="47"/>
  <c r="AN257" i="47"/>
  <c r="AL239" i="47"/>
  <c r="AL216" i="47"/>
  <c r="Q113" i="47"/>
  <c r="AO271" i="47"/>
  <c r="S110" i="47"/>
  <c r="T208" i="47"/>
  <c r="AO214" i="47"/>
  <c r="AP296" i="47"/>
  <c r="S155" i="47"/>
  <c r="AP226" i="47"/>
  <c r="Q216" i="47"/>
  <c r="R94" i="47"/>
  <c r="AL288" i="47"/>
  <c r="AO212" i="47"/>
  <c r="AO245" i="47"/>
  <c r="R199" i="47"/>
  <c r="AO207" i="47"/>
  <c r="Q146" i="47"/>
  <c r="S217" i="47"/>
  <c r="R187" i="47"/>
  <c r="S125" i="47"/>
  <c r="AO206" i="47"/>
  <c r="AO194" i="47"/>
  <c r="R167" i="47"/>
  <c r="S191" i="47"/>
  <c r="R213" i="47"/>
  <c r="T94" i="47"/>
  <c r="S109" i="47"/>
  <c r="T124" i="47"/>
  <c r="AP201" i="47"/>
  <c r="AN272" i="47"/>
  <c r="AO189" i="47"/>
  <c r="AO293" i="47"/>
  <c r="Q164" i="47"/>
  <c r="T131" i="47"/>
  <c r="AP193" i="47"/>
  <c r="AN264" i="47"/>
  <c r="S227" i="47"/>
  <c r="T197" i="47"/>
  <c r="S166" i="47"/>
  <c r="Q103" i="47"/>
  <c r="AP261" i="47"/>
  <c r="R97" i="47"/>
  <c r="S205" i="47"/>
  <c r="AL284" i="47"/>
  <c r="AO257" i="47"/>
  <c r="T188" i="47"/>
  <c r="AP316" i="47"/>
  <c r="AN314" i="47"/>
  <c r="T164" i="47"/>
  <c r="AO268" i="47"/>
  <c r="Q196" i="47"/>
  <c r="AL314" i="47"/>
  <c r="R96" i="47"/>
  <c r="T127" i="47"/>
  <c r="AL222" i="47"/>
  <c r="S124" i="47"/>
  <c r="AL310" i="47"/>
  <c r="AN300" i="47"/>
  <c r="S195" i="47"/>
  <c r="Q187" i="47"/>
  <c r="AO222" i="47"/>
  <c r="S102" i="47"/>
  <c r="AN232" i="47"/>
  <c r="T212" i="47"/>
  <c r="AN310" i="47"/>
  <c r="AN250" i="47"/>
  <c r="R223" i="47"/>
  <c r="AO304" i="47"/>
  <c r="Q188" i="47"/>
  <c r="AO267" i="47"/>
  <c r="AN233" i="47"/>
  <c r="AO237" i="47"/>
  <c r="T217" i="47"/>
  <c r="AL207" i="47"/>
  <c r="S107" i="47"/>
  <c r="S159" i="47"/>
  <c r="Q97" i="47"/>
  <c r="Q98" i="47"/>
  <c r="T150" i="47"/>
  <c r="R120" i="47"/>
  <c r="AL307" i="47"/>
  <c r="AO284" i="47"/>
  <c r="R130" i="47"/>
  <c r="AP254" i="47"/>
  <c r="T209" i="47"/>
  <c r="AP287" i="47"/>
  <c r="Q156" i="47"/>
  <c r="S198" i="47"/>
  <c r="Q219" i="47"/>
  <c r="AL194" i="47"/>
  <c r="AN323" i="47"/>
  <c r="AL323" i="47"/>
  <c r="AN215" i="47"/>
  <c r="AP246" i="47"/>
  <c r="S164" i="47"/>
  <c r="AO318" i="47"/>
  <c r="AL228" i="47"/>
  <c r="Q190" i="47"/>
  <c r="S196" i="47"/>
  <c r="AL227" i="47"/>
  <c r="AL211" i="47"/>
  <c r="R221" i="47"/>
  <c r="S104" i="47"/>
  <c r="R105" i="47"/>
  <c r="Q112" i="47"/>
  <c r="S193" i="47"/>
  <c r="S214" i="47"/>
  <c r="Q115" i="47"/>
  <c r="AN271" i="47"/>
  <c r="AO195" i="47"/>
  <c r="Q222" i="47"/>
  <c r="AL241" i="47"/>
  <c r="S222" i="47"/>
  <c r="AO266" i="47"/>
  <c r="Q148" i="47"/>
  <c r="T215" i="47"/>
  <c r="T153" i="47"/>
  <c r="T201" i="47"/>
  <c r="AN320" i="47"/>
  <c r="AN190" i="47"/>
  <c r="AP324" i="47"/>
  <c r="AL267" i="47"/>
  <c r="AP291" i="47"/>
  <c r="T216" i="47"/>
  <c r="T136" i="47"/>
  <c r="AP230" i="47"/>
  <c r="AO282" i="47"/>
  <c r="AL215" i="47"/>
  <c r="AN294" i="47"/>
  <c r="S126" i="47"/>
  <c r="R110" i="47"/>
  <c r="Q181" i="47"/>
  <c r="S218" i="47"/>
  <c r="S158" i="47"/>
  <c r="Q89" i="47"/>
  <c r="AN193" i="47"/>
  <c r="AO324" i="47"/>
  <c r="R171" i="47"/>
  <c r="Q189" i="47"/>
  <c r="AL206" i="47"/>
  <c r="S98" i="47"/>
  <c r="S94" i="47"/>
  <c r="AP238" i="47"/>
  <c r="AO251" i="47"/>
  <c r="AL240" i="47"/>
  <c r="AO193" i="47"/>
  <c r="AN242" i="47"/>
  <c r="AP247" i="47"/>
  <c r="R98" i="47"/>
  <c r="R135" i="47"/>
  <c r="AP242" i="47"/>
  <c r="AO285" i="47"/>
  <c r="R190" i="47"/>
  <c r="Q133" i="47"/>
  <c r="S144" i="47"/>
  <c r="AO199" i="47"/>
  <c r="T96" i="47"/>
  <c r="T185" i="47"/>
  <c r="AN214" i="47"/>
  <c r="AN213" i="47"/>
  <c r="AO326" i="47"/>
  <c r="AL299" i="47"/>
  <c r="AL266" i="47"/>
  <c r="AN244" i="47"/>
  <c r="Q172" i="47"/>
  <c r="R103" i="47"/>
  <c r="R150" i="47"/>
  <c r="AL205" i="47"/>
  <c r="T225" i="47"/>
  <c r="AP318" i="47"/>
  <c r="AN211" i="47"/>
  <c r="AN318" i="47"/>
  <c r="AN298" i="47"/>
  <c r="R132" i="47"/>
  <c r="S139" i="47"/>
  <c r="S185" i="47"/>
  <c r="AO288" i="47"/>
  <c r="T139" i="47"/>
  <c r="R155" i="47"/>
  <c r="Q178" i="47"/>
  <c r="AN276" i="47"/>
  <c r="S143" i="47"/>
  <c r="Q179" i="47"/>
  <c r="AP294" i="47"/>
  <c r="T210" i="47"/>
  <c r="S93" i="47"/>
  <c r="AN280" i="47"/>
  <c r="AP249" i="47"/>
  <c r="T101" i="47"/>
  <c r="AO280" i="47"/>
  <c r="AL294" i="47"/>
  <c r="AO260" i="47"/>
  <c r="R93" i="47"/>
  <c r="AL246" i="47"/>
  <c r="R161" i="47"/>
  <c r="AO295" i="47"/>
  <c r="AP251" i="47"/>
  <c r="T161" i="47"/>
  <c r="R214" i="47"/>
  <c r="S197" i="47"/>
  <c r="AN297" i="47"/>
  <c r="AN315" i="47"/>
  <c r="Q121" i="47"/>
  <c r="T199" i="47"/>
  <c r="AL293" i="47"/>
  <c r="R134" i="47"/>
  <c r="AO262" i="47"/>
  <c r="AN246" i="47"/>
  <c r="S142" i="47"/>
  <c r="Q167" i="47"/>
  <c r="AP220" i="47"/>
  <c r="AO287" i="47"/>
  <c r="Q92" i="47"/>
  <c r="T109" i="47"/>
  <c r="AO229" i="47"/>
  <c r="Q118" i="47"/>
  <c r="T89" i="47"/>
  <c r="AO213" i="47"/>
  <c r="Q199" i="47"/>
  <c r="AP206" i="47"/>
  <c r="R162" i="47"/>
  <c r="AO231" i="47"/>
  <c r="T184" i="47"/>
  <c r="T175" i="47"/>
  <c r="AP325" i="47"/>
  <c r="T179" i="47"/>
  <c r="AO190" i="47"/>
  <c r="AO196" i="47"/>
  <c r="Q225" i="47"/>
  <c r="AN192" i="47"/>
  <c r="T100" i="47"/>
  <c r="AO219" i="47"/>
  <c r="AL225" i="47"/>
  <c r="R101" i="47"/>
  <c r="S105" i="47"/>
  <c r="AP191" i="47"/>
  <c r="AP227" i="47"/>
  <c r="S135" i="47"/>
  <c r="AO197" i="47"/>
  <c r="AL234" i="47"/>
  <c r="S122" i="47"/>
  <c r="AN231" i="47"/>
  <c r="S224" i="47"/>
  <c r="R192" i="47"/>
  <c r="AL313" i="47"/>
  <c r="S117" i="47"/>
  <c r="Q197" i="47"/>
  <c r="Q170" i="47"/>
  <c r="AO289" i="47"/>
  <c r="R149" i="47"/>
  <c r="S108" i="47"/>
  <c r="AP301" i="47"/>
  <c r="AP293" i="47"/>
  <c r="T162" i="47"/>
  <c r="T149" i="47"/>
  <c r="Q131" i="47"/>
  <c r="AN212" i="47"/>
  <c r="AP283" i="47"/>
  <c r="AL209" i="47"/>
  <c r="AL281" i="47"/>
  <c r="T192" i="47"/>
  <c r="AN291" i="47"/>
  <c r="T115" i="47"/>
  <c r="AL270" i="47"/>
  <c r="AN239" i="47"/>
  <c r="AL280" i="47"/>
  <c r="Q169" i="47"/>
  <c r="AP282" i="47"/>
  <c r="AP319" i="47"/>
  <c r="AO258" i="47"/>
  <c r="S194" i="47"/>
  <c r="AP244" i="47"/>
  <c r="AN234" i="47"/>
  <c r="AO201" i="47"/>
  <c r="AO275" i="47"/>
  <c r="AL237" i="47"/>
  <c r="AP298" i="47"/>
  <c r="AN254" i="47"/>
  <c r="T211" i="47"/>
  <c r="AP204" i="47"/>
  <c r="Q157" i="47"/>
  <c r="R112" i="47"/>
  <c r="S153" i="47"/>
  <c r="Q183" i="47"/>
  <c r="AO235" i="47"/>
  <c r="AP300" i="47"/>
  <c r="R216" i="47"/>
  <c r="S184" i="47"/>
  <c r="AO273" i="47"/>
  <c r="R166" i="47"/>
  <c r="AP309" i="47"/>
  <c r="AP313" i="47"/>
  <c r="R211" i="47"/>
  <c r="AL276" i="47"/>
  <c r="AL189" i="47"/>
  <c r="AO283" i="47"/>
  <c r="S213" i="47"/>
  <c r="AN286" i="47"/>
  <c r="AO242" i="47"/>
  <c r="AO228" i="47"/>
  <c r="R158" i="47"/>
  <c r="AN236" i="47"/>
  <c r="AO223" i="47"/>
  <c r="AP256" i="47"/>
  <c r="AL193" i="47"/>
  <c r="T147" i="47"/>
  <c r="AL304" i="47"/>
  <c r="AN321" i="47"/>
  <c r="R201" i="47"/>
  <c r="Q141" i="47"/>
  <c r="R196" i="47"/>
  <c r="T97" i="47"/>
  <c r="S165" i="47"/>
  <c r="R189" i="47"/>
  <c r="AN202" i="47"/>
  <c r="AO286" i="47"/>
  <c r="AP273" i="47"/>
  <c r="AN222" i="47"/>
  <c r="S189" i="47"/>
  <c r="Q108" i="47"/>
  <c r="AL256" i="47"/>
  <c r="Q102" i="47"/>
  <c r="Q110" i="47"/>
  <c r="Q162" i="47"/>
  <c r="AN295" i="47"/>
  <c r="AP281" i="47"/>
  <c r="R170" i="47"/>
  <c r="T107" i="47"/>
  <c r="AP241" i="47"/>
  <c r="AO291" i="47"/>
  <c r="R125" i="47"/>
  <c r="S132" i="47"/>
  <c r="AL203" i="47"/>
  <c r="S95" i="47"/>
  <c r="AL279" i="47"/>
  <c r="Q194" i="47"/>
  <c r="AO239" i="47"/>
  <c r="AN207" i="47"/>
  <c r="AO281" i="47"/>
  <c r="Q114" i="47"/>
  <c r="AP225" i="47"/>
  <c r="AP327" i="47"/>
  <c r="S113" i="47"/>
  <c r="T214" i="47"/>
  <c r="AO314" i="47"/>
  <c r="R142" i="47"/>
  <c r="AL219" i="47"/>
  <c r="AL315" i="47"/>
  <c r="T92" i="47"/>
  <c r="AP213" i="47"/>
  <c r="Q101" i="47"/>
  <c r="R104" i="47"/>
  <c r="T126" i="47"/>
  <c r="AL273" i="47"/>
  <c r="AP321" i="47"/>
  <c r="R205" i="47"/>
  <c r="AL208" i="47"/>
  <c r="AN201" i="47"/>
  <c r="AN198" i="47"/>
  <c r="AL264" i="47"/>
  <c r="AN200" i="47"/>
  <c r="AN204" i="47"/>
  <c r="T180" i="47"/>
  <c r="T186" i="47"/>
  <c r="AN306" i="47"/>
  <c r="R90" i="47"/>
  <c r="AP235" i="47"/>
  <c r="Q171" i="47"/>
  <c r="AP252" i="47"/>
  <c r="AP233" i="47"/>
  <c r="AO234" i="47"/>
  <c r="AL257" i="47"/>
  <c r="AL258" i="47"/>
  <c r="AN251" i="47"/>
  <c r="T99" i="47"/>
  <c r="AL213" i="47"/>
  <c r="AL290" i="47"/>
  <c r="AP276" i="47"/>
  <c r="R206" i="47"/>
  <c r="Q132" i="47"/>
  <c r="T213" i="47"/>
  <c r="S207" i="47"/>
  <c r="AP259" i="47"/>
  <c r="R154" i="47"/>
  <c r="S190" i="47"/>
  <c r="Q139" i="47"/>
  <c r="AL195" i="47"/>
  <c r="R218" i="47"/>
  <c r="AN228" i="47"/>
  <c r="S115" i="47"/>
  <c r="R100" i="47"/>
  <c r="AF75" i="55" l="1"/>
  <c r="AG129" i="55"/>
  <c r="AF111" i="55"/>
  <c r="AG111" i="55"/>
  <c r="AG8" i="55"/>
  <c r="AG116" i="55"/>
  <c r="AF8" i="55"/>
  <c r="AG75" i="55"/>
  <c r="AF120" i="55"/>
  <c r="AG54" i="55"/>
  <c r="AF46" i="55"/>
  <c r="AF125" i="55"/>
  <c r="AG104" i="55"/>
  <c r="AG128" i="55"/>
  <c r="AG43" i="55"/>
  <c r="AG22" i="55"/>
  <c r="AG4" i="55"/>
  <c r="AF54" i="55"/>
  <c r="AF43" i="55"/>
  <c r="AF94" i="55"/>
  <c r="AF61" i="55"/>
  <c r="AF4" i="55"/>
  <c r="AG71" i="55"/>
  <c r="AF116" i="55"/>
  <c r="AF71" i="55"/>
  <c r="AF22" i="55"/>
  <c r="AG94" i="55"/>
  <c r="AF104" i="55"/>
  <c r="AF30" i="55"/>
  <c r="AF48" i="55"/>
  <c r="AF129" i="55"/>
  <c r="AG125" i="55"/>
  <c r="AF20" i="55"/>
  <c r="AG120" i="55"/>
  <c r="AF128" i="55"/>
  <c r="AG48" i="55"/>
  <c r="AG46" i="55"/>
  <c r="AG30" i="55"/>
  <c r="AG20" i="55"/>
  <c r="AG61" i="55"/>
  <c r="AG50" i="55"/>
  <c r="AF50" i="55"/>
  <c r="AF91" i="55"/>
  <c r="AG91" i="55"/>
  <c r="AG101" i="55"/>
  <c r="AF58" i="55"/>
  <c r="AG58" i="55"/>
  <c r="AF101" i="55"/>
  <c r="AF5" i="55"/>
  <c r="AG5" i="55"/>
  <c r="AF27" i="55"/>
  <c r="AG27" i="55"/>
  <c r="AG80" i="55"/>
  <c r="AF80" i="55"/>
  <c r="AF109" i="55"/>
  <c r="AG109" i="55"/>
  <c r="AG53" i="55"/>
  <c r="AF53" i="55"/>
  <c r="AG36" i="55"/>
  <c r="AF36" i="55"/>
  <c r="AG68" i="55"/>
  <c r="AF68" i="55"/>
  <c r="AG126" i="55"/>
  <c r="AF126" i="55"/>
  <c r="AG14" i="55"/>
  <c r="AF14" i="55"/>
  <c r="AG114" i="55"/>
  <c r="AF114" i="55"/>
  <c r="AG78" i="55"/>
  <c r="AF78" i="55"/>
  <c r="AG97" i="55"/>
  <c r="AF97" i="55"/>
  <c r="AF81" i="55"/>
  <c r="AG81" i="55"/>
  <c r="AG100" i="55"/>
  <c r="AF100" i="55"/>
  <c r="AG83" i="55"/>
  <c r="AF83" i="55"/>
  <c r="AG79" i="55"/>
  <c r="AF79" i="55"/>
  <c r="AF60" i="55"/>
  <c r="AG60" i="55"/>
  <c r="AF67" i="55"/>
  <c r="AG67" i="55"/>
  <c r="AF57" i="55"/>
  <c r="AG57" i="55"/>
  <c r="AG95" i="55"/>
  <c r="AF95" i="55"/>
  <c r="AF86" i="55"/>
  <c r="AG86" i="55"/>
  <c r="AG76" i="55"/>
  <c r="AF76" i="55"/>
  <c r="AF106" i="55"/>
  <c r="AG106" i="55"/>
  <c r="AF103" i="55"/>
  <c r="AG103" i="55"/>
  <c r="AF39" i="55"/>
  <c r="AG39" i="55"/>
  <c r="AG51" i="55"/>
  <c r="AF51" i="55"/>
  <c r="AG127" i="55"/>
  <c r="AF127" i="55"/>
  <c r="AJ308" i="47"/>
  <c r="O99" i="47"/>
  <c r="O211" i="47"/>
  <c r="AF135" i="55"/>
  <c r="AJ260" i="47"/>
  <c r="AJ250" i="47"/>
  <c r="O110" i="47"/>
  <c r="AJ290" i="47"/>
  <c r="O90" i="47"/>
  <c r="O128" i="47"/>
  <c r="AG96" i="55"/>
  <c r="AJ208" i="47"/>
  <c r="AJ304" i="47"/>
  <c r="AF96" i="55"/>
  <c r="O96" i="47"/>
  <c r="AJ265" i="47"/>
  <c r="AJ325" i="47"/>
  <c r="AJ226" i="47"/>
  <c r="O172" i="47"/>
  <c r="AJ280" i="47"/>
  <c r="AJ203" i="47"/>
  <c r="AJ248" i="47"/>
  <c r="AJ268" i="47"/>
  <c r="O146" i="47"/>
  <c r="O181" i="47"/>
  <c r="AJ275" i="47"/>
  <c r="O134" i="47"/>
  <c r="AG170" i="55"/>
  <c r="O220" i="47"/>
  <c r="O207" i="47"/>
  <c r="AJ301" i="47"/>
  <c r="AF145" i="55"/>
  <c r="O214" i="47"/>
  <c r="AJ244" i="47"/>
  <c r="O175" i="47"/>
  <c r="O187" i="47"/>
  <c r="AJ311" i="47"/>
  <c r="O158" i="47"/>
  <c r="O176" i="47"/>
  <c r="AF153" i="55"/>
  <c r="O91" i="47"/>
  <c r="O221" i="47"/>
  <c r="O152" i="47"/>
  <c r="O184" i="47"/>
  <c r="AJ242" i="47"/>
  <c r="O150" i="47"/>
  <c r="AJ296" i="47"/>
  <c r="O118" i="47"/>
  <c r="O129" i="47"/>
  <c r="AJ267" i="47"/>
  <c r="O189" i="47"/>
  <c r="O224" i="47"/>
  <c r="O174" i="47"/>
  <c r="O226" i="47"/>
  <c r="O130" i="47"/>
  <c r="AG72" i="55"/>
  <c r="O137" i="47"/>
  <c r="O197" i="47"/>
  <c r="O156" i="47"/>
  <c r="AG148" i="55"/>
  <c r="AJ215" i="47"/>
  <c r="AJ233" i="47"/>
  <c r="O163" i="47"/>
  <c r="AJ297" i="47"/>
  <c r="AJ252" i="47"/>
  <c r="AJ235" i="47"/>
  <c r="AJ327" i="47"/>
  <c r="AJ163" i="47"/>
  <c r="O161" i="47"/>
  <c r="AJ230" i="47"/>
  <c r="O127" i="47"/>
  <c r="O104" i="47"/>
  <c r="O165" i="47"/>
  <c r="O144" i="47"/>
  <c r="AJ270" i="47"/>
  <c r="AJ225" i="47"/>
  <c r="AJ273" i="47"/>
  <c r="AJ319" i="47"/>
  <c r="AJ251" i="47"/>
  <c r="O136" i="47"/>
  <c r="AJ201" i="47"/>
  <c r="O208" i="47"/>
  <c r="AJ271" i="47"/>
  <c r="AJ292" i="47"/>
  <c r="O111" i="47"/>
  <c r="AJ202" i="47"/>
  <c r="AJ315" i="47"/>
  <c r="O170" i="47"/>
  <c r="O222" i="47"/>
  <c r="O112" i="47"/>
  <c r="O190" i="47"/>
  <c r="AJ287" i="47"/>
  <c r="O108" i="47"/>
  <c r="AJ298" i="47"/>
  <c r="O182" i="47"/>
  <c r="AJ284" i="47"/>
  <c r="O139" i="47"/>
  <c r="AJ237" i="47"/>
  <c r="O125" i="47"/>
  <c r="AJ262" i="47"/>
  <c r="O105" i="47"/>
  <c r="O169" i="47"/>
  <c r="O160" i="47"/>
  <c r="AJ295" i="47"/>
  <c r="O202" i="47"/>
  <c r="O116" i="47"/>
  <c r="AJ217" i="47"/>
  <c r="AJ259" i="47"/>
  <c r="O115" i="47"/>
  <c r="AJ238" i="47"/>
  <c r="AJ316" i="47"/>
  <c r="AJ190" i="47"/>
  <c r="AJ212" i="47"/>
  <c r="O198" i="47"/>
  <c r="O177" i="47"/>
  <c r="O193" i="47"/>
  <c r="AJ288" i="47"/>
  <c r="O106" i="47"/>
  <c r="O218" i="47"/>
  <c r="O194" i="47"/>
  <c r="AF70" i="55"/>
  <c r="O113" i="47"/>
  <c r="AJ323" i="47"/>
  <c r="AJ303" i="47"/>
  <c r="AJ282" i="47"/>
  <c r="AJ211" i="47"/>
  <c r="AJ255" i="47"/>
  <c r="O227" i="47"/>
  <c r="O38" i="47"/>
  <c r="O217" i="47"/>
  <c r="O173" i="47"/>
  <c r="O155" i="47"/>
  <c r="AJ246" i="47"/>
  <c r="O117" i="47"/>
  <c r="O101" i="47"/>
  <c r="O153" i="47"/>
  <c r="O142" i="47"/>
  <c r="O103" i="47"/>
  <c r="AJ205" i="47"/>
  <c r="AJ314" i="47"/>
  <c r="O154" i="47"/>
  <c r="O171" i="47"/>
  <c r="O196" i="47"/>
  <c r="O93" i="47"/>
  <c r="AJ216" i="47"/>
  <c r="AJ192" i="47"/>
  <c r="O162" i="47"/>
  <c r="AJ195" i="47"/>
  <c r="O143" i="47"/>
  <c r="O209" i="47"/>
  <c r="AJ285" i="47"/>
  <c r="AJ254" i="47"/>
  <c r="O219" i="47"/>
  <c r="AJ279" i="47"/>
  <c r="AJ196" i="47"/>
  <c r="AJ313" i="47"/>
  <c r="O216" i="47"/>
  <c r="AJ310" i="47"/>
  <c r="O180" i="47"/>
  <c r="AJ223" i="47"/>
  <c r="AJ324" i="47"/>
  <c r="O141" i="47"/>
  <c r="O204" i="47"/>
  <c r="AJ269" i="47"/>
  <c r="O223" i="47"/>
  <c r="O192" i="47"/>
  <c r="AJ191" i="47"/>
  <c r="AJ249" i="47"/>
  <c r="O215" i="47"/>
  <c r="O138" i="47"/>
  <c r="AJ229" i="47"/>
  <c r="AJ232" i="47"/>
  <c r="AJ231" i="47"/>
  <c r="AJ258" i="47"/>
  <c r="AJ219" i="47"/>
  <c r="O183" i="47"/>
  <c r="O119" i="47"/>
  <c r="AJ234" i="47"/>
  <c r="O149" i="47"/>
  <c r="O185" i="47"/>
  <c r="AJ305" i="47"/>
  <c r="O206" i="47"/>
  <c r="AJ197" i="47"/>
  <c r="AF152" i="55"/>
  <c r="O131" i="47"/>
  <c r="O124" i="47"/>
  <c r="AJ322" i="47"/>
  <c r="AJ210" i="47"/>
  <c r="AJ291" i="47"/>
  <c r="O203" i="47"/>
  <c r="O135" i="47"/>
  <c r="O97" i="47"/>
  <c r="O109" i="47"/>
  <c r="O188" i="47"/>
  <c r="O148" i="47"/>
  <c r="O213" i="47"/>
  <c r="AJ220" i="47"/>
  <c r="O114" i="47"/>
  <c r="AJ317" i="47"/>
  <c r="AJ263" i="47"/>
  <c r="AJ299" i="47"/>
  <c r="O166" i="47"/>
  <c r="AJ200" i="47"/>
  <c r="AJ320" i="47"/>
  <c r="AJ274" i="47"/>
  <c r="O100" i="47"/>
  <c r="AJ213" i="47"/>
  <c r="AJ207" i="47"/>
  <c r="O92" i="47"/>
  <c r="AJ302" i="47"/>
  <c r="AJ239" i="47"/>
  <c r="AF142" i="55"/>
  <c r="AJ222" i="47"/>
  <c r="O179" i="47"/>
  <c r="AJ198" i="47"/>
  <c r="AJ209" i="47"/>
  <c r="AJ221" i="47"/>
  <c r="AJ277" i="47"/>
  <c r="O205" i="47"/>
  <c r="O133" i="47"/>
  <c r="AJ243" i="47"/>
  <c r="AJ227" i="47"/>
  <c r="AJ276" i="47"/>
  <c r="O147" i="47"/>
  <c r="AJ283" i="47"/>
  <c r="AJ240" i="47"/>
  <c r="AJ289" i="47"/>
  <c r="AJ245" i="47"/>
  <c r="AJ312" i="47"/>
  <c r="AJ224" i="47"/>
  <c r="AJ236" i="47"/>
  <c r="O98" i="47"/>
  <c r="O95" i="47"/>
  <c r="AJ293" i="47"/>
  <c r="O157" i="47"/>
  <c r="O102" i="47"/>
  <c r="O145" i="47"/>
  <c r="O140" i="47"/>
  <c r="O121" i="47"/>
  <c r="AJ206" i="47"/>
  <c r="O200" i="47"/>
  <c r="AJ228" i="47"/>
  <c r="O94" i="47"/>
  <c r="O225" i="47"/>
  <c r="AJ307" i="47"/>
  <c r="O201" i="47"/>
  <c r="AJ321" i="47"/>
  <c r="AJ241" i="47"/>
  <c r="O210" i="47"/>
  <c r="AJ261" i="47"/>
  <c r="AJ306" i="47"/>
  <c r="AJ326" i="47"/>
  <c r="AJ272" i="47"/>
  <c r="AJ264" i="47"/>
  <c r="AJ257" i="47"/>
  <c r="AF164" i="55"/>
  <c r="AF180" i="55"/>
  <c r="AF186" i="55"/>
  <c r="AG131" i="55"/>
  <c r="AG64" i="55"/>
  <c r="AF82" i="55"/>
  <c r="AG25" i="55"/>
  <c r="AG52" i="55"/>
  <c r="AG118" i="55"/>
  <c r="AF89" i="55"/>
  <c r="AG178" i="55"/>
  <c r="AF56" i="55"/>
  <c r="AF42" i="55"/>
  <c r="AF115" i="55"/>
  <c r="AG155" i="55"/>
  <c r="AF155" i="55"/>
  <c r="AF85" i="55"/>
  <c r="AF31" i="55"/>
  <c r="AF176" i="55"/>
  <c r="AG82" i="55"/>
  <c r="AG23" i="55"/>
  <c r="AG69" i="55"/>
  <c r="AG3" i="55"/>
  <c r="AF165" i="55"/>
  <c r="AG135" i="55"/>
  <c r="AF173" i="55"/>
  <c r="AF102" i="55"/>
  <c r="AG102" i="55"/>
  <c r="AF38" i="55"/>
  <c r="AG132" i="55"/>
  <c r="AG182" i="55"/>
  <c r="AF2" i="55"/>
  <c r="AG150" i="55"/>
  <c r="AF118" i="55"/>
  <c r="AG108" i="55"/>
  <c r="AF181" i="55"/>
  <c r="AG164" i="55"/>
  <c r="AF92" i="55"/>
  <c r="AF29" i="55"/>
  <c r="AG31" i="55"/>
  <c r="AF159" i="55"/>
  <c r="AF98" i="55"/>
  <c r="AG156" i="55"/>
  <c r="AF93" i="55"/>
  <c r="AF9" i="55"/>
  <c r="AF110" i="55"/>
  <c r="AG146" i="55"/>
  <c r="AG165" i="55"/>
  <c r="AF183" i="55"/>
  <c r="AG158" i="55"/>
  <c r="AG70" i="55"/>
  <c r="AG157" i="55"/>
  <c r="AG65" i="55"/>
  <c r="AG180" i="55"/>
  <c r="AF15" i="55"/>
  <c r="AG37" i="55"/>
  <c r="AF144" i="55"/>
  <c r="AG98" i="55"/>
  <c r="AF74" i="55"/>
  <c r="AG152" i="55"/>
  <c r="AF28" i="55"/>
  <c r="AG11" i="55"/>
  <c r="AF136" i="55"/>
  <c r="AG28" i="55"/>
  <c r="AF13" i="55"/>
  <c r="AG179" i="55"/>
  <c r="AG35" i="55"/>
  <c r="AF184" i="55"/>
  <c r="AG185" i="55"/>
  <c r="AG160" i="55"/>
  <c r="AG171" i="55"/>
  <c r="AG186" i="55"/>
  <c r="AF87" i="55"/>
  <c r="AG18" i="55"/>
  <c r="AF150" i="55"/>
  <c r="AF62" i="55"/>
  <c r="AF177" i="55"/>
  <c r="AG29" i="55"/>
  <c r="AF185" i="55"/>
  <c r="AF154" i="55"/>
  <c r="AF123" i="55"/>
  <c r="AG162" i="55"/>
  <c r="AG17" i="55"/>
  <c r="AG2" i="55"/>
  <c r="AF179" i="55"/>
  <c r="AF26" i="55"/>
  <c r="AF69" i="55"/>
  <c r="AG55" i="55"/>
  <c r="AF52" i="55"/>
  <c r="AF166" i="55"/>
  <c r="AF23" i="55"/>
  <c r="AG32" i="55"/>
  <c r="AG174" i="55"/>
  <c r="AG138" i="55"/>
  <c r="AF170" i="55"/>
  <c r="AF18" i="55"/>
  <c r="AG110" i="55"/>
  <c r="AG163" i="55"/>
  <c r="AF139" i="55"/>
  <c r="AG145" i="55"/>
  <c r="AG87" i="55"/>
  <c r="AG142" i="55"/>
  <c r="AG143" i="55"/>
  <c r="AF24" i="55"/>
  <c r="AG89" i="55"/>
  <c r="AF160" i="55"/>
  <c r="AG168" i="55"/>
  <c r="AF172" i="55"/>
  <c r="AG154" i="55"/>
  <c r="AF32" i="55"/>
  <c r="AG12" i="55"/>
  <c r="AG117" i="55"/>
  <c r="AF90" i="55"/>
  <c r="AF143" i="55"/>
  <c r="AG56" i="55"/>
  <c r="AG144" i="55"/>
  <c r="AG26" i="55"/>
  <c r="AG85" i="55"/>
  <c r="AF134" i="55"/>
  <c r="AF175" i="55"/>
  <c r="AF146" i="55"/>
  <c r="AF131" i="55"/>
  <c r="AG153" i="55"/>
  <c r="AG141" i="55"/>
  <c r="AG38" i="55"/>
  <c r="AG134" i="55"/>
  <c r="AG136" i="55"/>
  <c r="AG175" i="55"/>
  <c r="AF168" i="55"/>
  <c r="AF7" i="55"/>
  <c r="AG90" i="55"/>
  <c r="AF35" i="55"/>
  <c r="AG130" i="55"/>
  <c r="AF147" i="55"/>
  <c r="AF72" i="55"/>
  <c r="AF17" i="55"/>
  <c r="AG74" i="55"/>
  <c r="AF156" i="55"/>
  <c r="AF151" i="55"/>
  <c r="AF149" i="55"/>
  <c r="AG99" i="55"/>
  <c r="AF37" i="55"/>
  <c r="AF157" i="55"/>
  <c r="AG139" i="55"/>
  <c r="AF162" i="55"/>
  <c r="AG133" i="55"/>
  <c r="AF105" i="55"/>
  <c r="AF130" i="55"/>
  <c r="AG172" i="55"/>
  <c r="AF64" i="55"/>
  <c r="AF77" i="55"/>
  <c r="AF133" i="55"/>
  <c r="AF112" i="55"/>
  <c r="AF88" i="55"/>
  <c r="AG15" i="55"/>
  <c r="AF167" i="55"/>
  <c r="AG34" i="55"/>
  <c r="AF182" i="55"/>
  <c r="AG184" i="55"/>
  <c r="AF140" i="55"/>
  <c r="AG177" i="55"/>
  <c r="AG119" i="55"/>
  <c r="AG167" i="55"/>
  <c r="AF49" i="55"/>
  <c r="AF132" i="55"/>
  <c r="AG161" i="55"/>
  <c r="AG107" i="55"/>
  <c r="AF137" i="55"/>
  <c r="AF65" i="55"/>
  <c r="AG77" i="55"/>
  <c r="AF55" i="55"/>
  <c r="AF3" i="55"/>
  <c r="AG49" i="55"/>
  <c r="AF141" i="55"/>
  <c r="AF99" i="55"/>
  <c r="AG137" i="55"/>
  <c r="AG140" i="55"/>
  <c r="AG173" i="55"/>
  <c r="AG149" i="55"/>
  <c r="AG7" i="55"/>
  <c r="AF148" i="55"/>
  <c r="AG93" i="55"/>
  <c r="AG92" i="55"/>
  <c r="AF158" i="55"/>
  <c r="AG62" i="55"/>
  <c r="AF108" i="55"/>
  <c r="AG115" i="55"/>
  <c r="AG169" i="55"/>
  <c r="AF10" i="55"/>
  <c r="AG151" i="55"/>
  <c r="AG166" i="55"/>
  <c r="AF163" i="55"/>
  <c r="AF117" i="55"/>
  <c r="AF119" i="55"/>
  <c r="AG123" i="55"/>
  <c r="AF113" i="55"/>
  <c r="AG176" i="55"/>
  <c r="AG10" i="55"/>
  <c r="AF11" i="55"/>
  <c r="AG105" i="55"/>
  <c r="AF161" i="55"/>
  <c r="AF169" i="55"/>
  <c r="AF34" i="55"/>
  <c r="AF107" i="55"/>
  <c r="AG181" i="55"/>
  <c r="AF12" i="55"/>
  <c r="AG147" i="55"/>
  <c r="AG24" i="55"/>
  <c r="AF174" i="55"/>
  <c r="AG183" i="55"/>
  <c r="AG88" i="55"/>
  <c r="AF171" i="55"/>
  <c r="AF25" i="55"/>
  <c r="AG112" i="55"/>
  <c r="AG9" i="55"/>
  <c r="AG159" i="55"/>
  <c r="AF178" i="55"/>
  <c r="AF138" i="55"/>
  <c r="AG42" i="55"/>
  <c r="O168" i="47"/>
  <c r="AJ281" i="47"/>
  <c r="AJ194" i="47"/>
  <c r="AG13" i="55"/>
  <c r="O159" i="47"/>
  <c r="O199" i="47"/>
  <c r="AJ253" i="47"/>
  <c r="AJ193" i="47"/>
  <c r="O132" i="47"/>
  <c r="AJ286" i="47"/>
  <c r="O186" i="47"/>
  <c r="AJ247" i="47"/>
  <c r="AJ309" i="47"/>
  <c r="AJ266" i="47"/>
  <c r="AJ318" i="47"/>
  <c r="O151" i="47"/>
  <c r="O89" i="47"/>
  <c r="O84" i="47"/>
  <c r="O60" i="47"/>
  <c r="O82" i="47"/>
  <c r="O56" i="47"/>
  <c r="O78" i="47"/>
  <c r="O45" i="47"/>
  <c r="O21" i="47"/>
  <c r="O40" i="47"/>
  <c r="O7" i="47"/>
  <c r="O29" i="47"/>
  <c r="O18" i="47"/>
  <c r="O35" i="47"/>
  <c r="O73" i="47"/>
  <c r="O17" i="47"/>
  <c r="O8" i="47"/>
  <c r="O32" i="47"/>
  <c r="O10" i="47"/>
  <c r="O53" i="47"/>
  <c r="O36" i="47"/>
  <c r="O75" i="47"/>
  <c r="O57" i="47"/>
  <c r="O76" i="47"/>
  <c r="O33" i="47"/>
  <c r="O58" i="47"/>
  <c r="O16" i="47"/>
  <c r="O37" i="47"/>
  <c r="O43" i="47"/>
  <c r="O59" i="47"/>
  <c r="O44" i="47"/>
  <c r="O9" i="47"/>
  <c r="O14" i="47"/>
  <c r="O24" i="47"/>
  <c r="O42" i="47"/>
  <c r="O15" i="47"/>
  <c r="O49" i="47"/>
  <c r="O11" i="47"/>
  <c r="O31" i="47"/>
  <c r="O5" i="47"/>
  <c r="O23" i="47"/>
  <c r="O74" i="47"/>
  <c r="O64" i="47"/>
  <c r="O27" i="47"/>
  <c r="O52" i="47"/>
  <c r="O13" i="47"/>
  <c r="O79" i="47"/>
  <c r="O26" i="47"/>
  <c r="O41" i="47"/>
  <c r="O87" i="47"/>
  <c r="O68" i="47"/>
  <c r="O47" i="47"/>
  <c r="O39" i="47"/>
  <c r="O55" i="47"/>
  <c r="O46" i="47"/>
  <c r="O85" i="47"/>
  <c r="O34" i="47"/>
  <c r="O25" i="47"/>
  <c r="O28" i="47"/>
  <c r="O3" i="47"/>
  <c r="O88" i="47"/>
  <c r="O51" i="47"/>
  <c r="O67" i="47"/>
  <c r="O30" i="47"/>
  <c r="O50" i="47"/>
  <c r="O65" i="47"/>
  <c r="O66" i="47"/>
  <c r="O22" i="47"/>
  <c r="O48" i="47"/>
  <c r="O54" i="47"/>
  <c r="O63" i="47"/>
  <c r="O12" i="47"/>
  <c r="O72" i="47"/>
  <c r="O71" i="47"/>
  <c r="O20" i="47"/>
  <c r="O4" i="47"/>
  <c r="O81" i="47"/>
  <c r="O86" i="47"/>
  <c r="O69" i="47"/>
  <c r="O70" i="47"/>
  <c r="O80" i="47"/>
  <c r="O6" i="47"/>
  <c r="O19" i="47"/>
  <c r="O61" i="47"/>
  <c r="O62" i="47"/>
  <c r="O77" i="47"/>
  <c r="O83" i="47"/>
  <c r="O164" i="47"/>
  <c r="O178" i="47"/>
  <c r="O195" i="47"/>
  <c r="AJ300" i="47"/>
  <c r="AJ278" i="47"/>
  <c r="O126" i="47"/>
  <c r="O107" i="47"/>
  <c r="AJ256" i="47"/>
  <c r="AJ204" i="47"/>
  <c r="AJ294" i="47"/>
  <c r="O212" i="47"/>
  <c r="O122" i="47"/>
  <c r="O191" i="47"/>
  <c r="O167" i="47"/>
  <c r="AJ199" i="47"/>
  <c r="O120" i="47"/>
  <c r="AJ189" i="47"/>
  <c r="AJ183" i="47"/>
  <c r="AJ26" i="47"/>
  <c r="AJ27" i="47"/>
  <c r="AJ48" i="47"/>
  <c r="AJ41" i="47"/>
  <c r="AJ148" i="47"/>
  <c r="AJ52" i="47"/>
  <c r="AJ120" i="47"/>
  <c r="AJ46" i="47"/>
  <c r="AJ25" i="47"/>
  <c r="AJ125" i="47"/>
  <c r="AJ87" i="47"/>
  <c r="AJ51" i="47"/>
  <c r="AJ7" i="47"/>
  <c r="AJ36" i="47"/>
  <c r="AJ32" i="47"/>
  <c r="AJ11" i="47"/>
  <c r="AJ44" i="47"/>
  <c r="AJ49" i="47"/>
  <c r="AJ68" i="47"/>
  <c r="AJ63" i="47"/>
  <c r="AJ61" i="47"/>
  <c r="AJ74" i="47"/>
  <c r="AJ58" i="47"/>
  <c r="AJ82" i="47"/>
  <c r="AJ35" i="47"/>
  <c r="AJ119" i="47"/>
  <c r="AJ128" i="47"/>
  <c r="AJ19" i="47"/>
  <c r="AJ146" i="47"/>
  <c r="AJ109" i="47"/>
  <c r="AJ115" i="47"/>
  <c r="AJ114" i="47"/>
  <c r="AJ177" i="47"/>
  <c r="AJ185" i="47"/>
  <c r="AJ54" i="47"/>
  <c r="AJ138" i="47"/>
  <c r="AJ124" i="47"/>
  <c r="AJ131" i="47"/>
  <c r="AJ14" i="47"/>
  <c r="AJ133" i="47"/>
  <c r="AJ145" i="47"/>
  <c r="AJ45" i="47"/>
  <c r="AJ169" i="47"/>
  <c r="AJ173" i="47"/>
  <c r="AJ83" i="47"/>
  <c r="AJ29" i="47"/>
  <c r="AJ141" i="47"/>
  <c r="AJ53" i="47"/>
  <c r="AJ127" i="47"/>
  <c r="AJ23" i="47"/>
  <c r="AJ47" i="47"/>
  <c r="AJ132" i="47"/>
  <c r="AJ81" i="47"/>
  <c r="AJ188" i="47"/>
  <c r="AJ171" i="47"/>
  <c r="AJ57" i="47"/>
  <c r="AJ166" i="47"/>
  <c r="AJ59" i="47"/>
  <c r="AJ108" i="47"/>
  <c r="AJ86" i="47"/>
  <c r="AJ55" i="47"/>
  <c r="AJ140" i="47"/>
  <c r="AJ144" i="47"/>
  <c r="AJ89" i="47"/>
  <c r="AJ118" i="47"/>
  <c r="AJ64" i="47"/>
  <c r="AJ155" i="47"/>
  <c r="AJ31" i="47"/>
  <c r="AJ186" i="47"/>
  <c r="AJ37" i="47"/>
  <c r="AJ154" i="47"/>
  <c r="AJ126" i="47"/>
  <c r="AJ50" i="47"/>
  <c r="AJ153" i="47"/>
  <c r="AJ21" i="47"/>
  <c r="AJ80" i="47"/>
  <c r="AJ162" i="47"/>
  <c r="AJ30" i="47"/>
  <c r="AJ15" i="47"/>
  <c r="AJ160" i="47"/>
  <c r="AJ12" i="47"/>
  <c r="AJ123" i="47"/>
  <c r="AJ28" i="47"/>
  <c r="AJ129" i="47"/>
  <c r="AJ85" i="47"/>
  <c r="AJ78" i="47"/>
  <c r="AJ105" i="47"/>
  <c r="AJ76" i="47"/>
  <c r="AJ34" i="47"/>
  <c r="AJ156" i="47"/>
  <c r="AJ175" i="47"/>
  <c r="AJ90" i="47"/>
  <c r="AJ22" i="47"/>
  <c r="AJ121" i="47"/>
  <c r="AJ65" i="47"/>
  <c r="AJ122" i="47"/>
  <c r="AJ67" i="47"/>
  <c r="AJ167" i="47"/>
  <c r="AJ142" i="47"/>
  <c r="AJ66" i="47"/>
  <c r="AJ16" i="47"/>
  <c r="AJ6" i="47"/>
  <c r="AJ170" i="47"/>
  <c r="AJ134" i="47"/>
  <c r="AJ137" i="47"/>
  <c r="AJ158" i="47"/>
  <c r="AJ136" i="47"/>
  <c r="AJ13" i="47"/>
  <c r="AJ72" i="47"/>
  <c r="AJ110" i="47"/>
  <c r="AJ40" i="47"/>
  <c r="AJ107" i="47"/>
  <c r="AJ42" i="47"/>
  <c r="AJ8" i="47"/>
  <c r="AJ182" i="47"/>
  <c r="AJ112" i="47"/>
  <c r="AJ164" i="47"/>
  <c r="AJ91" i="47"/>
  <c r="AJ135" i="47"/>
  <c r="AJ149" i="47"/>
  <c r="AJ161" i="47"/>
  <c r="AJ157" i="47"/>
  <c r="AJ92" i="47"/>
  <c r="AJ143" i="47"/>
  <c r="AJ139" i="47"/>
  <c r="AJ165" i="47"/>
  <c r="AJ56" i="47"/>
  <c r="AJ62" i="47"/>
  <c r="AJ69" i="47"/>
  <c r="AJ111" i="47"/>
  <c r="AJ88" i="47"/>
  <c r="AJ104" i="47"/>
  <c r="AJ84" i="47"/>
  <c r="AJ43" i="47"/>
  <c r="AJ75" i="47"/>
  <c r="AJ150" i="47"/>
  <c r="AJ181" i="47"/>
  <c r="AJ130" i="47"/>
  <c r="AJ116" i="47"/>
  <c r="AJ70" i="47"/>
  <c r="AJ73" i="47"/>
  <c r="AJ60" i="47"/>
  <c r="AJ180" i="47"/>
  <c r="AJ117" i="47"/>
  <c r="AJ152" i="47"/>
  <c r="AJ176" i="47"/>
  <c r="AJ18" i="47"/>
  <c r="AJ79" i="47"/>
  <c r="AJ106" i="47"/>
  <c r="AJ17" i="47"/>
  <c r="AJ187" i="47"/>
  <c r="AJ103" i="47"/>
  <c r="AJ24" i="47"/>
  <c r="AJ147" i="47"/>
  <c r="AJ9" i="47"/>
  <c r="AJ178" i="47"/>
  <c r="AJ184" i="47"/>
  <c r="AJ168" i="47"/>
  <c r="AJ77" i="47"/>
  <c r="AJ151" i="47"/>
  <c r="AJ33" i="47"/>
  <c r="AJ159" i="47"/>
  <c r="AJ20" i="47"/>
  <c r="AJ5" i="47"/>
  <c r="AJ174" i="47"/>
  <c r="AJ71" i="47"/>
  <c r="AJ10" i="47"/>
  <c r="AJ113" i="47"/>
  <c r="AJ4" i="47"/>
  <c r="AJ39" i="47"/>
  <c r="AJ3" i="47"/>
  <c r="AJ38" i="47"/>
  <c r="AJ172" i="47"/>
  <c r="AJ179" i="47"/>
  <c r="O123" i="47"/>
  <c r="AJ214" i="47"/>
  <c r="AG113" i="55"/>
  <c r="AJ218" i="47"/>
  <c r="AN14" i="54" l="1"/>
  <c r="AN38" i="54"/>
  <c r="AN62" i="54"/>
  <c r="AN86" i="54"/>
  <c r="AN110" i="54"/>
  <c r="AN134" i="54"/>
  <c r="AN158" i="54"/>
  <c r="AN182" i="54"/>
  <c r="AN206" i="54"/>
  <c r="AN15" i="54"/>
  <c r="AN39" i="54"/>
  <c r="AN63" i="54"/>
  <c r="AN87" i="54"/>
  <c r="AN111" i="54"/>
  <c r="AN135" i="54"/>
  <c r="AN159" i="54"/>
  <c r="AN183" i="54"/>
  <c r="AN207" i="54"/>
  <c r="AN16" i="54"/>
  <c r="AN40" i="54"/>
  <c r="AN64" i="54"/>
  <c r="AN88" i="54"/>
  <c r="AN112" i="54"/>
  <c r="AN136" i="54"/>
  <c r="AN160" i="54"/>
  <c r="AN184" i="54"/>
  <c r="AN208" i="54"/>
  <c r="AN3" i="54"/>
  <c r="AN27" i="54"/>
  <c r="AN51" i="54"/>
  <c r="AN75" i="54"/>
  <c r="AN99" i="54"/>
  <c r="AN123" i="54"/>
  <c r="AN147" i="54"/>
  <c r="AN171" i="54"/>
  <c r="AN195" i="54"/>
  <c r="AN219" i="54"/>
  <c r="AN4" i="54"/>
  <c r="AN28" i="54"/>
  <c r="AN52" i="54"/>
  <c r="AN76" i="54"/>
  <c r="AN100" i="54"/>
  <c r="AN124" i="54"/>
  <c r="AN148" i="54"/>
  <c r="AN172" i="54"/>
  <c r="AN196" i="54"/>
  <c r="AN220" i="54"/>
  <c r="AN6" i="54"/>
  <c r="AN30" i="54"/>
  <c r="AN54" i="54"/>
  <c r="AN78" i="54"/>
  <c r="AN102" i="54"/>
  <c r="AN126" i="54"/>
  <c r="AN150" i="54"/>
  <c r="AN174" i="54"/>
  <c r="AN198" i="54"/>
  <c r="AN5" i="54"/>
  <c r="AN36" i="54"/>
  <c r="AN69" i="54"/>
  <c r="AN101" i="54"/>
  <c r="AN132" i="54"/>
  <c r="AN165" i="54"/>
  <c r="AN197" i="54"/>
  <c r="AN72" i="54"/>
  <c r="AN201" i="54"/>
  <c r="AN107" i="54"/>
  <c r="AN7" i="54"/>
  <c r="AN37" i="54"/>
  <c r="AN70" i="54"/>
  <c r="AN103" i="54"/>
  <c r="AN133" i="54"/>
  <c r="AN166" i="54"/>
  <c r="AN199" i="54"/>
  <c r="AN9" i="54"/>
  <c r="AN138" i="54"/>
  <c r="AN203" i="54"/>
  <c r="AN8" i="54"/>
  <c r="AN41" i="54"/>
  <c r="AN71" i="54"/>
  <c r="AN104" i="54"/>
  <c r="AN137" i="54"/>
  <c r="AN167" i="54"/>
  <c r="AN200" i="54"/>
  <c r="AN42" i="54"/>
  <c r="AN105" i="54"/>
  <c r="AN168" i="54"/>
  <c r="AN170" i="54"/>
  <c r="AN10" i="54"/>
  <c r="AN43" i="54"/>
  <c r="AN73" i="54"/>
  <c r="AN106" i="54"/>
  <c r="AN139" i="54"/>
  <c r="AN169" i="54"/>
  <c r="AN202" i="54"/>
  <c r="AN11" i="54"/>
  <c r="AN44" i="54"/>
  <c r="AN74" i="54"/>
  <c r="AN140" i="54"/>
  <c r="AN12" i="54"/>
  <c r="AN45" i="54"/>
  <c r="AN77" i="54"/>
  <c r="AN108" i="54"/>
  <c r="AN141" i="54"/>
  <c r="AN173" i="54"/>
  <c r="AN204" i="54"/>
  <c r="AN13" i="54"/>
  <c r="AN46" i="54"/>
  <c r="AN79" i="54"/>
  <c r="AN109" i="54"/>
  <c r="AN142" i="54"/>
  <c r="AN175" i="54"/>
  <c r="AN205" i="54"/>
  <c r="AN18" i="54"/>
  <c r="AN59" i="54"/>
  <c r="AN114" i="54"/>
  <c r="AN155" i="54"/>
  <c r="AN210" i="54"/>
  <c r="AN19" i="54"/>
  <c r="AN60" i="54"/>
  <c r="AN115" i="54"/>
  <c r="AN156" i="54"/>
  <c r="AN211" i="54"/>
  <c r="AN25" i="54"/>
  <c r="AN217" i="54"/>
  <c r="AN81" i="54"/>
  <c r="AN218" i="54"/>
  <c r="AN20" i="54"/>
  <c r="AN61" i="54"/>
  <c r="AN116" i="54"/>
  <c r="AN157" i="54"/>
  <c r="AN212" i="54"/>
  <c r="AN21" i="54"/>
  <c r="AN65" i="54"/>
  <c r="AN117" i="54"/>
  <c r="AN161" i="54"/>
  <c r="AN213" i="54"/>
  <c r="AN80" i="54"/>
  <c r="AN121" i="54"/>
  <c r="AN26" i="54"/>
  <c r="AN22" i="54"/>
  <c r="AN66" i="54"/>
  <c r="AN118" i="54"/>
  <c r="AN162" i="54"/>
  <c r="AN214" i="54"/>
  <c r="AN176" i="54"/>
  <c r="AN177" i="54"/>
  <c r="AN23" i="54"/>
  <c r="AN67" i="54"/>
  <c r="AN119" i="54"/>
  <c r="AN163" i="54"/>
  <c r="AN215" i="54"/>
  <c r="AN122" i="54"/>
  <c r="AN24" i="54"/>
  <c r="AN68" i="54"/>
  <c r="AN120" i="54"/>
  <c r="AN164" i="54"/>
  <c r="AN216" i="54"/>
  <c r="AN29" i="54"/>
  <c r="AN82" i="54"/>
  <c r="AN125" i="54"/>
  <c r="AN178" i="54"/>
  <c r="AN221" i="54"/>
  <c r="AN31" i="54"/>
  <c r="AN83" i="54"/>
  <c r="AN127" i="54"/>
  <c r="AN179" i="54"/>
  <c r="AN34" i="54"/>
  <c r="AN89" i="54"/>
  <c r="AN130" i="54"/>
  <c r="AN185" i="54"/>
  <c r="AN35" i="54"/>
  <c r="AN90" i="54"/>
  <c r="AN131" i="54"/>
  <c r="AN186" i="54"/>
  <c r="AN49" i="54"/>
  <c r="AN93" i="54"/>
  <c r="AN145" i="54"/>
  <c r="AN189" i="54"/>
  <c r="AN50" i="54"/>
  <c r="AN94" i="54"/>
  <c r="AN146" i="54"/>
  <c r="AN190" i="54"/>
  <c r="AN2" i="54"/>
  <c r="AN57" i="54"/>
  <c r="AN98" i="54"/>
  <c r="AN153" i="54"/>
  <c r="AN194" i="54"/>
  <c r="AN17" i="54"/>
  <c r="AN154" i="54"/>
  <c r="AN32" i="54"/>
  <c r="AN180" i="54"/>
  <c r="AN33" i="54"/>
  <c r="AN181" i="54"/>
  <c r="AN47" i="54"/>
  <c r="AN187" i="54"/>
  <c r="AN48" i="54"/>
  <c r="AN188" i="54"/>
  <c r="AN191" i="54"/>
  <c r="AN53" i="54"/>
  <c r="AN192" i="54"/>
  <c r="AN96" i="54"/>
  <c r="AN128" i="54"/>
  <c r="AN97" i="54"/>
  <c r="AN113" i="54"/>
  <c r="AN129" i="54"/>
  <c r="AN149" i="54"/>
  <c r="AN151" i="54"/>
  <c r="AN152" i="54"/>
  <c r="AN55" i="54"/>
  <c r="AN95" i="54"/>
  <c r="AN143" i="54"/>
  <c r="AN144" i="54"/>
  <c r="AN193" i="54"/>
  <c r="AN209" i="54"/>
  <c r="AN56" i="54"/>
  <c r="AN84" i="54"/>
  <c r="AN91" i="54"/>
  <c r="AN58" i="54"/>
  <c r="AN85" i="54"/>
  <c r="AN92" i="54"/>
  <c r="AZ110" i="48"/>
  <c r="AW252" i="48"/>
  <c r="AZ145" i="48"/>
  <c r="AY44" i="48"/>
  <c r="AW250" i="48"/>
  <c r="AY62" i="48"/>
  <c r="AY200" i="48"/>
  <c r="AY213" i="48"/>
  <c r="AW14" i="48"/>
  <c r="AZ140" i="48"/>
  <c r="AY70" i="48"/>
  <c r="AW177" i="48"/>
  <c r="AZ243" i="48"/>
  <c r="AY263" i="48"/>
  <c r="AY184" i="48"/>
  <c r="AY113" i="48"/>
  <c r="AZ240" i="48"/>
  <c r="AY170" i="48"/>
  <c r="AY14" i="48"/>
  <c r="AZ194" i="48"/>
  <c r="AY120" i="48"/>
  <c r="AY248" i="48"/>
  <c r="AW102" i="48"/>
  <c r="AZ212" i="48"/>
  <c r="AZ141" i="48"/>
  <c r="AY105" i="48"/>
  <c r="AW139" i="48"/>
  <c r="AY41" i="48"/>
  <c r="AW190" i="48"/>
  <c r="AY38" i="48"/>
  <c r="AW128" i="48"/>
  <c r="AW235" i="48"/>
  <c r="AW12" i="48"/>
  <c r="AY172" i="48"/>
  <c r="AZ4" i="48"/>
  <c r="AZ269" i="48"/>
  <c r="AY154" i="48"/>
  <c r="AW124" i="48"/>
  <c r="AZ159" i="48"/>
  <c r="AW117" i="48"/>
  <c r="AW60" i="48"/>
  <c r="AW24" i="48"/>
  <c r="AY201" i="48"/>
  <c r="AZ184" i="48"/>
  <c r="AY196" i="48"/>
  <c r="AW182" i="48"/>
  <c r="AW54" i="48"/>
  <c r="AZ62" i="48"/>
  <c r="AW130" i="48"/>
  <c r="AY204" i="48"/>
  <c r="AW245" i="48"/>
  <c r="AZ208" i="48"/>
  <c r="AZ262" i="48"/>
  <c r="AZ87" i="48"/>
  <c r="AZ43" i="48"/>
  <c r="AY69" i="48"/>
  <c r="AY136" i="48"/>
  <c r="AY119" i="48"/>
  <c r="AY73" i="48"/>
  <c r="AZ248" i="48"/>
  <c r="AW135" i="48"/>
  <c r="AW152" i="48"/>
  <c r="AY251" i="48"/>
  <c r="AW243" i="48"/>
  <c r="AZ124" i="48"/>
  <c r="AY141" i="48"/>
  <c r="AZ89" i="48"/>
  <c r="AY178" i="48"/>
  <c r="AY195" i="48"/>
  <c r="AY280" i="48"/>
  <c r="AZ193" i="48"/>
  <c r="AZ27" i="48"/>
  <c r="AZ191" i="48"/>
  <c r="AW145" i="48"/>
  <c r="AY28" i="48"/>
  <c r="AW247" i="48"/>
  <c r="AW80" i="48"/>
  <c r="AZ213" i="48"/>
  <c r="AW275" i="48"/>
  <c r="AX275" i="48" s="1"/>
  <c r="AW156" i="48"/>
  <c r="AY135" i="48"/>
  <c r="AY45" i="48"/>
  <c r="AY19" i="48"/>
  <c r="AW242" i="48"/>
  <c r="AW118" i="48"/>
  <c r="AW160" i="48"/>
  <c r="AW10" i="48"/>
  <c r="AY63" i="48"/>
  <c r="AY60" i="48"/>
  <c r="AZ177" i="48"/>
  <c r="AW169" i="48"/>
  <c r="AW196" i="48"/>
  <c r="AW86" i="48"/>
  <c r="AW244" i="48"/>
  <c r="AY260" i="48"/>
  <c r="AZ215" i="48"/>
  <c r="AY30" i="48"/>
  <c r="AZ181" i="48"/>
  <c r="AW261" i="48"/>
  <c r="AZ128" i="48"/>
  <c r="AZ22" i="48"/>
  <c r="AY247" i="48"/>
  <c r="AY21" i="48"/>
  <c r="AW274" i="48"/>
  <c r="AX274" i="48" s="1"/>
  <c r="AY180" i="48"/>
  <c r="AW166" i="48"/>
  <c r="AW101" i="48"/>
  <c r="AY216" i="48"/>
  <c r="AW49" i="48"/>
  <c r="AZ116" i="48"/>
  <c r="AY39" i="48"/>
  <c r="AZ90" i="48"/>
  <c r="AW178" i="48"/>
  <c r="AW58" i="48"/>
  <c r="AZ227" i="48"/>
  <c r="AY17" i="48"/>
  <c r="AW212" i="48"/>
  <c r="AZ267" i="48"/>
  <c r="AW187" i="48"/>
  <c r="AZ256" i="48"/>
  <c r="AY57" i="48"/>
  <c r="AW4" i="48"/>
  <c r="AZ245" i="48"/>
  <c r="AZ12" i="48"/>
  <c r="AY209" i="48"/>
  <c r="AY181" i="48"/>
  <c r="AZ3" i="48"/>
  <c r="AY145" i="48"/>
  <c r="AZ135" i="48"/>
  <c r="AY246" i="48"/>
  <c r="AZ200" i="48"/>
  <c r="AW25" i="48"/>
  <c r="AY2" i="48"/>
  <c r="AW218" i="48"/>
  <c r="AZ223" i="48"/>
  <c r="AW19" i="48"/>
  <c r="AZ221" i="48"/>
  <c r="AY87" i="48"/>
  <c r="AY43" i="48"/>
  <c r="AY202" i="48"/>
  <c r="AZ232" i="48"/>
  <c r="AW253" i="48"/>
  <c r="AW221" i="48"/>
  <c r="AZ15" i="48"/>
  <c r="AY256" i="48"/>
  <c r="AZ174" i="48"/>
  <c r="AZ139" i="48"/>
  <c r="AY18" i="48"/>
  <c r="AY55" i="48"/>
  <c r="AY110" i="48"/>
  <c r="AY157" i="48"/>
  <c r="AW52" i="48"/>
  <c r="AZ265" i="48"/>
  <c r="AW40" i="48"/>
  <c r="AY281" i="48"/>
  <c r="AZ14" i="48"/>
  <c r="AW223" i="48"/>
  <c r="AW125" i="48"/>
  <c r="AW18" i="48"/>
  <c r="AW26" i="48"/>
  <c r="AZ192" i="48"/>
  <c r="AY272" i="48"/>
  <c r="AZ29" i="48"/>
  <c r="AY210" i="48"/>
  <c r="AW30" i="48"/>
  <c r="AY40" i="48"/>
  <c r="AZ163" i="48"/>
  <c r="AZ198" i="48"/>
  <c r="AW59" i="48"/>
  <c r="AW92" i="48"/>
  <c r="AY177" i="48"/>
  <c r="AW248" i="48"/>
  <c r="AY107" i="48"/>
  <c r="AW236" i="48"/>
  <c r="AZ35" i="48"/>
  <c r="AY261" i="48"/>
  <c r="AY5" i="48"/>
  <c r="AY142" i="48"/>
  <c r="AY203" i="48"/>
  <c r="AZ185" i="48"/>
  <c r="AZ261" i="48"/>
  <c r="AY10" i="48"/>
  <c r="AZ19" i="48"/>
  <c r="AW140" i="48"/>
  <c r="AZ118" i="48"/>
  <c r="AY189" i="48"/>
  <c r="AW180" i="48"/>
  <c r="AZ150" i="48"/>
  <c r="AZ10" i="48"/>
  <c r="AW62" i="48"/>
  <c r="AZ9" i="48"/>
  <c r="AW46" i="48"/>
  <c r="AY149" i="48"/>
  <c r="AY58" i="48"/>
  <c r="AZ197" i="48"/>
  <c r="AW179" i="48"/>
  <c r="AW144" i="48"/>
  <c r="AY262" i="48"/>
  <c r="AY166" i="48"/>
  <c r="AY148" i="48"/>
  <c r="AW120" i="48"/>
  <c r="AY72" i="48"/>
  <c r="AW21" i="48"/>
  <c r="AY230" i="48"/>
  <c r="AY199" i="48"/>
  <c r="AY126" i="48"/>
  <c r="AZ263" i="48"/>
  <c r="AW238" i="48"/>
  <c r="AW184" i="48"/>
  <c r="AW16" i="48"/>
  <c r="AZ214" i="48"/>
  <c r="AZ244" i="48"/>
  <c r="AY158" i="48"/>
  <c r="AW149" i="48"/>
  <c r="AY206" i="48"/>
  <c r="AY197" i="48"/>
  <c r="AY42" i="48"/>
  <c r="AW146" i="48"/>
  <c r="AY25" i="48"/>
  <c r="AZ136" i="48"/>
  <c r="AW262" i="48"/>
  <c r="AW162" i="48"/>
  <c r="AW148" i="48"/>
  <c r="AW20" i="48"/>
  <c r="AW194" i="48"/>
  <c r="AZ47" i="48"/>
  <c r="AY115" i="48"/>
  <c r="AY153" i="48"/>
  <c r="AW9" i="48"/>
  <c r="AW257" i="48"/>
  <c r="AW22" i="48"/>
  <c r="AW269" i="48"/>
  <c r="AX269" i="48" s="1"/>
  <c r="AZ186" i="48"/>
  <c r="AY223" i="48"/>
  <c r="AY273" i="48"/>
  <c r="AW214" i="48"/>
  <c r="AZ162" i="48"/>
  <c r="AY150" i="48"/>
  <c r="AZ210" i="48"/>
  <c r="AY152" i="48"/>
  <c r="AY232" i="48"/>
  <c r="AW133" i="48"/>
  <c r="AY167" i="48"/>
  <c r="AW37" i="48"/>
  <c r="AW222" i="48"/>
  <c r="AY104" i="48"/>
  <c r="AW88" i="48"/>
  <c r="AZ106" i="48"/>
  <c r="AZ238" i="48"/>
  <c r="AZ59" i="48"/>
  <c r="AW99" i="48"/>
  <c r="AY106" i="48"/>
  <c r="AZ103" i="48"/>
  <c r="AY238" i="48"/>
  <c r="AW27" i="48"/>
  <c r="AY23" i="48"/>
  <c r="AZ270" i="48"/>
  <c r="AZ64" i="48"/>
  <c r="AY86" i="48"/>
  <c r="AY225" i="48"/>
  <c r="AY227" i="48"/>
  <c r="AY71" i="48"/>
  <c r="AW57" i="48"/>
  <c r="AZ112" i="48"/>
  <c r="AZ92" i="48"/>
  <c r="AY85" i="48"/>
  <c r="AW41" i="48"/>
  <c r="AY190" i="48"/>
  <c r="AY255" i="48"/>
  <c r="AZ195" i="48"/>
  <c r="AY121" i="48"/>
  <c r="AZ156" i="48"/>
  <c r="AW63" i="48"/>
  <c r="AY258" i="48"/>
  <c r="AY93" i="48"/>
  <c r="AZ271" i="48"/>
  <c r="AY117" i="48"/>
  <c r="AZ278" i="48"/>
  <c r="AW91" i="48"/>
  <c r="AY278" i="48"/>
  <c r="AW65" i="48"/>
  <c r="AY22" i="48"/>
  <c r="AY185" i="48"/>
  <c r="AW131" i="48"/>
  <c r="AZ134" i="48"/>
  <c r="AW255" i="48"/>
  <c r="AY114" i="48"/>
  <c r="AY144" i="48"/>
  <c r="AY241" i="48"/>
  <c r="AZ44" i="48"/>
  <c r="AY267" i="48"/>
  <c r="AZ252" i="48"/>
  <c r="AW2" i="48"/>
  <c r="AY266" i="48"/>
  <c r="AY98" i="48"/>
  <c r="AW71" i="48"/>
  <c r="AY163" i="48"/>
  <c r="AZ166" i="48"/>
  <c r="AY243" i="48"/>
  <c r="AW50" i="48"/>
  <c r="AW7" i="48"/>
  <c r="AZ153" i="48"/>
  <c r="AZ276" i="48"/>
  <c r="AZ255" i="48"/>
  <c r="AY140" i="48"/>
  <c r="AZ52" i="48"/>
  <c r="AZ277" i="48"/>
  <c r="AY15" i="48"/>
  <c r="AW167" i="48"/>
  <c r="AY236" i="48"/>
  <c r="AW126" i="48"/>
  <c r="AW113" i="48"/>
  <c r="AY226" i="48"/>
  <c r="AW271" i="48"/>
  <c r="AX271" i="48" s="1"/>
  <c r="AY271" i="48"/>
  <c r="AW209" i="48"/>
  <c r="AY82" i="48"/>
  <c r="AZ123" i="48"/>
  <c r="AW47" i="48"/>
  <c r="AW161" i="48"/>
  <c r="AZ164" i="48"/>
  <c r="AZ144" i="48"/>
  <c r="AZ172" i="48"/>
  <c r="AY36" i="48"/>
  <c r="AW51" i="48"/>
  <c r="AZ155" i="48"/>
  <c r="AY29" i="48"/>
  <c r="AW224" i="48"/>
  <c r="AY59" i="48"/>
  <c r="AW228" i="48"/>
  <c r="AZ34" i="48"/>
  <c r="AY128" i="48"/>
  <c r="AW198" i="48"/>
  <c r="AY102" i="48"/>
  <c r="AW155" i="48"/>
  <c r="AY229" i="48"/>
  <c r="AW154" i="48"/>
  <c r="AY133" i="48"/>
  <c r="AZ67" i="48"/>
  <c r="AW64" i="48"/>
  <c r="AY220" i="48"/>
  <c r="AZ28" i="48"/>
  <c r="AY173" i="48"/>
  <c r="AW67" i="48"/>
  <c r="AZ219" i="48"/>
  <c r="AY208" i="48"/>
  <c r="AW216" i="48"/>
  <c r="AW202" i="48"/>
  <c r="AY112" i="48"/>
  <c r="AZ176" i="48"/>
  <c r="AW279" i="48"/>
  <c r="AX279" i="48" s="1"/>
  <c r="AZ120" i="48"/>
  <c r="AW200" i="48"/>
  <c r="AZ202" i="48"/>
  <c r="AZ170" i="48"/>
  <c r="AW263" i="48"/>
  <c r="AY182" i="48"/>
  <c r="AZ119" i="48"/>
  <c r="AZ84" i="48"/>
  <c r="AW84" i="48"/>
  <c r="AZ143" i="48"/>
  <c r="AW112" i="48"/>
  <c r="AZ83" i="48"/>
  <c r="AW42" i="48"/>
  <c r="AW185" i="48"/>
  <c r="AY146" i="48"/>
  <c r="AY47" i="48"/>
  <c r="AW134" i="48"/>
  <c r="AY175" i="48"/>
  <c r="AY257" i="48"/>
  <c r="AZ125" i="48"/>
  <c r="AY194" i="48"/>
  <c r="AY219" i="48"/>
  <c r="AZ31" i="48"/>
  <c r="AY245" i="48"/>
  <c r="AZ58" i="48"/>
  <c r="AZ114" i="48"/>
  <c r="AY168" i="48"/>
  <c r="AZ71" i="48"/>
  <c r="AW77" i="48"/>
  <c r="AW108" i="48"/>
  <c r="AY139" i="48"/>
  <c r="AW227" i="48"/>
  <c r="AY108" i="48"/>
  <c r="AZ279" i="48"/>
  <c r="AZ2" i="48"/>
  <c r="AZ107" i="48"/>
  <c r="AZ55" i="48"/>
  <c r="AY76" i="48"/>
  <c r="AZ48" i="48"/>
  <c r="AY109" i="48"/>
  <c r="AW110" i="48"/>
  <c r="AY116" i="48"/>
  <c r="AY264" i="48"/>
  <c r="AW280" i="48"/>
  <c r="AX280" i="48" s="1"/>
  <c r="AZ190" i="48"/>
  <c r="AZ250" i="48"/>
  <c r="AY9" i="48"/>
  <c r="AW96" i="48"/>
  <c r="AW105" i="48"/>
  <c r="AY94" i="48"/>
  <c r="AZ258" i="48"/>
  <c r="AW226" i="48"/>
  <c r="AZ70" i="48"/>
  <c r="AZ241" i="48"/>
  <c r="AY74" i="48"/>
  <c r="AW55" i="48"/>
  <c r="AY65" i="48"/>
  <c r="AZ65" i="48"/>
  <c r="AW232" i="48"/>
  <c r="AW229" i="48"/>
  <c r="AZ97" i="48"/>
  <c r="AZ130" i="48"/>
  <c r="AZ160" i="48"/>
  <c r="AZ104" i="48"/>
  <c r="AY160" i="48"/>
  <c r="AZ264" i="48"/>
  <c r="AZ148" i="48"/>
  <c r="AY268" i="48"/>
  <c r="AW272" i="48"/>
  <c r="AX272" i="48" s="1"/>
  <c r="AZ207" i="48"/>
  <c r="AZ95" i="48"/>
  <c r="AY12" i="48"/>
  <c r="AZ196" i="48"/>
  <c r="AY11" i="48"/>
  <c r="AW215" i="48"/>
  <c r="AZ42" i="48"/>
  <c r="AZ76" i="48"/>
  <c r="AW188" i="48"/>
  <c r="AY207" i="48"/>
  <c r="AY165" i="48"/>
  <c r="AY147" i="48"/>
  <c r="AY127" i="48"/>
  <c r="AY162" i="48"/>
  <c r="AZ205" i="48"/>
  <c r="AZ254" i="48"/>
  <c r="AZ101" i="48"/>
  <c r="AY124" i="48"/>
  <c r="AY31" i="48"/>
  <c r="AY95" i="48"/>
  <c r="AZ216" i="48"/>
  <c r="AZ80" i="48"/>
  <c r="AY214" i="48"/>
  <c r="AZ187" i="48"/>
  <c r="AZ257" i="48"/>
  <c r="AW13" i="48"/>
  <c r="AZ40" i="48"/>
  <c r="AW217" i="48"/>
  <c r="AZ109" i="48"/>
  <c r="AZ275" i="48"/>
  <c r="AZ37" i="48"/>
  <c r="AZ113" i="48"/>
  <c r="AY217" i="48"/>
  <c r="AW241" i="48"/>
  <c r="AW107" i="48"/>
  <c r="AZ236" i="48"/>
  <c r="AY176" i="48"/>
  <c r="AZ46" i="48"/>
  <c r="AZ157" i="48"/>
  <c r="AZ167" i="48"/>
  <c r="AY233" i="48"/>
  <c r="AY252" i="48"/>
  <c r="AZ228" i="48"/>
  <c r="AZ226" i="48"/>
  <c r="AZ77" i="48"/>
  <c r="AZ247" i="48"/>
  <c r="AW87" i="48"/>
  <c r="AW95" i="48"/>
  <c r="AY179" i="48"/>
  <c r="AY221" i="48"/>
  <c r="AY239" i="48"/>
  <c r="AZ102" i="48"/>
  <c r="AY61" i="48"/>
  <c r="AW81" i="48"/>
  <c r="AZ32" i="48"/>
  <c r="AW132" i="48"/>
  <c r="AZ249" i="48"/>
  <c r="AY277" i="48"/>
  <c r="AW211" i="48"/>
  <c r="AY125" i="48"/>
  <c r="AW34" i="48"/>
  <c r="AW266" i="48"/>
  <c r="AW183" i="48"/>
  <c r="AW225" i="48"/>
  <c r="AW170" i="48"/>
  <c r="AY129" i="48"/>
  <c r="AW32" i="48"/>
  <c r="AZ158" i="48"/>
  <c r="AW204" i="48"/>
  <c r="AY3" i="48"/>
  <c r="AZ24" i="48"/>
  <c r="AZ5" i="48"/>
  <c r="AW175" i="48"/>
  <c r="AY111" i="48"/>
  <c r="AZ21" i="48"/>
  <c r="AZ94" i="48"/>
  <c r="AW168" i="48"/>
  <c r="AY97" i="48"/>
  <c r="AW121" i="48"/>
  <c r="AZ91" i="48"/>
  <c r="AZ98" i="48"/>
  <c r="AW219" i="48"/>
  <c r="AY224" i="48"/>
  <c r="AW5" i="48"/>
  <c r="AY101" i="48"/>
  <c r="AW234" i="48"/>
  <c r="AY198" i="48"/>
  <c r="AW165" i="48"/>
  <c r="AZ188" i="48"/>
  <c r="AW256" i="48"/>
  <c r="AY48" i="48"/>
  <c r="AY228" i="48"/>
  <c r="AZ50" i="48"/>
  <c r="AY84" i="48"/>
  <c r="AZ72" i="48"/>
  <c r="AZ17" i="48"/>
  <c r="AY275" i="48"/>
  <c r="AW6" i="48"/>
  <c r="AW114" i="48"/>
  <c r="AY77" i="48"/>
  <c r="AZ13" i="48"/>
  <c r="AY50" i="48"/>
  <c r="AW174" i="48"/>
  <c r="AZ51" i="48"/>
  <c r="AZ272" i="48"/>
  <c r="AZ63" i="48"/>
  <c r="AZ38" i="48"/>
  <c r="AW201" i="48"/>
  <c r="AW143" i="48"/>
  <c r="AY212" i="48"/>
  <c r="AY137" i="48"/>
  <c r="AW137" i="48"/>
  <c r="AZ108" i="48"/>
  <c r="AY222" i="48"/>
  <c r="AW106" i="48"/>
  <c r="AZ273" i="48"/>
  <c r="AW163" i="48"/>
  <c r="AZ61" i="48"/>
  <c r="BA61" i="48" s="1"/>
  <c r="AZ81" i="48"/>
  <c r="AY259" i="48"/>
  <c r="AZ179" i="48"/>
  <c r="AZ229" i="48"/>
  <c r="AW53" i="48"/>
  <c r="AY188" i="48"/>
  <c r="AZ132" i="48"/>
  <c r="AW173" i="48"/>
  <c r="AW45" i="48"/>
  <c r="AW70" i="48"/>
  <c r="AY20" i="48"/>
  <c r="AZ225" i="48"/>
  <c r="AZ259" i="48"/>
  <c r="AY53" i="48"/>
  <c r="AW93" i="48"/>
  <c r="AY32" i="48"/>
  <c r="AW147" i="48"/>
  <c r="AY249" i="48"/>
  <c r="AW192" i="48"/>
  <c r="AY92" i="48"/>
  <c r="AY56" i="48"/>
  <c r="AW43" i="48"/>
  <c r="AW220" i="48"/>
  <c r="AZ68" i="48"/>
  <c r="AW246" i="48"/>
  <c r="AW111" i="48"/>
  <c r="AW122" i="48"/>
  <c r="AY240" i="48"/>
  <c r="AZ23" i="48"/>
  <c r="AZ26" i="48"/>
  <c r="AY269" i="48"/>
  <c r="AY242" i="48"/>
  <c r="AZ99" i="48"/>
  <c r="AY156" i="48"/>
  <c r="AY151" i="48"/>
  <c r="AY161" i="48"/>
  <c r="AZ138" i="48"/>
  <c r="AW48" i="48"/>
  <c r="AW237" i="48"/>
  <c r="AY79" i="48"/>
  <c r="AW213" i="48"/>
  <c r="AY138" i="48"/>
  <c r="AZ183" i="48"/>
  <c r="AY254" i="48"/>
  <c r="AW230" i="48"/>
  <c r="AW100" i="48"/>
  <c r="AY134" i="48"/>
  <c r="AZ178" i="48"/>
  <c r="AW73" i="48"/>
  <c r="AY52" i="48"/>
  <c r="AW75" i="48"/>
  <c r="AW69" i="48"/>
  <c r="AZ149" i="48"/>
  <c r="AW267" i="48"/>
  <c r="AZ79" i="48"/>
  <c r="AW258" i="48"/>
  <c r="AW268" i="48"/>
  <c r="AZ235" i="48"/>
  <c r="AZ74" i="48"/>
  <c r="AY51" i="48"/>
  <c r="AY205" i="48"/>
  <c r="AY80" i="48"/>
  <c r="AZ209" i="48"/>
  <c r="AZ274" i="48"/>
  <c r="AZ251" i="48"/>
  <c r="AW78" i="48"/>
  <c r="AW79" i="48"/>
  <c r="AZ117" i="48"/>
  <c r="AW264" i="48"/>
  <c r="AZ266" i="48"/>
  <c r="AY174" i="48"/>
  <c r="AY186" i="48"/>
  <c r="AW153" i="48"/>
  <c r="AW186" i="48"/>
  <c r="AW141" i="48"/>
  <c r="AY8" i="48"/>
  <c r="AY75" i="48"/>
  <c r="AW29" i="48"/>
  <c r="AZ39" i="48"/>
  <c r="AZ260" i="48"/>
  <c r="AW270" i="48"/>
  <c r="AX270" i="48" s="1"/>
  <c r="AW164" i="48"/>
  <c r="AZ161" i="48"/>
  <c r="AW23" i="48"/>
  <c r="AZ239" i="48"/>
  <c r="AW281" i="48"/>
  <c r="AX281" i="48" s="1"/>
  <c r="AZ231" i="48"/>
  <c r="AY132" i="48"/>
  <c r="AZ146" i="48"/>
  <c r="AW68" i="48"/>
  <c r="AW11" i="48"/>
  <c r="AY90" i="48"/>
  <c r="AW171" i="48"/>
  <c r="AW61" i="48"/>
  <c r="AZ66" i="48"/>
  <c r="AZ11" i="48"/>
  <c r="AZ57" i="48"/>
  <c r="AW142" i="48"/>
  <c r="AZ242" i="48"/>
  <c r="AW206" i="48"/>
  <c r="AZ147" i="48"/>
  <c r="AZ41" i="48"/>
  <c r="AW104" i="48"/>
  <c r="AY169" i="48"/>
  <c r="AY46" i="48"/>
  <c r="AW265" i="48"/>
  <c r="AZ152" i="48"/>
  <c r="AZ73" i="48"/>
  <c r="AZ246" i="48"/>
  <c r="AY237" i="48"/>
  <c r="AW115" i="48"/>
  <c r="AY83" i="48"/>
  <c r="AZ199" i="48"/>
  <c r="AY91" i="48"/>
  <c r="AY192" i="48"/>
  <c r="AY231" i="48"/>
  <c r="AW33" i="48"/>
  <c r="AZ204" i="48"/>
  <c r="AZ127" i="48"/>
  <c r="AY253" i="48"/>
  <c r="AW251" i="48"/>
  <c r="AZ189" i="48"/>
  <c r="AZ230" i="48"/>
  <c r="AW15" i="48"/>
  <c r="AY34" i="48"/>
  <c r="AY4" i="48"/>
  <c r="AW159" i="48"/>
  <c r="AZ54" i="48"/>
  <c r="AZ217" i="48"/>
  <c r="AZ151" i="48"/>
  <c r="AZ154" i="48"/>
  <c r="AZ25" i="48"/>
  <c r="AW44" i="48"/>
  <c r="AZ75" i="48"/>
  <c r="AZ222" i="48"/>
  <c r="AZ20" i="48"/>
  <c r="AZ281" i="48"/>
  <c r="AZ224" i="48"/>
  <c r="AZ203" i="48"/>
  <c r="AZ53" i="48"/>
  <c r="AW31" i="48"/>
  <c r="AY250" i="48"/>
  <c r="AZ234" i="48"/>
  <c r="AY191" i="48"/>
  <c r="AZ100" i="48"/>
  <c r="AZ253" i="48"/>
  <c r="AZ7" i="48"/>
  <c r="AW176" i="48"/>
  <c r="AZ85" i="48"/>
  <c r="AW74" i="48"/>
  <c r="AY49" i="48"/>
  <c r="AZ16" i="48"/>
  <c r="AY159" i="48"/>
  <c r="AZ280" i="48"/>
  <c r="AY171" i="48"/>
  <c r="AW277" i="48"/>
  <c r="AX277" i="48" s="1"/>
  <c r="AY155" i="48"/>
  <c r="AZ111" i="48"/>
  <c r="AY89" i="48"/>
  <c r="AY24" i="48"/>
  <c r="AW3" i="48"/>
  <c r="AY270" i="48"/>
  <c r="AY274" i="48"/>
  <c r="AW199" i="48"/>
  <c r="AW66" i="48"/>
  <c r="AW138" i="48"/>
  <c r="AZ105" i="48"/>
  <c r="AZ126" i="48"/>
  <c r="AW94" i="48"/>
  <c r="AY68" i="48"/>
  <c r="AZ211" i="48"/>
  <c r="AZ220" i="48"/>
  <c r="AY211" i="48"/>
  <c r="AY235" i="48"/>
  <c r="AY78" i="48"/>
  <c r="AY234" i="48"/>
  <c r="AW36" i="48"/>
  <c r="AZ36" i="48"/>
  <c r="AY35" i="48"/>
  <c r="AW123" i="48"/>
  <c r="AW260" i="48"/>
  <c r="AW189" i="48"/>
  <c r="AZ129" i="48"/>
  <c r="AY54" i="48"/>
  <c r="AZ30" i="48"/>
  <c r="AW56" i="48"/>
  <c r="AY143" i="48"/>
  <c r="AW254" i="48"/>
  <c r="AW98" i="48"/>
  <c r="AW17" i="48"/>
  <c r="AY123" i="48"/>
  <c r="AZ268" i="48"/>
  <c r="AZ115" i="48"/>
  <c r="AZ122" i="48"/>
  <c r="AW208" i="48"/>
  <c r="AW197" i="48"/>
  <c r="AY7" i="48"/>
  <c r="AZ33" i="48"/>
  <c r="AY244" i="48"/>
  <c r="AY33" i="48"/>
  <c r="AZ82" i="48"/>
  <c r="AW28" i="48"/>
  <c r="AZ173" i="48"/>
  <c r="AW249" i="48"/>
  <c r="AZ165" i="48"/>
  <c r="AZ131" i="48"/>
  <c r="AW193" i="48"/>
  <c r="AY193" i="48"/>
  <c r="AW239" i="48"/>
  <c r="AW129" i="48"/>
  <c r="AZ142" i="48"/>
  <c r="AZ175" i="48"/>
  <c r="AW116" i="48"/>
  <c r="AZ201" i="48"/>
  <c r="AW195" i="48"/>
  <c r="AW276" i="48"/>
  <c r="AX276" i="48" s="1"/>
  <c r="AY118" i="48"/>
  <c r="AY265" i="48"/>
  <c r="AW35" i="48"/>
  <c r="AY37" i="48"/>
  <c r="AY27" i="48"/>
  <c r="AZ237" i="48"/>
  <c r="AW240" i="48"/>
  <c r="AW72" i="48"/>
  <c r="AY100" i="48"/>
  <c r="AW181" i="48"/>
  <c r="AW83" i="48"/>
  <c r="AY16" i="48"/>
  <c r="AW89" i="48"/>
  <c r="AZ133" i="48"/>
  <c r="AZ182" i="48"/>
  <c r="AZ137" i="48"/>
  <c r="AZ218" i="48"/>
  <c r="AW231" i="48"/>
  <c r="AW273" i="48"/>
  <c r="AX273" i="48" s="1"/>
  <c r="AW38" i="48"/>
  <c r="AZ8" i="48"/>
  <c r="AZ69" i="48"/>
  <c r="AW158" i="48"/>
  <c r="AW90" i="48"/>
  <c r="AW151" i="48"/>
  <c r="AZ45" i="48"/>
  <c r="AW233" i="48"/>
  <c r="AY218" i="48"/>
  <c r="AW39" i="48"/>
  <c r="AW127" i="48"/>
  <c r="AW109" i="48"/>
  <c r="AW76" i="48"/>
  <c r="AY13" i="48"/>
  <c r="AW82" i="48"/>
  <c r="AY164" i="48"/>
  <c r="AZ56" i="48"/>
  <c r="AZ96" i="48"/>
  <c r="AZ169" i="48"/>
  <c r="AZ88" i="48"/>
  <c r="AY67" i="48"/>
  <c r="AZ86" i="48"/>
  <c r="AY103" i="48"/>
  <c r="AY215" i="48"/>
  <c r="AY130" i="48"/>
  <c r="AY88" i="48"/>
  <c r="AY99" i="48"/>
  <c r="AW136" i="48"/>
  <c r="AW210" i="48"/>
  <c r="AY183" i="48"/>
  <c r="AY66" i="48"/>
  <c r="AZ168" i="48"/>
  <c r="AZ6" i="48"/>
  <c r="AZ121" i="48"/>
  <c r="AW278" i="48"/>
  <c r="AX278" i="48" s="1"/>
  <c r="AW8" i="48"/>
  <c r="AW150" i="48"/>
  <c r="AZ206" i="48"/>
  <c r="AY279" i="48"/>
  <c r="AW207" i="48"/>
  <c r="AY276" i="48"/>
  <c r="AY81" i="48"/>
  <c r="AW203" i="48"/>
  <c r="AW119" i="48"/>
  <c r="AY64" i="48"/>
  <c r="AY131" i="48"/>
  <c r="AW85" i="48"/>
  <c r="AW157" i="48"/>
  <c r="AZ60" i="48"/>
  <c r="AW97" i="48"/>
  <c r="AY96" i="48"/>
  <c r="AZ78" i="48"/>
  <c r="AZ93" i="48"/>
  <c r="AY187" i="48"/>
  <c r="AZ233" i="48"/>
  <c r="AW191" i="48"/>
  <c r="AW205" i="48"/>
  <c r="AW103" i="48"/>
  <c r="AZ49" i="48"/>
  <c r="AW172" i="48"/>
  <c r="AY122" i="48"/>
  <c r="AZ171" i="48"/>
  <c r="AY26" i="48"/>
  <c r="AZ180" i="48"/>
  <c r="AY6" i="48"/>
  <c r="AZ18" i="48"/>
  <c r="AW259" i="48"/>
  <c r="S182" i="48"/>
  <c r="Q40" i="44"/>
  <c r="Q123" i="44"/>
  <c r="P49" i="48"/>
  <c r="AE164" i="54"/>
  <c r="S71" i="48"/>
  <c r="AE112" i="54"/>
  <c r="Q4" i="44"/>
  <c r="AE66" i="54"/>
  <c r="R94" i="44"/>
  <c r="Q181" i="48"/>
  <c r="AE163" i="54"/>
  <c r="Q110" i="48"/>
  <c r="S58" i="44"/>
  <c r="S77" i="48"/>
  <c r="AE93" i="54"/>
  <c r="R170" i="44"/>
  <c r="R88" i="48"/>
  <c r="S146" i="44"/>
  <c r="R160" i="48"/>
  <c r="BH160" i="48" s="1"/>
  <c r="Q124" i="44"/>
  <c r="Q78" i="48"/>
  <c r="R8" i="48"/>
  <c r="S61" i="44"/>
  <c r="P79" i="44"/>
  <c r="Q100" i="48"/>
  <c r="R93" i="48"/>
  <c r="Q110" i="44"/>
  <c r="AE82" i="54"/>
  <c r="AE98" i="54"/>
  <c r="Q136" i="48"/>
  <c r="P130" i="44"/>
  <c r="S162" i="48"/>
  <c r="AE60" i="54"/>
  <c r="AE187" i="54"/>
  <c r="R15" i="44"/>
  <c r="P3" i="48"/>
  <c r="S164" i="48"/>
  <c r="S102" i="48"/>
  <c r="P91" i="44"/>
  <c r="AE2" i="54"/>
  <c r="R6" i="48"/>
  <c r="Q113" i="48"/>
  <c r="AE3" i="54"/>
  <c r="S2" i="48"/>
  <c r="AE46" i="54"/>
  <c r="R81" i="44"/>
  <c r="S74" i="44"/>
  <c r="AE138" i="54"/>
  <c r="R154" i="48"/>
  <c r="BH154" i="48" s="1"/>
  <c r="AE30" i="54"/>
  <c r="R75" i="48"/>
  <c r="Q189" i="48"/>
  <c r="P206" i="48"/>
  <c r="AE49" i="54"/>
  <c r="P34" i="48"/>
  <c r="Q163" i="48"/>
  <c r="Q213" i="48"/>
  <c r="AE28" i="54"/>
  <c r="Q24" i="44"/>
  <c r="Q173" i="48"/>
  <c r="Q36" i="48"/>
  <c r="AE14" i="54"/>
  <c r="AE134" i="54"/>
  <c r="Q41" i="48"/>
  <c r="AE73" i="54"/>
  <c r="R166" i="48"/>
  <c r="BH166" i="48" s="1"/>
  <c r="Q151" i="44"/>
  <c r="R120" i="44"/>
  <c r="P7" i="44"/>
  <c r="AE113" i="54"/>
  <c r="R126" i="44"/>
  <c r="R72" i="44"/>
  <c r="S57" i="48"/>
  <c r="S132" i="44"/>
  <c r="P145" i="48"/>
  <c r="BF145" i="48" s="1"/>
  <c r="Q226" i="48"/>
  <c r="S136" i="48"/>
  <c r="S86" i="48"/>
  <c r="R210" i="48"/>
  <c r="S67" i="48"/>
  <c r="S89" i="48"/>
  <c r="P174" i="48"/>
  <c r="BF174" i="48" s="1"/>
  <c r="S184" i="48"/>
  <c r="Q25" i="48"/>
  <c r="S70" i="44"/>
  <c r="R129" i="48"/>
  <c r="BH129" i="48" s="1"/>
  <c r="Q126" i="48"/>
  <c r="S52" i="44"/>
  <c r="P40" i="48"/>
  <c r="Q151" i="48"/>
  <c r="P104" i="48"/>
  <c r="AE80" i="54"/>
  <c r="R127" i="48"/>
  <c r="BH127" i="48" s="1"/>
  <c r="AE212" i="54"/>
  <c r="Q209" i="48"/>
  <c r="Q51" i="48"/>
  <c r="R203" i="48"/>
  <c r="AE87" i="54"/>
  <c r="AE45" i="54"/>
  <c r="S183" i="48"/>
  <c r="Q119" i="48"/>
  <c r="P82" i="48"/>
  <c r="AE89" i="54"/>
  <c r="S109" i="48"/>
  <c r="Q216" i="44"/>
  <c r="P141" i="48"/>
  <c r="BF141" i="48" s="1"/>
  <c r="S39" i="48"/>
  <c r="Q162" i="48"/>
  <c r="S93" i="48"/>
  <c r="R201" i="48"/>
  <c r="BH201" i="48" s="1"/>
  <c r="R58" i="48"/>
  <c r="S137" i="44"/>
  <c r="Q46" i="44"/>
  <c r="P33" i="48"/>
  <c r="S96" i="48"/>
  <c r="R89" i="44"/>
  <c r="S192" i="48"/>
  <c r="Q7" i="44"/>
  <c r="S215" i="44"/>
  <c r="Q101" i="44"/>
  <c r="R142" i="48"/>
  <c r="BH142" i="48" s="1"/>
  <c r="P94" i="48"/>
  <c r="AE10" i="54"/>
  <c r="S35" i="48"/>
  <c r="Q80" i="48"/>
  <c r="S189" i="48"/>
  <c r="S223" i="48"/>
  <c r="AE88" i="54"/>
  <c r="R122" i="48"/>
  <c r="BH122" i="48" s="1"/>
  <c r="P65" i="48"/>
  <c r="S15" i="48"/>
  <c r="AE188" i="54"/>
  <c r="R94" i="48"/>
  <c r="S121" i="48"/>
  <c r="Q130" i="48"/>
  <c r="Q197" i="48"/>
  <c r="R19" i="48"/>
  <c r="AE166" i="54"/>
  <c r="P136" i="48"/>
  <c r="BF136" i="48" s="1"/>
  <c r="P27" i="48"/>
  <c r="R121" i="48"/>
  <c r="BH121" i="48" s="1"/>
  <c r="P200" i="48"/>
  <c r="BF200" i="48" s="1"/>
  <c r="P35" i="48"/>
  <c r="R204" i="48"/>
  <c r="R3" i="44"/>
  <c r="S154" i="44"/>
  <c r="S19" i="44"/>
  <c r="P181" i="44"/>
  <c r="P140" i="48"/>
  <c r="BF140" i="48" s="1"/>
  <c r="S14" i="48"/>
  <c r="P118" i="48"/>
  <c r="BF118" i="48" s="1"/>
  <c r="S152" i="48"/>
  <c r="S122" i="48"/>
  <c r="S226" i="48"/>
  <c r="Q8" i="48"/>
  <c r="Q103" i="44"/>
  <c r="AE68" i="54"/>
  <c r="R41" i="48"/>
  <c r="AE129" i="54"/>
  <c r="S216" i="48"/>
  <c r="S52" i="48"/>
  <c r="R46" i="48"/>
  <c r="P24" i="48"/>
  <c r="Q23" i="48"/>
  <c r="R185" i="48"/>
  <c r="BH185" i="48" s="1"/>
  <c r="P61" i="48"/>
  <c r="Q70" i="48"/>
  <c r="P78" i="48"/>
  <c r="AE161" i="54"/>
  <c r="R172" i="48"/>
  <c r="BH172" i="48" s="1"/>
  <c r="P171" i="44"/>
  <c r="P169" i="48"/>
  <c r="BF169" i="48" s="1"/>
  <c r="P83" i="44"/>
  <c r="P64" i="48"/>
  <c r="Q59" i="48"/>
  <c r="R60" i="48"/>
  <c r="Q188" i="48"/>
  <c r="P52" i="44"/>
  <c r="S195" i="48"/>
  <c r="Q24" i="48"/>
  <c r="Q188" i="44"/>
  <c r="AE59" i="54"/>
  <c r="S114" i="48"/>
  <c r="R221" i="48"/>
  <c r="AE208" i="54"/>
  <c r="R96" i="48"/>
  <c r="R51" i="48"/>
  <c r="P74" i="44"/>
  <c r="R89" i="48"/>
  <c r="R153" i="48"/>
  <c r="BH153" i="48" s="1"/>
  <c r="R76" i="48"/>
  <c r="Q141" i="48"/>
  <c r="Q75" i="44"/>
  <c r="S204" i="44"/>
  <c r="AE198" i="54"/>
  <c r="R11" i="48"/>
  <c r="R132" i="48"/>
  <c r="BH132" i="48" s="1"/>
  <c r="Q61" i="48"/>
  <c r="R4" i="48"/>
  <c r="Q187" i="44"/>
  <c r="AE189" i="54"/>
  <c r="Q99" i="48"/>
  <c r="Q185" i="48"/>
  <c r="P77" i="48"/>
  <c r="P65" i="44"/>
  <c r="AE115" i="54"/>
  <c r="R82" i="44"/>
  <c r="Q168" i="44"/>
  <c r="S107" i="44"/>
  <c r="P202" i="48"/>
  <c r="P20" i="48"/>
  <c r="R105" i="48"/>
  <c r="R70" i="44"/>
  <c r="Q38" i="48"/>
  <c r="R110" i="48"/>
  <c r="P18" i="48"/>
  <c r="S81" i="48"/>
  <c r="R65" i="48"/>
  <c r="S59" i="48"/>
  <c r="AE194" i="54"/>
  <c r="S135" i="44"/>
  <c r="P122" i="44"/>
  <c r="Q223" i="48"/>
  <c r="Q160" i="44"/>
  <c r="Q3" i="44"/>
  <c r="P69" i="48"/>
  <c r="AE122" i="54"/>
  <c r="P66" i="44"/>
  <c r="S64" i="44"/>
  <c r="S149" i="48"/>
  <c r="Q2" i="48"/>
  <c r="S30" i="48"/>
  <c r="S29" i="48"/>
  <c r="Q3" i="48"/>
  <c r="R139" i="44"/>
  <c r="Q55" i="48"/>
  <c r="Q214" i="44"/>
  <c r="Q192" i="44"/>
  <c r="S21" i="48"/>
  <c r="AE29" i="54"/>
  <c r="R23" i="44"/>
  <c r="S55" i="44"/>
  <c r="R86" i="48"/>
  <c r="Q113" i="44"/>
  <c r="S145" i="48"/>
  <c r="R92" i="44"/>
  <c r="R78" i="44"/>
  <c r="P72" i="48"/>
  <c r="AE67" i="54"/>
  <c r="AE211" i="54"/>
  <c r="Q26" i="48"/>
  <c r="AE61" i="54"/>
  <c r="Q4" i="48"/>
  <c r="AE95" i="54"/>
  <c r="R74" i="44"/>
  <c r="S94" i="48"/>
  <c r="S36" i="48"/>
  <c r="P167" i="48"/>
  <c r="BF167" i="48" s="1"/>
  <c r="AE173" i="54"/>
  <c r="S193" i="44"/>
  <c r="S131" i="44"/>
  <c r="Q10" i="48"/>
  <c r="R111" i="44"/>
  <c r="Q5" i="48"/>
  <c r="P192" i="44"/>
  <c r="S193" i="48"/>
  <c r="P189" i="44"/>
  <c r="AE140" i="54"/>
  <c r="S9" i="48"/>
  <c r="AE11" i="54"/>
  <c r="S88" i="44"/>
  <c r="P87" i="48"/>
  <c r="S56" i="48"/>
  <c r="R168" i="48"/>
  <c r="BH168" i="48" s="1"/>
  <c r="P193" i="48"/>
  <c r="BF193" i="48" s="1"/>
  <c r="S201" i="48"/>
  <c r="AE22" i="54"/>
  <c r="S6" i="48"/>
  <c r="S218" i="48"/>
  <c r="P172" i="48"/>
  <c r="BF172" i="48" s="1"/>
  <c r="P206" i="44"/>
  <c r="S35" i="44"/>
  <c r="R174" i="48"/>
  <c r="BH174" i="48" s="1"/>
  <c r="P159" i="48"/>
  <c r="BF159" i="48" s="1"/>
  <c r="Q192" i="48"/>
  <c r="R99" i="44"/>
  <c r="P71" i="44"/>
  <c r="R193" i="44"/>
  <c r="S81" i="44"/>
  <c r="S196" i="44"/>
  <c r="R197" i="48"/>
  <c r="BH197" i="48" s="1"/>
  <c r="R160" i="44"/>
  <c r="Q132" i="44"/>
  <c r="R190" i="44"/>
  <c r="S153" i="44"/>
  <c r="R182" i="48"/>
  <c r="BH182" i="48" s="1"/>
  <c r="Q73" i="48"/>
  <c r="AE206" i="54"/>
  <c r="Q160" i="48"/>
  <c r="S72" i="48"/>
  <c r="P11" i="44"/>
  <c r="AE199" i="54"/>
  <c r="AE109" i="54"/>
  <c r="R216" i="44"/>
  <c r="S65" i="48"/>
  <c r="S159" i="48"/>
  <c r="S137" i="48"/>
  <c r="S82" i="48"/>
  <c r="AE75" i="54"/>
  <c r="Q59" i="44"/>
  <c r="R199" i="44"/>
  <c r="R173" i="48"/>
  <c r="BH173" i="48" s="1"/>
  <c r="P204" i="44"/>
  <c r="R188" i="44"/>
  <c r="Q177" i="48"/>
  <c r="P71" i="48"/>
  <c r="P21" i="44"/>
  <c r="AE131" i="54"/>
  <c r="P123" i="48"/>
  <c r="BF123" i="48" s="1"/>
  <c r="S112" i="48"/>
  <c r="S92" i="44"/>
  <c r="Q166" i="48"/>
  <c r="S168" i="48"/>
  <c r="S55" i="48"/>
  <c r="S105" i="48"/>
  <c r="R44" i="48"/>
  <c r="S150" i="48"/>
  <c r="P150" i="44"/>
  <c r="Q37" i="44"/>
  <c r="S5" i="48"/>
  <c r="AE117" i="54"/>
  <c r="R205" i="48"/>
  <c r="S176" i="48"/>
  <c r="Q108" i="44"/>
  <c r="S83" i="48"/>
  <c r="Q37" i="48"/>
  <c r="P74" i="48"/>
  <c r="Q147" i="44"/>
  <c r="S79" i="44"/>
  <c r="R45" i="48"/>
  <c r="S118" i="48"/>
  <c r="P192" i="48"/>
  <c r="BF192" i="48" s="1"/>
  <c r="R53" i="44"/>
  <c r="R123" i="48"/>
  <c r="BH123" i="48" s="1"/>
  <c r="S165" i="48"/>
  <c r="AE148" i="54"/>
  <c r="Q168" i="48"/>
  <c r="S207" i="48"/>
  <c r="S18" i="44"/>
  <c r="P70" i="48"/>
  <c r="S111" i="48"/>
  <c r="S97" i="48"/>
  <c r="S214" i="44"/>
  <c r="P160" i="48"/>
  <c r="BF160" i="48" s="1"/>
  <c r="S106" i="48"/>
  <c r="R30" i="48"/>
  <c r="Q199" i="48"/>
  <c r="P119" i="48"/>
  <c r="BF119" i="48" s="1"/>
  <c r="Q105" i="44"/>
  <c r="S185" i="48"/>
  <c r="AE121" i="54"/>
  <c r="Q208" i="44"/>
  <c r="P196" i="48"/>
  <c r="BF196" i="48" s="1"/>
  <c r="AE4" i="54"/>
  <c r="S169" i="48"/>
  <c r="S209" i="44"/>
  <c r="S38" i="44"/>
  <c r="Q137" i="48"/>
  <c r="R51" i="44"/>
  <c r="AE220" i="54"/>
  <c r="Q9" i="44"/>
  <c r="S150" i="44"/>
  <c r="Q78" i="44"/>
  <c r="S211" i="48"/>
  <c r="P127" i="44"/>
  <c r="R75" i="44"/>
  <c r="Q32" i="44"/>
  <c r="R187" i="48"/>
  <c r="BH187" i="48" s="1"/>
  <c r="S73" i="44"/>
  <c r="AE127" i="54"/>
  <c r="AE147" i="54"/>
  <c r="S139" i="48"/>
  <c r="P50" i="48"/>
  <c r="R211" i="48"/>
  <c r="Q65" i="44"/>
  <c r="R34" i="48"/>
  <c r="P37" i="48"/>
  <c r="P208" i="48"/>
  <c r="R110" i="44"/>
  <c r="R135" i="48"/>
  <c r="BH135" i="48" s="1"/>
  <c r="AE130" i="54"/>
  <c r="S134" i="48"/>
  <c r="Q222" i="48"/>
  <c r="S94" i="44"/>
  <c r="S123" i="48"/>
  <c r="R13" i="44"/>
  <c r="Q145" i="44"/>
  <c r="P154" i="44"/>
  <c r="R71" i="48"/>
  <c r="S100" i="48"/>
  <c r="AE155" i="54"/>
  <c r="R61" i="44"/>
  <c r="AE5" i="54"/>
  <c r="P125" i="48"/>
  <c r="BF125" i="48" s="1"/>
  <c r="Q182" i="48"/>
  <c r="Q57" i="48"/>
  <c r="S110" i="48"/>
  <c r="AE86" i="54"/>
  <c r="R12" i="48"/>
  <c r="S108" i="48"/>
  <c r="AE41" i="54"/>
  <c r="S132" i="48"/>
  <c r="P146" i="44"/>
  <c r="S171" i="48"/>
  <c r="S36" i="44"/>
  <c r="P128" i="48"/>
  <c r="BF128" i="48" s="1"/>
  <c r="Q81" i="44"/>
  <c r="S140" i="48"/>
  <c r="S76" i="44"/>
  <c r="S142" i="48"/>
  <c r="Q26" i="44"/>
  <c r="R22" i="48"/>
  <c r="S120" i="48"/>
  <c r="Q19" i="48"/>
  <c r="R207" i="44"/>
  <c r="R195" i="44"/>
  <c r="P197" i="44"/>
  <c r="S33" i="48"/>
  <c r="AE44" i="54"/>
  <c r="S141" i="48"/>
  <c r="R2" i="48"/>
  <c r="S17" i="44"/>
  <c r="S63" i="44"/>
  <c r="R29" i="48"/>
  <c r="AE210" i="54"/>
  <c r="Q84" i="48"/>
  <c r="Q100" i="44"/>
  <c r="S38" i="48"/>
  <c r="P210" i="48"/>
  <c r="AE64" i="54"/>
  <c r="S75" i="48"/>
  <c r="P47" i="48"/>
  <c r="R192" i="44"/>
  <c r="R69" i="44"/>
  <c r="P115" i="48"/>
  <c r="BF115" i="48" s="1"/>
  <c r="P93" i="48"/>
  <c r="Q33" i="48"/>
  <c r="P86" i="48"/>
  <c r="Q195" i="48"/>
  <c r="S178" i="48"/>
  <c r="S200" i="48"/>
  <c r="R134" i="48"/>
  <c r="BH134" i="48" s="1"/>
  <c r="R194" i="48"/>
  <c r="BH194" i="48" s="1"/>
  <c r="R90" i="44"/>
  <c r="S129" i="44"/>
  <c r="P42" i="48"/>
  <c r="P106" i="48"/>
  <c r="P131" i="44"/>
  <c r="S136" i="44"/>
  <c r="P103" i="48"/>
  <c r="P183" i="48"/>
  <c r="BF183" i="48" s="1"/>
  <c r="P75" i="44"/>
  <c r="R52" i="44"/>
  <c r="R220" i="44"/>
  <c r="Q74" i="44"/>
  <c r="P163" i="44"/>
  <c r="R84" i="44"/>
  <c r="R163" i="48"/>
  <c r="BH163" i="48" s="1"/>
  <c r="R43" i="44"/>
  <c r="P81" i="48"/>
  <c r="S194" i="48"/>
  <c r="Q165" i="48"/>
  <c r="R128" i="48"/>
  <c r="BH128" i="48" s="1"/>
  <c r="R9" i="44"/>
  <c r="P211" i="48"/>
  <c r="P53" i="48"/>
  <c r="Q130" i="44"/>
  <c r="S10" i="44"/>
  <c r="S66" i="48"/>
  <c r="Q176" i="44"/>
  <c r="AE101" i="54"/>
  <c r="S32" i="44"/>
  <c r="Q164" i="48"/>
  <c r="Q84" i="44"/>
  <c r="Q16" i="44"/>
  <c r="S90" i="48"/>
  <c r="S12" i="48"/>
  <c r="R217" i="48"/>
  <c r="Q87" i="44"/>
  <c r="Q171" i="44"/>
  <c r="R97" i="48"/>
  <c r="P223" i="48"/>
  <c r="AE217" i="54"/>
  <c r="AE141" i="54"/>
  <c r="S73" i="48"/>
  <c r="S198" i="48"/>
  <c r="R39" i="48"/>
  <c r="S123" i="44"/>
  <c r="S215" i="48"/>
  <c r="R33" i="48"/>
  <c r="Q90" i="48"/>
  <c r="S14" i="44"/>
  <c r="R54" i="48"/>
  <c r="AE200" i="54"/>
  <c r="S151" i="44"/>
  <c r="Q97" i="44"/>
  <c r="P217" i="44"/>
  <c r="S181" i="44"/>
  <c r="R16" i="48"/>
  <c r="R111" i="48"/>
  <c r="AE120" i="54"/>
  <c r="P130" i="48"/>
  <c r="BF130" i="48" s="1"/>
  <c r="P168" i="48"/>
  <c r="BF168" i="48" s="1"/>
  <c r="Q158" i="48"/>
  <c r="S58" i="48"/>
  <c r="Q169" i="44"/>
  <c r="Q117" i="44"/>
  <c r="Q186" i="48"/>
  <c r="AE215" i="54"/>
  <c r="S27" i="44"/>
  <c r="P14" i="48"/>
  <c r="S47" i="48"/>
  <c r="R35" i="48"/>
  <c r="P219" i="48"/>
  <c r="R186" i="44"/>
  <c r="S126" i="44"/>
  <c r="R83" i="44"/>
  <c r="AE150" i="54"/>
  <c r="R209" i="44"/>
  <c r="S70" i="48"/>
  <c r="Q64" i="48"/>
  <c r="Q207" i="48"/>
  <c r="Q136" i="44"/>
  <c r="S78" i="48"/>
  <c r="AE145" i="54"/>
  <c r="P112" i="44"/>
  <c r="R5" i="44"/>
  <c r="S186" i="48"/>
  <c r="R214" i="44"/>
  <c r="P142" i="48"/>
  <c r="BF142" i="48" s="1"/>
  <c r="P76" i="48"/>
  <c r="R79" i="48"/>
  <c r="R49" i="48"/>
  <c r="Q87" i="48"/>
  <c r="Q128" i="48"/>
  <c r="Q97" i="48"/>
  <c r="S144" i="44"/>
  <c r="Q138" i="48"/>
  <c r="R192" i="48"/>
  <c r="BH192" i="48" s="1"/>
  <c r="R85" i="48"/>
  <c r="P173" i="44"/>
  <c r="S93" i="44"/>
  <c r="R88" i="44"/>
  <c r="R71" i="44"/>
  <c r="S48" i="48"/>
  <c r="P62" i="44"/>
  <c r="Q152" i="44"/>
  <c r="S37" i="48"/>
  <c r="R60" i="44"/>
  <c r="Q155" i="48"/>
  <c r="R169" i="44"/>
  <c r="R141" i="48"/>
  <c r="BH141" i="48" s="1"/>
  <c r="P42" i="44"/>
  <c r="R193" i="48"/>
  <c r="BH193" i="48" s="1"/>
  <c r="S151" i="48"/>
  <c r="AE174" i="54"/>
  <c r="AE152" i="54"/>
  <c r="S170" i="44"/>
  <c r="S160" i="44"/>
  <c r="S181" i="48"/>
  <c r="R41" i="44"/>
  <c r="R130" i="48"/>
  <c r="BH130" i="48" s="1"/>
  <c r="P190" i="48"/>
  <c r="BF190" i="48" s="1"/>
  <c r="Q174" i="48"/>
  <c r="R140" i="48"/>
  <c r="BH140" i="48" s="1"/>
  <c r="P159" i="44"/>
  <c r="P117" i="48"/>
  <c r="BF117" i="48" s="1"/>
  <c r="S121" i="44"/>
  <c r="P151" i="44"/>
  <c r="P178" i="44"/>
  <c r="S164" i="44"/>
  <c r="Q144" i="44"/>
  <c r="R202" i="48"/>
  <c r="R209" i="48"/>
  <c r="Q212" i="48"/>
  <c r="P220" i="44"/>
  <c r="P163" i="48"/>
  <c r="BF163" i="48" s="1"/>
  <c r="P36" i="48"/>
  <c r="Q148" i="48"/>
  <c r="Q217" i="48"/>
  <c r="S133" i="44"/>
  <c r="R157" i="48"/>
  <c r="BH157" i="48" s="1"/>
  <c r="R178" i="44"/>
  <c r="S107" i="48"/>
  <c r="S31" i="44"/>
  <c r="S67" i="44"/>
  <c r="Q157" i="44"/>
  <c r="P219" i="44"/>
  <c r="Q69" i="44"/>
  <c r="R62" i="44"/>
  <c r="P173" i="48"/>
  <c r="BF173" i="48" s="1"/>
  <c r="S114" i="44"/>
  <c r="S207" i="44"/>
  <c r="P109" i="44"/>
  <c r="Q47" i="44"/>
  <c r="Q167" i="44"/>
  <c r="S202" i="48"/>
  <c r="P226" i="48"/>
  <c r="S221" i="44"/>
  <c r="R148" i="48"/>
  <c r="BH148" i="48" s="1"/>
  <c r="P184" i="44"/>
  <c r="P213" i="44"/>
  <c r="Q198" i="48"/>
  <c r="S44" i="44"/>
  <c r="Q126" i="44"/>
  <c r="R203" i="44"/>
  <c r="S217" i="48"/>
  <c r="S117" i="44"/>
  <c r="S190" i="44"/>
  <c r="P176" i="48"/>
  <c r="BF176" i="48" s="1"/>
  <c r="P134" i="48"/>
  <c r="BF134" i="48" s="1"/>
  <c r="AE146" i="54"/>
  <c r="P152" i="44"/>
  <c r="P7" i="48"/>
  <c r="P144" i="48"/>
  <c r="BF144" i="48" s="1"/>
  <c r="S165" i="44"/>
  <c r="R78" i="48"/>
  <c r="P61" i="44"/>
  <c r="P51" i="44"/>
  <c r="R91" i="48"/>
  <c r="Q48" i="48"/>
  <c r="R29" i="44"/>
  <c r="R76" i="44"/>
  <c r="P182" i="48"/>
  <c r="BF182" i="48" s="1"/>
  <c r="P152" i="48"/>
  <c r="BF152" i="48" s="1"/>
  <c r="Q218" i="44"/>
  <c r="R95" i="44"/>
  <c r="S160" i="48"/>
  <c r="R170" i="48"/>
  <c r="BH170" i="48" s="1"/>
  <c r="R32" i="44"/>
  <c r="Q88" i="48"/>
  <c r="S131" i="48"/>
  <c r="R30" i="44"/>
  <c r="Q47" i="48"/>
  <c r="Q115" i="48"/>
  <c r="P218" i="44"/>
  <c r="Q159" i="44"/>
  <c r="R83" i="48"/>
  <c r="P19" i="44"/>
  <c r="Q40" i="48"/>
  <c r="R164" i="48"/>
  <c r="BH164" i="48" s="1"/>
  <c r="Q167" i="48"/>
  <c r="AE65" i="54"/>
  <c r="P33" i="44"/>
  <c r="P197" i="48"/>
  <c r="BF197" i="48" s="1"/>
  <c r="R149" i="44"/>
  <c r="S47" i="44"/>
  <c r="P88" i="44"/>
  <c r="R210" i="44"/>
  <c r="P60" i="44"/>
  <c r="P167" i="44"/>
  <c r="R187" i="44"/>
  <c r="Q197" i="44"/>
  <c r="P3" i="44"/>
  <c r="Q44" i="48"/>
  <c r="P81" i="44"/>
  <c r="R185" i="44"/>
  <c r="R129" i="44"/>
  <c r="P127" i="48"/>
  <c r="BF127" i="48" s="1"/>
  <c r="R117" i="48"/>
  <c r="BH117" i="48" s="1"/>
  <c r="P76" i="44"/>
  <c r="R33" i="44"/>
  <c r="Q98" i="44"/>
  <c r="P62" i="48"/>
  <c r="P92" i="44"/>
  <c r="R127" i="44"/>
  <c r="P36" i="44"/>
  <c r="P106" i="44"/>
  <c r="R86" i="44"/>
  <c r="R159" i="48"/>
  <c r="BH159" i="48" s="1"/>
  <c r="Q205" i="44"/>
  <c r="AE114" i="54"/>
  <c r="P55" i="48"/>
  <c r="Q173" i="44"/>
  <c r="R37" i="48"/>
  <c r="S98" i="48"/>
  <c r="AE81" i="54"/>
  <c r="S95" i="44"/>
  <c r="P90" i="48"/>
  <c r="R58" i="44"/>
  <c r="Q70" i="44"/>
  <c r="P172" i="44"/>
  <c r="AE90" i="54"/>
  <c r="S177" i="44"/>
  <c r="AE105" i="54"/>
  <c r="R107" i="48"/>
  <c r="Q92" i="48"/>
  <c r="AE205" i="54"/>
  <c r="S98" i="44"/>
  <c r="Q62" i="48"/>
  <c r="P116" i="48"/>
  <c r="BF116" i="48" s="1"/>
  <c r="S147" i="44"/>
  <c r="R208" i="44"/>
  <c r="Q28" i="44"/>
  <c r="S50" i="44"/>
  <c r="AE144" i="54"/>
  <c r="P211" i="44"/>
  <c r="P85" i="48"/>
  <c r="S113" i="44"/>
  <c r="S186" i="44"/>
  <c r="R118" i="48"/>
  <c r="BH118" i="48" s="1"/>
  <c r="Q165" i="44"/>
  <c r="S104" i="48"/>
  <c r="AE154" i="54"/>
  <c r="S213" i="44"/>
  <c r="P68" i="48"/>
  <c r="Q112" i="48"/>
  <c r="Q118" i="48"/>
  <c r="R87" i="48"/>
  <c r="R147" i="48"/>
  <c r="BH147" i="48" s="1"/>
  <c r="Q88" i="44"/>
  <c r="AE58" i="54"/>
  <c r="S106" i="44"/>
  <c r="P102" i="44"/>
  <c r="R119" i="48"/>
  <c r="BH119" i="48" s="1"/>
  <c r="P38" i="44"/>
  <c r="Q211" i="44"/>
  <c r="Q131" i="48"/>
  <c r="P120" i="44"/>
  <c r="P164" i="44"/>
  <c r="S124" i="44"/>
  <c r="P129" i="44"/>
  <c r="R189" i="44"/>
  <c r="Q195" i="44"/>
  <c r="P103" i="44"/>
  <c r="S32" i="48"/>
  <c r="AE92" i="54"/>
  <c r="S162" i="44"/>
  <c r="Q79" i="48"/>
  <c r="P182" i="44"/>
  <c r="S191" i="48"/>
  <c r="S188" i="44"/>
  <c r="P46" i="48"/>
  <c r="P35" i="44"/>
  <c r="Q194" i="48"/>
  <c r="P114" i="44"/>
  <c r="Q2" i="44"/>
  <c r="R93" i="44"/>
  <c r="P188" i="44"/>
  <c r="Q14" i="44"/>
  <c r="S66" i="44"/>
  <c r="Q220" i="48"/>
  <c r="AE203" i="54"/>
  <c r="S28" i="44"/>
  <c r="R220" i="48"/>
  <c r="R16" i="44"/>
  <c r="P133" i="44"/>
  <c r="R66" i="44"/>
  <c r="S75" i="44"/>
  <c r="R142" i="44"/>
  <c r="P91" i="48"/>
  <c r="P4" i="48"/>
  <c r="Q49" i="44"/>
  <c r="Q103" i="48"/>
  <c r="Q69" i="48"/>
  <c r="S89" i="44"/>
  <c r="P113" i="48"/>
  <c r="BF113" i="48" s="1"/>
  <c r="Q133" i="44"/>
  <c r="P58" i="48"/>
  <c r="AE57" i="54"/>
  <c r="S79" i="48"/>
  <c r="S117" i="48"/>
  <c r="R20" i="48"/>
  <c r="P185" i="48"/>
  <c r="BF185" i="48" s="1"/>
  <c r="P32" i="48"/>
  <c r="AE218" i="54"/>
  <c r="P198" i="44"/>
  <c r="P186" i="44"/>
  <c r="R223" i="48"/>
  <c r="AE100" i="54"/>
  <c r="R84" i="48"/>
  <c r="S197" i="48"/>
  <c r="R77" i="48"/>
  <c r="R17" i="44"/>
  <c r="P212" i="44"/>
  <c r="S173" i="48"/>
  <c r="S130" i="48"/>
  <c r="P221" i="44"/>
  <c r="Q208" i="48"/>
  <c r="P174" i="44"/>
  <c r="AE125" i="54"/>
  <c r="Q180" i="48"/>
  <c r="Q48" i="44"/>
  <c r="R145" i="44"/>
  <c r="P217" i="48"/>
  <c r="P175" i="48"/>
  <c r="BF175" i="48" s="1"/>
  <c r="S174" i="48"/>
  <c r="P97" i="48"/>
  <c r="R96" i="44"/>
  <c r="R21" i="48"/>
  <c r="R74" i="48"/>
  <c r="AE31" i="54"/>
  <c r="P188" i="48"/>
  <c r="BF188" i="48" s="1"/>
  <c r="P124" i="48"/>
  <c r="BF124" i="48" s="1"/>
  <c r="Q170" i="48"/>
  <c r="Q89" i="44"/>
  <c r="R161" i="48"/>
  <c r="BH161" i="48" s="1"/>
  <c r="S187" i="44"/>
  <c r="AE54" i="54"/>
  <c r="P30" i="44"/>
  <c r="S110" i="44"/>
  <c r="Q138" i="44"/>
  <c r="R200" i="48"/>
  <c r="BH200" i="48" s="1"/>
  <c r="S153" i="48"/>
  <c r="R217" i="44"/>
  <c r="S51" i="44"/>
  <c r="AE137" i="54"/>
  <c r="P125" i="44"/>
  <c r="Q85" i="48"/>
  <c r="R175" i="48"/>
  <c r="BH175" i="48" s="1"/>
  <c r="R219" i="48"/>
  <c r="P157" i="48"/>
  <c r="BF157" i="48" s="1"/>
  <c r="S20" i="44"/>
  <c r="R73" i="48"/>
  <c r="S141" i="44"/>
  <c r="P220" i="48"/>
  <c r="S49" i="48"/>
  <c r="P100" i="48"/>
  <c r="S53" i="48"/>
  <c r="S213" i="48"/>
  <c r="Q182" i="44"/>
  <c r="P87" i="44"/>
  <c r="Q16" i="48"/>
  <c r="AE192" i="54"/>
  <c r="R188" i="48"/>
  <c r="BH188" i="48" s="1"/>
  <c r="AE186" i="54"/>
  <c r="P13" i="44"/>
  <c r="S115" i="44"/>
  <c r="P171" i="48"/>
  <c r="BF171" i="48" s="1"/>
  <c r="R165" i="48"/>
  <c r="BH165" i="48" s="1"/>
  <c r="P155" i="44"/>
  <c r="P201" i="48"/>
  <c r="BF201" i="48" s="1"/>
  <c r="P56" i="48"/>
  <c r="AE221" i="54"/>
  <c r="P6" i="44"/>
  <c r="AE162" i="54"/>
  <c r="Q14" i="48"/>
  <c r="S220" i="48"/>
  <c r="R38" i="44"/>
  <c r="R9" i="48"/>
  <c r="P30" i="48"/>
  <c r="S43" i="48"/>
  <c r="Q104" i="44"/>
  <c r="R116" i="48"/>
  <c r="BH116" i="48" s="1"/>
  <c r="Q220" i="44"/>
  <c r="R47" i="48"/>
  <c r="AE39" i="54"/>
  <c r="R153" i="44"/>
  <c r="S84" i="48"/>
  <c r="S42" i="48"/>
  <c r="S99" i="44"/>
  <c r="P50" i="44"/>
  <c r="P41" i="48"/>
  <c r="Q91" i="44"/>
  <c r="AE71" i="54"/>
  <c r="R112" i="44"/>
  <c r="Q121" i="44"/>
  <c r="S45" i="44"/>
  <c r="P84" i="48"/>
  <c r="S97" i="44"/>
  <c r="R14" i="44"/>
  <c r="Q5" i="44"/>
  <c r="P193" i="44"/>
  <c r="AE72" i="54"/>
  <c r="S129" i="48"/>
  <c r="P107" i="48"/>
  <c r="Q17" i="44"/>
  <c r="S99" i="48"/>
  <c r="P43" i="44"/>
  <c r="P138" i="48"/>
  <c r="BF138" i="48" s="1"/>
  <c r="R52" i="48"/>
  <c r="P55" i="44"/>
  <c r="AE77" i="54"/>
  <c r="AE70" i="54"/>
  <c r="R24" i="44"/>
  <c r="Q65" i="48"/>
  <c r="P147" i="48"/>
  <c r="BF147" i="48" s="1"/>
  <c r="P216" i="44"/>
  <c r="S195" i="44"/>
  <c r="P43" i="48"/>
  <c r="R97" i="44"/>
  <c r="R166" i="44"/>
  <c r="S31" i="48"/>
  <c r="P5" i="44"/>
  <c r="S130" i="44"/>
  <c r="R218" i="48"/>
  <c r="R85" i="44"/>
  <c r="S221" i="48"/>
  <c r="R107" i="44"/>
  <c r="R173" i="44"/>
  <c r="Q104" i="48"/>
  <c r="Q170" i="44"/>
  <c r="R150" i="48"/>
  <c r="BH150" i="48" s="1"/>
  <c r="R40" i="48"/>
  <c r="Q53" i="48"/>
  <c r="S111" i="44"/>
  <c r="S46" i="48"/>
  <c r="Q42" i="48"/>
  <c r="R57" i="48"/>
  <c r="AE25" i="54"/>
  <c r="P139" i="48"/>
  <c r="BF139" i="48" s="1"/>
  <c r="R21" i="44"/>
  <c r="P54" i="48"/>
  <c r="S24" i="48"/>
  <c r="S166" i="48"/>
  <c r="S12" i="44"/>
  <c r="Q85" i="44"/>
  <c r="Q177" i="44"/>
  <c r="R196" i="44"/>
  <c r="S116" i="44"/>
  <c r="S72" i="44"/>
  <c r="S85" i="48"/>
  <c r="Q21" i="48"/>
  <c r="Q204" i="44"/>
  <c r="AE176" i="54"/>
  <c r="P162" i="44"/>
  <c r="Q125" i="44"/>
  <c r="Q50" i="44"/>
  <c r="AE15" i="54"/>
  <c r="S214" i="48"/>
  <c r="S175" i="48"/>
  <c r="S4" i="44"/>
  <c r="P179" i="44"/>
  <c r="S103" i="44"/>
  <c r="Q210" i="48"/>
  <c r="R91" i="44"/>
  <c r="S177" i="48"/>
  <c r="S120" i="44"/>
  <c r="R148" i="44"/>
  <c r="Q83" i="44"/>
  <c r="Q90" i="44"/>
  <c r="R186" i="48"/>
  <c r="BH186" i="48" s="1"/>
  <c r="Q109" i="48"/>
  <c r="S203" i="48"/>
  <c r="R190" i="48"/>
  <c r="BH190" i="48" s="1"/>
  <c r="Q7" i="48"/>
  <c r="AE48" i="54"/>
  <c r="Q169" i="48"/>
  <c r="R18" i="44"/>
  <c r="R157" i="44"/>
  <c r="P98" i="48"/>
  <c r="Q214" i="48"/>
  <c r="R45" i="44"/>
  <c r="Q61" i="44"/>
  <c r="AE102" i="54"/>
  <c r="R222" i="48"/>
  <c r="P117" i="44"/>
  <c r="Q30" i="44"/>
  <c r="R25" i="48"/>
  <c r="S85" i="44"/>
  <c r="P214" i="48"/>
  <c r="P23" i="48"/>
  <c r="R181" i="44"/>
  <c r="Q111" i="44"/>
  <c r="S103" i="48"/>
  <c r="Q8" i="44"/>
  <c r="S40" i="48"/>
  <c r="Q219" i="48"/>
  <c r="AE184" i="54"/>
  <c r="Q112" i="44"/>
  <c r="S24" i="44"/>
  <c r="Q207" i="44"/>
  <c r="Q163" i="44"/>
  <c r="R90" i="48"/>
  <c r="Q202" i="48"/>
  <c r="Q184" i="44"/>
  <c r="P178" i="48"/>
  <c r="BF178" i="48" s="1"/>
  <c r="R19" i="44"/>
  <c r="P198" i="48"/>
  <c r="BF198" i="48" s="1"/>
  <c r="R154" i="44"/>
  <c r="Q152" i="48"/>
  <c r="S18" i="48"/>
  <c r="AE51" i="54"/>
  <c r="S172" i="44"/>
  <c r="Q15" i="48"/>
  <c r="P177" i="48"/>
  <c r="BF177" i="48" s="1"/>
  <c r="AE47" i="54"/>
  <c r="R116" i="44"/>
  <c r="P149" i="44"/>
  <c r="P56" i="44"/>
  <c r="S220" i="44"/>
  <c r="AE38" i="54"/>
  <c r="R5" i="48"/>
  <c r="P216" i="48"/>
  <c r="AE158" i="54"/>
  <c r="P150" i="48"/>
  <c r="BF150" i="48" s="1"/>
  <c r="R102" i="48"/>
  <c r="P51" i="48"/>
  <c r="Q157" i="48"/>
  <c r="Q82" i="48"/>
  <c r="S20" i="48"/>
  <c r="AE33" i="54"/>
  <c r="Q129" i="48"/>
  <c r="S140" i="44"/>
  <c r="R141" i="44"/>
  <c r="AE213" i="54"/>
  <c r="Q215" i="48"/>
  <c r="P101" i="48"/>
  <c r="R131" i="48"/>
  <c r="BH131" i="48" s="1"/>
  <c r="Q201" i="48"/>
  <c r="S138" i="48"/>
  <c r="P166" i="44"/>
  <c r="S43" i="44"/>
  <c r="S206" i="48"/>
  <c r="P45" i="48"/>
  <c r="Q191" i="44"/>
  <c r="R68" i="48"/>
  <c r="S198" i="44"/>
  <c r="R155" i="48"/>
  <c r="BH155" i="48" s="1"/>
  <c r="Q56" i="44"/>
  <c r="R162" i="44"/>
  <c r="P161" i="48"/>
  <c r="BF161" i="48" s="1"/>
  <c r="R57" i="44"/>
  <c r="S171" i="44"/>
  <c r="S146" i="48"/>
  <c r="P9" i="48"/>
  <c r="Q72" i="44"/>
  <c r="Q156" i="48"/>
  <c r="R31" i="48"/>
  <c r="S41" i="48"/>
  <c r="S119" i="44"/>
  <c r="R151" i="48"/>
  <c r="BH151" i="48" s="1"/>
  <c r="P67" i="48"/>
  <c r="P22" i="44"/>
  <c r="P48" i="44"/>
  <c r="R175" i="44"/>
  <c r="R196" i="48"/>
  <c r="BH196" i="48" s="1"/>
  <c r="AE167" i="54"/>
  <c r="Q191" i="48"/>
  <c r="R18" i="48"/>
  <c r="Q149" i="48"/>
  <c r="P12" i="44"/>
  <c r="AE96" i="54"/>
  <c r="Q205" i="48"/>
  <c r="AE135" i="54"/>
  <c r="Q149" i="44"/>
  <c r="R61" i="48"/>
  <c r="R152" i="48"/>
  <c r="BH152" i="48" s="1"/>
  <c r="Q19" i="44"/>
  <c r="Q22" i="44"/>
  <c r="S3" i="48"/>
  <c r="Q196" i="48"/>
  <c r="AE181" i="54"/>
  <c r="S10" i="48"/>
  <c r="P214" i="44"/>
  <c r="AE168" i="54"/>
  <c r="S59" i="44"/>
  <c r="P99" i="44"/>
  <c r="Q187" i="48"/>
  <c r="P95" i="44"/>
  <c r="Q45" i="44"/>
  <c r="P164" i="48"/>
  <c r="BF164" i="48" s="1"/>
  <c r="S86" i="44"/>
  <c r="Q178" i="48"/>
  <c r="Q161" i="44"/>
  <c r="P26" i="44"/>
  <c r="P162" i="48"/>
  <c r="BF162" i="48" s="1"/>
  <c r="AE74" i="54"/>
  <c r="P44" i="44"/>
  <c r="R100" i="44"/>
  <c r="Q77" i="44"/>
  <c r="P189" i="48"/>
  <c r="BF189" i="48" s="1"/>
  <c r="Q156" i="44"/>
  <c r="AE209" i="54"/>
  <c r="R64" i="44"/>
  <c r="Q179" i="44"/>
  <c r="P128" i="44"/>
  <c r="Q56" i="48"/>
  <c r="AE170" i="54"/>
  <c r="AE50" i="54"/>
  <c r="Q132" i="48"/>
  <c r="S101" i="44"/>
  <c r="P19" i="48"/>
  <c r="S224" i="48"/>
  <c r="P38" i="48"/>
  <c r="R213" i="48"/>
  <c r="R95" i="48"/>
  <c r="S190" i="48"/>
  <c r="R218" i="44"/>
  <c r="Q98" i="48"/>
  <c r="S216" i="44"/>
  <c r="P90" i="44"/>
  <c r="S109" i="44"/>
  <c r="S69" i="48"/>
  <c r="P146" i="48"/>
  <c r="BF146" i="48" s="1"/>
  <c r="S49" i="44"/>
  <c r="R202" i="44"/>
  <c r="P77" i="44"/>
  <c r="R59" i="44"/>
  <c r="Q31" i="44"/>
  <c r="P187" i="48"/>
  <c r="BF187" i="48" s="1"/>
  <c r="S138" i="44"/>
  <c r="P136" i="44"/>
  <c r="R205" i="44"/>
  <c r="Q45" i="48"/>
  <c r="S210" i="44"/>
  <c r="Q73" i="44"/>
  <c r="P25" i="44"/>
  <c r="S167" i="44"/>
  <c r="R53" i="48"/>
  <c r="R26" i="48"/>
  <c r="S143" i="44"/>
  <c r="Q93" i="48"/>
  <c r="R114" i="44"/>
  <c r="P66" i="48"/>
  <c r="R134" i="44"/>
  <c r="P8" i="44"/>
  <c r="P123" i="44"/>
  <c r="AE35" i="54"/>
  <c r="S161" i="48"/>
  <c r="S199" i="44"/>
  <c r="Q193" i="48"/>
  <c r="S57" i="44"/>
  <c r="Q32" i="48"/>
  <c r="S8" i="44"/>
  <c r="R82" i="48"/>
  <c r="P16" i="48"/>
  <c r="R10" i="44"/>
  <c r="R131" i="44"/>
  <c r="S26" i="44"/>
  <c r="AE62" i="54"/>
  <c r="R198" i="48"/>
  <c r="BH198" i="48" s="1"/>
  <c r="S170" i="48"/>
  <c r="S41" i="44"/>
  <c r="Q42" i="44"/>
  <c r="P2" i="48"/>
  <c r="P69" i="44"/>
  <c r="S119" i="48"/>
  <c r="AE179" i="54"/>
  <c r="Q213" i="44"/>
  <c r="P34" i="44"/>
  <c r="S101" i="48"/>
  <c r="Q67" i="48"/>
  <c r="S105" i="44"/>
  <c r="Q18" i="48"/>
  <c r="S42" i="44"/>
  <c r="R155" i="44"/>
  <c r="P84" i="44"/>
  <c r="P8" i="48"/>
  <c r="Q139" i="44"/>
  <c r="S184" i="44"/>
  <c r="P53" i="44"/>
  <c r="R179" i="44"/>
  <c r="P15" i="44"/>
  <c r="P107" i="44"/>
  <c r="Q81" i="48"/>
  <c r="Q54" i="48"/>
  <c r="R10" i="48"/>
  <c r="S62" i="44"/>
  <c r="Q172" i="44"/>
  <c r="R177" i="48"/>
  <c r="BH177" i="48" s="1"/>
  <c r="S152" i="44"/>
  <c r="Q83" i="48"/>
  <c r="AE63" i="54"/>
  <c r="P191" i="48"/>
  <c r="BF191" i="48" s="1"/>
  <c r="AE171" i="54"/>
  <c r="S200" i="44"/>
  <c r="AE55" i="54"/>
  <c r="P39" i="44"/>
  <c r="S60" i="44"/>
  <c r="R149" i="48"/>
  <c r="BH149" i="48" s="1"/>
  <c r="Q120" i="48"/>
  <c r="R180" i="48"/>
  <c r="BH180" i="48" s="1"/>
  <c r="P148" i="44"/>
  <c r="R208" i="48"/>
  <c r="P29" i="44"/>
  <c r="P170" i="44"/>
  <c r="S187" i="48"/>
  <c r="P203" i="48"/>
  <c r="P215" i="44"/>
  <c r="Q20" i="44"/>
  <c r="S156" i="44"/>
  <c r="S80" i="48"/>
  <c r="R219" i="44"/>
  <c r="AE149" i="54"/>
  <c r="P134" i="44"/>
  <c r="S158" i="44"/>
  <c r="R34" i="44"/>
  <c r="Q137" i="44"/>
  <c r="S29" i="44"/>
  <c r="S78" i="44"/>
  <c r="P179" i="48"/>
  <c r="BF179" i="48" s="1"/>
  <c r="AE172" i="54"/>
  <c r="R204" i="44"/>
  <c r="P52" i="48"/>
  <c r="P139" i="44"/>
  <c r="P144" i="44"/>
  <c r="S100" i="44"/>
  <c r="Q95" i="48"/>
  <c r="R15" i="48"/>
  <c r="R224" i="48"/>
  <c r="S74" i="48"/>
  <c r="S30" i="44"/>
  <c r="AE116" i="54"/>
  <c r="S116" i="48"/>
  <c r="AE175" i="54"/>
  <c r="R106" i="44"/>
  <c r="P59" i="48"/>
  <c r="AE139" i="54"/>
  <c r="Q114" i="44"/>
  <c r="P121" i="48"/>
  <c r="BF121" i="48" s="1"/>
  <c r="P203" i="44"/>
  <c r="Q134" i="44"/>
  <c r="AE133" i="54"/>
  <c r="S83" i="44"/>
  <c r="P156" i="48"/>
  <c r="BF156" i="48" s="1"/>
  <c r="AE110" i="54"/>
  <c r="S80" i="44"/>
  <c r="P101" i="44"/>
  <c r="P116" i="44"/>
  <c r="S51" i="48"/>
  <c r="R44" i="44"/>
  <c r="S84" i="44"/>
  <c r="Q71" i="44"/>
  <c r="Q58" i="44"/>
  <c r="Q190" i="44"/>
  <c r="R181" i="48"/>
  <c r="BH181" i="48" s="1"/>
  <c r="Q63" i="48"/>
  <c r="S179" i="44"/>
  <c r="P137" i="44"/>
  <c r="R146" i="44"/>
  <c r="S209" i="48"/>
  <c r="S155" i="44"/>
  <c r="P154" i="48"/>
  <c r="BF154" i="48" s="1"/>
  <c r="AE123" i="54"/>
  <c r="S179" i="48"/>
  <c r="P13" i="48"/>
  <c r="R144" i="48"/>
  <c r="BH144" i="48" s="1"/>
  <c r="AE178" i="54"/>
  <c r="P151" i="48"/>
  <c r="BF151" i="48" s="1"/>
  <c r="P102" i="48"/>
  <c r="S158" i="48"/>
  <c r="S65" i="44"/>
  <c r="R221" i="44"/>
  <c r="R215" i="48"/>
  <c r="S68" i="44"/>
  <c r="R103" i="48"/>
  <c r="R213" i="44"/>
  <c r="R136" i="48"/>
  <c r="BH136" i="48" s="1"/>
  <c r="P6" i="48"/>
  <c r="Q58" i="48"/>
  <c r="P187" i="44"/>
  <c r="R28" i="44"/>
  <c r="Q96" i="48"/>
  <c r="R42" i="44"/>
  <c r="Q153" i="44"/>
  <c r="S76" i="48"/>
  <c r="R56" i="44"/>
  <c r="R46" i="44"/>
  <c r="Q159" i="48"/>
  <c r="R226" i="48"/>
  <c r="S71" i="44"/>
  <c r="P156" i="44"/>
  <c r="S210" i="48"/>
  <c r="R172" i="44"/>
  <c r="Q107" i="44"/>
  <c r="P12" i="48"/>
  <c r="R145" i="48"/>
  <c r="BH145" i="48" s="1"/>
  <c r="P204" i="48"/>
  <c r="Q142" i="44"/>
  <c r="S167" i="48"/>
  <c r="P63" i="48"/>
  <c r="P47" i="44"/>
  <c r="AE111" i="54"/>
  <c r="S149" i="44"/>
  <c r="R152" i="44"/>
  <c r="Q79" i="44"/>
  <c r="S163" i="44"/>
  <c r="P190" i="44"/>
  <c r="Q224" i="48"/>
  <c r="Q154" i="48"/>
  <c r="Q94" i="48"/>
  <c r="R92" i="48"/>
  <c r="Q221" i="44"/>
  <c r="S60" i="48"/>
  <c r="Q201" i="44"/>
  <c r="P132" i="48"/>
  <c r="BF132" i="48" s="1"/>
  <c r="Q74" i="48"/>
  <c r="R104" i="44"/>
  <c r="R156" i="48"/>
  <c r="BH156" i="48" s="1"/>
  <c r="R117" i="44"/>
  <c r="Q105" i="48"/>
  <c r="R64" i="48"/>
  <c r="S189" i="44"/>
  <c r="Q82" i="44"/>
  <c r="AE27" i="54"/>
  <c r="Q206" i="44"/>
  <c r="Q94" i="44"/>
  <c r="Q52" i="48"/>
  <c r="Q145" i="48"/>
  <c r="P28" i="48"/>
  <c r="R171" i="48"/>
  <c r="BH171" i="48" s="1"/>
  <c r="P80" i="44"/>
  <c r="P138" i="44"/>
  <c r="Q125" i="48"/>
  <c r="Q92" i="44"/>
  <c r="S96" i="44"/>
  <c r="P124" i="44"/>
  <c r="S5" i="44"/>
  <c r="R191" i="44"/>
  <c r="Q76" i="44"/>
  <c r="P180" i="48"/>
  <c r="BF180" i="48" s="1"/>
  <c r="P147" i="44"/>
  <c r="Q172" i="48"/>
  <c r="P209" i="44"/>
  <c r="P80" i="48"/>
  <c r="Q107" i="48"/>
  <c r="S56" i="44"/>
  <c r="AE197" i="54"/>
  <c r="R23" i="48"/>
  <c r="Q216" i="48"/>
  <c r="S53" i="44"/>
  <c r="P184" i="48"/>
  <c r="BF184" i="48" s="1"/>
  <c r="S54" i="44"/>
  <c r="S125" i="48"/>
  <c r="Q164" i="44"/>
  <c r="Q146" i="48"/>
  <c r="P224" i="48"/>
  <c r="Q158" i="44"/>
  <c r="S102" i="44"/>
  <c r="S143" i="48"/>
  <c r="Q17" i="48"/>
  <c r="R124" i="48"/>
  <c r="BH124" i="48" s="1"/>
  <c r="S222" i="48"/>
  <c r="P86" i="44"/>
  <c r="S212" i="44"/>
  <c r="R68" i="44"/>
  <c r="R8" i="44"/>
  <c r="Q35" i="48"/>
  <c r="Q23" i="44"/>
  <c r="S147" i="48"/>
  <c r="R36" i="44"/>
  <c r="Q154" i="44"/>
  <c r="S64" i="48"/>
  <c r="S139" i="44"/>
  <c r="R73" i="44"/>
  <c r="S46" i="44"/>
  <c r="AE103" i="54"/>
  <c r="Q203" i="44"/>
  <c r="Q140" i="44"/>
  <c r="S113" i="48"/>
  <c r="Q25" i="44"/>
  <c r="P31" i="48"/>
  <c r="R139" i="48"/>
  <c r="BH139" i="48" s="1"/>
  <c r="R114" i="48"/>
  <c r="BH114" i="48" s="1"/>
  <c r="Q68" i="48"/>
  <c r="Q183" i="48"/>
  <c r="S48" i="44"/>
  <c r="R184" i="44"/>
  <c r="R109" i="48"/>
  <c r="AE216" i="54"/>
  <c r="P191" i="44"/>
  <c r="AE17" i="54"/>
  <c r="AE180" i="54"/>
  <c r="S34" i="44"/>
  <c r="S208" i="44"/>
  <c r="AE107" i="54"/>
  <c r="R32" i="48"/>
  <c r="R113" i="44"/>
  <c r="Q28" i="48"/>
  <c r="Q133" i="48"/>
  <c r="AE26" i="54"/>
  <c r="S211" i="44"/>
  <c r="R26" i="44"/>
  <c r="Q52" i="44"/>
  <c r="AE190" i="54"/>
  <c r="P23" i="44"/>
  <c r="P88" i="48"/>
  <c r="R50" i="44"/>
  <c r="R80" i="44"/>
  <c r="AE36" i="54"/>
  <c r="AE56" i="54"/>
  <c r="P70" i="44"/>
  <c r="AE94" i="54"/>
  <c r="S87" i="44"/>
  <c r="R98" i="48"/>
  <c r="Q176" i="48"/>
  <c r="P63" i="44"/>
  <c r="P57" i="48"/>
  <c r="R180" i="44"/>
  <c r="S148" i="44"/>
  <c r="P15" i="48"/>
  <c r="Q139" i="48"/>
  <c r="P72" i="44"/>
  <c r="R27" i="48"/>
  <c r="Q217" i="44"/>
  <c r="AE142" i="54"/>
  <c r="S19" i="48"/>
  <c r="Q141" i="44"/>
  <c r="Q75" i="48"/>
  <c r="S175" i="44"/>
  <c r="P122" i="48"/>
  <c r="BF122" i="48" s="1"/>
  <c r="S204" i="48"/>
  <c r="S168" i="44"/>
  <c r="Q50" i="48"/>
  <c r="P143" i="44"/>
  <c r="P225" i="48"/>
  <c r="P213" i="48"/>
  <c r="R62" i="48"/>
  <c r="Q30" i="48"/>
  <c r="AE37" i="54"/>
  <c r="R67" i="48"/>
  <c r="P185" i="44"/>
  <c r="Q68" i="44"/>
  <c r="S202" i="44"/>
  <c r="R109" i="44"/>
  <c r="S182" i="44"/>
  <c r="Q162" i="44"/>
  <c r="R156" i="44"/>
  <c r="Q206" i="48"/>
  <c r="S68" i="48"/>
  <c r="Q53" i="44"/>
  <c r="P221" i="48"/>
  <c r="AE204" i="54"/>
  <c r="R194" i="44"/>
  <c r="Q106" i="48"/>
  <c r="R66" i="48"/>
  <c r="Q39" i="44"/>
  <c r="P215" i="48"/>
  <c r="P85" i="44"/>
  <c r="R63" i="48"/>
  <c r="S11" i="44"/>
  <c r="R27" i="44"/>
  <c r="AE153" i="54"/>
  <c r="R130" i="44"/>
  <c r="Q166" i="44"/>
  <c r="R108" i="48"/>
  <c r="AE19" i="54"/>
  <c r="R24" i="48"/>
  <c r="P218" i="48"/>
  <c r="Q49" i="48"/>
  <c r="R3" i="48"/>
  <c r="R184" i="48"/>
  <c r="BH184" i="48" s="1"/>
  <c r="P73" i="44"/>
  <c r="P111" i="44"/>
  <c r="S90" i="44"/>
  <c r="Q10" i="44"/>
  <c r="R4" i="44"/>
  <c r="S174" i="44"/>
  <c r="P59" i="44"/>
  <c r="S77" i="44"/>
  <c r="Q146" i="44"/>
  <c r="R206" i="44"/>
  <c r="R101" i="44"/>
  <c r="AE132" i="54"/>
  <c r="S178" i="44"/>
  <c r="Q36" i="44"/>
  <c r="R7" i="48"/>
  <c r="R17" i="48"/>
  <c r="AE13" i="54"/>
  <c r="P28" i="44"/>
  <c r="R99" i="48"/>
  <c r="P25" i="48"/>
  <c r="R195" i="48"/>
  <c r="BH195" i="48" s="1"/>
  <c r="R135" i="44"/>
  <c r="P169" i="44"/>
  <c r="S127" i="48"/>
  <c r="P133" i="48"/>
  <c r="BF133" i="48" s="1"/>
  <c r="R106" i="48"/>
  <c r="AE34" i="54"/>
  <c r="R162" i="48"/>
  <c r="BH162" i="48" s="1"/>
  <c r="P26" i="48"/>
  <c r="S124" i="48"/>
  <c r="R212" i="44"/>
  <c r="S219" i="44"/>
  <c r="S148" i="48"/>
  <c r="P99" i="48"/>
  <c r="R201" i="44"/>
  <c r="AE21" i="54"/>
  <c r="P16" i="44"/>
  <c r="Q11" i="48"/>
  <c r="AE9" i="54"/>
  <c r="S8" i="48"/>
  <c r="P10" i="48"/>
  <c r="Q66" i="48"/>
  <c r="Q143" i="48"/>
  <c r="P73" i="48"/>
  <c r="Q108" i="48"/>
  <c r="S63" i="48"/>
  <c r="P207" i="48"/>
  <c r="AE202" i="54"/>
  <c r="AE124" i="54"/>
  <c r="S176" i="44"/>
  <c r="AE156" i="54"/>
  <c r="P199" i="44"/>
  <c r="P46" i="44"/>
  <c r="R112" i="48"/>
  <c r="BH112" i="48" s="1"/>
  <c r="AE157" i="54"/>
  <c r="R123" i="44"/>
  <c r="S118" i="44"/>
  <c r="Q114" i="48"/>
  <c r="S185" i="44"/>
  <c r="P205" i="48"/>
  <c r="AE143" i="54"/>
  <c r="Q129" i="44"/>
  <c r="Q186" i="44"/>
  <c r="Q43" i="48"/>
  <c r="P22" i="48"/>
  <c r="R42" i="48"/>
  <c r="R198" i="44"/>
  <c r="Q200" i="44"/>
  <c r="AE69" i="54"/>
  <c r="R215" i="44"/>
  <c r="AE84" i="54"/>
  <c r="R36" i="48"/>
  <c r="Q77" i="48"/>
  <c r="Q6" i="44"/>
  <c r="P186" i="48"/>
  <c r="BF186" i="48" s="1"/>
  <c r="R56" i="48"/>
  <c r="R72" i="48"/>
  <c r="P96" i="44"/>
  <c r="Q12" i="44"/>
  <c r="P78" i="44"/>
  <c r="P155" i="48"/>
  <c r="BF155" i="48" s="1"/>
  <c r="P115" i="44"/>
  <c r="Q109" i="44"/>
  <c r="AE183" i="54"/>
  <c r="AE159" i="54"/>
  <c r="P68" i="44"/>
  <c r="Q116" i="48"/>
  <c r="Q39" i="48"/>
  <c r="R121" i="44"/>
  <c r="R104" i="48"/>
  <c r="P148" i="48"/>
  <c r="BF148" i="48" s="1"/>
  <c r="P160" i="44"/>
  <c r="P67" i="44"/>
  <c r="S104" i="44"/>
  <c r="S135" i="48"/>
  <c r="P4" i="44"/>
  <c r="P202" i="44"/>
  <c r="S128" i="44"/>
  <c r="R191" i="48"/>
  <c r="BH191" i="48" s="1"/>
  <c r="P135" i="44"/>
  <c r="Q196" i="44"/>
  <c r="P111" i="48"/>
  <c r="Q155" i="44"/>
  <c r="R124" i="44"/>
  <c r="P195" i="44"/>
  <c r="R158" i="48"/>
  <c r="BH158" i="48" s="1"/>
  <c r="P210" i="44"/>
  <c r="S23" i="44"/>
  <c r="P9" i="44"/>
  <c r="R179" i="48"/>
  <c r="BH179" i="48" s="1"/>
  <c r="Q12" i="48"/>
  <c r="Q148" i="44"/>
  <c r="AE126" i="54"/>
  <c r="S13" i="44"/>
  <c r="P82" i="44"/>
  <c r="R47" i="44"/>
  <c r="Q225" i="48"/>
  <c r="P175" i="44"/>
  <c r="R31" i="44"/>
  <c r="S203" i="44"/>
  <c r="Q203" i="48"/>
  <c r="S6" i="44"/>
  <c r="P205" i="44"/>
  <c r="R48" i="44"/>
  <c r="Q184" i="48"/>
  <c r="P201" i="44"/>
  <c r="R2" i="44"/>
  <c r="R137" i="48"/>
  <c r="BH137" i="48" s="1"/>
  <c r="AE201" i="54"/>
  <c r="Q127" i="48"/>
  <c r="Q67" i="44"/>
  <c r="AE83" i="54"/>
  <c r="AE185" i="54"/>
  <c r="S21" i="44"/>
  <c r="S218" i="44"/>
  <c r="R50" i="48"/>
  <c r="R197" i="44"/>
  <c r="P17" i="44"/>
  <c r="Q33" i="44"/>
  <c r="Q185" i="44"/>
  <c r="R115" i="44"/>
  <c r="Q180" i="44"/>
  <c r="P58" i="44"/>
  <c r="S157" i="44"/>
  <c r="Q11" i="44"/>
  <c r="R147" i="44"/>
  <c r="R216" i="48"/>
  <c r="R55" i="48"/>
  <c r="P142" i="44"/>
  <c r="S28" i="48"/>
  <c r="AE191" i="54"/>
  <c r="P177" i="44"/>
  <c r="R214" i="48"/>
  <c r="AE32" i="54"/>
  <c r="Q46" i="48"/>
  <c r="P166" i="48"/>
  <c r="BF166" i="48" s="1"/>
  <c r="P17" i="48"/>
  <c r="S173" i="44"/>
  <c r="R138" i="44"/>
  <c r="R115" i="48"/>
  <c r="BH115" i="48" s="1"/>
  <c r="AE165" i="54"/>
  <c r="P89" i="44"/>
  <c r="S16" i="48"/>
  <c r="Q54" i="44"/>
  <c r="P97" i="44"/>
  <c r="S7" i="44"/>
  <c r="P54" i="44"/>
  <c r="Q63" i="44"/>
  <c r="R102" i="44"/>
  <c r="S159" i="44"/>
  <c r="S128" i="48"/>
  <c r="AE128" i="54"/>
  <c r="P14" i="44"/>
  <c r="Q135" i="48"/>
  <c r="Q161" i="48"/>
  <c r="P140" i="44"/>
  <c r="S26" i="48"/>
  <c r="R183" i="48"/>
  <c r="BH183" i="48" s="1"/>
  <c r="R12" i="44"/>
  <c r="P199" i="48"/>
  <c r="BF199" i="48" s="1"/>
  <c r="Q212" i="44"/>
  <c r="Q71" i="48"/>
  <c r="AE12" i="54"/>
  <c r="S13" i="48"/>
  <c r="R65" i="44"/>
  <c r="R126" i="48"/>
  <c r="BH126" i="48" s="1"/>
  <c r="R146" i="48"/>
  <c r="BH146" i="48" s="1"/>
  <c r="AE108" i="54"/>
  <c r="S11" i="48"/>
  <c r="S39" i="44"/>
  <c r="Q60" i="44"/>
  <c r="R87" i="44"/>
  <c r="Q51" i="44"/>
  <c r="Q38" i="44"/>
  <c r="R167" i="48"/>
  <c r="BH167" i="48" s="1"/>
  <c r="Q9" i="48"/>
  <c r="P168" i="44"/>
  <c r="P137" i="48"/>
  <c r="BF137" i="48" s="1"/>
  <c r="R11" i="44"/>
  <c r="S191" i="44"/>
  <c r="R103" i="44"/>
  <c r="S196" i="48"/>
  <c r="AE99" i="54"/>
  <c r="R136" i="44"/>
  <c r="S208" i="48"/>
  <c r="AE6" i="54"/>
  <c r="P24" i="44"/>
  <c r="AE40" i="54"/>
  <c r="Q194" i="44"/>
  <c r="Q13" i="48"/>
  <c r="Q175" i="44"/>
  <c r="R143" i="48"/>
  <c r="BH143" i="48" s="1"/>
  <c r="R128" i="44"/>
  <c r="S15" i="44"/>
  <c r="Q117" i="48"/>
  <c r="R143" i="44"/>
  <c r="P40" i="44"/>
  <c r="AE42" i="54"/>
  <c r="P222" i="48"/>
  <c r="S172" i="48"/>
  <c r="P153" i="44"/>
  <c r="P118" i="44"/>
  <c r="S161" i="44"/>
  <c r="S95" i="48"/>
  <c r="R144" i="44"/>
  <c r="R182" i="44"/>
  <c r="Q219" i="44"/>
  <c r="Q174" i="44"/>
  <c r="S4" i="48"/>
  <c r="AE20" i="54"/>
  <c r="R105" i="44"/>
  <c r="S40" i="44"/>
  <c r="S92" i="48"/>
  <c r="AE24" i="54"/>
  <c r="P48" i="48"/>
  <c r="S225" i="48"/>
  <c r="P89" i="48"/>
  <c r="P10" i="44"/>
  <c r="Q13" i="44"/>
  <c r="P32" i="44"/>
  <c r="P105" i="48"/>
  <c r="AE219" i="54"/>
  <c r="S34" i="48"/>
  <c r="S133" i="48"/>
  <c r="R167" i="44"/>
  <c r="P37" i="44"/>
  <c r="S145" i="44"/>
  <c r="P176" i="44"/>
  <c r="Q20" i="48"/>
  <c r="Q34" i="48"/>
  <c r="S108" i="44"/>
  <c r="R150" i="44"/>
  <c r="S125" i="44"/>
  <c r="R171" i="44"/>
  <c r="P105" i="44"/>
  <c r="S163" i="48"/>
  <c r="Q122" i="44"/>
  <c r="S142" i="44"/>
  <c r="P126" i="48"/>
  <c r="BF126" i="48" s="1"/>
  <c r="Q178" i="44"/>
  <c r="P110" i="48"/>
  <c r="R189" i="48"/>
  <c r="BH189" i="48" s="1"/>
  <c r="S7" i="48"/>
  <c r="P29" i="48"/>
  <c r="S205" i="44"/>
  <c r="Q175" i="48"/>
  <c r="P79" i="48"/>
  <c r="Q135" i="44"/>
  <c r="P95" i="48"/>
  <c r="S69" i="44"/>
  <c r="Q127" i="44"/>
  <c r="AE106" i="54"/>
  <c r="S33" i="44"/>
  <c r="S217" i="44"/>
  <c r="R177" i="44"/>
  <c r="R168" i="44"/>
  <c r="Q210" i="44"/>
  <c r="S16" i="44"/>
  <c r="S17" i="48"/>
  <c r="Q128" i="44"/>
  <c r="Q150" i="48"/>
  <c r="S201" i="44"/>
  <c r="P149" i="48"/>
  <c r="BF149" i="48" s="1"/>
  <c r="AE79" i="54"/>
  <c r="S154" i="48"/>
  <c r="Q211" i="48"/>
  <c r="P145" i="44"/>
  <c r="R161" i="44"/>
  <c r="S122" i="44"/>
  <c r="R138" i="48"/>
  <c r="BH138" i="48" s="1"/>
  <c r="Q140" i="48"/>
  <c r="R113" i="48"/>
  <c r="BH113" i="48" s="1"/>
  <c r="R40" i="44"/>
  <c r="AE118" i="54"/>
  <c r="S25" i="48"/>
  <c r="Q31" i="48"/>
  <c r="S9" i="44"/>
  <c r="Q91" i="48"/>
  <c r="P143" i="48"/>
  <c r="BF143" i="48" s="1"/>
  <c r="R70" i="48"/>
  <c r="Q89" i="48"/>
  <c r="P181" i="48"/>
  <c r="BF181" i="48" s="1"/>
  <c r="AE8" i="54"/>
  <c r="P113" i="44"/>
  <c r="R35" i="44"/>
  <c r="Q200" i="48"/>
  <c r="Q62" i="44"/>
  <c r="P141" i="44"/>
  <c r="R49" i="44"/>
  <c r="Q120" i="44"/>
  <c r="P104" i="44"/>
  <c r="P21" i="48"/>
  <c r="R174" i="44"/>
  <c r="R125" i="48"/>
  <c r="BH125" i="48" s="1"/>
  <c r="P180" i="44"/>
  <c r="AE18" i="54"/>
  <c r="Q44" i="44"/>
  <c r="AE16" i="54"/>
  <c r="S3" i="44"/>
  <c r="Q18" i="44"/>
  <c r="R81" i="48"/>
  <c r="P92" i="48"/>
  <c r="S157" i="48"/>
  <c r="AE78" i="54"/>
  <c r="S156" i="48"/>
  <c r="Q198" i="44"/>
  <c r="S126" i="48"/>
  <c r="P96" i="48"/>
  <c r="R140" i="44"/>
  <c r="R14" i="48"/>
  <c r="Q144" i="48"/>
  <c r="R225" i="48"/>
  <c r="P196" i="44"/>
  <c r="P109" i="48"/>
  <c r="P31" i="44"/>
  <c r="P208" i="44"/>
  <c r="P126" i="44"/>
  <c r="S134" i="44"/>
  <c r="R25" i="44"/>
  <c r="S197" i="44"/>
  <c r="P98" i="44"/>
  <c r="Q64" i="44"/>
  <c r="Q134" i="48"/>
  <c r="AE104" i="54"/>
  <c r="S112" i="44"/>
  <c r="Q150" i="44"/>
  <c r="AE196" i="54"/>
  <c r="R59" i="48"/>
  <c r="S155" i="48"/>
  <c r="P209" i="48"/>
  <c r="R80" i="48"/>
  <c r="S61" i="48"/>
  <c r="P49" i="44"/>
  <c r="Q66" i="44"/>
  <c r="S166" i="44"/>
  <c r="S27" i="48"/>
  <c r="AE97" i="54"/>
  <c r="Q72" i="48"/>
  <c r="R206" i="48"/>
  <c r="R118" i="44"/>
  <c r="S115" i="48"/>
  <c r="Q55" i="44"/>
  <c r="P170" i="48"/>
  <c r="BF170" i="48" s="1"/>
  <c r="S87" i="48"/>
  <c r="P94" i="44"/>
  <c r="Q199" i="44"/>
  <c r="R28" i="48"/>
  <c r="R101" i="48"/>
  <c r="P195" i="48"/>
  <c r="BF195" i="48" s="1"/>
  <c r="S188" i="48"/>
  <c r="Q122" i="48"/>
  <c r="AE207" i="54"/>
  <c r="R6" i="44"/>
  <c r="R183" i="44"/>
  <c r="Q57" i="44"/>
  <c r="Q102" i="44"/>
  <c r="R169" i="48"/>
  <c r="BH169" i="48" s="1"/>
  <c r="P165" i="44"/>
  <c r="R13" i="48"/>
  <c r="P158" i="44"/>
  <c r="P44" i="48"/>
  <c r="P132" i="44"/>
  <c r="P207" i="44"/>
  <c r="R38" i="48"/>
  <c r="AE76" i="54"/>
  <c r="Q123" i="48"/>
  <c r="P11" i="48"/>
  <c r="S54" i="48"/>
  <c r="Q27" i="44"/>
  <c r="S212" i="48"/>
  <c r="S194" i="44"/>
  <c r="R100" i="48"/>
  <c r="AE169" i="54"/>
  <c r="R132" i="44"/>
  <c r="S169" i="44"/>
  <c r="P45" i="44"/>
  <c r="P200" i="44"/>
  <c r="S82" i="44"/>
  <c r="R98" i="44"/>
  <c r="Q96" i="44"/>
  <c r="Q119" i="44"/>
  <c r="S127" i="44"/>
  <c r="S144" i="48"/>
  <c r="Q131" i="44"/>
  <c r="S206" i="44"/>
  <c r="AE151" i="54"/>
  <c r="AE52" i="54"/>
  <c r="S45" i="48"/>
  <c r="Q218" i="48"/>
  <c r="S199" i="48"/>
  <c r="P119" i="44"/>
  <c r="R77" i="44"/>
  <c r="S50" i="48"/>
  <c r="P93" i="44"/>
  <c r="AE177" i="54"/>
  <c r="R48" i="48"/>
  <c r="Q106" i="44"/>
  <c r="AE91" i="54"/>
  <c r="Q153" i="48"/>
  <c r="R211" i="44"/>
  <c r="P158" i="48"/>
  <c r="BF158" i="48" s="1"/>
  <c r="P100" i="44"/>
  <c r="S183" i="44"/>
  <c r="P108" i="48"/>
  <c r="AE193" i="54"/>
  <c r="AE182" i="54"/>
  <c r="R67" i="44"/>
  <c r="R20" i="44"/>
  <c r="R199" i="48"/>
  <c r="BH199" i="48" s="1"/>
  <c r="AE85" i="54"/>
  <c r="P129" i="48"/>
  <c r="BF129" i="48" s="1"/>
  <c r="Q121" i="48"/>
  <c r="S205" i="48"/>
  <c r="P110" i="44"/>
  <c r="Q22" i="48"/>
  <c r="Q115" i="44"/>
  <c r="R176" i="44"/>
  <c r="Q118" i="44"/>
  <c r="R125" i="44"/>
  <c r="Q193" i="44"/>
  <c r="S180" i="48"/>
  <c r="S88" i="48"/>
  <c r="Q60" i="48"/>
  <c r="R122" i="44"/>
  <c r="R39" i="44"/>
  <c r="R207" i="48"/>
  <c r="P112" i="48"/>
  <c r="BF112" i="48" s="1"/>
  <c r="P18" i="44"/>
  <c r="P120" i="48"/>
  <c r="BF120" i="48" s="1"/>
  <c r="P135" i="48"/>
  <c r="BF135" i="48" s="1"/>
  <c r="R120" i="48"/>
  <c r="BH120" i="48" s="1"/>
  <c r="P212" i="48"/>
  <c r="S91" i="44"/>
  <c r="R200" i="44"/>
  <c r="R176" i="48"/>
  <c r="BH176" i="48" s="1"/>
  <c r="Q93" i="44"/>
  <c r="R37" i="44"/>
  <c r="S23" i="48"/>
  <c r="S22" i="48"/>
  <c r="P108" i="44"/>
  <c r="AE119" i="54"/>
  <c r="P131" i="48"/>
  <c r="BF131" i="48" s="1"/>
  <c r="Q221" i="48"/>
  <c r="P2" i="44"/>
  <c r="Q142" i="48"/>
  <c r="AE195" i="54"/>
  <c r="Q179" i="48"/>
  <c r="P27" i="44"/>
  <c r="P57" i="44"/>
  <c r="S37" i="44"/>
  <c r="Q86" i="48"/>
  <c r="R163" i="44"/>
  <c r="Q15" i="44"/>
  <c r="R137" i="44"/>
  <c r="Q27" i="48"/>
  <c r="R212" i="48"/>
  <c r="Q116" i="44"/>
  <c r="Q171" i="48"/>
  <c r="Q209" i="44"/>
  <c r="S180" i="44"/>
  <c r="Q29" i="44"/>
  <c r="P157" i="44"/>
  <c r="S219" i="48"/>
  <c r="Q202" i="44"/>
  <c r="AE7" i="54"/>
  <c r="R165" i="44"/>
  <c r="S25" i="44"/>
  <c r="R108" i="44"/>
  <c r="Q102" i="48"/>
  <c r="R22" i="44"/>
  <c r="R178" i="48"/>
  <c r="BH178" i="48" s="1"/>
  <c r="Q181" i="44"/>
  <c r="P75" i="48"/>
  <c r="R133" i="48"/>
  <c r="BH133" i="48" s="1"/>
  <c r="Q111" i="48"/>
  <c r="R43" i="48"/>
  <c r="S192" i="44"/>
  <c r="R7" i="44"/>
  <c r="Q124" i="48"/>
  <c r="R164" i="44"/>
  <c r="Q76" i="48"/>
  <c r="R55" i="44"/>
  <c r="R151" i="44"/>
  <c r="Q29" i="48"/>
  <c r="S2" i="44"/>
  <c r="Q189" i="44"/>
  <c r="AE23" i="54"/>
  <c r="Q101" i="48"/>
  <c r="AE53" i="54"/>
  <c r="Q80" i="44"/>
  <c r="P165" i="48"/>
  <c r="BF165" i="48" s="1"/>
  <c r="Q34" i="44"/>
  <c r="Q204" i="48"/>
  <c r="AE136" i="54"/>
  <c r="P153" i="48"/>
  <c r="BF153" i="48" s="1"/>
  <c r="Q183" i="44"/>
  <c r="P41" i="44"/>
  <c r="Q86" i="44"/>
  <c r="P194" i="48"/>
  <c r="BF194" i="48" s="1"/>
  <c r="R119" i="44"/>
  <c r="P114" i="48"/>
  <c r="BF114" i="48" s="1"/>
  <c r="S91" i="48"/>
  <c r="Q99" i="44"/>
  <c r="R79" i="44"/>
  <c r="P64" i="44"/>
  <c r="R159" i="44"/>
  <c r="S62" i="48"/>
  <c r="R158" i="44"/>
  <c r="R69" i="48"/>
  <c r="Q143" i="44"/>
  <c r="Q41" i="44"/>
  <c r="Q43" i="44"/>
  <c r="Q21" i="44"/>
  <c r="S22" i="44"/>
  <c r="AE214" i="54"/>
  <c r="AE160" i="54"/>
  <c r="P121" i="44"/>
  <c r="P20" i="44"/>
  <c r="R54" i="44"/>
  <c r="P161" i="44"/>
  <c r="P183" i="44"/>
  <c r="R133" i="44"/>
  <c r="Q147" i="48"/>
  <c r="P39" i="48"/>
  <c r="P5" i="48"/>
  <c r="Q95" i="44"/>
  <c r="Q6" i="48"/>
  <c r="P83" i="48"/>
  <c r="Q215" i="44"/>
  <c r="Q190" i="48"/>
  <c r="S44" i="48"/>
  <c r="R63" i="44"/>
  <c r="P60" i="48"/>
  <c r="AE43" i="54"/>
  <c r="P194" i="44"/>
  <c r="Q35" i="44"/>
  <c r="AJ85" i="54" l="1"/>
  <c r="AK85" i="54"/>
  <c r="AI85" i="54"/>
  <c r="AM85" i="54"/>
  <c r="AL85" i="54"/>
  <c r="AH85" i="54"/>
  <c r="AL151" i="54"/>
  <c r="AI151" i="54"/>
  <c r="AJ151" i="54"/>
  <c r="AK151" i="54"/>
  <c r="AH151" i="54"/>
  <c r="AM151" i="54"/>
  <c r="AH193" i="54"/>
  <c r="AK193" i="54"/>
  <c r="AL193" i="54"/>
  <c r="AJ193" i="54"/>
  <c r="AM193" i="54"/>
  <c r="AI193" i="54"/>
  <c r="AI165" i="54"/>
  <c r="AH165" i="54"/>
  <c r="AJ165" i="54"/>
  <c r="AK165" i="54"/>
  <c r="AL165" i="54"/>
  <c r="AM165" i="54"/>
  <c r="AM180" i="54"/>
  <c r="AJ180" i="54"/>
  <c r="AL180" i="54"/>
  <c r="AK180" i="54"/>
  <c r="AH180" i="54"/>
  <c r="AI180" i="54"/>
  <c r="AH40" i="54"/>
  <c r="AK40" i="54"/>
  <c r="AL40" i="54"/>
  <c r="AM40" i="54"/>
  <c r="AI40" i="54"/>
  <c r="AJ40" i="54"/>
  <c r="AH37" i="54"/>
  <c r="AM37" i="54"/>
  <c r="AI37" i="54"/>
  <c r="AJ37" i="54"/>
  <c r="AK37" i="54"/>
  <c r="AL37" i="54"/>
  <c r="AK17" i="54"/>
  <c r="AL17" i="54"/>
  <c r="AM17" i="54"/>
  <c r="AI17" i="54"/>
  <c r="AJ17" i="54"/>
  <c r="AH17" i="54"/>
  <c r="AL102" i="54"/>
  <c r="AH102" i="54"/>
  <c r="AJ102" i="54"/>
  <c r="AK102" i="54"/>
  <c r="AM102" i="54"/>
  <c r="AI102" i="54"/>
  <c r="AL77" i="54"/>
  <c r="AM77" i="54"/>
  <c r="AH77" i="54"/>
  <c r="AI77" i="54"/>
  <c r="AK77" i="54"/>
  <c r="AJ77" i="54"/>
  <c r="AL5" i="54"/>
  <c r="AH5" i="54"/>
  <c r="AI5" i="54"/>
  <c r="AK5" i="54"/>
  <c r="AJ5" i="54"/>
  <c r="AM5" i="54"/>
  <c r="AJ117" i="54"/>
  <c r="AK117" i="54"/>
  <c r="AH117" i="54"/>
  <c r="AI117" i="54"/>
  <c r="AL117" i="54"/>
  <c r="AM117" i="54"/>
  <c r="AL173" i="54"/>
  <c r="AM173" i="54"/>
  <c r="AH173" i="54"/>
  <c r="AK173" i="54"/>
  <c r="AI173" i="54"/>
  <c r="AJ173" i="54"/>
  <c r="AK3" i="54"/>
  <c r="AH3" i="54"/>
  <c r="AL3" i="54"/>
  <c r="AM3" i="54"/>
  <c r="AJ3" i="54"/>
  <c r="AI3" i="54"/>
  <c r="AM201" i="54"/>
  <c r="AI201" i="54"/>
  <c r="AH201" i="54"/>
  <c r="AJ201" i="54"/>
  <c r="AK201" i="54"/>
  <c r="AL201" i="54"/>
  <c r="AL8" i="54"/>
  <c r="AI8" i="54"/>
  <c r="AM8" i="54"/>
  <c r="AK8" i="54"/>
  <c r="AH8" i="54"/>
  <c r="AJ8" i="54"/>
  <c r="AM12" i="54"/>
  <c r="AJ12" i="54"/>
  <c r="AK12" i="54"/>
  <c r="AL12" i="54"/>
  <c r="AI12" i="54"/>
  <c r="AH12" i="54"/>
  <c r="AM9" i="54"/>
  <c r="AJ9" i="54"/>
  <c r="AK9" i="54"/>
  <c r="AL9" i="54"/>
  <c r="AI9" i="54"/>
  <c r="AH9" i="54"/>
  <c r="AI153" i="54"/>
  <c r="AJ153" i="54"/>
  <c r="AL153" i="54"/>
  <c r="AK153" i="54"/>
  <c r="AM153" i="54"/>
  <c r="AH153" i="54"/>
  <c r="AK209" i="54"/>
  <c r="AL209" i="54"/>
  <c r="AI209" i="54"/>
  <c r="AM209" i="54"/>
  <c r="AH209" i="54"/>
  <c r="AJ209" i="54"/>
  <c r="AH33" i="54"/>
  <c r="AI33" i="54"/>
  <c r="AM33" i="54"/>
  <c r="AK33" i="54"/>
  <c r="AL33" i="54"/>
  <c r="AJ33" i="54"/>
  <c r="AJ192" i="54"/>
  <c r="AM192" i="54"/>
  <c r="AI192" i="54"/>
  <c r="AK192" i="54"/>
  <c r="AL192" i="54"/>
  <c r="AH192" i="54"/>
  <c r="AM154" i="54"/>
  <c r="AI154" i="54"/>
  <c r="AJ154" i="54"/>
  <c r="AK154" i="54"/>
  <c r="AH154" i="54"/>
  <c r="AL154" i="54"/>
  <c r="AJ166" i="54"/>
  <c r="AL166" i="54"/>
  <c r="AH166" i="54"/>
  <c r="AI166" i="54"/>
  <c r="AK166" i="54"/>
  <c r="AM166" i="54"/>
  <c r="AI92" i="54"/>
  <c r="AL92" i="54"/>
  <c r="AM92" i="54"/>
  <c r="AJ92" i="54"/>
  <c r="AK92" i="54"/>
  <c r="AH92" i="54"/>
  <c r="AM155" i="54"/>
  <c r="AJ155" i="54"/>
  <c r="AI155" i="54"/>
  <c r="AH155" i="54"/>
  <c r="AK155" i="54"/>
  <c r="AL155" i="54"/>
  <c r="AK208" i="54"/>
  <c r="AL208" i="54"/>
  <c r="AM208" i="54"/>
  <c r="AI208" i="54"/>
  <c r="AJ208" i="54"/>
  <c r="AH208" i="54"/>
  <c r="AM73" i="54"/>
  <c r="AH73" i="54"/>
  <c r="AI73" i="54"/>
  <c r="AJ73" i="54"/>
  <c r="AK73" i="54"/>
  <c r="AL73" i="54"/>
  <c r="AH110" i="54"/>
  <c r="AJ110" i="54"/>
  <c r="AL110" i="54"/>
  <c r="AM110" i="54"/>
  <c r="AI110" i="54"/>
  <c r="AK110" i="54"/>
  <c r="AL54" i="54"/>
  <c r="AH54" i="54"/>
  <c r="AK54" i="54"/>
  <c r="AJ54" i="54"/>
  <c r="AM54" i="54"/>
  <c r="AI54" i="54"/>
  <c r="AI185" i="54"/>
  <c r="AJ185" i="54"/>
  <c r="AL185" i="54"/>
  <c r="AM185" i="54"/>
  <c r="AK185" i="54"/>
  <c r="AH185" i="54"/>
  <c r="AH159" i="54"/>
  <c r="AK159" i="54"/>
  <c r="AI159" i="54"/>
  <c r="AJ159" i="54"/>
  <c r="AL159" i="54"/>
  <c r="AM159" i="54"/>
  <c r="AJ143" i="54"/>
  <c r="AM143" i="54"/>
  <c r="AL143" i="54"/>
  <c r="AK143" i="54"/>
  <c r="AH143" i="54"/>
  <c r="AI143" i="54"/>
  <c r="AJ94" i="54"/>
  <c r="AL94" i="54"/>
  <c r="AI94" i="54"/>
  <c r="AH94" i="54"/>
  <c r="AM94" i="54"/>
  <c r="AK94" i="54"/>
  <c r="AL55" i="54"/>
  <c r="AI55" i="54"/>
  <c r="AJ55" i="54"/>
  <c r="AK55" i="54"/>
  <c r="AM55" i="54"/>
  <c r="AH55" i="54"/>
  <c r="AK2" i="54"/>
  <c r="AM2" i="54"/>
  <c r="AH2" i="54"/>
  <c r="AI2" i="54"/>
  <c r="AL2" i="54"/>
  <c r="AJ2" i="54"/>
  <c r="AK207" i="54"/>
  <c r="AL207" i="54"/>
  <c r="AM207" i="54"/>
  <c r="AI207" i="54"/>
  <c r="AJ207" i="54"/>
  <c r="AH207" i="54"/>
  <c r="AL78" i="54"/>
  <c r="AH78" i="54"/>
  <c r="AM78" i="54"/>
  <c r="AI78" i="54"/>
  <c r="AJ78" i="54"/>
  <c r="AK78" i="54"/>
  <c r="AM83" i="54"/>
  <c r="AJ83" i="54"/>
  <c r="AK83" i="54"/>
  <c r="AL83" i="54"/>
  <c r="AH83" i="54"/>
  <c r="AI83" i="54"/>
  <c r="AK183" i="54"/>
  <c r="AJ183" i="54"/>
  <c r="AL183" i="54"/>
  <c r="AM183" i="54"/>
  <c r="AH183" i="54"/>
  <c r="AI183" i="54"/>
  <c r="AJ21" i="54"/>
  <c r="AK21" i="54"/>
  <c r="AH21" i="54"/>
  <c r="AI21" i="54"/>
  <c r="AL21" i="54"/>
  <c r="AM21" i="54"/>
  <c r="AM132" i="54"/>
  <c r="AJ132" i="54"/>
  <c r="AH132" i="54"/>
  <c r="AL132" i="54"/>
  <c r="AK132" i="54"/>
  <c r="AI132" i="54"/>
  <c r="AM178" i="54"/>
  <c r="AI178" i="54"/>
  <c r="AL178" i="54"/>
  <c r="AK178" i="54"/>
  <c r="AJ178" i="54"/>
  <c r="AH178" i="54"/>
  <c r="AM35" i="54"/>
  <c r="AJ35" i="54"/>
  <c r="AH35" i="54"/>
  <c r="AI35" i="54"/>
  <c r="AL35" i="54"/>
  <c r="AK35" i="54"/>
  <c r="AK81" i="54"/>
  <c r="AL81" i="54"/>
  <c r="AM81" i="54"/>
  <c r="AH81" i="54"/>
  <c r="AJ81" i="54"/>
  <c r="AI81" i="54"/>
  <c r="AL152" i="54"/>
  <c r="AI152" i="54"/>
  <c r="AJ152" i="54"/>
  <c r="AK152" i="54"/>
  <c r="AH152" i="54"/>
  <c r="AM152" i="54"/>
  <c r="AJ215" i="54"/>
  <c r="AM215" i="54"/>
  <c r="AH215" i="54"/>
  <c r="AK215" i="54"/>
  <c r="AL215" i="54"/>
  <c r="AI215" i="54"/>
  <c r="AL109" i="54"/>
  <c r="AM109" i="54"/>
  <c r="AI109" i="54"/>
  <c r="AK109" i="54"/>
  <c r="AJ109" i="54"/>
  <c r="AH109" i="54"/>
  <c r="AH129" i="54"/>
  <c r="AM129" i="54"/>
  <c r="AI129" i="54"/>
  <c r="AJ129" i="54"/>
  <c r="AK129" i="54"/>
  <c r="AL129" i="54"/>
  <c r="AH134" i="54"/>
  <c r="AJ134" i="54"/>
  <c r="AL134" i="54"/>
  <c r="AM134" i="54"/>
  <c r="AI134" i="54"/>
  <c r="AK134" i="54"/>
  <c r="AH93" i="54"/>
  <c r="AI93" i="54"/>
  <c r="AJ93" i="54"/>
  <c r="AL93" i="54"/>
  <c r="AM93" i="54"/>
  <c r="AK93" i="54"/>
  <c r="AK172" i="54"/>
  <c r="AH172" i="54"/>
  <c r="AL172" i="54"/>
  <c r="AM172" i="54"/>
  <c r="AJ172" i="54"/>
  <c r="AI172" i="54"/>
  <c r="AH15" i="54"/>
  <c r="AK15" i="54"/>
  <c r="AL15" i="54"/>
  <c r="AM15" i="54"/>
  <c r="AI15" i="54"/>
  <c r="AJ15" i="54"/>
  <c r="AH39" i="54"/>
  <c r="AK39" i="54"/>
  <c r="AM39" i="54"/>
  <c r="AJ39" i="54"/>
  <c r="AI39" i="54"/>
  <c r="AL39" i="54"/>
  <c r="AK196" i="54"/>
  <c r="AJ196" i="54"/>
  <c r="AL196" i="54"/>
  <c r="AM196" i="54"/>
  <c r="AI196" i="54"/>
  <c r="AH196" i="54"/>
  <c r="AK99" i="54"/>
  <c r="AH99" i="54"/>
  <c r="AL99" i="54"/>
  <c r="AM99" i="54"/>
  <c r="AJ99" i="54"/>
  <c r="AI99" i="54"/>
  <c r="AL56" i="54"/>
  <c r="AI56" i="54"/>
  <c r="AK56" i="54"/>
  <c r="AJ56" i="54"/>
  <c r="AH56" i="54"/>
  <c r="AM56" i="54"/>
  <c r="AH133" i="54"/>
  <c r="AL133" i="54"/>
  <c r="AM133" i="54"/>
  <c r="AJ133" i="54"/>
  <c r="AK133" i="54"/>
  <c r="AI133" i="54"/>
  <c r="AK171" i="54"/>
  <c r="AH171" i="54"/>
  <c r="AM171" i="54"/>
  <c r="AI171" i="54"/>
  <c r="AJ171" i="54"/>
  <c r="AL171" i="54"/>
  <c r="AL174" i="54"/>
  <c r="AH174" i="54"/>
  <c r="AM174" i="54"/>
  <c r="AI174" i="54"/>
  <c r="AK174" i="54"/>
  <c r="AJ174" i="54"/>
  <c r="AL141" i="54"/>
  <c r="AM141" i="54"/>
  <c r="AK141" i="54"/>
  <c r="AH141" i="54"/>
  <c r="AI141" i="54"/>
  <c r="AJ141" i="54"/>
  <c r="AL199" i="54"/>
  <c r="AI199" i="54"/>
  <c r="AH199" i="54"/>
  <c r="AK199" i="54"/>
  <c r="AJ199" i="54"/>
  <c r="AM199" i="54"/>
  <c r="AJ95" i="54"/>
  <c r="AM95" i="54"/>
  <c r="AH95" i="54"/>
  <c r="AI95" i="54"/>
  <c r="AL95" i="54"/>
  <c r="AK95" i="54"/>
  <c r="AI115" i="54"/>
  <c r="AL115" i="54"/>
  <c r="AK115" i="54"/>
  <c r="AH115" i="54"/>
  <c r="AJ115" i="54"/>
  <c r="AM115" i="54"/>
  <c r="AM59" i="54"/>
  <c r="AJ59" i="54"/>
  <c r="AI59" i="54"/>
  <c r="AK59" i="54"/>
  <c r="AL59" i="54"/>
  <c r="AH59" i="54"/>
  <c r="AH14" i="54"/>
  <c r="AJ14" i="54"/>
  <c r="AL14" i="54"/>
  <c r="AM14" i="54"/>
  <c r="AK14" i="54"/>
  <c r="AI14" i="54"/>
  <c r="AM36" i="54"/>
  <c r="AJ36" i="54"/>
  <c r="AI36" i="54"/>
  <c r="AH36" i="54"/>
  <c r="AK36" i="54"/>
  <c r="AL36" i="54"/>
  <c r="AH135" i="54"/>
  <c r="AK135" i="54"/>
  <c r="AL135" i="54"/>
  <c r="AM135" i="54"/>
  <c r="AI135" i="54"/>
  <c r="AJ135" i="54"/>
  <c r="AL176" i="54"/>
  <c r="AI176" i="54"/>
  <c r="AM176" i="54"/>
  <c r="AH176" i="54"/>
  <c r="AJ176" i="54"/>
  <c r="AK176" i="54"/>
  <c r="AI217" i="54"/>
  <c r="AJ217" i="54"/>
  <c r="AK217" i="54"/>
  <c r="AH217" i="54"/>
  <c r="AL217" i="54"/>
  <c r="AM217" i="54"/>
  <c r="AJ22" i="54"/>
  <c r="AL22" i="54"/>
  <c r="AK22" i="54"/>
  <c r="AH22" i="54"/>
  <c r="AI22" i="54"/>
  <c r="AM22" i="54"/>
  <c r="AI68" i="54"/>
  <c r="AL68" i="54"/>
  <c r="AH68" i="54"/>
  <c r="AJ68" i="54"/>
  <c r="AK68" i="54"/>
  <c r="AM68" i="54"/>
  <c r="AH136" i="54"/>
  <c r="AK136" i="54"/>
  <c r="AL136" i="54"/>
  <c r="AM136" i="54"/>
  <c r="AJ136" i="54"/>
  <c r="AI136" i="54"/>
  <c r="AH63" i="54"/>
  <c r="AK63" i="54"/>
  <c r="AI63" i="54"/>
  <c r="AJ63" i="54"/>
  <c r="AL63" i="54"/>
  <c r="AM63" i="54"/>
  <c r="AK74" i="54"/>
  <c r="AM74" i="54"/>
  <c r="AH74" i="54"/>
  <c r="AI74" i="54"/>
  <c r="AJ74" i="54"/>
  <c r="AL74" i="54"/>
  <c r="AK100" i="54"/>
  <c r="AH100" i="54"/>
  <c r="AL100" i="54"/>
  <c r="AJ100" i="54"/>
  <c r="AM100" i="54"/>
  <c r="AI100" i="54"/>
  <c r="AH61" i="54"/>
  <c r="AI61" i="54"/>
  <c r="AJ61" i="54"/>
  <c r="AK61" i="54"/>
  <c r="AL61" i="54"/>
  <c r="AM61" i="54"/>
  <c r="AI188" i="54"/>
  <c r="AL188" i="54"/>
  <c r="AH188" i="54"/>
  <c r="AM188" i="54"/>
  <c r="AK188" i="54"/>
  <c r="AJ188" i="54"/>
  <c r="AM179" i="54"/>
  <c r="AJ179" i="54"/>
  <c r="AK179" i="54"/>
  <c r="AL179" i="54"/>
  <c r="AI179" i="54"/>
  <c r="AH179" i="54"/>
  <c r="AJ96" i="54"/>
  <c r="AM96" i="54"/>
  <c r="AH96" i="54"/>
  <c r="AI96" i="54"/>
  <c r="AK96" i="54"/>
  <c r="AL96" i="54"/>
  <c r="AH158" i="54"/>
  <c r="AJ158" i="54"/>
  <c r="AI158" i="54"/>
  <c r="AK158" i="54"/>
  <c r="AL158" i="54"/>
  <c r="AM158" i="54"/>
  <c r="AJ48" i="54"/>
  <c r="AM48" i="54"/>
  <c r="AK48" i="54"/>
  <c r="AL48" i="54"/>
  <c r="AH48" i="54"/>
  <c r="AI48" i="54"/>
  <c r="AK122" i="54"/>
  <c r="AM122" i="54"/>
  <c r="AI122" i="54"/>
  <c r="AJ122" i="54"/>
  <c r="AH122" i="54"/>
  <c r="AL122" i="54"/>
  <c r="AI163" i="54"/>
  <c r="AL163" i="54"/>
  <c r="AH163" i="54"/>
  <c r="AJ163" i="54"/>
  <c r="AM163" i="54"/>
  <c r="AK163" i="54"/>
  <c r="AM169" i="54"/>
  <c r="AH169" i="54"/>
  <c r="AI169" i="54"/>
  <c r="AK169" i="54"/>
  <c r="AL169" i="54"/>
  <c r="AJ169" i="54"/>
  <c r="AJ191" i="54"/>
  <c r="AM191" i="54"/>
  <c r="AI191" i="54"/>
  <c r="AH191" i="54"/>
  <c r="AK191" i="54"/>
  <c r="AL191" i="54"/>
  <c r="AH157" i="54"/>
  <c r="AI157" i="54"/>
  <c r="AK157" i="54"/>
  <c r="AJ157" i="54"/>
  <c r="AM157" i="54"/>
  <c r="AL157" i="54"/>
  <c r="AJ72" i="54"/>
  <c r="AM72" i="54"/>
  <c r="AH72" i="54"/>
  <c r="AI72" i="54"/>
  <c r="AK72" i="54"/>
  <c r="AL72" i="54"/>
  <c r="AL31" i="54"/>
  <c r="AI31" i="54"/>
  <c r="AH31" i="54"/>
  <c r="AM31" i="54"/>
  <c r="AJ31" i="54"/>
  <c r="AK31" i="54"/>
  <c r="AJ144" i="54"/>
  <c r="AM144" i="54"/>
  <c r="AK144" i="54"/>
  <c r="AL144" i="54"/>
  <c r="AH144" i="54"/>
  <c r="AI144" i="54"/>
  <c r="AI114" i="54"/>
  <c r="AK114" i="54"/>
  <c r="AL114" i="54"/>
  <c r="AM114" i="54"/>
  <c r="AH114" i="54"/>
  <c r="AJ114" i="54"/>
  <c r="AK220" i="54"/>
  <c r="AI220" i="54"/>
  <c r="AJ220" i="54"/>
  <c r="AM220" i="54"/>
  <c r="AL220" i="54"/>
  <c r="AH220" i="54"/>
  <c r="AK148" i="54"/>
  <c r="AH148" i="54"/>
  <c r="AI148" i="54"/>
  <c r="AJ148" i="54"/>
  <c r="AL148" i="54"/>
  <c r="AM148" i="54"/>
  <c r="AJ206" i="54"/>
  <c r="AL206" i="54"/>
  <c r="AM206" i="54"/>
  <c r="AH206" i="54"/>
  <c r="AI206" i="54"/>
  <c r="AK206" i="54"/>
  <c r="AI211" i="54"/>
  <c r="AL211" i="54"/>
  <c r="AK211" i="54"/>
  <c r="AH211" i="54"/>
  <c r="AJ211" i="54"/>
  <c r="AM211" i="54"/>
  <c r="AK28" i="54"/>
  <c r="AH28" i="54"/>
  <c r="AJ28" i="54"/>
  <c r="AI28" i="54"/>
  <c r="AL28" i="54"/>
  <c r="AM28" i="54"/>
  <c r="AI187" i="54"/>
  <c r="AL187" i="54"/>
  <c r="AH187" i="54"/>
  <c r="AJ187" i="54"/>
  <c r="AK187" i="54"/>
  <c r="AM187" i="54"/>
  <c r="AJ214" i="54"/>
  <c r="AL214" i="54"/>
  <c r="AK214" i="54"/>
  <c r="AH214" i="54"/>
  <c r="AI214" i="54"/>
  <c r="AM214" i="54"/>
  <c r="AJ118" i="54"/>
  <c r="AL118" i="54"/>
  <c r="AK118" i="54"/>
  <c r="AH118" i="54"/>
  <c r="AI118" i="54"/>
  <c r="AM118" i="54"/>
  <c r="AK184" i="54"/>
  <c r="AI184" i="54"/>
  <c r="AJ184" i="54"/>
  <c r="AL184" i="54"/>
  <c r="AM184" i="54"/>
  <c r="AH184" i="54"/>
  <c r="AM203" i="54"/>
  <c r="AJ203" i="54"/>
  <c r="AI203" i="54"/>
  <c r="AH203" i="54"/>
  <c r="AL203" i="54"/>
  <c r="AK203" i="54"/>
  <c r="AI67" i="54"/>
  <c r="AL67" i="54"/>
  <c r="AH67" i="54"/>
  <c r="AJ67" i="54"/>
  <c r="AK67" i="54"/>
  <c r="AM67" i="54"/>
  <c r="AI189" i="54"/>
  <c r="AH189" i="54"/>
  <c r="AJ189" i="54"/>
  <c r="AK189" i="54"/>
  <c r="AL189" i="54"/>
  <c r="AM189" i="54"/>
  <c r="AM60" i="54"/>
  <c r="AJ60" i="54"/>
  <c r="AH60" i="54"/>
  <c r="AI60" i="54"/>
  <c r="AK60" i="54"/>
  <c r="AL60" i="54"/>
  <c r="AJ216" i="54"/>
  <c r="AM216" i="54"/>
  <c r="AL216" i="54"/>
  <c r="AK216" i="54"/>
  <c r="AH216" i="54"/>
  <c r="AI216" i="54"/>
  <c r="AH16" i="54"/>
  <c r="AK16" i="54"/>
  <c r="AL16" i="54"/>
  <c r="AM16" i="54"/>
  <c r="AI16" i="54"/>
  <c r="AJ16" i="54"/>
  <c r="AJ119" i="54"/>
  <c r="AM119" i="54"/>
  <c r="AK119" i="54"/>
  <c r="AL119" i="54"/>
  <c r="AH119" i="54"/>
  <c r="AI119" i="54"/>
  <c r="AM204" i="54"/>
  <c r="AJ204" i="54"/>
  <c r="AI204" i="54"/>
  <c r="AH204" i="54"/>
  <c r="AK204" i="54"/>
  <c r="AL204" i="54"/>
  <c r="AJ190" i="54"/>
  <c r="AL190" i="54"/>
  <c r="AI190" i="54"/>
  <c r="AH190" i="54"/>
  <c r="AK190" i="54"/>
  <c r="AM190" i="54"/>
  <c r="AH38" i="54"/>
  <c r="AJ38" i="54"/>
  <c r="AM38" i="54"/>
  <c r="AI38" i="54"/>
  <c r="AL38" i="54"/>
  <c r="AK38" i="54"/>
  <c r="AK218" i="54"/>
  <c r="AM218" i="54"/>
  <c r="AJ218" i="54"/>
  <c r="AI218" i="54"/>
  <c r="AH218" i="54"/>
  <c r="AL218" i="54"/>
  <c r="AH64" i="54"/>
  <c r="AK64" i="54"/>
  <c r="AI64" i="54"/>
  <c r="AJ64" i="54"/>
  <c r="AM64" i="54"/>
  <c r="AL64" i="54"/>
  <c r="AH88" i="54"/>
  <c r="AK88" i="54"/>
  <c r="AI88" i="54"/>
  <c r="AJ88" i="54"/>
  <c r="AM88" i="54"/>
  <c r="AL88" i="54"/>
  <c r="AI66" i="54"/>
  <c r="AK66" i="54"/>
  <c r="AH66" i="54"/>
  <c r="AJ66" i="54"/>
  <c r="AL66" i="54"/>
  <c r="AM66" i="54"/>
  <c r="AI139" i="54"/>
  <c r="AL139" i="54"/>
  <c r="AM139" i="54"/>
  <c r="AK139" i="54"/>
  <c r="AH139" i="54"/>
  <c r="AJ139" i="54"/>
  <c r="AJ149" i="54"/>
  <c r="AK149" i="54"/>
  <c r="AL149" i="54"/>
  <c r="AI149" i="54"/>
  <c r="AM149" i="54"/>
  <c r="AH149" i="54"/>
  <c r="AJ53" i="54"/>
  <c r="AK53" i="54"/>
  <c r="AL53" i="54"/>
  <c r="AM53" i="54"/>
  <c r="AH53" i="54"/>
  <c r="AI53" i="54"/>
  <c r="AL7" i="54"/>
  <c r="AI7" i="54"/>
  <c r="AH7" i="54"/>
  <c r="AK7" i="54"/>
  <c r="AM7" i="54"/>
  <c r="AJ7" i="54"/>
  <c r="AI18" i="54"/>
  <c r="AK18" i="54"/>
  <c r="AL18" i="54"/>
  <c r="AM18" i="54"/>
  <c r="AJ18" i="54"/>
  <c r="AH18" i="54"/>
  <c r="AL128" i="54"/>
  <c r="AI128" i="54"/>
  <c r="AH128" i="54"/>
  <c r="AM128" i="54"/>
  <c r="AJ128" i="54"/>
  <c r="AK128" i="54"/>
  <c r="AK145" i="54"/>
  <c r="AL145" i="54"/>
  <c r="AJ145" i="54"/>
  <c r="AM145" i="54"/>
  <c r="AH145" i="54"/>
  <c r="AI145" i="54"/>
  <c r="AJ120" i="54"/>
  <c r="AM120" i="54"/>
  <c r="AH120" i="54"/>
  <c r="AI120" i="54"/>
  <c r="AL120" i="54"/>
  <c r="AK120" i="54"/>
  <c r="AM130" i="54"/>
  <c r="AI130" i="54"/>
  <c r="AH130" i="54"/>
  <c r="AK130" i="54"/>
  <c r="AJ130" i="54"/>
  <c r="AL130" i="54"/>
  <c r="AJ89" i="54"/>
  <c r="AI89" i="54"/>
  <c r="AM89" i="54"/>
  <c r="AK89" i="54"/>
  <c r="AL89" i="54"/>
  <c r="AH89" i="54"/>
  <c r="AL6" i="54"/>
  <c r="AH6" i="54"/>
  <c r="AK6" i="54"/>
  <c r="AM6" i="54"/>
  <c r="AI6" i="54"/>
  <c r="AJ6" i="54"/>
  <c r="AM156" i="54"/>
  <c r="AJ156" i="54"/>
  <c r="AH156" i="54"/>
  <c r="AI156" i="54"/>
  <c r="AL156" i="54"/>
  <c r="AK156" i="54"/>
  <c r="AM34" i="54"/>
  <c r="AI34" i="54"/>
  <c r="AH34" i="54"/>
  <c r="AL34" i="54"/>
  <c r="AJ34" i="54"/>
  <c r="AK34" i="54"/>
  <c r="AL175" i="54"/>
  <c r="AI175" i="54"/>
  <c r="AM175" i="54"/>
  <c r="AH175" i="54"/>
  <c r="AJ175" i="54"/>
  <c r="AK175" i="54"/>
  <c r="AJ167" i="54"/>
  <c r="AM167" i="54"/>
  <c r="AH167" i="54"/>
  <c r="AI167" i="54"/>
  <c r="AL167" i="54"/>
  <c r="AK167" i="54"/>
  <c r="AI162" i="54"/>
  <c r="AK162" i="54"/>
  <c r="AH162" i="54"/>
  <c r="AJ162" i="54"/>
  <c r="AL162" i="54"/>
  <c r="AM162" i="54"/>
  <c r="AM131" i="54"/>
  <c r="AJ131" i="54"/>
  <c r="AH131" i="54"/>
  <c r="AI131" i="54"/>
  <c r="AL131" i="54"/>
  <c r="AK131" i="54"/>
  <c r="AM11" i="54"/>
  <c r="AJ11" i="54"/>
  <c r="AL11" i="54"/>
  <c r="AK11" i="54"/>
  <c r="AH11" i="54"/>
  <c r="AI11" i="54"/>
  <c r="AL49" i="54"/>
  <c r="AK49" i="54"/>
  <c r="AM49" i="54"/>
  <c r="AH49" i="54"/>
  <c r="AJ49" i="54"/>
  <c r="AI49" i="54"/>
  <c r="AH112" i="54"/>
  <c r="AK112" i="54"/>
  <c r="AL112" i="54"/>
  <c r="AM112" i="54"/>
  <c r="AJ112" i="54"/>
  <c r="AI112" i="54"/>
  <c r="AK123" i="54"/>
  <c r="AH123" i="54"/>
  <c r="AI123" i="54"/>
  <c r="AJ123" i="54"/>
  <c r="AL123" i="54"/>
  <c r="AM123" i="54"/>
  <c r="AI43" i="54"/>
  <c r="AL43" i="54"/>
  <c r="AM43" i="54"/>
  <c r="AH43" i="54"/>
  <c r="AJ43" i="54"/>
  <c r="AK43" i="54"/>
  <c r="AK219" i="54"/>
  <c r="AI219" i="54"/>
  <c r="AJ219" i="54"/>
  <c r="AH219" i="54"/>
  <c r="AM219" i="54"/>
  <c r="AL219" i="54"/>
  <c r="AI42" i="54"/>
  <c r="AK42" i="54"/>
  <c r="AM42" i="54"/>
  <c r="AH42" i="54"/>
  <c r="AL42" i="54"/>
  <c r="AJ42" i="54"/>
  <c r="AJ142" i="54"/>
  <c r="AL142" i="54"/>
  <c r="AM142" i="54"/>
  <c r="AK142" i="54"/>
  <c r="AI142" i="54"/>
  <c r="AH142" i="54"/>
  <c r="AH65" i="54"/>
  <c r="AI65" i="54"/>
  <c r="AJ65" i="54"/>
  <c r="AK65" i="54"/>
  <c r="AM65" i="54"/>
  <c r="AL65" i="54"/>
  <c r="AK98" i="54"/>
  <c r="AM98" i="54"/>
  <c r="AH98" i="54"/>
  <c r="AI98" i="54"/>
  <c r="AL98" i="54"/>
  <c r="AJ98" i="54"/>
  <c r="AL104" i="54"/>
  <c r="AI104" i="54"/>
  <c r="AM104" i="54"/>
  <c r="AJ104" i="54"/>
  <c r="AK104" i="54"/>
  <c r="AH104" i="54"/>
  <c r="AK177" i="54"/>
  <c r="AL177" i="54"/>
  <c r="AM177" i="54"/>
  <c r="AI177" i="54"/>
  <c r="AJ177" i="54"/>
  <c r="AH177" i="54"/>
  <c r="AJ23" i="54"/>
  <c r="AM23" i="54"/>
  <c r="AK23" i="54"/>
  <c r="AL23" i="54"/>
  <c r="AH23" i="54"/>
  <c r="AI23" i="54"/>
  <c r="AK76" i="54"/>
  <c r="AH76" i="54"/>
  <c r="AL76" i="54"/>
  <c r="AM76" i="54"/>
  <c r="AI76" i="54"/>
  <c r="AJ76" i="54"/>
  <c r="AK124" i="54"/>
  <c r="AH124" i="54"/>
  <c r="AI124" i="54"/>
  <c r="AJ124" i="54"/>
  <c r="AL124" i="54"/>
  <c r="AM124" i="54"/>
  <c r="AK26" i="54"/>
  <c r="AM26" i="54"/>
  <c r="AJ26" i="54"/>
  <c r="AI26" i="54"/>
  <c r="AH26" i="54"/>
  <c r="AL26" i="54"/>
  <c r="AL103" i="54"/>
  <c r="AI103" i="54"/>
  <c r="AH103" i="54"/>
  <c r="AJ103" i="54"/>
  <c r="AK103" i="54"/>
  <c r="AM103" i="54"/>
  <c r="AI116" i="54"/>
  <c r="AL116" i="54"/>
  <c r="AJ116" i="54"/>
  <c r="AK116" i="54"/>
  <c r="AH116" i="54"/>
  <c r="AM116" i="54"/>
  <c r="AI221" i="54"/>
  <c r="AM221" i="54"/>
  <c r="AJ221" i="54"/>
  <c r="AL221" i="54"/>
  <c r="AK221" i="54"/>
  <c r="AH221" i="54"/>
  <c r="AK4" i="54"/>
  <c r="AH4" i="54"/>
  <c r="AL4" i="54"/>
  <c r="AJ4" i="54"/>
  <c r="AI4" i="54"/>
  <c r="AM4" i="54"/>
  <c r="AI140" i="54"/>
  <c r="AL140" i="54"/>
  <c r="AM140" i="54"/>
  <c r="AK140" i="54"/>
  <c r="AH140" i="54"/>
  <c r="AJ140" i="54"/>
  <c r="AK194" i="54"/>
  <c r="AM194" i="54"/>
  <c r="AI194" i="54"/>
  <c r="AL194" i="54"/>
  <c r="AJ194" i="54"/>
  <c r="AH194" i="54"/>
  <c r="AM82" i="54"/>
  <c r="AI82" i="54"/>
  <c r="AK82" i="54"/>
  <c r="AL82" i="54"/>
  <c r="AH82" i="54"/>
  <c r="AJ82" i="54"/>
  <c r="AI164" i="54"/>
  <c r="AL164" i="54"/>
  <c r="AH164" i="54"/>
  <c r="AJ164" i="54"/>
  <c r="AK164" i="54"/>
  <c r="AM164" i="54"/>
  <c r="AM202" i="54"/>
  <c r="AI202" i="54"/>
  <c r="AH202" i="54"/>
  <c r="AJ202" i="54"/>
  <c r="AL202" i="54"/>
  <c r="AK202" i="54"/>
  <c r="AH62" i="54"/>
  <c r="AJ62" i="54"/>
  <c r="AI62" i="54"/>
  <c r="AK62" i="54"/>
  <c r="AL62" i="54"/>
  <c r="AM62" i="54"/>
  <c r="AJ47" i="54"/>
  <c r="AM47" i="54"/>
  <c r="AL47" i="54"/>
  <c r="AK47" i="54"/>
  <c r="AH47" i="54"/>
  <c r="AI47" i="54"/>
  <c r="AI210" i="54"/>
  <c r="AK210" i="54"/>
  <c r="AH210" i="54"/>
  <c r="AL210" i="54"/>
  <c r="AM210" i="54"/>
  <c r="AJ210" i="54"/>
  <c r="AM41" i="54"/>
  <c r="AL41" i="54"/>
  <c r="AH41" i="54"/>
  <c r="AI41" i="54"/>
  <c r="AK41" i="54"/>
  <c r="AJ41" i="54"/>
  <c r="AL198" i="54"/>
  <c r="AI198" i="54"/>
  <c r="AH198" i="54"/>
  <c r="AJ198" i="54"/>
  <c r="AK198" i="54"/>
  <c r="AM198" i="54"/>
  <c r="AM10" i="54"/>
  <c r="AI10" i="54"/>
  <c r="AJ10" i="54"/>
  <c r="AL10" i="54"/>
  <c r="AK10" i="54"/>
  <c r="AH10" i="54"/>
  <c r="AL45" i="54"/>
  <c r="AM45" i="54"/>
  <c r="AI45" i="54"/>
  <c r="AK45" i="54"/>
  <c r="AH45" i="54"/>
  <c r="AJ45" i="54"/>
  <c r="AM84" i="54"/>
  <c r="AJ84" i="54"/>
  <c r="AL84" i="54"/>
  <c r="AK84" i="54"/>
  <c r="AI84" i="54"/>
  <c r="AH84" i="54"/>
  <c r="AH111" i="54"/>
  <c r="AK111" i="54"/>
  <c r="AL111" i="54"/>
  <c r="AM111" i="54"/>
  <c r="AI111" i="54"/>
  <c r="AJ111" i="54"/>
  <c r="AI57" i="54"/>
  <c r="AJ57" i="54"/>
  <c r="AK57" i="54"/>
  <c r="AL57" i="54"/>
  <c r="AM57" i="54"/>
  <c r="AH57" i="54"/>
  <c r="AM58" i="54"/>
  <c r="AI58" i="54"/>
  <c r="AJ58" i="54"/>
  <c r="AK58" i="54"/>
  <c r="AL58" i="54"/>
  <c r="AH58" i="54"/>
  <c r="AL205" i="54"/>
  <c r="AM205" i="54"/>
  <c r="AI205" i="54"/>
  <c r="AJ205" i="54"/>
  <c r="AH205" i="54"/>
  <c r="AK205" i="54"/>
  <c r="AH87" i="54"/>
  <c r="AK87" i="54"/>
  <c r="AJ87" i="54"/>
  <c r="AM87" i="54"/>
  <c r="AL87" i="54"/>
  <c r="AI87" i="54"/>
  <c r="AL30" i="54"/>
  <c r="AH30" i="54"/>
  <c r="AI30" i="54"/>
  <c r="AJ30" i="54"/>
  <c r="AM30" i="54"/>
  <c r="AK30" i="54"/>
  <c r="AL32" i="54"/>
  <c r="AI32" i="54"/>
  <c r="AH32" i="54"/>
  <c r="AM32" i="54"/>
  <c r="AJ32" i="54"/>
  <c r="AK32" i="54"/>
  <c r="AJ71" i="54"/>
  <c r="AM71" i="54"/>
  <c r="AH71" i="54"/>
  <c r="AI71" i="54"/>
  <c r="AK71" i="54"/>
  <c r="AL71" i="54"/>
  <c r="AM137" i="54"/>
  <c r="AL137" i="54"/>
  <c r="AI137" i="54"/>
  <c r="AJ137" i="54"/>
  <c r="AK137" i="54"/>
  <c r="AH137" i="54"/>
  <c r="AK101" i="54"/>
  <c r="AL101" i="54"/>
  <c r="AJ101" i="54"/>
  <c r="AM101" i="54"/>
  <c r="AH101" i="54"/>
  <c r="AI101" i="54"/>
  <c r="AI121" i="54"/>
  <c r="AJ121" i="54"/>
  <c r="AK121" i="54"/>
  <c r="AH121" i="54"/>
  <c r="AM121" i="54"/>
  <c r="AL121" i="54"/>
  <c r="AH161" i="54"/>
  <c r="AI161" i="54"/>
  <c r="AJ161" i="54"/>
  <c r="AK161" i="54"/>
  <c r="AM161" i="54"/>
  <c r="AL161" i="54"/>
  <c r="AI20" i="54"/>
  <c r="AL20" i="54"/>
  <c r="AJ20" i="54"/>
  <c r="AK20" i="54"/>
  <c r="AH20" i="54"/>
  <c r="AM20" i="54"/>
  <c r="AM106" i="54"/>
  <c r="AI106" i="54"/>
  <c r="AK106" i="54"/>
  <c r="AJ106" i="54"/>
  <c r="AL106" i="54"/>
  <c r="AH106" i="54"/>
  <c r="AI69" i="54"/>
  <c r="AK69" i="54"/>
  <c r="AJ69" i="54"/>
  <c r="AL69" i="54"/>
  <c r="AM69" i="54"/>
  <c r="AH69" i="54"/>
  <c r="AK27" i="54"/>
  <c r="AH27" i="54"/>
  <c r="AI27" i="54"/>
  <c r="AJ27" i="54"/>
  <c r="AL27" i="54"/>
  <c r="AM27" i="54"/>
  <c r="AK50" i="54"/>
  <c r="AM50" i="54"/>
  <c r="AL50" i="54"/>
  <c r="AJ50" i="54"/>
  <c r="AH50" i="54"/>
  <c r="AI50" i="54"/>
  <c r="AJ168" i="54"/>
  <c r="AM168" i="54"/>
  <c r="AH168" i="54"/>
  <c r="AI168" i="54"/>
  <c r="AL168" i="54"/>
  <c r="AK168" i="54"/>
  <c r="AL150" i="54"/>
  <c r="AH150" i="54"/>
  <c r="AK150" i="54"/>
  <c r="AJ150" i="54"/>
  <c r="AI150" i="54"/>
  <c r="AM150" i="54"/>
  <c r="AL200" i="54"/>
  <c r="AI200" i="54"/>
  <c r="AM200" i="54"/>
  <c r="AH200" i="54"/>
  <c r="AJ200" i="54"/>
  <c r="AK200" i="54"/>
  <c r="AH86" i="54"/>
  <c r="AJ86" i="54"/>
  <c r="AK86" i="54"/>
  <c r="AL86" i="54"/>
  <c r="AM86" i="54"/>
  <c r="AI86" i="54"/>
  <c r="AH29" i="54"/>
  <c r="AI29" i="54"/>
  <c r="AK29" i="54"/>
  <c r="AJ29" i="54"/>
  <c r="AM29" i="54"/>
  <c r="AL29" i="54"/>
  <c r="AI138" i="54"/>
  <c r="AK138" i="54"/>
  <c r="AM138" i="54"/>
  <c r="AL138" i="54"/>
  <c r="AH138" i="54"/>
  <c r="AJ138" i="54"/>
  <c r="AL79" i="54"/>
  <c r="AI79" i="54"/>
  <c r="AM79" i="54"/>
  <c r="AH79" i="54"/>
  <c r="AJ79" i="54"/>
  <c r="AK79" i="54"/>
  <c r="AM108" i="54"/>
  <c r="AJ108" i="54"/>
  <c r="AI108" i="54"/>
  <c r="AK108" i="54"/>
  <c r="AH108" i="54"/>
  <c r="AL108" i="54"/>
  <c r="AM107" i="54"/>
  <c r="AJ107" i="54"/>
  <c r="AK107" i="54"/>
  <c r="AL107" i="54"/>
  <c r="AH107" i="54"/>
  <c r="AI107" i="54"/>
  <c r="AJ197" i="54"/>
  <c r="AK197" i="54"/>
  <c r="AM197" i="54"/>
  <c r="AI197" i="54"/>
  <c r="AH197" i="54"/>
  <c r="AL197" i="54"/>
  <c r="AK170" i="54"/>
  <c r="AM170" i="54"/>
  <c r="AH170" i="54"/>
  <c r="AI170" i="54"/>
  <c r="AL170" i="54"/>
  <c r="AJ170" i="54"/>
  <c r="AK51" i="54"/>
  <c r="AH51" i="54"/>
  <c r="AL51" i="54"/>
  <c r="AM51" i="54"/>
  <c r="AJ51" i="54"/>
  <c r="AI51" i="54"/>
  <c r="AH125" i="54"/>
  <c r="AI125" i="54"/>
  <c r="AK125" i="54"/>
  <c r="AM125" i="54"/>
  <c r="AJ125" i="54"/>
  <c r="AL125" i="54"/>
  <c r="AM105" i="54"/>
  <c r="AJ105" i="54"/>
  <c r="AK105" i="54"/>
  <c r="AL105" i="54"/>
  <c r="AI105" i="54"/>
  <c r="AH105" i="54"/>
  <c r="AH97" i="54"/>
  <c r="AK97" i="54"/>
  <c r="AL97" i="54"/>
  <c r="AM97" i="54"/>
  <c r="AI97" i="54"/>
  <c r="AJ97" i="54"/>
  <c r="AI19" i="54"/>
  <c r="AL19" i="54"/>
  <c r="AK19" i="54"/>
  <c r="AJ19" i="54"/>
  <c r="AH19" i="54"/>
  <c r="AM19" i="54"/>
  <c r="AH213" i="54"/>
  <c r="AJ213" i="54"/>
  <c r="AK213" i="54"/>
  <c r="AI213" i="54"/>
  <c r="AM213" i="54"/>
  <c r="AL213" i="54"/>
  <c r="AI25" i="54"/>
  <c r="AJ25" i="54"/>
  <c r="AK25" i="54"/>
  <c r="AH25" i="54"/>
  <c r="AL25" i="54"/>
  <c r="AM25" i="54"/>
  <c r="AK146" i="54"/>
  <c r="AM146" i="54"/>
  <c r="AL146" i="54"/>
  <c r="AJ146" i="54"/>
  <c r="AI146" i="54"/>
  <c r="AH146" i="54"/>
  <c r="AI212" i="54"/>
  <c r="AL212" i="54"/>
  <c r="AJ212" i="54"/>
  <c r="AH212" i="54"/>
  <c r="AK212" i="54"/>
  <c r="AM212" i="54"/>
  <c r="AK113" i="54"/>
  <c r="AL113" i="54"/>
  <c r="AM113" i="54"/>
  <c r="AI113" i="54"/>
  <c r="AJ113" i="54"/>
  <c r="AH113" i="54"/>
  <c r="AK195" i="54"/>
  <c r="AJ195" i="54"/>
  <c r="AL195" i="54"/>
  <c r="AI195" i="54"/>
  <c r="AH195" i="54"/>
  <c r="AM195" i="54"/>
  <c r="AK52" i="54"/>
  <c r="AH52" i="54"/>
  <c r="AJ52" i="54"/>
  <c r="AL52" i="54"/>
  <c r="AM52" i="54"/>
  <c r="AI52" i="54"/>
  <c r="AJ182" i="54"/>
  <c r="AK182" i="54"/>
  <c r="AL182" i="54"/>
  <c r="AM182" i="54"/>
  <c r="AI182" i="54"/>
  <c r="AH182" i="54"/>
  <c r="AJ24" i="54"/>
  <c r="AM24" i="54"/>
  <c r="AH24" i="54"/>
  <c r="AI24" i="54"/>
  <c r="AK24" i="54"/>
  <c r="AL24" i="54"/>
  <c r="AJ181" i="54"/>
  <c r="AK181" i="54"/>
  <c r="AM181" i="54"/>
  <c r="AH181" i="54"/>
  <c r="AI181" i="54"/>
  <c r="AL181" i="54"/>
  <c r="AI90" i="54"/>
  <c r="AK90" i="54"/>
  <c r="AJ90" i="54"/>
  <c r="AL90" i="54"/>
  <c r="AM90" i="54"/>
  <c r="AH90" i="54"/>
  <c r="AI44" i="54"/>
  <c r="AL44" i="54"/>
  <c r="AM44" i="54"/>
  <c r="AH44" i="54"/>
  <c r="AK44" i="54"/>
  <c r="AJ44" i="54"/>
  <c r="AK147" i="54"/>
  <c r="AH147" i="54"/>
  <c r="AL147" i="54"/>
  <c r="AM147" i="54"/>
  <c r="AJ147" i="54"/>
  <c r="AI147" i="54"/>
  <c r="AK75" i="54"/>
  <c r="AH75" i="54"/>
  <c r="AM75" i="54"/>
  <c r="AI75" i="54"/>
  <c r="AJ75" i="54"/>
  <c r="AL75" i="54"/>
  <c r="AJ46" i="54"/>
  <c r="AL46" i="54"/>
  <c r="AM46" i="54"/>
  <c r="AK46" i="54"/>
  <c r="AH46" i="54"/>
  <c r="AI46" i="54"/>
  <c r="AI91" i="54"/>
  <c r="AL91" i="54"/>
  <c r="AJ91" i="54"/>
  <c r="AK91" i="54"/>
  <c r="AM91" i="54"/>
  <c r="AH91" i="54"/>
  <c r="AH160" i="54"/>
  <c r="AK160" i="54"/>
  <c r="AI160" i="54"/>
  <c r="AJ160" i="54"/>
  <c r="AL160" i="54"/>
  <c r="AM160" i="54"/>
  <c r="AL126" i="54"/>
  <c r="AH126" i="54"/>
  <c r="AI126" i="54"/>
  <c r="AJ126" i="54"/>
  <c r="AK126" i="54"/>
  <c r="AM126" i="54"/>
  <c r="AL13" i="54"/>
  <c r="AM13" i="54"/>
  <c r="AJ13" i="54"/>
  <c r="AK13" i="54"/>
  <c r="AI13" i="54"/>
  <c r="AH13" i="54"/>
  <c r="AJ70" i="54"/>
  <c r="AL70" i="54"/>
  <c r="AH70" i="54"/>
  <c r="AI70" i="54"/>
  <c r="AM70" i="54"/>
  <c r="AK70" i="54"/>
  <c r="AI186" i="54"/>
  <c r="AK186" i="54"/>
  <c r="AH186" i="54"/>
  <c r="AJ186" i="54"/>
  <c r="AL186" i="54"/>
  <c r="AM186" i="54"/>
  <c r="AL127" i="54"/>
  <c r="AI127" i="54"/>
  <c r="AH127" i="54"/>
  <c r="AM127" i="54"/>
  <c r="AJ127" i="54"/>
  <c r="AK127" i="54"/>
  <c r="AL80" i="54"/>
  <c r="AI80" i="54"/>
  <c r="AM80" i="54"/>
  <c r="AH80" i="54"/>
  <c r="AK80" i="54"/>
  <c r="AJ80" i="54"/>
  <c r="BA93" i="48"/>
  <c r="BA126" i="48"/>
  <c r="BA68" i="48"/>
  <c r="BA11" i="48"/>
  <c r="BA178" i="48"/>
  <c r="BA268" i="48"/>
  <c r="BA56" i="48"/>
  <c r="BA25" i="48"/>
  <c r="BA73" i="48"/>
  <c r="BA36" i="48"/>
  <c r="BA280" i="48"/>
  <c r="BA151" i="48"/>
  <c r="BA235" i="48"/>
  <c r="BA225" i="48"/>
  <c r="BA63" i="48"/>
  <c r="BA51" i="48"/>
  <c r="BA91" i="48"/>
  <c r="BA113" i="48"/>
  <c r="T205" i="48"/>
  <c r="T212" i="48"/>
  <c r="BA119" i="48"/>
  <c r="BA169" i="48"/>
  <c r="BA133" i="48"/>
  <c r="BA131" i="48"/>
  <c r="BA111" i="48"/>
  <c r="BA75" i="48"/>
  <c r="BA236" i="48"/>
  <c r="BA112" i="48"/>
  <c r="BA267" i="48"/>
  <c r="BA180" i="48"/>
  <c r="BA173" i="48"/>
  <c r="BA154" i="48"/>
  <c r="BA152" i="48"/>
  <c r="BA161" i="48"/>
  <c r="BA74" i="48"/>
  <c r="BA272" i="48"/>
  <c r="BA98" i="48"/>
  <c r="BA249" i="48"/>
  <c r="T206" i="48"/>
  <c r="T215" i="48"/>
  <c r="BA198" i="48"/>
  <c r="BA15" i="48"/>
  <c r="BA256" i="48"/>
  <c r="BA215" i="48"/>
  <c r="BA27" i="48"/>
  <c r="BA62" i="48"/>
  <c r="BA212" i="48"/>
  <c r="BA18" i="48"/>
  <c r="BA96" i="48"/>
  <c r="BA165" i="48"/>
  <c r="BA246" i="48"/>
  <c r="BA239" i="48"/>
  <c r="BA138" i="48"/>
  <c r="BA259" i="48"/>
  <c r="BA38" i="48"/>
  <c r="BA171" i="48"/>
  <c r="BA206" i="48"/>
  <c r="BA82" i="48"/>
  <c r="BA217" i="48"/>
  <c r="BA99" i="48"/>
  <c r="BA32" i="48"/>
  <c r="BA37" i="48"/>
  <c r="BA168" i="48"/>
  <c r="BA211" i="48"/>
  <c r="BA7" i="48"/>
  <c r="BA230" i="48"/>
  <c r="BA242" i="48"/>
  <c r="BA179" i="48"/>
  <c r="BA233" i="48"/>
  <c r="BA45" i="48"/>
  <c r="BA122" i="48"/>
  <c r="BA253" i="48"/>
  <c r="BA189" i="48"/>
  <c r="BA17" i="48"/>
  <c r="BA5" i="48"/>
  <c r="BA187" i="48"/>
  <c r="BA115" i="48"/>
  <c r="BA100" i="48"/>
  <c r="BA57" i="48"/>
  <c r="BA81" i="48"/>
  <c r="BA72" i="48"/>
  <c r="BA24" i="48"/>
  <c r="T204" i="48"/>
  <c r="T218" i="48"/>
  <c r="BA49" i="48"/>
  <c r="BA237" i="48"/>
  <c r="BA84" i="48"/>
  <c r="BA210" i="48"/>
  <c r="BA9" i="48"/>
  <c r="BA163" i="48"/>
  <c r="BA193" i="48"/>
  <c r="BA241" i="48"/>
  <c r="BA134" i="48"/>
  <c r="BA162" i="48"/>
  <c r="BA10" i="48"/>
  <c r="BA232" i="48"/>
  <c r="BA76" i="48"/>
  <c r="BA70" i="48"/>
  <c r="BA244" i="48"/>
  <c r="BA150" i="48"/>
  <c r="BA184" i="48"/>
  <c r="BA194" i="48"/>
  <c r="BA42" i="48"/>
  <c r="BA71" i="48"/>
  <c r="BA170" i="48"/>
  <c r="BA34" i="48"/>
  <c r="BA277" i="48"/>
  <c r="BA214" i="48"/>
  <c r="BA29" i="48"/>
  <c r="BA227" i="48"/>
  <c r="BA89" i="48"/>
  <c r="BA257" i="48"/>
  <c r="BA207" i="48"/>
  <c r="BA250" i="48"/>
  <c r="BA103" i="48"/>
  <c r="BA261" i="48"/>
  <c r="BA243" i="48"/>
  <c r="BA190" i="48"/>
  <c r="BA271" i="48"/>
  <c r="BA185" i="48"/>
  <c r="BA14" i="48"/>
  <c r="BA248" i="48"/>
  <c r="BA269" i="48"/>
  <c r="BA125" i="48"/>
  <c r="BA172" i="48"/>
  <c r="BA200" i="48"/>
  <c r="BA4" i="48"/>
  <c r="BA80" i="48"/>
  <c r="AI201" i="48"/>
  <c r="BF61" i="48"/>
  <c r="T186" i="48"/>
  <c r="BJ186" i="48" s="1"/>
  <c r="BI186" i="48"/>
  <c r="BI179" i="48"/>
  <c r="T179" i="48"/>
  <c r="BJ179" i="48" s="1"/>
  <c r="BH43" i="48"/>
  <c r="AK183" i="48"/>
  <c r="AF104" i="54"/>
  <c r="AG104" i="54"/>
  <c r="BH62" i="48"/>
  <c r="AK202" i="48"/>
  <c r="T207" i="48"/>
  <c r="T164" i="48"/>
  <c r="BJ164" i="48" s="1"/>
  <c r="BI164" i="48"/>
  <c r="AF85" i="54"/>
  <c r="AG85" i="54"/>
  <c r="AI151" i="48"/>
  <c r="BF11" i="48"/>
  <c r="BI17" i="48"/>
  <c r="T17" i="48"/>
  <c r="AL157" i="48"/>
  <c r="BF89" i="48"/>
  <c r="AI229" i="48"/>
  <c r="AK212" i="48"/>
  <c r="BH72" i="48"/>
  <c r="AK203" i="48"/>
  <c r="BH63" i="48"/>
  <c r="AF94" i="54"/>
  <c r="AG94" i="54"/>
  <c r="AF180" i="54"/>
  <c r="AG180" i="54"/>
  <c r="AL241" i="48"/>
  <c r="BI101" i="48"/>
  <c r="T101" i="48"/>
  <c r="AG35" i="54"/>
  <c r="AF35" i="54"/>
  <c r="AF209" i="54"/>
  <c r="AG209" i="54"/>
  <c r="AI241" i="48"/>
  <c r="BF101" i="48"/>
  <c r="AG48" i="54"/>
  <c r="AF48" i="54"/>
  <c r="AL239" i="48"/>
  <c r="BI99" i="48"/>
  <c r="T99" i="48"/>
  <c r="AF39" i="54"/>
  <c r="AG39" i="54"/>
  <c r="AF186" i="54"/>
  <c r="AG186" i="54"/>
  <c r="T153" i="48"/>
  <c r="BJ153" i="48" s="1"/>
  <c r="BI153" i="48"/>
  <c r="AF57" i="54"/>
  <c r="AG57" i="54"/>
  <c r="AF81" i="54"/>
  <c r="AG81" i="54"/>
  <c r="T48" i="48"/>
  <c r="AL188" i="48"/>
  <c r="BI48" i="48"/>
  <c r="BI78" i="48"/>
  <c r="T78" i="48"/>
  <c r="AL218" i="48"/>
  <c r="AL213" i="48"/>
  <c r="BI73" i="48"/>
  <c r="T73" i="48"/>
  <c r="BH2" i="48"/>
  <c r="AK142" i="48"/>
  <c r="AL248" i="48"/>
  <c r="T108" i="48"/>
  <c r="BI108" i="48"/>
  <c r="BI65" i="48"/>
  <c r="AL205" i="48"/>
  <c r="T65" i="48"/>
  <c r="AI217" i="48"/>
  <c r="BF77" i="48"/>
  <c r="AK186" i="48"/>
  <c r="BH46" i="48"/>
  <c r="AG166" i="54"/>
  <c r="AF166" i="54"/>
  <c r="AL226" i="48"/>
  <c r="BI86" i="48"/>
  <c r="T86" i="48"/>
  <c r="AI143" i="48"/>
  <c r="BF3" i="48"/>
  <c r="BA16" i="48"/>
  <c r="BA54" i="48"/>
  <c r="BA260" i="48"/>
  <c r="BA275" i="48"/>
  <c r="BA258" i="48"/>
  <c r="BA202" i="48"/>
  <c r="BA52" i="48"/>
  <c r="BA64" i="48"/>
  <c r="BA177" i="48"/>
  <c r="AG110" i="54"/>
  <c r="AF110" i="54"/>
  <c r="AK229" i="48"/>
  <c r="BH89" i="48"/>
  <c r="AG201" i="54"/>
  <c r="AF201" i="54"/>
  <c r="T138" i="48"/>
  <c r="BJ138" i="48" s="1"/>
  <c r="BI138" i="48"/>
  <c r="AK169" i="48"/>
  <c r="BH29" i="48"/>
  <c r="T199" i="48"/>
  <c r="BJ199" i="48" s="1"/>
  <c r="BI199" i="48"/>
  <c r="AG123" i="54"/>
  <c r="AF123" i="54"/>
  <c r="AI230" i="48"/>
  <c r="BF90" i="48"/>
  <c r="T54" i="48"/>
  <c r="AL194" i="48"/>
  <c r="BI54" i="48"/>
  <c r="T79" i="48"/>
  <c r="AL219" i="48"/>
  <c r="BI79" i="48"/>
  <c r="AF41" i="54"/>
  <c r="AG41" i="54"/>
  <c r="AK184" i="48"/>
  <c r="BH44" i="48"/>
  <c r="BI87" i="48"/>
  <c r="T87" i="48"/>
  <c r="AL227" i="48"/>
  <c r="AG16" i="54"/>
  <c r="AF16" i="54"/>
  <c r="T225" i="48"/>
  <c r="AK196" i="48"/>
  <c r="BH56" i="48"/>
  <c r="T124" i="48"/>
  <c r="BJ124" i="48" s="1"/>
  <c r="BI124" i="48"/>
  <c r="T209" i="48"/>
  <c r="AG63" i="54"/>
  <c r="AF63" i="54"/>
  <c r="T3" i="48"/>
  <c r="BI3" i="48"/>
  <c r="AL143" i="48"/>
  <c r="BI41" i="48"/>
  <c r="AL181" i="48"/>
  <c r="T41" i="48"/>
  <c r="T40" i="48"/>
  <c r="AL180" i="48"/>
  <c r="BI40" i="48"/>
  <c r="AL225" i="48"/>
  <c r="T85" i="48"/>
  <c r="BI85" i="48"/>
  <c r="AK187" i="48"/>
  <c r="BH47" i="48"/>
  <c r="BF58" i="48"/>
  <c r="AI198" i="48"/>
  <c r="AL238" i="48"/>
  <c r="T98" i="48"/>
  <c r="BI98" i="48"/>
  <c r="AF146" i="54"/>
  <c r="AG146" i="54"/>
  <c r="AG141" i="54"/>
  <c r="AF141" i="54"/>
  <c r="T141" i="48"/>
  <c r="BJ141" i="48" s="1"/>
  <c r="BI141" i="48"/>
  <c r="BH12" i="48"/>
  <c r="AK152" i="48"/>
  <c r="AF148" i="54"/>
  <c r="AG148" i="54"/>
  <c r="BI105" i="48"/>
  <c r="AL245" i="48"/>
  <c r="T105" i="48"/>
  <c r="T145" i="48"/>
  <c r="BJ145" i="48" s="1"/>
  <c r="BI145" i="48"/>
  <c r="BI114" i="48"/>
  <c r="T114" i="48"/>
  <c r="BJ114" i="48" s="1"/>
  <c r="AL192" i="48"/>
  <c r="T52" i="48"/>
  <c r="BI52" i="48"/>
  <c r="AK159" i="48"/>
  <c r="BH19" i="48"/>
  <c r="BI96" i="48"/>
  <c r="AL236" i="48"/>
  <c r="T96" i="48"/>
  <c r="T136" i="48"/>
  <c r="BJ136" i="48" s="1"/>
  <c r="BI136" i="48"/>
  <c r="BA39" i="48"/>
  <c r="BA79" i="48"/>
  <c r="BA132" i="48"/>
  <c r="BA13" i="48"/>
  <c r="BA109" i="48"/>
  <c r="BA114" i="48"/>
  <c r="BA270" i="48"/>
  <c r="BA186" i="48"/>
  <c r="BA118" i="48"/>
  <c r="BA192" i="48"/>
  <c r="BA221" i="48"/>
  <c r="BA124" i="48"/>
  <c r="BA240" i="48"/>
  <c r="AK172" i="48"/>
  <c r="BH32" i="48"/>
  <c r="BI188" i="48"/>
  <c r="T188" i="48"/>
  <c r="BJ188" i="48" s="1"/>
  <c r="BH83" i="48"/>
  <c r="AK223" i="48"/>
  <c r="T5" i="48"/>
  <c r="AL145" i="48"/>
  <c r="BI5" i="48"/>
  <c r="AI175" i="48"/>
  <c r="BF35" i="48"/>
  <c r="AK210" i="48"/>
  <c r="BH70" i="48"/>
  <c r="BI183" i="48"/>
  <c r="T183" i="48"/>
  <c r="BJ183" i="48" s="1"/>
  <c r="BH52" i="48"/>
  <c r="AK192" i="48"/>
  <c r="AK160" i="48"/>
  <c r="BH20" i="48"/>
  <c r="AI212" i="48"/>
  <c r="BF72" i="48"/>
  <c r="AG203" i="54"/>
  <c r="AF203" i="54"/>
  <c r="BI132" i="48"/>
  <c r="T132" i="48"/>
  <c r="BJ132" i="48" s="1"/>
  <c r="AG28" i="54"/>
  <c r="AF28" i="54"/>
  <c r="BI128" i="48"/>
  <c r="T128" i="48"/>
  <c r="BJ128" i="48" s="1"/>
  <c r="BH55" i="48"/>
  <c r="AK195" i="48"/>
  <c r="BI161" i="48"/>
  <c r="T161" i="48"/>
  <c r="BJ161" i="48" s="1"/>
  <c r="AG181" i="54"/>
  <c r="AF181" i="54"/>
  <c r="AG145" i="54"/>
  <c r="AF145" i="54"/>
  <c r="AL198" i="48"/>
  <c r="T58" i="48"/>
  <c r="BI58" i="48"/>
  <c r="T193" i="48"/>
  <c r="BJ193" i="48" s="1"/>
  <c r="BI193" i="48"/>
  <c r="BI45" i="48"/>
  <c r="AL185" i="48"/>
  <c r="T45" i="48"/>
  <c r="BF48" i="48"/>
  <c r="AI188" i="48"/>
  <c r="AG156" i="54"/>
  <c r="AF156" i="54"/>
  <c r="BF26" i="48"/>
  <c r="AI166" i="48"/>
  <c r="AF17" i="54"/>
  <c r="AG17" i="54"/>
  <c r="AL204" i="48"/>
  <c r="BI64" i="48"/>
  <c r="T64" i="48"/>
  <c r="AF139" i="54"/>
  <c r="AG139" i="54"/>
  <c r="T69" i="48"/>
  <c r="AL209" i="48"/>
  <c r="BI69" i="48"/>
  <c r="AK171" i="48"/>
  <c r="BH31" i="48"/>
  <c r="AG192" i="54"/>
  <c r="AF192" i="54"/>
  <c r="AG125" i="54"/>
  <c r="AF125" i="54"/>
  <c r="BH37" i="48"/>
  <c r="AK177" i="48"/>
  <c r="T131" i="48"/>
  <c r="BJ131" i="48" s="1"/>
  <c r="BI131" i="48"/>
  <c r="AF217" i="54"/>
  <c r="AG217" i="54"/>
  <c r="BI200" i="48"/>
  <c r="T200" i="48"/>
  <c r="BJ200" i="48" s="1"/>
  <c r="AG44" i="54"/>
  <c r="AF44" i="54"/>
  <c r="AG86" i="54"/>
  <c r="AF86" i="54"/>
  <c r="T165" i="48"/>
  <c r="BJ165" i="48" s="1"/>
  <c r="BI165" i="48"/>
  <c r="BI55" i="48"/>
  <c r="AL195" i="48"/>
  <c r="T55" i="48"/>
  <c r="AF59" i="54"/>
  <c r="AG59" i="54"/>
  <c r="T216" i="48"/>
  <c r="BF33" i="48"/>
  <c r="AI173" i="48"/>
  <c r="AG212" i="54"/>
  <c r="AF212" i="54"/>
  <c r="AI174" i="48"/>
  <c r="BF34" i="48"/>
  <c r="AG187" i="54"/>
  <c r="AF187" i="54"/>
  <c r="BA33" i="48"/>
  <c r="BA41" i="48"/>
  <c r="BA26" i="48"/>
  <c r="BA94" i="48"/>
  <c r="BA102" i="48"/>
  <c r="BA196" i="48"/>
  <c r="BA58" i="48"/>
  <c r="BA120" i="48"/>
  <c r="BA255" i="48"/>
  <c r="BA90" i="48"/>
  <c r="AF160" i="54"/>
  <c r="AG160" i="54"/>
  <c r="BF75" i="48"/>
  <c r="AI215" i="48"/>
  <c r="AG52" i="54"/>
  <c r="AF52" i="54"/>
  <c r="AK178" i="48"/>
  <c r="BH38" i="48"/>
  <c r="AF18" i="54"/>
  <c r="AG18" i="54"/>
  <c r="AL165" i="48"/>
  <c r="T25" i="48"/>
  <c r="BI25" i="48"/>
  <c r="BI163" i="48"/>
  <c r="T163" i="48"/>
  <c r="BJ163" i="48" s="1"/>
  <c r="AF24" i="54"/>
  <c r="AG24" i="54"/>
  <c r="AG36" i="54"/>
  <c r="AF36" i="54"/>
  <c r="AK163" i="48"/>
  <c r="BH23" i="48"/>
  <c r="AI199" i="48"/>
  <c r="BF59" i="48"/>
  <c r="AF149" i="54"/>
  <c r="AG149" i="54"/>
  <c r="AF179" i="54"/>
  <c r="AG179" i="54"/>
  <c r="AF213" i="54"/>
  <c r="AG213" i="54"/>
  <c r="AF47" i="54"/>
  <c r="AG47" i="54"/>
  <c r="T203" i="48"/>
  <c r="T221" i="48"/>
  <c r="T129" i="48"/>
  <c r="BJ129" i="48" s="1"/>
  <c r="BI129" i="48"/>
  <c r="BF85" i="48"/>
  <c r="AI225" i="48"/>
  <c r="AG120" i="54"/>
  <c r="AF120" i="54"/>
  <c r="BF81" i="48"/>
  <c r="AI221" i="48"/>
  <c r="BI178" i="48"/>
  <c r="T178" i="48"/>
  <c r="BJ178" i="48" s="1"/>
  <c r="AL173" i="48"/>
  <c r="BI33" i="48"/>
  <c r="T33" i="48"/>
  <c r="BI110" i="48"/>
  <c r="AL250" i="48"/>
  <c r="T110" i="48"/>
  <c r="AI177" i="48"/>
  <c r="BF37" i="48"/>
  <c r="BI168" i="48"/>
  <c r="T168" i="48"/>
  <c r="BJ168" i="48" s="1"/>
  <c r="AG109" i="54"/>
  <c r="AF109" i="54"/>
  <c r="AF129" i="54"/>
  <c r="AG129" i="54"/>
  <c r="AG49" i="54"/>
  <c r="AF49" i="54"/>
  <c r="AG60" i="54"/>
  <c r="AF60" i="54"/>
  <c r="AF163" i="54"/>
  <c r="AG163" i="54"/>
  <c r="BA121" i="48"/>
  <c r="BA85" i="48"/>
  <c r="BA147" i="48"/>
  <c r="BA149" i="48"/>
  <c r="BA23" i="48"/>
  <c r="BA21" i="48"/>
  <c r="BA40" i="48"/>
  <c r="BA276" i="48"/>
  <c r="BA263" i="48"/>
  <c r="BA19" i="48"/>
  <c r="BA223" i="48"/>
  <c r="BA159" i="48"/>
  <c r="BI155" i="48"/>
  <c r="T155" i="48"/>
  <c r="BJ155" i="48" s="1"/>
  <c r="AG103" i="54"/>
  <c r="AF103" i="54"/>
  <c r="AL224" i="48"/>
  <c r="T84" i="48"/>
  <c r="BI84" i="48"/>
  <c r="BF28" i="48"/>
  <c r="AI168" i="48"/>
  <c r="AF171" i="54"/>
  <c r="AG171" i="54"/>
  <c r="AI147" i="48"/>
  <c r="BF7" i="48"/>
  <c r="T198" i="48"/>
  <c r="BJ198" i="48" s="1"/>
  <c r="BI198" i="48"/>
  <c r="AG136" i="54"/>
  <c r="AF136" i="54"/>
  <c r="AG76" i="54"/>
  <c r="AF76" i="54"/>
  <c r="AF56" i="54"/>
  <c r="AG56" i="54"/>
  <c r="AI247" i="48"/>
  <c r="BF107" i="48"/>
  <c r="T194" i="48"/>
  <c r="BJ194" i="48" s="1"/>
  <c r="BI194" i="48"/>
  <c r="AG214" i="54"/>
  <c r="AF214" i="54"/>
  <c r="AG151" i="54"/>
  <c r="AF151" i="54"/>
  <c r="BI115" i="48"/>
  <c r="T115" i="48"/>
  <c r="BJ115" i="48" s="1"/>
  <c r="AF118" i="54"/>
  <c r="AG118" i="54"/>
  <c r="T11" i="48"/>
  <c r="AL151" i="48"/>
  <c r="BI11" i="48"/>
  <c r="AF124" i="54"/>
  <c r="AG124" i="54"/>
  <c r="AK206" i="48"/>
  <c r="BH66" i="48"/>
  <c r="AG197" i="54"/>
  <c r="AF197" i="54"/>
  <c r="BI119" i="48"/>
  <c r="T119" i="48"/>
  <c r="BJ119" i="48" s="1"/>
  <c r="AI206" i="48"/>
  <c r="BF66" i="48"/>
  <c r="AL243" i="48"/>
  <c r="T103" i="48"/>
  <c r="BI103" i="48"/>
  <c r="AF72" i="54"/>
  <c r="AG72" i="54"/>
  <c r="AL210" i="48"/>
  <c r="BI70" i="48"/>
  <c r="T70" i="48"/>
  <c r="AK237" i="48"/>
  <c r="BH97" i="48"/>
  <c r="AK174" i="48"/>
  <c r="BH34" i="48"/>
  <c r="T169" i="48"/>
  <c r="BJ169" i="48" s="1"/>
  <c r="BI169" i="48"/>
  <c r="AG199" i="54"/>
  <c r="AF199" i="54"/>
  <c r="AK226" i="48"/>
  <c r="BH86" i="48"/>
  <c r="AK181" i="48"/>
  <c r="BH41" i="48"/>
  <c r="T121" i="48"/>
  <c r="BJ121" i="48" s="1"/>
  <c r="BI121" i="48"/>
  <c r="BI162" i="48"/>
  <c r="T162" i="48"/>
  <c r="BJ162" i="48" s="1"/>
  <c r="BA6" i="48"/>
  <c r="BA220" i="48"/>
  <c r="BA229" i="48"/>
  <c r="BA95" i="48"/>
  <c r="BA31" i="48"/>
  <c r="BA176" i="48"/>
  <c r="BA155" i="48"/>
  <c r="BA153" i="48"/>
  <c r="BA278" i="48"/>
  <c r="BA116" i="48"/>
  <c r="AL231" i="48"/>
  <c r="T91" i="48"/>
  <c r="BI91" i="48"/>
  <c r="AF219" i="54"/>
  <c r="AG219" i="54"/>
  <c r="AF170" i="54"/>
  <c r="AG170" i="54"/>
  <c r="AF15" i="54"/>
  <c r="AG15" i="54"/>
  <c r="T9" i="48"/>
  <c r="BI9" i="48"/>
  <c r="AL149" i="48"/>
  <c r="AG107" i="54"/>
  <c r="AF107" i="54"/>
  <c r="AK145" i="48"/>
  <c r="BH5" i="48"/>
  <c r="BI171" i="48"/>
  <c r="T171" i="48"/>
  <c r="BJ171" i="48" s="1"/>
  <c r="AG67" i="54"/>
  <c r="AF67" i="54"/>
  <c r="BH88" i="48"/>
  <c r="AK228" i="48"/>
  <c r="BF110" i="48"/>
  <c r="AI250" i="48"/>
  <c r="AG122" i="54"/>
  <c r="AF122" i="54"/>
  <c r="T89" i="48"/>
  <c r="BI89" i="48"/>
  <c r="AL229" i="48"/>
  <c r="AF132" i="54"/>
  <c r="AG132" i="54"/>
  <c r="AF133" i="54"/>
  <c r="AG133" i="54"/>
  <c r="BH40" i="48"/>
  <c r="AK180" i="48"/>
  <c r="AG42" i="54"/>
  <c r="AF42" i="54"/>
  <c r="BI10" i="48"/>
  <c r="AL150" i="48"/>
  <c r="T10" i="48"/>
  <c r="T117" i="48"/>
  <c r="BJ117" i="48" s="1"/>
  <c r="BI117" i="48"/>
  <c r="AK179" i="48"/>
  <c r="BH39" i="48"/>
  <c r="BF27" i="48"/>
  <c r="AI167" i="48"/>
  <c r="AF111" i="54"/>
  <c r="AG111" i="54"/>
  <c r="AF4" i="54"/>
  <c r="AG4" i="54"/>
  <c r="AG194" i="54"/>
  <c r="AF194" i="54"/>
  <c r="AF80" i="54"/>
  <c r="AG80" i="54"/>
  <c r="AF193" i="54"/>
  <c r="AG193" i="54"/>
  <c r="AF175" i="54"/>
  <c r="AG175" i="54"/>
  <c r="BI130" i="48"/>
  <c r="T130" i="48"/>
  <c r="BJ130" i="48" s="1"/>
  <c r="BI59" i="48"/>
  <c r="AL199" i="48"/>
  <c r="T59" i="48"/>
  <c r="AF188" i="54"/>
  <c r="AG188" i="54"/>
  <c r="BF108" i="48"/>
  <c r="AI248" i="48"/>
  <c r="AF216" i="54"/>
  <c r="AG216" i="54"/>
  <c r="AI203" i="48"/>
  <c r="BF63" i="48"/>
  <c r="T213" i="48"/>
  <c r="AF106" i="54"/>
  <c r="AG106" i="54"/>
  <c r="BI190" i="48"/>
  <c r="T190" i="48"/>
  <c r="BJ190" i="48" s="1"/>
  <c r="AI233" i="48"/>
  <c r="BF93" i="48"/>
  <c r="AF206" i="54"/>
  <c r="AG206" i="54"/>
  <c r="BA59" i="48"/>
  <c r="AI200" i="48"/>
  <c r="BF60" i="48"/>
  <c r="T127" i="48"/>
  <c r="BJ127" i="48" s="1"/>
  <c r="BI127" i="48"/>
  <c r="AI180" i="48"/>
  <c r="BF40" i="48"/>
  <c r="BA219" i="48"/>
  <c r="BA238" i="48"/>
  <c r="AK209" i="48"/>
  <c r="BH69" i="48"/>
  <c r="AL167" i="48"/>
  <c r="BI27" i="48"/>
  <c r="T27" i="48"/>
  <c r="AG6" i="54"/>
  <c r="AF6" i="54"/>
  <c r="AG12" i="54"/>
  <c r="AF12" i="54"/>
  <c r="AG165" i="54"/>
  <c r="AF165" i="54"/>
  <c r="BH104" i="48"/>
  <c r="AK244" i="48"/>
  <c r="T68" i="48"/>
  <c r="AL208" i="48"/>
  <c r="BI68" i="48"/>
  <c r="T19" i="48"/>
  <c r="BI19" i="48"/>
  <c r="AL159" i="48"/>
  <c r="BI74" i="48"/>
  <c r="AL214" i="48"/>
  <c r="T74" i="48"/>
  <c r="BI177" i="48"/>
  <c r="T177" i="48"/>
  <c r="BJ177" i="48" s="1"/>
  <c r="AI194" i="48"/>
  <c r="BF54" i="48"/>
  <c r="AI224" i="48"/>
  <c r="BF84" i="48"/>
  <c r="T220" i="48"/>
  <c r="AL189" i="48"/>
  <c r="T49" i="48"/>
  <c r="BI49" i="48"/>
  <c r="BH77" i="48"/>
  <c r="AK217" i="48"/>
  <c r="AI186" i="48"/>
  <c r="BF46" i="48"/>
  <c r="T90" i="48"/>
  <c r="AL230" i="48"/>
  <c r="BI90" i="48"/>
  <c r="T120" i="48"/>
  <c r="BJ120" i="48" s="1"/>
  <c r="BI120" i="48"/>
  <c r="AG127" i="54"/>
  <c r="AF127" i="54"/>
  <c r="BI185" i="48"/>
  <c r="T185" i="48"/>
  <c r="BJ185" i="48" s="1"/>
  <c r="BF71" i="48"/>
  <c r="AI211" i="48"/>
  <c r="AI158" i="48"/>
  <c r="BF18" i="48"/>
  <c r="T152" i="48"/>
  <c r="BJ152" i="48" s="1"/>
  <c r="BI152" i="48"/>
  <c r="AF88" i="54"/>
  <c r="AG88" i="54"/>
  <c r="AF30" i="54"/>
  <c r="AG30" i="54"/>
  <c r="AK233" i="48"/>
  <c r="BH93" i="48"/>
  <c r="AG164" i="54"/>
  <c r="AF164" i="54"/>
  <c r="BA69" i="48"/>
  <c r="BA201" i="48"/>
  <c r="BA204" i="48"/>
  <c r="BA266" i="48"/>
  <c r="BA273" i="48"/>
  <c r="BA158" i="48"/>
  <c r="BA226" i="48"/>
  <c r="BA156" i="48"/>
  <c r="BA106" i="48"/>
  <c r="BH59" i="48"/>
  <c r="AK199" i="48"/>
  <c r="T113" i="48"/>
  <c r="BJ113" i="48" s="1"/>
  <c r="BI113" i="48"/>
  <c r="T23" i="48"/>
  <c r="BI23" i="48"/>
  <c r="AL163" i="48"/>
  <c r="BF13" i="48"/>
  <c r="AI153" i="48"/>
  <c r="AF140" i="54"/>
  <c r="AG140" i="54"/>
  <c r="AG202" i="54"/>
  <c r="AF202" i="54"/>
  <c r="AK201" i="48"/>
  <c r="BH61" i="48"/>
  <c r="BH106" i="48"/>
  <c r="AK246" i="48"/>
  <c r="AK215" i="48"/>
  <c r="BH75" i="48"/>
  <c r="AI190" i="48"/>
  <c r="BF50" i="48"/>
  <c r="AG113" i="54"/>
  <c r="AF113" i="54"/>
  <c r="BF38" i="48"/>
  <c r="AI178" i="48"/>
  <c r="BF43" i="48"/>
  <c r="AI183" i="48"/>
  <c r="AI144" i="48"/>
  <c r="BF4" i="48"/>
  <c r="AG58" i="54"/>
  <c r="AF58" i="54"/>
  <c r="AF152" i="54"/>
  <c r="AG152" i="54"/>
  <c r="AK162" i="48"/>
  <c r="BH22" i="48"/>
  <c r="AF155" i="54"/>
  <c r="AG155" i="54"/>
  <c r="AI214" i="48"/>
  <c r="BF74" i="48"/>
  <c r="T36" i="48"/>
  <c r="AL176" i="48"/>
  <c r="BI36" i="48"/>
  <c r="AK250" i="48"/>
  <c r="BH110" i="48"/>
  <c r="AK151" i="48"/>
  <c r="BH11" i="48"/>
  <c r="AI204" i="48"/>
  <c r="BF64" i="48"/>
  <c r="T223" i="48"/>
  <c r="BI39" i="48"/>
  <c r="AL179" i="48"/>
  <c r="T39" i="48"/>
  <c r="BA8" i="48"/>
  <c r="BA228" i="48"/>
  <c r="BA104" i="48"/>
  <c r="BA35" i="48"/>
  <c r="BA3" i="48"/>
  <c r="BA43" i="48"/>
  <c r="BH92" i="48"/>
  <c r="AK232" i="48"/>
  <c r="AG92" i="54"/>
  <c r="AF92" i="54"/>
  <c r="AG215" i="54"/>
  <c r="AF215" i="54"/>
  <c r="BI50" i="48"/>
  <c r="T50" i="48"/>
  <c r="AL190" i="48"/>
  <c r="AG168" i="54"/>
  <c r="AF168" i="54"/>
  <c r="AI208" i="48"/>
  <c r="BF68" i="48"/>
  <c r="AK173" i="48"/>
  <c r="BH33" i="48"/>
  <c r="AK146" i="48"/>
  <c r="BH6" i="48"/>
  <c r="T172" i="48"/>
  <c r="BJ172" i="48" s="1"/>
  <c r="BI172" i="48"/>
  <c r="AG38" i="54"/>
  <c r="AF38" i="54"/>
  <c r="BH101" i="48"/>
  <c r="AK241" i="48"/>
  <c r="AI239" i="48"/>
  <c r="BF99" i="48"/>
  <c r="BI125" i="48"/>
  <c r="T125" i="48"/>
  <c r="BJ125" i="48" s="1"/>
  <c r="AF55" i="54"/>
  <c r="AG55" i="54"/>
  <c r="BF42" i="48"/>
  <c r="AI182" i="48"/>
  <c r="BI137" i="48"/>
  <c r="T137" i="48"/>
  <c r="BJ137" i="48" s="1"/>
  <c r="AF93" i="54"/>
  <c r="AG93" i="54"/>
  <c r="T148" i="48"/>
  <c r="BJ148" i="48" s="1"/>
  <c r="BI148" i="48"/>
  <c r="T150" i="48"/>
  <c r="BJ150" i="48" s="1"/>
  <c r="BI150" i="48"/>
  <c r="AG87" i="54"/>
  <c r="AF87" i="54"/>
  <c r="AG27" i="54"/>
  <c r="AF27" i="54"/>
  <c r="AI226" i="48"/>
  <c r="BF86" i="48"/>
  <c r="AG68" i="54"/>
  <c r="AF68" i="54"/>
  <c r="AF74" i="54"/>
  <c r="AG74" i="54"/>
  <c r="AG114" i="54"/>
  <c r="AF114" i="54"/>
  <c r="AL212" i="48"/>
  <c r="BI72" i="48"/>
  <c r="T72" i="48"/>
  <c r="BI116" i="48"/>
  <c r="T116" i="48"/>
  <c r="BJ116" i="48" s="1"/>
  <c r="T173" i="48"/>
  <c r="BJ173" i="48" s="1"/>
  <c r="BI173" i="48"/>
  <c r="AI244" i="48"/>
  <c r="BF104" i="48"/>
  <c r="AF20" i="54"/>
  <c r="AG20" i="54"/>
  <c r="T166" i="48"/>
  <c r="BJ166" i="48" s="1"/>
  <c r="BI166" i="48"/>
  <c r="AF173" i="54"/>
  <c r="AG173" i="54"/>
  <c r="BA148" i="48"/>
  <c r="AI249" i="48"/>
  <c r="BF109" i="48"/>
  <c r="BF100" i="48"/>
  <c r="AI240" i="48"/>
  <c r="BI12" i="48"/>
  <c r="AL152" i="48"/>
  <c r="T12" i="48"/>
  <c r="AL221" i="48"/>
  <c r="T81" i="48"/>
  <c r="BI81" i="48"/>
  <c r="BA265" i="48"/>
  <c r="BI88" i="48"/>
  <c r="T88" i="48"/>
  <c r="AL228" i="48"/>
  <c r="BH50" i="48"/>
  <c r="AK190" i="48"/>
  <c r="BF22" i="48"/>
  <c r="AI162" i="48"/>
  <c r="AI150" i="48"/>
  <c r="BF10" i="48"/>
  <c r="BH3" i="48"/>
  <c r="AK143" i="48"/>
  <c r="AF26" i="54"/>
  <c r="AG26" i="54"/>
  <c r="T222" i="48"/>
  <c r="AI152" i="48"/>
  <c r="BF12" i="48"/>
  <c r="BH15" i="48"/>
  <c r="AK155" i="48"/>
  <c r="AF62" i="54"/>
  <c r="AG62" i="54"/>
  <c r="T224" i="48"/>
  <c r="AF162" i="54"/>
  <c r="AG162" i="54"/>
  <c r="BF91" i="48"/>
  <c r="AI231" i="48"/>
  <c r="BI191" i="48"/>
  <c r="T191" i="48"/>
  <c r="BJ191" i="48" s="1"/>
  <c r="AG65" i="54"/>
  <c r="AF65" i="54"/>
  <c r="AI176" i="48"/>
  <c r="BF36" i="48"/>
  <c r="AG174" i="54"/>
  <c r="AF174" i="54"/>
  <c r="AI187" i="48"/>
  <c r="BF47" i="48"/>
  <c r="T100" i="48"/>
  <c r="AL240" i="48"/>
  <c r="BI100" i="48"/>
  <c r="AL234" i="48"/>
  <c r="BI94" i="48"/>
  <c r="T94" i="48"/>
  <c r="AG198" i="54"/>
  <c r="AF198" i="54"/>
  <c r="BI14" i="48"/>
  <c r="T14" i="48"/>
  <c r="AL154" i="48"/>
  <c r="BI189" i="48"/>
  <c r="T189" i="48"/>
  <c r="BJ189" i="48" s="1"/>
  <c r="AG138" i="54"/>
  <c r="AF138" i="54"/>
  <c r="BA60" i="48"/>
  <c r="BA175" i="48"/>
  <c r="BA53" i="48"/>
  <c r="BA117" i="48"/>
  <c r="BA160" i="48"/>
  <c r="BA48" i="48"/>
  <c r="BA28" i="48"/>
  <c r="BA123" i="48"/>
  <c r="BA195" i="48"/>
  <c r="BA213" i="48"/>
  <c r="BA87" i="48"/>
  <c r="BF5" i="48"/>
  <c r="AI145" i="48"/>
  <c r="T156" i="48"/>
  <c r="BJ156" i="48" s="1"/>
  <c r="BI156" i="48"/>
  <c r="BH108" i="48"/>
  <c r="AK248" i="48"/>
  <c r="BI174" i="48"/>
  <c r="T174" i="48"/>
  <c r="BJ174" i="48" s="1"/>
  <c r="BI123" i="48"/>
  <c r="T123" i="48"/>
  <c r="BJ123" i="48" s="1"/>
  <c r="AF211" i="54"/>
  <c r="AG211" i="54"/>
  <c r="AK240" i="48"/>
  <c r="BH100" i="48"/>
  <c r="AG78" i="54"/>
  <c r="AF78" i="54"/>
  <c r="AF77" i="54"/>
  <c r="AG77" i="54"/>
  <c r="BI157" i="48"/>
  <c r="T157" i="48"/>
  <c r="BJ157" i="48" s="1"/>
  <c r="AG191" i="54"/>
  <c r="AF191" i="54"/>
  <c r="BH67" i="48"/>
  <c r="AK207" i="48"/>
  <c r="AK236" i="48"/>
  <c r="BH96" i="48"/>
  <c r="AK221" i="48"/>
  <c r="BH81" i="48"/>
  <c r="AF208" i="54"/>
  <c r="AG208" i="54"/>
  <c r="AF182" i="54"/>
  <c r="AG182" i="54"/>
  <c r="T92" i="48"/>
  <c r="BI92" i="48"/>
  <c r="AL232" i="48"/>
  <c r="T135" i="48"/>
  <c r="BJ135" i="48" s="1"/>
  <c r="BI135" i="48"/>
  <c r="BF9" i="48"/>
  <c r="AI149" i="48"/>
  <c r="T160" i="48"/>
  <c r="BJ160" i="48" s="1"/>
  <c r="BI160" i="48"/>
  <c r="BH16" i="48"/>
  <c r="AK156" i="48"/>
  <c r="BI6" i="48"/>
  <c r="AL146" i="48"/>
  <c r="T6" i="48"/>
  <c r="BI63" i="48"/>
  <c r="AL203" i="48"/>
  <c r="T63" i="48"/>
  <c r="AI170" i="48"/>
  <c r="BF30" i="48"/>
  <c r="AF22" i="54"/>
  <c r="AG22" i="54"/>
  <c r="AK198" i="48"/>
  <c r="BH58" i="48"/>
  <c r="AK204" i="48"/>
  <c r="BH64" i="48"/>
  <c r="AL193" i="48"/>
  <c r="BI53" i="48"/>
  <c r="T53" i="48"/>
  <c r="AL161" i="48"/>
  <c r="BI21" i="48"/>
  <c r="T21" i="48"/>
  <c r="AI205" i="48"/>
  <c r="BF65" i="48"/>
  <c r="BH13" i="48"/>
  <c r="AK153" i="48"/>
  <c r="BH53" i="48"/>
  <c r="AK193" i="48"/>
  <c r="AG147" i="54"/>
  <c r="AF147" i="54"/>
  <c r="BH60" i="48"/>
  <c r="AK200" i="48"/>
  <c r="BA105" i="48"/>
  <c r="BA264" i="48"/>
  <c r="T208" i="48"/>
  <c r="BI197" i="48"/>
  <c r="T197" i="48"/>
  <c r="BJ197" i="48" s="1"/>
  <c r="AL202" i="48"/>
  <c r="BI62" i="48"/>
  <c r="T62" i="48"/>
  <c r="BI180" i="48"/>
  <c r="T180" i="48"/>
  <c r="BJ180" i="48" s="1"/>
  <c r="AF91" i="54"/>
  <c r="AG91" i="54"/>
  <c r="AK154" i="48"/>
  <c r="BH14" i="48"/>
  <c r="AG99" i="54"/>
  <c r="AF99" i="54"/>
  <c r="BI8" i="48"/>
  <c r="T8" i="48"/>
  <c r="AL148" i="48"/>
  <c r="AI165" i="48"/>
  <c r="BF25" i="48"/>
  <c r="BH27" i="48"/>
  <c r="AK167" i="48"/>
  <c r="T51" i="48"/>
  <c r="BI51" i="48"/>
  <c r="AL191" i="48"/>
  <c r="BF19" i="48"/>
  <c r="AI159" i="48"/>
  <c r="AI191" i="48"/>
  <c r="BF51" i="48"/>
  <c r="AK213" i="48"/>
  <c r="BH73" i="48"/>
  <c r="AF31" i="54"/>
  <c r="AG31" i="54"/>
  <c r="AK224" i="48"/>
  <c r="BH84" i="48"/>
  <c r="AF205" i="54"/>
  <c r="AG205" i="54"/>
  <c r="BI151" i="48"/>
  <c r="T151" i="48"/>
  <c r="BJ151" i="48" s="1"/>
  <c r="AG200" i="54"/>
  <c r="AF200" i="54"/>
  <c r="BI75" i="48"/>
  <c r="T75" i="48"/>
  <c r="AL215" i="48"/>
  <c r="BI142" i="48"/>
  <c r="T142" i="48"/>
  <c r="BJ142" i="48" s="1"/>
  <c r="AK211" i="48"/>
  <c r="BH71" i="48"/>
  <c r="BI83" i="48"/>
  <c r="AL223" i="48"/>
  <c r="T83" i="48"/>
  <c r="BI56" i="48"/>
  <c r="T56" i="48"/>
  <c r="AL196" i="48"/>
  <c r="AI189" i="48"/>
  <c r="BF49" i="48"/>
  <c r="BA142" i="48"/>
  <c r="BA203" i="48"/>
  <c r="BA183" i="48"/>
  <c r="BA108" i="48"/>
  <c r="BA188" i="48"/>
  <c r="BA101" i="48"/>
  <c r="BA130" i="48"/>
  <c r="BA22" i="48"/>
  <c r="BA262" i="48"/>
  <c r="AK147" i="48"/>
  <c r="BH7" i="48"/>
  <c r="AF178" i="54"/>
  <c r="AG178" i="54"/>
  <c r="BF105" i="48"/>
  <c r="AI245" i="48"/>
  <c r="AI246" i="48"/>
  <c r="BF106" i="48"/>
  <c r="AI232" i="48"/>
  <c r="BF92" i="48"/>
  <c r="AF37" i="54"/>
  <c r="AG37" i="54"/>
  <c r="AL182" i="48"/>
  <c r="BI42" i="48"/>
  <c r="T42" i="48"/>
  <c r="AG154" i="54"/>
  <c r="AF154" i="54"/>
  <c r="T134" i="48"/>
  <c r="BJ134" i="48" s="1"/>
  <c r="BI134" i="48"/>
  <c r="BF69" i="48"/>
  <c r="AI209" i="48"/>
  <c r="AI207" i="48"/>
  <c r="BF67" i="48"/>
  <c r="BH36" i="48"/>
  <c r="AK176" i="48"/>
  <c r="BH111" i="48"/>
  <c r="AK251" i="48"/>
  <c r="BF88" i="48"/>
  <c r="AI228" i="48"/>
  <c r="AF54" i="54"/>
  <c r="AG54" i="54"/>
  <c r="BI118" i="48"/>
  <c r="T118" i="48"/>
  <c r="BJ118" i="48" s="1"/>
  <c r="AG29" i="54"/>
  <c r="AF29" i="54"/>
  <c r="AG98" i="54"/>
  <c r="AF98" i="54"/>
  <c r="AF43" i="54"/>
  <c r="AG43" i="54"/>
  <c r="BI16" i="48"/>
  <c r="T16" i="48"/>
  <c r="AL156" i="48"/>
  <c r="T167" i="48"/>
  <c r="BJ167" i="48" s="1"/>
  <c r="BI167" i="48"/>
  <c r="AF116" i="54"/>
  <c r="AG116" i="54"/>
  <c r="BH10" i="48"/>
  <c r="AK150" i="48"/>
  <c r="BI18" i="48"/>
  <c r="AL158" i="48"/>
  <c r="T18" i="48"/>
  <c r="BH9" i="48"/>
  <c r="AK149" i="48"/>
  <c r="AF150" i="54"/>
  <c r="AG150" i="54"/>
  <c r="T139" i="48"/>
  <c r="BJ139" i="48" s="1"/>
  <c r="BI139" i="48"/>
  <c r="T226" i="48"/>
  <c r="AF82" i="54"/>
  <c r="AG82" i="54"/>
  <c r="AF96" i="54"/>
  <c r="AG96" i="54"/>
  <c r="T24" i="48"/>
  <c r="BI24" i="48"/>
  <c r="AL164" i="48"/>
  <c r="AF5" i="54"/>
  <c r="AG5" i="54"/>
  <c r="T201" i="48"/>
  <c r="BJ201" i="48" s="1"/>
  <c r="BI201" i="48"/>
  <c r="BA78" i="48"/>
  <c r="BA66" i="48"/>
  <c r="BA216" i="48"/>
  <c r="BA164" i="48"/>
  <c r="AI235" i="48"/>
  <c r="BF95" i="48"/>
  <c r="BH25" i="48"/>
  <c r="AK165" i="48"/>
  <c r="AG195" i="54"/>
  <c r="AF195" i="54"/>
  <c r="AI219" i="48"/>
  <c r="BF79" i="48"/>
  <c r="AL235" i="48"/>
  <c r="BI95" i="48"/>
  <c r="T95" i="48"/>
  <c r="BI196" i="48"/>
  <c r="T196" i="48"/>
  <c r="BJ196" i="48" s="1"/>
  <c r="AI157" i="48"/>
  <c r="BF17" i="48"/>
  <c r="AG9" i="54"/>
  <c r="AF9" i="54"/>
  <c r="AK239" i="48"/>
  <c r="BH99" i="48"/>
  <c r="AK158" i="48"/>
  <c r="BH18" i="48"/>
  <c r="AK208" i="48"/>
  <c r="BH68" i="48"/>
  <c r="AK242" i="48"/>
  <c r="BH102" i="48"/>
  <c r="AF25" i="54"/>
  <c r="AG25" i="54"/>
  <c r="BH74" i="48"/>
  <c r="AK214" i="48"/>
  <c r="AG100" i="54"/>
  <c r="AF100" i="54"/>
  <c r="BF62" i="48"/>
  <c r="AI202" i="48"/>
  <c r="BH49" i="48"/>
  <c r="AK189" i="48"/>
  <c r="BH35" i="48"/>
  <c r="AK175" i="48"/>
  <c r="AK194" i="48"/>
  <c r="BH54" i="48"/>
  <c r="AI243" i="48"/>
  <c r="BF103" i="48"/>
  <c r="AG64" i="54"/>
  <c r="AF64" i="54"/>
  <c r="BH30" i="48"/>
  <c r="AK170" i="48"/>
  <c r="AI227" i="48"/>
  <c r="BF87" i="48"/>
  <c r="AG95" i="54"/>
  <c r="AF95" i="54"/>
  <c r="BI29" i="48"/>
  <c r="T29" i="48"/>
  <c r="AL169" i="48"/>
  <c r="AK245" i="48"/>
  <c r="BH105" i="48"/>
  <c r="AL175" i="48"/>
  <c r="T35" i="48"/>
  <c r="BI35" i="48"/>
  <c r="T109" i="48"/>
  <c r="AL249" i="48"/>
  <c r="BI109" i="48"/>
  <c r="AG73" i="54"/>
  <c r="AF73" i="54"/>
  <c r="BH8" i="48"/>
  <c r="AK148" i="48"/>
  <c r="BA224" i="48"/>
  <c r="BA167" i="48"/>
  <c r="BA254" i="48"/>
  <c r="BA97" i="48"/>
  <c r="BA55" i="48"/>
  <c r="BA252" i="48"/>
  <c r="BA136" i="48"/>
  <c r="BA12" i="48"/>
  <c r="BA128" i="48"/>
  <c r="BA208" i="48"/>
  <c r="AL147" i="48"/>
  <c r="T7" i="48"/>
  <c r="BI7" i="48"/>
  <c r="AF70" i="54"/>
  <c r="AG70" i="54"/>
  <c r="AI179" i="48"/>
  <c r="BF39" i="48"/>
  <c r="AL172" i="48"/>
  <c r="T32" i="48"/>
  <c r="BI32" i="48"/>
  <c r="AI210" i="48"/>
  <c r="BF70" i="48"/>
  <c r="AK191" i="48"/>
  <c r="BH51" i="48"/>
  <c r="AF2" i="54"/>
  <c r="AG2" i="54"/>
  <c r="BI28" i="48"/>
  <c r="T28" i="48"/>
  <c r="AL168" i="48"/>
  <c r="AF153" i="54"/>
  <c r="AG153" i="54"/>
  <c r="T37" i="48"/>
  <c r="BI37" i="48"/>
  <c r="AL177" i="48"/>
  <c r="AF45" i="54"/>
  <c r="AG45" i="54"/>
  <c r="AF157" i="54"/>
  <c r="AG157" i="54"/>
  <c r="AG176" i="54"/>
  <c r="AF176" i="54"/>
  <c r="AG130" i="54"/>
  <c r="AF130" i="54"/>
  <c r="AF115" i="54"/>
  <c r="AG115" i="54"/>
  <c r="AL242" i="48"/>
  <c r="T102" i="48"/>
  <c r="BI102" i="48"/>
  <c r="AG108" i="54"/>
  <c r="AF108" i="54"/>
  <c r="AI195" i="48"/>
  <c r="BF55" i="48"/>
  <c r="T57" i="48"/>
  <c r="AL197" i="48"/>
  <c r="BI57" i="48"/>
  <c r="T80" i="48"/>
  <c r="AL220" i="48"/>
  <c r="BI80" i="48"/>
  <c r="T146" i="48"/>
  <c r="BJ146" i="48" s="1"/>
  <c r="BI146" i="48"/>
  <c r="AK225" i="48"/>
  <c r="BH85" i="48"/>
  <c r="AG204" i="54"/>
  <c r="AF204" i="54"/>
  <c r="AF51" i="54"/>
  <c r="AG51" i="54"/>
  <c r="BH4" i="48"/>
  <c r="AK144" i="48"/>
  <c r="AI220" i="48"/>
  <c r="BF80" i="48"/>
  <c r="AF33" i="54"/>
  <c r="AG33" i="54"/>
  <c r="BI181" i="48"/>
  <c r="T181" i="48"/>
  <c r="BJ181" i="48" s="1"/>
  <c r="AG131" i="54"/>
  <c r="AF131" i="54"/>
  <c r="AK205" i="48"/>
  <c r="BH65" i="48"/>
  <c r="BA166" i="48"/>
  <c r="AG97" i="54"/>
  <c r="AF97" i="54"/>
  <c r="T4" i="48"/>
  <c r="BI4" i="48"/>
  <c r="AL144" i="48"/>
  <c r="AL153" i="48"/>
  <c r="BI13" i="48"/>
  <c r="T13" i="48"/>
  <c r="BF73" i="48"/>
  <c r="AI213" i="48"/>
  <c r="AK243" i="48"/>
  <c r="BH103" i="48"/>
  <c r="AL233" i="48"/>
  <c r="T93" i="48"/>
  <c r="BI93" i="48"/>
  <c r="BA234" i="48"/>
  <c r="AK182" i="48"/>
  <c r="BH42" i="48"/>
  <c r="BI187" i="48"/>
  <c r="T187" i="48"/>
  <c r="BJ187" i="48" s="1"/>
  <c r="BI44" i="48"/>
  <c r="AL184" i="48"/>
  <c r="T44" i="48"/>
  <c r="AG7" i="54"/>
  <c r="AF7" i="54"/>
  <c r="AM138" i="47"/>
  <c r="AM130" i="47"/>
  <c r="AM108" i="47"/>
  <c r="AM182" i="47"/>
  <c r="AM185" i="47"/>
  <c r="AM105" i="47"/>
  <c r="AM151" i="47"/>
  <c r="AM159" i="47"/>
  <c r="AM143" i="47"/>
  <c r="AM124" i="47"/>
  <c r="AM177" i="47"/>
  <c r="AM153" i="47"/>
  <c r="AM112" i="47"/>
  <c r="AM178" i="47"/>
  <c r="AM131" i="47"/>
  <c r="AM115" i="47"/>
  <c r="AM179" i="47"/>
  <c r="AM109" i="47"/>
  <c r="AM104" i="47"/>
  <c r="AM184" i="47"/>
  <c r="AM120" i="47"/>
  <c r="AM139" i="47"/>
  <c r="AM162" i="47"/>
  <c r="AM180" i="47"/>
  <c r="AM111" i="47"/>
  <c r="AM148" i="47"/>
  <c r="AM119" i="47"/>
  <c r="AM171" i="47"/>
  <c r="AM166" i="47"/>
  <c r="AM181" i="47"/>
  <c r="AM175" i="47"/>
  <c r="AM144" i="47"/>
  <c r="AM165" i="47"/>
  <c r="AM163" i="47"/>
  <c r="AM155" i="47"/>
  <c r="AM145" i="47"/>
  <c r="AM147" i="47"/>
  <c r="AM149" i="47"/>
  <c r="AM133" i="47"/>
  <c r="AM103" i="47"/>
  <c r="AM164" i="47"/>
  <c r="AM110" i="47"/>
  <c r="AM146" i="47"/>
  <c r="AM157" i="47"/>
  <c r="AM169" i="47"/>
  <c r="AM114" i="47"/>
  <c r="AM140" i="47"/>
  <c r="AM134" i="47"/>
  <c r="AM152" i="47"/>
  <c r="AM121" i="47"/>
  <c r="AM167" i="47"/>
  <c r="AM126" i="47"/>
  <c r="AM106" i="47"/>
  <c r="AM174" i="47"/>
  <c r="AM125" i="47"/>
  <c r="AM176" i="47"/>
  <c r="AM127" i="47"/>
  <c r="AM107" i="47"/>
  <c r="AM137" i="47"/>
  <c r="AM170" i="47"/>
  <c r="AM118" i="47"/>
  <c r="AM142" i="47"/>
  <c r="AM128" i="47"/>
  <c r="AM156" i="47"/>
  <c r="AM141" i="47"/>
  <c r="AM116" i="47"/>
  <c r="AM172" i="47"/>
  <c r="AM113" i="47"/>
  <c r="AM136" i="47"/>
  <c r="AM117" i="47"/>
  <c r="AM150" i="47"/>
  <c r="AM173" i="47"/>
  <c r="AM132" i="47"/>
  <c r="AM161" i="47"/>
  <c r="AM183" i="47"/>
  <c r="AM122" i="47"/>
  <c r="AM135" i="47"/>
  <c r="AM160" i="47"/>
  <c r="AM129" i="47"/>
  <c r="AM158" i="47"/>
  <c r="AM123" i="47"/>
  <c r="AM168" i="47"/>
  <c r="AM154" i="47"/>
  <c r="AM186" i="47"/>
  <c r="AM187" i="47"/>
  <c r="AM188" i="47"/>
  <c r="AM320" i="47"/>
  <c r="AM297" i="47"/>
  <c r="AM255" i="47"/>
  <c r="AM326" i="47"/>
  <c r="AM306" i="47"/>
  <c r="AM275" i="47"/>
  <c r="AM238" i="47"/>
  <c r="AM198" i="47"/>
  <c r="AM233" i="47"/>
  <c r="AM252" i="47"/>
  <c r="AM287" i="47"/>
  <c r="AM202" i="47"/>
  <c r="AM262" i="47"/>
  <c r="AM309" i="47"/>
  <c r="AM248" i="47"/>
  <c r="AM244" i="47"/>
  <c r="AM295" i="47"/>
  <c r="AM261" i="47"/>
  <c r="AM220" i="47"/>
  <c r="AM327" i="47"/>
  <c r="AM282" i="47"/>
  <c r="AM316" i="47"/>
  <c r="AM303" i="47"/>
  <c r="AM301" i="47"/>
  <c r="AM268" i="47"/>
  <c r="AM253" i="47"/>
  <c r="AM204" i="47"/>
  <c r="AM247" i="47"/>
  <c r="AM254" i="47"/>
  <c r="AM217" i="47"/>
  <c r="AM311" i="47"/>
  <c r="AM318" i="47"/>
  <c r="AM226" i="47"/>
  <c r="AM305" i="47"/>
  <c r="AM230" i="47"/>
  <c r="AM285" i="47"/>
  <c r="AM215" i="47"/>
  <c r="AM324" i="47"/>
  <c r="AM308" i="47"/>
  <c r="AM304" i="47"/>
  <c r="AM258" i="47"/>
  <c r="AM240" i="47"/>
  <c r="AM196" i="47"/>
  <c r="AM212" i="47"/>
  <c r="AM228" i="47"/>
  <c r="AM242" i="47"/>
  <c r="AM277" i="47"/>
  <c r="AM232" i="47"/>
  <c r="AM319" i="47"/>
  <c r="AM209" i="47"/>
  <c r="AM272" i="47"/>
  <c r="AM223" i="47"/>
  <c r="AM241" i="47"/>
  <c r="AM263" i="47"/>
  <c r="AM315" i="47"/>
  <c r="AM289" i="47"/>
  <c r="AM314" i="47"/>
  <c r="AM256" i="47"/>
  <c r="AM269" i="47"/>
  <c r="AM322" i="47"/>
  <c r="AM299" i="47"/>
  <c r="AM210" i="47"/>
  <c r="AM197" i="47"/>
  <c r="AM279" i="47"/>
  <c r="AM249" i="47"/>
  <c r="AM264" i="47"/>
  <c r="AM200" i="47"/>
  <c r="AM199" i="47"/>
  <c r="AM292" i="47"/>
  <c r="AM302" i="47"/>
  <c r="AM237" i="47"/>
  <c r="AM266" i="47"/>
  <c r="AM205" i="47"/>
  <c r="AM293" i="47"/>
  <c r="AM300" i="47"/>
  <c r="AM313" i="47"/>
  <c r="AM323" i="47"/>
  <c r="AM325" i="47"/>
  <c r="AM227" i="47"/>
  <c r="AM221" i="47"/>
  <c r="AM307" i="47"/>
  <c r="AM312" i="47"/>
  <c r="AM294" i="47"/>
  <c r="AM251" i="47"/>
  <c r="AM224" i="47"/>
  <c r="AM239" i="47"/>
  <c r="AM298" i="47"/>
  <c r="AM203" i="47"/>
  <c r="AM296" i="47"/>
  <c r="AM270" i="47"/>
  <c r="AM290" i="47"/>
  <c r="AM190" i="47"/>
  <c r="AM310" i="47"/>
  <c r="AM281" i="47"/>
  <c r="AM234" i="47"/>
  <c r="AM218" i="47"/>
  <c r="AM191" i="47"/>
  <c r="AM291" i="47"/>
  <c r="AM193" i="47"/>
  <c r="AM195" i="47"/>
  <c r="AM257" i="47"/>
  <c r="AM229" i="47"/>
  <c r="AM286" i="47"/>
  <c r="AM243" i="47"/>
  <c r="AM259" i="47"/>
  <c r="AM317" i="47"/>
  <c r="AM278" i="47"/>
  <c r="AM206" i="47"/>
  <c r="AM214" i="47"/>
  <c r="AM284" i="47"/>
  <c r="AM235" i="47"/>
  <c r="AM236" i="47"/>
  <c r="AM276" i="47"/>
  <c r="AM213" i="47"/>
  <c r="AM260" i="47"/>
  <c r="AM189" i="47"/>
  <c r="AM211" i="47"/>
  <c r="AM283" i="47"/>
  <c r="AM288" i="47"/>
  <c r="AM225" i="47"/>
  <c r="AM271" i="47"/>
  <c r="AM231" i="47"/>
  <c r="AM219" i="47"/>
  <c r="AM250" i="47"/>
  <c r="AM273" i="47"/>
  <c r="AM201" i="47"/>
  <c r="AM192" i="47"/>
  <c r="AM280" i="47"/>
  <c r="AM194" i="47"/>
  <c r="AM222" i="47"/>
  <c r="AM267" i="47"/>
  <c r="AM216" i="47"/>
  <c r="AM208" i="47"/>
  <c r="AM245" i="47"/>
  <c r="AM321" i="47"/>
  <c r="AM207" i="47"/>
  <c r="AM265" i="47"/>
  <c r="AM246" i="47"/>
  <c r="AM274" i="47"/>
  <c r="AI223" i="48"/>
  <c r="BF83" i="48"/>
  <c r="T219" i="48"/>
  <c r="AL201" i="48"/>
  <c r="BI61" i="48"/>
  <c r="T61" i="48"/>
  <c r="AI236" i="48"/>
  <c r="BF96" i="48"/>
  <c r="T133" i="48"/>
  <c r="BJ133" i="48" s="1"/>
  <c r="BI133" i="48"/>
  <c r="AF185" i="54"/>
  <c r="AG185" i="54"/>
  <c r="T143" i="48"/>
  <c r="BJ143" i="48" s="1"/>
  <c r="BI143" i="48"/>
  <c r="T210" i="48"/>
  <c r="T158" i="48"/>
  <c r="BJ158" i="48" s="1"/>
  <c r="BI158" i="48"/>
  <c r="BH57" i="48"/>
  <c r="AK197" i="48"/>
  <c r="AG71" i="54"/>
  <c r="AF71" i="54"/>
  <c r="AF221" i="54"/>
  <c r="AG221" i="54"/>
  <c r="AK161" i="48"/>
  <c r="BH21" i="48"/>
  <c r="BH87" i="48"/>
  <c r="AK227" i="48"/>
  <c r="AK247" i="48"/>
  <c r="BH107" i="48"/>
  <c r="BH79" i="48"/>
  <c r="AK219" i="48"/>
  <c r="BI47" i="48"/>
  <c r="T47" i="48"/>
  <c r="AL187" i="48"/>
  <c r="AF101" i="54"/>
  <c r="AG101" i="54"/>
  <c r="BI140" i="48"/>
  <c r="T140" i="48"/>
  <c r="BJ140" i="48" s="1"/>
  <c r="AL246" i="48"/>
  <c r="BI106" i="48"/>
  <c r="T106" i="48"/>
  <c r="T176" i="48"/>
  <c r="BJ176" i="48" s="1"/>
  <c r="BI176" i="48"/>
  <c r="BI30" i="48"/>
  <c r="T30" i="48"/>
  <c r="AL170" i="48"/>
  <c r="AI160" i="48"/>
  <c r="BF20" i="48"/>
  <c r="AF10" i="54"/>
  <c r="AG10" i="54"/>
  <c r="AF89" i="54"/>
  <c r="AG89" i="54"/>
  <c r="AF46" i="54"/>
  <c r="AG46" i="54"/>
  <c r="BA86" i="48"/>
  <c r="BA218" i="48"/>
  <c r="BA30" i="48"/>
  <c r="BA281" i="48"/>
  <c r="BA199" i="48"/>
  <c r="BA146" i="48"/>
  <c r="BA251" i="48"/>
  <c r="BA157" i="48"/>
  <c r="BA205" i="48"/>
  <c r="BA107" i="48"/>
  <c r="BA83" i="48"/>
  <c r="BA67" i="48"/>
  <c r="BA197" i="48"/>
  <c r="BA139" i="48"/>
  <c r="BA245" i="48"/>
  <c r="BA145" i="48"/>
  <c r="AG218" i="54"/>
  <c r="AF218" i="54"/>
  <c r="AG117" i="54"/>
  <c r="AF117" i="54"/>
  <c r="AL162" i="48"/>
  <c r="BI22" i="48"/>
  <c r="T22" i="48"/>
  <c r="AG79" i="54"/>
  <c r="AF79" i="54"/>
  <c r="BF57" i="48"/>
  <c r="AI197" i="48"/>
  <c r="AG172" i="54"/>
  <c r="AF172" i="54"/>
  <c r="AG196" i="54"/>
  <c r="AF196" i="54"/>
  <c r="T82" i="48"/>
  <c r="AL222" i="48"/>
  <c r="BI82" i="48"/>
  <c r="AG137" i="54"/>
  <c r="AF137" i="54"/>
  <c r="AL207" i="48"/>
  <c r="BI67" i="48"/>
  <c r="T67" i="48"/>
  <c r="AG128" i="54"/>
  <c r="AF128" i="54"/>
  <c r="BF111" i="48"/>
  <c r="AI251" i="48"/>
  <c r="BH98" i="48"/>
  <c r="AK238" i="48"/>
  <c r="T76" i="48"/>
  <c r="BI76" i="48"/>
  <c r="AL216" i="48"/>
  <c r="AG184" i="54"/>
  <c r="AF184" i="54"/>
  <c r="AF220" i="54"/>
  <c r="AG220" i="54"/>
  <c r="T192" i="48"/>
  <c r="BJ192" i="48" s="1"/>
  <c r="BI192" i="48"/>
  <c r="T147" i="48"/>
  <c r="BJ147" i="48" s="1"/>
  <c r="BI147" i="48"/>
  <c r="AF144" i="54"/>
  <c r="AG144" i="54"/>
  <c r="T217" i="48"/>
  <c r="T144" i="48"/>
  <c r="BJ144" i="48" s="1"/>
  <c r="BI144" i="48"/>
  <c r="AG135" i="54"/>
  <c r="AF135" i="54"/>
  <c r="BF21" i="48"/>
  <c r="AI161" i="48"/>
  <c r="AF40" i="54"/>
  <c r="AG40" i="54"/>
  <c r="AG69" i="54"/>
  <c r="AF69" i="54"/>
  <c r="AK249" i="48"/>
  <c r="BH109" i="48"/>
  <c r="AK166" i="48"/>
  <c r="BH26" i="48"/>
  <c r="BA247" i="48"/>
  <c r="BA144" i="48"/>
  <c r="BA140" i="48"/>
  <c r="AK235" i="48"/>
  <c r="BH95" i="48"/>
  <c r="AF121" i="54"/>
  <c r="AG121" i="54"/>
  <c r="BA127" i="48"/>
  <c r="BA50" i="48"/>
  <c r="BA135" i="48"/>
  <c r="AG23" i="54"/>
  <c r="AF23" i="54"/>
  <c r="AG126" i="54"/>
  <c r="AF126" i="54"/>
  <c r="AG142" i="54"/>
  <c r="AF142" i="54"/>
  <c r="BH48" i="48"/>
  <c r="AK188" i="48"/>
  <c r="AK220" i="48"/>
  <c r="BH80" i="48"/>
  <c r="BI126" i="48"/>
  <c r="T126" i="48"/>
  <c r="BJ126" i="48" s="1"/>
  <c r="T34" i="48"/>
  <c r="BI34" i="48"/>
  <c r="AL174" i="48"/>
  <c r="T26" i="48"/>
  <c r="BI26" i="48"/>
  <c r="AL166" i="48"/>
  <c r="AG159" i="54"/>
  <c r="AF159" i="54"/>
  <c r="AF143" i="54"/>
  <c r="AG143" i="54"/>
  <c r="AF13" i="54"/>
  <c r="AG13" i="54"/>
  <c r="BH24" i="48"/>
  <c r="AK164" i="48"/>
  <c r="AI155" i="48"/>
  <c r="BF15" i="48"/>
  <c r="AI171" i="48"/>
  <c r="BF31" i="48"/>
  <c r="BI60" i="48"/>
  <c r="AL200" i="48"/>
  <c r="T60" i="48"/>
  <c r="AI242" i="48"/>
  <c r="BF102" i="48"/>
  <c r="AI156" i="48"/>
  <c r="BF16" i="48"/>
  <c r="AG50" i="54"/>
  <c r="AF50" i="54"/>
  <c r="AG167" i="54"/>
  <c r="AF167" i="54"/>
  <c r="AK230" i="48"/>
  <c r="BH90" i="48"/>
  <c r="AF102" i="54"/>
  <c r="AG102" i="54"/>
  <c r="T175" i="48"/>
  <c r="BJ175" i="48" s="1"/>
  <c r="BI175" i="48"/>
  <c r="BF56" i="48"/>
  <c r="AI196" i="48"/>
  <c r="AF105" i="54"/>
  <c r="AG105" i="54"/>
  <c r="AI216" i="48"/>
  <c r="BF76" i="48"/>
  <c r="AI154" i="48"/>
  <c r="BF14" i="48"/>
  <c r="BI38" i="48"/>
  <c r="AL178" i="48"/>
  <c r="T38" i="48"/>
  <c r="AF61" i="54"/>
  <c r="AG61" i="54"/>
  <c r="BH76" i="48"/>
  <c r="AK216" i="48"/>
  <c r="AF161" i="54"/>
  <c r="AG161" i="54"/>
  <c r="AI234" i="48"/>
  <c r="BF94" i="48"/>
  <c r="BF82" i="48"/>
  <c r="AI222" i="48"/>
  <c r="AF134" i="54"/>
  <c r="AG134" i="54"/>
  <c r="AL142" i="48"/>
  <c r="T2" i="48"/>
  <c r="BI2" i="48"/>
  <c r="BA137" i="48"/>
  <c r="BA20" i="48"/>
  <c r="BA274" i="48"/>
  <c r="BA46" i="48"/>
  <c r="BA2" i="48"/>
  <c r="BA44" i="48"/>
  <c r="BA174" i="48"/>
  <c r="BA181" i="48"/>
  <c r="AF169" i="54"/>
  <c r="AG169" i="54"/>
  <c r="T154" i="48"/>
  <c r="BJ154" i="48" s="1"/>
  <c r="BI154" i="48"/>
  <c r="AF90" i="54"/>
  <c r="AG90" i="54"/>
  <c r="T97" i="48"/>
  <c r="AL237" i="48"/>
  <c r="BI97" i="48"/>
  <c r="BF32" i="48"/>
  <c r="AI172" i="48"/>
  <c r="AL251" i="48"/>
  <c r="T111" i="48"/>
  <c r="BI111" i="48"/>
  <c r="BF98" i="48"/>
  <c r="AI238" i="48"/>
  <c r="AK218" i="48"/>
  <c r="BH78" i="48"/>
  <c r="AG210" i="54"/>
  <c r="AF210" i="54"/>
  <c r="BF53" i="48"/>
  <c r="AI193" i="48"/>
  <c r="AK168" i="48"/>
  <c r="BH28" i="48"/>
  <c r="T104" i="48"/>
  <c r="AL244" i="48"/>
  <c r="BI104" i="48"/>
  <c r="T159" i="48"/>
  <c r="BJ159" i="48" s="1"/>
  <c r="BI159" i="48"/>
  <c r="BF24" i="48"/>
  <c r="AI164" i="48"/>
  <c r="T77" i="48"/>
  <c r="AL217" i="48"/>
  <c r="BI77" i="48"/>
  <c r="AG34" i="54"/>
  <c r="AF34" i="54"/>
  <c r="AG189" i="54"/>
  <c r="AF189" i="54"/>
  <c r="AK234" i="48"/>
  <c r="BH94" i="48"/>
  <c r="BF44" i="48"/>
  <c r="AI184" i="48"/>
  <c r="AG84" i="54"/>
  <c r="AF84" i="54"/>
  <c r="AI146" i="48"/>
  <c r="BF6" i="48"/>
  <c r="AI142" i="48"/>
  <c r="BF2" i="48"/>
  <c r="T43" i="48"/>
  <c r="BI43" i="48"/>
  <c r="AL183" i="48"/>
  <c r="AL247" i="48"/>
  <c r="T107" i="48"/>
  <c r="BI107" i="48"/>
  <c r="BI112" i="48"/>
  <c r="T112" i="48"/>
  <c r="BJ112" i="48" s="1"/>
  <c r="T195" i="48"/>
  <c r="BJ195" i="48" s="1"/>
  <c r="BI195" i="48"/>
  <c r="AF66" i="54"/>
  <c r="AG66" i="54"/>
  <c r="AL155" i="48"/>
  <c r="BI15" i="48"/>
  <c r="T15" i="48"/>
  <c r="AF190" i="54"/>
  <c r="AG190" i="54"/>
  <c r="AI163" i="48"/>
  <c r="BF23" i="48"/>
  <c r="AL171" i="48"/>
  <c r="BI31" i="48"/>
  <c r="T31" i="48"/>
  <c r="AK185" i="48"/>
  <c r="BH45" i="48"/>
  <c r="AF112" i="54"/>
  <c r="AG112" i="54"/>
  <c r="BA47" i="48"/>
  <c r="AF53" i="54"/>
  <c r="AG53" i="54"/>
  <c r="BI170" i="48"/>
  <c r="T170" i="48"/>
  <c r="BJ170" i="48" s="1"/>
  <c r="AL160" i="48"/>
  <c r="T20" i="48"/>
  <c r="BI20" i="48"/>
  <c r="T122" i="48"/>
  <c r="BJ122" i="48" s="1"/>
  <c r="BI122" i="48"/>
  <c r="BI71" i="48"/>
  <c r="AL211" i="48"/>
  <c r="T71" i="48"/>
  <c r="BA77" i="48"/>
  <c r="AG83" i="54"/>
  <c r="AF83" i="54"/>
  <c r="AG119" i="54"/>
  <c r="AF119" i="54"/>
  <c r="AF177" i="54"/>
  <c r="AG177" i="54"/>
  <c r="AG207" i="54"/>
  <c r="AF207" i="54"/>
  <c r="AG8" i="54"/>
  <c r="AF8" i="54"/>
  <c r="AI169" i="48"/>
  <c r="BF29" i="48"/>
  <c r="AF32" i="54"/>
  <c r="AG32" i="54"/>
  <c r="AF183" i="54"/>
  <c r="AG183" i="54"/>
  <c r="AG21" i="54"/>
  <c r="AF21" i="54"/>
  <c r="AK157" i="48"/>
  <c r="BH17" i="48"/>
  <c r="AG19" i="54"/>
  <c r="AF19" i="54"/>
  <c r="BF52" i="48"/>
  <c r="AI192" i="48"/>
  <c r="BF8" i="48"/>
  <c r="AI148" i="48"/>
  <c r="BH82" i="48"/>
  <c r="AK222" i="48"/>
  <c r="BF45" i="48"/>
  <c r="AI185" i="48"/>
  <c r="AF158" i="54"/>
  <c r="AG158" i="54"/>
  <c r="T214" i="48"/>
  <c r="AL186" i="48"/>
  <c r="T46" i="48"/>
  <c r="BI46" i="48"/>
  <c r="BF41" i="48"/>
  <c r="AI181" i="48"/>
  <c r="AI237" i="48"/>
  <c r="BF97" i="48"/>
  <c r="AK231" i="48"/>
  <c r="BH91" i="48"/>
  <c r="T202" i="48"/>
  <c r="AL206" i="48"/>
  <c r="BI66" i="48"/>
  <c r="T66" i="48"/>
  <c r="T211" i="48"/>
  <c r="AF75" i="54"/>
  <c r="AG75" i="54"/>
  <c r="AG11" i="54"/>
  <c r="AF11" i="54"/>
  <c r="T149" i="48"/>
  <c r="BJ149" i="48" s="1"/>
  <c r="BI149" i="48"/>
  <c r="AI218" i="48"/>
  <c r="BF78" i="48"/>
  <c r="T184" i="48"/>
  <c r="BJ184" i="48" s="1"/>
  <c r="BI184" i="48"/>
  <c r="AG14" i="54"/>
  <c r="AF14" i="54"/>
  <c r="AF3" i="54"/>
  <c r="AG3" i="54"/>
  <c r="BI182" i="48"/>
  <c r="T182" i="48"/>
  <c r="BJ182" i="48" s="1"/>
  <c r="BA88" i="48"/>
  <c r="BA182" i="48"/>
  <c r="BA129" i="48"/>
  <c r="BA222" i="48"/>
  <c r="BA231" i="48"/>
  <c r="BA209" i="48"/>
  <c r="BA65" i="48"/>
  <c r="BA279" i="48"/>
  <c r="BA143" i="48"/>
  <c r="BA92" i="48"/>
  <c r="BA191" i="48"/>
  <c r="BA141" i="48"/>
  <c r="BA110" i="48"/>
  <c r="AX268" i="48" l="1"/>
  <c r="AX267" i="48"/>
  <c r="AX266" i="48"/>
  <c r="AX265" i="48"/>
  <c r="AX264" i="48"/>
  <c r="AX263" i="48"/>
  <c r="AX262" i="48"/>
  <c r="AX261" i="48"/>
  <c r="AX260" i="48"/>
  <c r="AX259" i="48"/>
  <c r="AX258" i="48"/>
  <c r="AX257" i="48"/>
  <c r="AX255" i="48"/>
  <c r="AX256" i="48"/>
  <c r="AX254" i="48"/>
  <c r="AX253" i="48"/>
  <c r="AX251" i="48"/>
  <c r="AX241" i="48"/>
  <c r="AX91" i="48"/>
  <c r="AX62" i="48"/>
  <c r="AX94" i="48"/>
  <c r="AX45" i="48"/>
  <c r="AX61" i="48"/>
  <c r="AX60" i="48"/>
  <c r="AX95" i="48"/>
  <c r="AX66" i="48"/>
  <c r="AX90" i="48"/>
  <c r="AX29" i="48"/>
  <c r="AX28" i="48"/>
  <c r="AX103" i="48"/>
  <c r="AX120" i="48"/>
  <c r="AX89" i="48"/>
  <c r="AX119" i="48"/>
  <c r="AX84" i="48"/>
  <c r="AX104" i="48"/>
  <c r="AX65" i="48"/>
  <c r="AX58" i="48"/>
  <c r="AX88" i="48"/>
  <c r="AX33" i="48"/>
  <c r="AX83" i="48"/>
  <c r="AX92" i="48"/>
  <c r="AX76" i="48"/>
  <c r="AX96" i="48"/>
  <c r="AX100" i="48"/>
  <c r="AX86" i="48"/>
  <c r="AX36" i="48"/>
  <c r="AX68" i="48"/>
  <c r="AX74" i="48"/>
  <c r="AX98" i="48"/>
  <c r="AX72" i="48"/>
  <c r="AX9" i="48"/>
  <c r="AX122" i="48"/>
  <c r="AX121" i="48"/>
  <c r="AX174" i="48"/>
  <c r="AX180" i="48"/>
  <c r="AX192" i="48"/>
  <c r="AX133" i="48"/>
  <c r="AX127" i="48"/>
  <c r="AX193" i="48"/>
  <c r="AX134" i="48"/>
  <c r="AX176" i="48"/>
  <c r="AX116" i="48"/>
  <c r="AX181" i="48"/>
  <c r="AX155" i="48"/>
  <c r="AX191" i="48"/>
  <c r="AX148" i="48"/>
  <c r="AX175" i="48"/>
  <c r="AX165" i="48"/>
  <c r="AX198" i="48"/>
  <c r="AX150" i="48"/>
  <c r="AX111" i="48"/>
  <c r="AX164" i="48"/>
  <c r="AX129" i="48"/>
  <c r="AX136" i="48"/>
  <c r="AX183" i="48"/>
  <c r="AX182" i="48"/>
  <c r="AX177" i="48"/>
  <c r="AX202" i="48"/>
  <c r="AX147" i="48"/>
  <c r="AX161" i="48"/>
  <c r="AX154" i="48"/>
  <c r="AX242" i="48"/>
  <c r="AX152" i="48"/>
  <c r="AX245" i="48"/>
  <c r="AX215" i="48"/>
  <c r="AX188" i="48"/>
  <c r="AX178" i="48"/>
  <c r="AX157" i="48"/>
  <c r="AX142" i="48"/>
  <c r="AX243" i="48"/>
  <c r="AX233" i="48"/>
  <c r="AX194" i="48"/>
  <c r="AX244" i="48"/>
  <c r="AX206" i="48"/>
  <c r="AX197" i="48"/>
  <c r="AX232" i="48"/>
  <c r="AX38" i="48"/>
  <c r="AX225" i="48"/>
  <c r="AX247" i="48"/>
  <c r="AX214" i="48"/>
  <c r="AX234" i="48"/>
  <c r="AX205" i="48"/>
  <c r="AX226" i="48"/>
  <c r="AX24" i="48"/>
  <c r="AX229" i="48"/>
  <c r="AX145" i="48"/>
  <c r="AX248" i="48"/>
  <c r="AX238" i="48"/>
  <c r="AX211" i="48"/>
  <c r="AX246" i="48"/>
  <c r="AX239" i="48"/>
  <c r="AX112" i="48"/>
  <c r="AX236" i="48"/>
  <c r="AX70" i="48"/>
  <c r="AX138" i="48"/>
  <c r="AX34" i="48"/>
  <c r="AX189" i="48"/>
  <c r="AX54" i="48"/>
  <c r="AX13" i="48"/>
  <c r="AX47" i="48"/>
  <c r="AX113" i="48"/>
  <c r="AX117" i="48"/>
  <c r="AX167" i="48"/>
  <c r="AX140" i="48"/>
  <c r="AX16" i="48"/>
  <c r="AX19" i="48"/>
  <c r="AX235" i="48"/>
  <c r="AX105" i="48"/>
  <c r="AX125" i="48"/>
  <c r="AX97" i="48"/>
  <c r="AX163" i="48"/>
  <c r="AX170" i="48"/>
  <c r="AX50" i="48"/>
  <c r="AX249" i="48"/>
  <c r="AX207" i="48"/>
  <c r="AX2" i="48"/>
  <c r="AX128" i="48"/>
  <c r="AX101" i="48"/>
  <c r="AX43" i="48"/>
  <c r="AX199" i="48"/>
  <c r="AX21" i="48"/>
  <c r="AX212" i="48"/>
  <c r="AX102" i="48"/>
  <c r="AX209" i="48"/>
  <c r="AX130" i="48"/>
  <c r="AX12" i="48"/>
  <c r="AX4" i="48"/>
  <c r="AX219" i="48"/>
  <c r="AX75" i="48"/>
  <c r="AX110" i="48"/>
  <c r="AX221" i="48"/>
  <c r="AX20" i="48"/>
  <c r="AX168" i="48"/>
  <c r="AX146" i="48"/>
  <c r="AX31" i="48"/>
  <c r="AX27" i="48"/>
  <c r="AX230" i="48"/>
  <c r="AX78" i="48"/>
  <c r="AX135" i="48"/>
  <c r="AX223" i="48"/>
  <c r="AX6" i="48"/>
  <c r="AX141" i="48"/>
  <c r="AX48" i="48"/>
  <c r="AX158" i="48"/>
  <c r="AX132" i="48"/>
  <c r="AX79" i="48"/>
  <c r="AX118" i="48"/>
  <c r="AX162" i="48"/>
  <c r="AX52" i="48"/>
  <c r="AX169" i="48"/>
  <c r="AX57" i="48"/>
  <c r="AX25" i="48"/>
  <c r="AX71" i="48"/>
  <c r="AX149" i="48"/>
  <c r="AX137" i="48"/>
  <c r="AX11" i="48"/>
  <c r="AX203" i="48"/>
  <c r="AX37" i="48"/>
  <c r="AX108" i="48"/>
  <c r="AX3" i="48"/>
  <c r="AX139" i="48"/>
  <c r="AX49" i="48"/>
  <c r="AX39" i="48"/>
  <c r="AX22" i="48"/>
  <c r="AX81" i="48"/>
  <c r="AX218" i="48"/>
  <c r="AX77" i="48"/>
  <c r="AX59" i="48"/>
  <c r="AX107" i="48"/>
  <c r="AX151" i="48"/>
  <c r="AX131" i="48"/>
  <c r="AX187" i="48"/>
  <c r="AX44" i="48"/>
  <c r="AX159" i="48"/>
  <c r="AX18" i="48"/>
  <c r="AX195" i="48"/>
  <c r="AX240" i="48"/>
  <c r="AX73" i="48"/>
  <c r="AX69" i="48"/>
  <c r="AX216" i="48"/>
  <c r="AX17" i="48"/>
  <c r="AX23" i="48"/>
  <c r="AX80" i="48"/>
  <c r="AX115" i="48"/>
  <c r="AX144" i="48"/>
  <c r="AX228" i="48"/>
  <c r="AX237" i="48"/>
  <c r="AX93" i="48"/>
  <c r="AX173" i="48"/>
  <c r="AX123" i="48"/>
  <c r="AX217" i="48"/>
  <c r="AX204" i="48"/>
  <c r="AX179" i="48"/>
  <c r="AX64" i="48"/>
  <c r="AX224" i="48"/>
  <c r="AX153" i="48"/>
  <c r="AX99" i="48"/>
  <c r="AX172" i="48"/>
  <c r="AX250" i="48"/>
  <c r="AX200" i="48"/>
  <c r="AX53" i="48"/>
  <c r="AX55" i="48"/>
  <c r="AX143" i="48"/>
  <c r="AX32" i="48"/>
  <c r="AX222" i="48"/>
  <c r="AX208" i="48"/>
  <c r="AX85" i="48"/>
  <c r="AX231" i="48"/>
  <c r="AX185" i="48"/>
  <c r="AX42" i="48"/>
  <c r="AX186" i="48"/>
  <c r="AX171" i="48"/>
  <c r="BJ65" i="48"/>
  <c r="AM205" i="48"/>
  <c r="AM157" i="48"/>
  <c r="BJ17" i="48"/>
  <c r="BJ42" i="48"/>
  <c r="AM182" i="48"/>
  <c r="BJ10" i="48"/>
  <c r="AM150" i="48"/>
  <c r="AM227" i="48"/>
  <c r="BJ87" i="48"/>
  <c r="AM177" i="48"/>
  <c r="BJ37" i="48"/>
  <c r="AM156" i="48"/>
  <c r="BJ16" i="48"/>
  <c r="AM210" i="48"/>
  <c r="BJ70" i="48"/>
  <c r="BJ110" i="48"/>
  <c r="AM250" i="48"/>
  <c r="AM189" i="48"/>
  <c r="BJ49" i="48"/>
  <c r="AM149" i="48"/>
  <c r="BJ9" i="48"/>
  <c r="BJ107" i="48"/>
  <c r="AM247" i="48"/>
  <c r="BJ67" i="48"/>
  <c r="AM207" i="48"/>
  <c r="AM162" i="48"/>
  <c r="BJ22" i="48"/>
  <c r="AX41" i="48"/>
  <c r="AM153" i="48"/>
  <c r="BJ13" i="48"/>
  <c r="BJ6" i="48"/>
  <c r="AM146" i="48"/>
  <c r="BJ30" i="48"/>
  <c r="AM170" i="48"/>
  <c r="BJ53" i="48"/>
  <c r="AM193" i="48"/>
  <c r="BJ59" i="48"/>
  <c r="AM199" i="48"/>
  <c r="AM173" i="48"/>
  <c r="BJ33" i="48"/>
  <c r="AM248" i="48"/>
  <c r="BJ108" i="48"/>
  <c r="AX30" i="48"/>
  <c r="AM197" i="48"/>
  <c r="BJ57" i="48"/>
  <c r="AX82" i="48"/>
  <c r="AM196" i="48"/>
  <c r="BJ56" i="48"/>
  <c r="AX40" i="48"/>
  <c r="BJ27" i="48"/>
  <c r="AM167" i="48"/>
  <c r="AM192" i="48"/>
  <c r="BJ52" i="48"/>
  <c r="BJ66" i="48"/>
  <c r="AM206" i="48"/>
  <c r="AX5" i="48"/>
  <c r="AX156" i="48"/>
  <c r="AM176" i="48"/>
  <c r="BJ36" i="48"/>
  <c r="AM225" i="48"/>
  <c r="BJ85" i="48"/>
  <c r="AM217" i="48"/>
  <c r="BJ77" i="48"/>
  <c r="AM161" i="48"/>
  <c r="BJ21" i="48"/>
  <c r="BJ11" i="48"/>
  <c r="AM151" i="48"/>
  <c r="BJ61" i="48"/>
  <c r="AM201" i="48"/>
  <c r="AX126" i="48"/>
  <c r="BJ95" i="48"/>
  <c r="AM235" i="48"/>
  <c r="AX166" i="48"/>
  <c r="BJ18" i="48"/>
  <c r="AM158" i="48"/>
  <c r="AX210" i="48"/>
  <c r="BJ91" i="48"/>
  <c r="AM231" i="48"/>
  <c r="AM195" i="48"/>
  <c r="BJ55" i="48"/>
  <c r="AX184" i="48"/>
  <c r="AM226" i="48"/>
  <c r="BJ86" i="48"/>
  <c r="AM142" i="48"/>
  <c r="BJ2" i="48"/>
  <c r="BM4" i="48"/>
  <c r="AM147" i="48"/>
  <c r="BJ7" i="48"/>
  <c r="AM234" i="48"/>
  <c r="BJ94" i="48"/>
  <c r="BJ43" i="48"/>
  <c r="AM183" i="48"/>
  <c r="BJ111" i="48"/>
  <c r="AM251" i="48"/>
  <c r="AM244" i="48"/>
  <c r="BJ104" i="48"/>
  <c r="AM246" i="48"/>
  <c r="BJ106" i="48"/>
  <c r="AX63" i="48"/>
  <c r="BJ4" i="48"/>
  <c r="AM144" i="48"/>
  <c r="BJ83" i="48"/>
  <c r="AM223" i="48"/>
  <c r="AM190" i="48"/>
  <c r="BJ50" i="48"/>
  <c r="BJ73" i="48"/>
  <c r="AM213" i="48"/>
  <c r="AM194" i="48"/>
  <c r="BJ54" i="48"/>
  <c r="AM236" i="48"/>
  <c r="BJ96" i="48"/>
  <c r="BJ80" i="48"/>
  <c r="AM220" i="48"/>
  <c r="AM239" i="48"/>
  <c r="BJ99" i="48"/>
  <c r="AX196" i="48"/>
  <c r="BJ44" i="48"/>
  <c r="AM184" i="48"/>
  <c r="BJ32" i="48"/>
  <c r="AM172" i="48"/>
  <c r="AX46" i="48"/>
  <c r="AM228" i="48"/>
  <c r="BJ88" i="48"/>
  <c r="AX14" i="48"/>
  <c r="BJ89" i="48"/>
  <c r="AM229" i="48"/>
  <c r="AX160" i="48"/>
  <c r="AM245" i="48"/>
  <c r="BJ105" i="48"/>
  <c r="AM181" i="48"/>
  <c r="BJ41" i="48"/>
  <c r="BJ38" i="48"/>
  <c r="AM178" i="48"/>
  <c r="AX213" i="48"/>
  <c r="AX8" i="48"/>
  <c r="AM249" i="48"/>
  <c r="BJ109" i="48"/>
  <c r="BJ74" i="48"/>
  <c r="AM214" i="48"/>
  <c r="AM224" i="48"/>
  <c r="BJ84" i="48"/>
  <c r="BJ45" i="48"/>
  <c r="AM185" i="48"/>
  <c r="AM218" i="48"/>
  <c r="BJ78" i="48"/>
  <c r="AM237" i="48"/>
  <c r="BJ97" i="48"/>
  <c r="AM216" i="48"/>
  <c r="BJ76" i="48"/>
  <c r="BJ51" i="48"/>
  <c r="AM191" i="48"/>
  <c r="AX35" i="48"/>
  <c r="AX106" i="48"/>
  <c r="BJ26" i="48"/>
  <c r="AM166" i="48"/>
  <c r="AX227" i="48"/>
  <c r="AX7" i="48"/>
  <c r="AX252" i="48"/>
  <c r="BJ28" i="48"/>
  <c r="AM168" i="48"/>
  <c r="BJ35" i="48"/>
  <c r="AM175" i="48"/>
  <c r="AX114" i="48"/>
  <c r="BJ101" i="48"/>
  <c r="AM241" i="48"/>
  <c r="BJ47" i="48"/>
  <c r="AM187" i="48"/>
  <c r="AM240" i="48"/>
  <c r="BJ100" i="48"/>
  <c r="AX124" i="48"/>
  <c r="BJ64" i="48"/>
  <c r="AM204" i="48"/>
  <c r="BJ71" i="48"/>
  <c r="AM211" i="48"/>
  <c r="AX87" i="48"/>
  <c r="AM212" i="48"/>
  <c r="BJ72" i="48"/>
  <c r="BJ14" i="48"/>
  <c r="AM154" i="48"/>
  <c r="AM143" i="48"/>
  <c r="BJ3" i="48"/>
  <c r="BJ34" i="48"/>
  <c r="AM174" i="48"/>
  <c r="AX10" i="48"/>
  <c r="AM179" i="48"/>
  <c r="BJ39" i="48"/>
  <c r="AM243" i="48"/>
  <c r="BJ103" i="48"/>
  <c r="AX15" i="48"/>
  <c r="AM148" i="48"/>
  <c r="BJ8" i="48"/>
  <c r="BJ90" i="48"/>
  <c r="AM230" i="48"/>
  <c r="AM198" i="48"/>
  <c r="BJ58" i="48"/>
  <c r="AX109" i="48"/>
  <c r="AM219" i="48"/>
  <c r="BJ79" i="48"/>
  <c r="BJ60" i="48"/>
  <c r="AM200" i="48"/>
  <c r="BJ69" i="48"/>
  <c r="AM209" i="48"/>
  <c r="BJ63" i="48"/>
  <c r="AM203" i="48"/>
  <c r="AM238" i="48"/>
  <c r="BJ98" i="48"/>
  <c r="AX26" i="48"/>
  <c r="BJ15" i="48"/>
  <c r="AM155" i="48"/>
  <c r="BJ40" i="48"/>
  <c r="AM180" i="48"/>
  <c r="AX220" i="48"/>
  <c r="AM145" i="48"/>
  <c r="BJ5" i="48"/>
  <c r="BJ75" i="48"/>
  <c r="AM215" i="48"/>
  <c r="AM188" i="48"/>
  <c r="BJ48" i="48"/>
  <c r="BJ20" i="48"/>
  <c r="AM160" i="48"/>
  <c r="AX190" i="48"/>
  <c r="AX67" i="48"/>
  <c r="AM221" i="48"/>
  <c r="BJ81" i="48"/>
  <c r="AM163" i="48"/>
  <c r="BJ23" i="48"/>
  <c r="BJ19" i="48"/>
  <c r="AM159" i="48"/>
  <c r="AM186" i="48"/>
  <c r="BJ46" i="48"/>
  <c r="BJ31" i="48"/>
  <c r="AM171" i="48"/>
  <c r="AM222" i="48"/>
  <c r="BJ82" i="48"/>
  <c r="AM242" i="48"/>
  <c r="BJ102" i="48"/>
  <c r="AM164" i="48"/>
  <c r="BJ24" i="48"/>
  <c r="AM232" i="48"/>
  <c r="BJ92" i="48"/>
  <c r="AM152" i="48"/>
  <c r="BJ12" i="48"/>
  <c r="BJ68" i="48"/>
  <c r="AM208" i="48"/>
  <c r="AX51" i="48"/>
  <c r="AM233" i="48"/>
  <c r="BJ93" i="48"/>
  <c r="AX56" i="48"/>
  <c r="BJ29" i="48"/>
  <c r="AM169" i="48"/>
  <c r="AM202" i="48"/>
  <c r="BJ62" i="48"/>
  <c r="AM165" i="48"/>
  <c r="BJ25" i="48"/>
  <c r="AX201" i="48"/>
  <c r="BE168" i="48" l="1"/>
  <c r="BE113" i="48"/>
  <c r="BE82" i="48"/>
  <c r="BE184" i="48"/>
  <c r="BE199" i="48"/>
  <c r="BE44" i="48"/>
  <c r="BE137" i="48"/>
  <c r="BE7" i="48"/>
  <c r="BE85" i="48"/>
  <c r="BE128" i="48"/>
  <c r="BE179" i="48"/>
  <c r="BE107" i="48"/>
  <c r="BE117" i="48"/>
  <c r="BE38" i="48"/>
  <c r="BE153" i="48"/>
  <c r="BE169" i="48"/>
  <c r="BE75" i="48"/>
  <c r="BE90" i="48"/>
  <c r="BE144" i="48"/>
  <c r="BE84" i="48"/>
  <c r="BE105" i="48"/>
  <c r="BE160" i="48"/>
  <c r="BE200" i="48"/>
  <c r="BE66" i="48"/>
  <c r="BE162" i="48"/>
  <c r="BE167" i="48"/>
  <c r="BE98" i="48"/>
  <c r="BE31" i="48"/>
  <c r="BE172" i="48"/>
  <c r="BE201" i="48"/>
  <c r="BE9" i="48"/>
  <c r="BE17" i="48"/>
  <c r="BE48" i="48"/>
  <c r="BE131" i="48"/>
  <c r="BE72" i="48"/>
  <c r="BE41" i="48"/>
  <c r="BE141" i="48"/>
  <c r="BE18" i="48"/>
  <c r="BE71" i="48"/>
  <c r="BE115" i="48"/>
  <c r="BE194" i="48"/>
  <c r="BE80" i="48"/>
  <c r="BE236" i="48"/>
  <c r="BE260" i="48"/>
  <c r="BE232" i="48"/>
  <c r="BE220" i="48"/>
  <c r="BE248" i="48"/>
  <c r="BE249" i="48"/>
  <c r="BE259" i="48"/>
  <c r="BE214" i="48"/>
  <c r="BE226" i="48"/>
  <c r="BE233" i="48"/>
  <c r="BE204" i="48"/>
  <c r="BE271" i="48"/>
  <c r="BE255" i="48"/>
  <c r="BE269" i="48"/>
  <c r="BE227" i="48"/>
  <c r="BE239" i="48"/>
  <c r="BE244" i="48"/>
  <c r="BE234" i="48"/>
  <c r="BE235" i="48"/>
  <c r="BE265" i="48"/>
  <c r="BE224" i="48"/>
  <c r="BE206" i="48"/>
  <c r="BE264" i="48"/>
  <c r="BE261" i="48"/>
  <c r="BE240" i="48"/>
  <c r="BE253" i="48"/>
  <c r="BE252" i="48"/>
  <c r="BE273" i="48"/>
  <c r="BE281" i="48"/>
  <c r="BE222" i="48"/>
  <c r="BE242" i="48"/>
  <c r="BE268" i="48"/>
  <c r="BE241" i="48"/>
  <c r="BE246" i="48"/>
  <c r="BE278" i="48"/>
  <c r="BE229" i="48"/>
  <c r="BE280" i="48"/>
  <c r="BE203" i="48"/>
  <c r="BE215" i="48"/>
  <c r="BE257" i="48"/>
  <c r="BE238" i="48"/>
  <c r="BE250" i="48"/>
  <c r="BE279" i="48"/>
  <c r="BE202" i="48"/>
  <c r="BE216" i="48"/>
  <c r="BE218" i="48"/>
  <c r="BE277" i="48"/>
  <c r="BE213" i="48"/>
  <c r="BE275" i="48"/>
  <c r="BE2" i="48"/>
  <c r="BE270" i="48"/>
  <c r="BE263" i="48"/>
  <c r="BE254" i="48"/>
  <c r="BE256" i="48"/>
  <c r="BE267" i="48"/>
  <c r="BE231" i="48"/>
  <c r="BE211" i="48"/>
  <c r="BE208" i="48"/>
  <c r="BE221" i="48"/>
  <c r="BE272" i="48"/>
  <c r="BE219" i="48"/>
  <c r="BE237" i="48"/>
  <c r="BE209" i="48"/>
  <c r="BE247" i="48"/>
  <c r="BE217" i="48"/>
  <c r="BE262" i="48"/>
  <c r="BE243" i="48"/>
  <c r="BE212" i="48"/>
  <c r="BE266" i="48"/>
  <c r="BE251" i="48"/>
  <c r="BE258" i="48"/>
  <c r="BE228" i="48"/>
  <c r="BE225" i="48"/>
  <c r="BE274" i="48"/>
  <c r="BE210" i="48"/>
  <c r="BE205" i="48"/>
  <c r="BE245" i="48"/>
  <c r="BE276" i="48"/>
  <c r="BE230" i="48"/>
  <c r="BE207" i="48"/>
  <c r="BE223" i="48"/>
  <c r="BE95" i="48"/>
  <c r="BE59" i="48"/>
  <c r="BE68" i="48"/>
  <c r="BE138" i="48"/>
  <c r="BE145" i="48"/>
  <c r="BE189" i="48"/>
  <c r="BE165" i="48"/>
  <c r="BE112" i="48"/>
  <c r="BE52" i="48"/>
  <c r="BE127" i="48"/>
  <c r="BE133" i="48"/>
  <c r="BE5" i="48"/>
  <c r="BE69" i="48"/>
  <c r="BE132" i="48"/>
  <c r="BE190" i="48"/>
  <c r="BE96" i="48"/>
  <c r="BE86" i="48"/>
  <c r="BE49" i="48"/>
  <c r="BE78" i="48"/>
  <c r="BE125" i="48"/>
  <c r="BE148" i="48"/>
  <c r="BE180" i="48"/>
  <c r="BE51" i="48"/>
  <c r="BE171" i="48"/>
  <c r="BE4" i="48"/>
  <c r="BE36" i="48"/>
  <c r="BE121" i="48"/>
  <c r="BE53" i="48"/>
  <c r="BE65" i="48"/>
  <c r="BE45" i="48"/>
  <c r="BE74" i="48"/>
  <c r="BE61" i="48"/>
  <c r="BE12" i="48"/>
  <c r="BE35" i="48"/>
  <c r="BE116" i="48"/>
  <c r="BE54" i="48"/>
  <c r="BE106" i="48"/>
  <c r="BE176" i="48"/>
  <c r="BE70" i="48"/>
  <c r="BE161" i="48"/>
  <c r="BE126" i="48"/>
  <c r="BE182" i="48"/>
  <c r="BE152" i="48"/>
  <c r="BE185" i="48"/>
  <c r="BE55" i="48"/>
  <c r="BE123" i="48"/>
  <c r="BE118" i="48"/>
  <c r="BE6" i="48"/>
  <c r="BE16" i="48"/>
  <c r="BE146" i="48"/>
  <c r="BE197" i="48"/>
  <c r="BE187" i="48"/>
  <c r="BE76" i="48"/>
  <c r="BE104" i="48"/>
  <c r="BE56" i="48"/>
  <c r="BE151" i="48"/>
  <c r="BE163" i="48"/>
  <c r="BE108" i="48"/>
  <c r="BE155" i="48"/>
  <c r="BE63" i="48"/>
  <c r="BE157" i="48"/>
  <c r="BE27" i="48"/>
  <c r="BE93" i="48"/>
  <c r="BE34" i="48"/>
  <c r="BE47" i="48"/>
  <c r="BE129" i="48"/>
  <c r="BE13" i="48"/>
  <c r="BE195" i="48"/>
  <c r="BE183" i="48"/>
  <c r="BE8" i="48"/>
  <c r="BE60" i="48"/>
  <c r="BE89" i="48"/>
  <c r="BE110" i="48"/>
  <c r="BE192" i="48"/>
  <c r="BE92" i="48"/>
  <c r="BE122" i="48"/>
  <c r="BE28" i="48"/>
  <c r="BE109" i="48"/>
  <c r="BE40" i="48"/>
  <c r="BE3" i="48"/>
  <c r="BE136" i="48"/>
  <c r="BE97" i="48"/>
  <c r="BE73" i="48"/>
  <c r="BE178" i="48"/>
  <c r="BE21" i="48"/>
  <c r="BE196" i="48"/>
  <c r="BE154" i="48"/>
  <c r="BE67" i="48"/>
  <c r="BE103" i="48"/>
  <c r="BE99" i="48"/>
  <c r="BE83" i="48"/>
  <c r="BE33" i="48"/>
  <c r="BE62" i="48"/>
  <c r="BE46" i="48"/>
  <c r="BE166" i="48"/>
  <c r="BE100" i="48"/>
  <c r="BE173" i="48"/>
  <c r="BE81" i="48"/>
  <c r="BE191" i="48"/>
  <c r="BE188" i="48"/>
  <c r="BE170" i="48"/>
  <c r="BE140" i="48"/>
  <c r="BE158" i="48"/>
  <c r="BE124" i="48"/>
  <c r="BE111" i="48"/>
  <c r="BE181" i="48"/>
  <c r="BE57" i="48"/>
  <c r="BE87" i="48"/>
  <c r="BE177" i="48"/>
  <c r="BE150" i="48"/>
  <c r="BE30" i="48"/>
  <c r="BE29" i="48"/>
  <c r="BE156" i="48"/>
  <c r="BE25" i="48"/>
  <c r="BE120" i="48"/>
  <c r="BE143" i="48"/>
  <c r="BE77" i="48"/>
  <c r="BE22" i="48"/>
  <c r="BE164" i="48"/>
  <c r="BE175" i="48"/>
  <c r="BE39" i="48"/>
  <c r="BE142" i="48"/>
  <c r="BE139" i="48"/>
  <c r="BE174" i="48"/>
  <c r="BE134" i="48"/>
  <c r="BE79" i="48"/>
  <c r="BE101" i="48"/>
  <c r="BE147" i="48"/>
  <c r="BE43" i="48"/>
  <c r="BE91" i="48"/>
  <c r="BE198" i="48"/>
  <c r="BE42" i="48"/>
  <c r="BE119" i="48"/>
  <c r="BE193" i="48"/>
  <c r="BE135" i="48"/>
  <c r="BE64" i="48"/>
  <c r="BE114" i="48"/>
  <c r="BE19" i="48"/>
  <c r="BE23" i="48"/>
  <c r="BE88" i="48"/>
  <c r="BE11" i="48"/>
  <c r="BE37" i="48"/>
  <c r="BE24" i="48"/>
  <c r="BE102" i="48"/>
  <c r="BE15" i="48"/>
  <c r="BE58" i="48"/>
  <c r="BE20" i="48"/>
  <c r="BE149" i="48"/>
  <c r="BE14" i="48"/>
  <c r="BE186" i="48"/>
  <c r="BE26" i="48"/>
  <c r="BE32" i="48"/>
  <c r="BE50" i="48"/>
  <c r="BE94" i="48"/>
  <c r="BE130" i="48"/>
  <c r="BE159" i="48"/>
  <c r="BE10" i="48"/>
  <c r="E2" i="32"/>
  <c r="F2" i="32" l="1"/>
  <c r="G2" i="33" s="1"/>
  <c r="G34" i="55" s="1"/>
  <c r="E32" i="32"/>
  <c r="H39" i="32" s="1"/>
  <c r="F2" i="33"/>
  <c r="F34" i="55" s="1"/>
  <c r="H2" i="32"/>
  <c r="I2" i="33" s="1"/>
  <c r="I34" i="55" s="1"/>
  <c r="F32" i="32" l="1"/>
  <c r="I39" i="32" s="1"/>
  <c r="G32" i="32" l="1"/>
  <c r="J39" i="32" s="1"/>
  <c r="H2" i="33"/>
  <c r="H34" i="55" l="1"/>
  <c r="M2" i="33"/>
  <c r="N2" i="33"/>
  <c r="M10" i="55" s="1"/>
  <c r="M34" i="55" l="1"/>
  <c r="F3" i="47"/>
  <c r="A42" i="47" l="1"/>
  <c r="A67" i="47"/>
  <c r="A30" i="47"/>
  <c r="A89" i="47"/>
  <c r="A54" i="47"/>
  <c r="A46" i="47"/>
  <c r="A92" i="47"/>
  <c r="A65" i="47"/>
  <c r="A93" i="47"/>
  <c r="A76" i="47"/>
  <c r="A86" i="47"/>
  <c r="A22" i="47"/>
  <c r="A55" i="47"/>
  <c r="A90" i="47"/>
  <c r="A4" i="47"/>
  <c r="A56" i="47"/>
  <c r="A60" i="47"/>
  <c r="A62" i="47"/>
  <c r="A8" i="47"/>
  <c r="A33" i="47"/>
  <c r="A87" i="47"/>
  <c r="A49" i="47"/>
  <c r="A98" i="47"/>
  <c r="A13" i="47"/>
  <c r="A47" i="47"/>
  <c r="A59" i="47"/>
  <c r="A74" i="47"/>
  <c r="A99" i="47"/>
  <c r="A95" i="47"/>
  <c r="A18" i="47"/>
  <c r="A11" i="47"/>
  <c r="A7" i="47"/>
  <c r="A35" i="47"/>
  <c r="A88" i="47"/>
  <c r="A14" i="47"/>
  <c r="A34" i="47"/>
  <c r="A63" i="47"/>
  <c r="A17" i="47"/>
  <c r="A44" i="47"/>
  <c r="A50" i="47"/>
  <c r="A51" i="47"/>
  <c r="A78" i="47"/>
  <c r="A6" i="47"/>
  <c r="A31" i="47"/>
  <c r="A23" i="47"/>
  <c r="A43" i="47"/>
  <c r="A12" i="47"/>
  <c r="A72" i="47"/>
  <c r="A21" i="47"/>
  <c r="A73" i="47"/>
  <c r="A77" i="47"/>
  <c r="A58" i="47"/>
  <c r="A61" i="47"/>
  <c r="A27" i="47"/>
  <c r="A91" i="47"/>
  <c r="A45" i="47"/>
  <c r="A97" i="47"/>
  <c r="A24" i="47"/>
  <c r="A82" i="47"/>
  <c r="A25" i="47"/>
  <c r="A94" i="47"/>
  <c r="A5" i="47"/>
  <c r="A48" i="47"/>
  <c r="A75" i="47"/>
  <c r="A52" i="47"/>
  <c r="A10" i="47"/>
  <c r="A38" i="47"/>
  <c r="A36" i="47"/>
  <c r="A71" i="47"/>
  <c r="A29" i="47"/>
  <c r="A84" i="47"/>
  <c r="A15" i="47"/>
  <c r="A9" i="47"/>
  <c r="A32" i="47"/>
  <c r="A57" i="47"/>
  <c r="A68" i="47"/>
  <c r="A100" i="47"/>
  <c r="A39" i="47"/>
  <c r="A83" i="47"/>
  <c r="A81" i="47"/>
  <c r="A41" i="47"/>
  <c r="A64" i="47"/>
  <c r="A102" i="47"/>
  <c r="A69" i="47"/>
  <c r="A37" i="47"/>
  <c r="A40" i="47"/>
  <c r="A20" i="47"/>
  <c r="A19" i="47"/>
  <c r="A96" i="47"/>
  <c r="A70" i="47"/>
  <c r="A3" i="47"/>
  <c r="A26" i="47"/>
  <c r="A28" i="47"/>
  <c r="A53" i="47"/>
  <c r="A80" i="47"/>
  <c r="A66" i="47"/>
  <c r="A101" i="47"/>
  <c r="A85" i="47"/>
  <c r="A16" i="47"/>
  <c r="A79" i="47"/>
  <c r="B66" i="54" l="1"/>
  <c r="M2" i="54"/>
  <c r="B30" i="44"/>
  <c r="D55" i="48"/>
  <c r="D32" i="48"/>
  <c r="AK32" i="48" s="1"/>
  <c r="B78" i="48"/>
  <c r="D12" i="44"/>
  <c r="C52" i="44"/>
  <c r="D6" i="44"/>
  <c r="B49" i="54"/>
  <c r="E25" i="44"/>
  <c r="B25" i="48"/>
  <c r="AI25" i="48" s="1"/>
  <c r="B7" i="54"/>
  <c r="D99" i="48"/>
  <c r="B48" i="44"/>
  <c r="C26" i="48"/>
  <c r="B12" i="48"/>
  <c r="AI12" i="48" s="1"/>
  <c r="B47" i="48"/>
  <c r="B35" i="48"/>
  <c r="AI35" i="48" s="1"/>
  <c r="B11" i="48"/>
  <c r="AI11" i="48" s="1"/>
  <c r="E29" i="48"/>
  <c r="M58" i="54"/>
  <c r="E43" i="48"/>
  <c r="B43" i="48"/>
  <c r="E2" i="48"/>
  <c r="B47" i="54"/>
  <c r="C92" i="48"/>
  <c r="E53" i="48"/>
  <c r="E89" i="48"/>
  <c r="D31" i="44"/>
  <c r="C28" i="48"/>
  <c r="B96" i="48"/>
  <c r="B91" i="48"/>
  <c r="E71" i="48"/>
  <c r="E54" i="44"/>
  <c r="D54" i="48"/>
  <c r="B72" i="44"/>
  <c r="D3" i="44"/>
  <c r="E32" i="44"/>
  <c r="B58" i="54"/>
  <c r="C20" i="44"/>
  <c r="C83" i="48"/>
  <c r="B46" i="44"/>
  <c r="C27" i="48"/>
  <c r="C80" i="44"/>
  <c r="B42" i="44"/>
  <c r="C18" i="48"/>
  <c r="M43" i="54"/>
  <c r="B10" i="48"/>
  <c r="AI10" i="48" s="1"/>
  <c r="M21" i="54"/>
  <c r="B13" i="48"/>
  <c r="AI13" i="48" s="1"/>
  <c r="C20" i="48"/>
  <c r="C75" i="48"/>
  <c r="D97" i="48"/>
  <c r="E5" i="44"/>
  <c r="M47" i="54"/>
  <c r="C32" i="48"/>
  <c r="E64" i="48"/>
  <c r="B56" i="44"/>
  <c r="M15" i="54"/>
  <c r="C2" i="48"/>
  <c r="C38" i="44"/>
  <c r="D79" i="48"/>
  <c r="D16" i="48"/>
  <c r="AK16" i="48" s="1"/>
  <c r="E70" i="44"/>
  <c r="E83" i="48"/>
  <c r="C91" i="48"/>
  <c r="D82" i="48"/>
  <c r="B60" i="54"/>
  <c r="M16" i="54"/>
  <c r="B54" i="54"/>
  <c r="E75" i="48"/>
  <c r="E94" i="48"/>
  <c r="E16" i="48"/>
  <c r="B79" i="44"/>
  <c r="M44" i="54"/>
  <c r="E78" i="48"/>
  <c r="B5" i="44"/>
  <c r="E81" i="48"/>
  <c r="C31" i="48"/>
  <c r="M41" i="54"/>
  <c r="B25" i="54"/>
  <c r="B12" i="54"/>
  <c r="B6" i="54"/>
  <c r="C43" i="44"/>
  <c r="B33" i="54"/>
  <c r="E6" i="48"/>
  <c r="C48" i="44"/>
  <c r="E21" i="44"/>
  <c r="D27" i="48"/>
  <c r="AK27" i="48" s="1"/>
  <c r="M40" i="54"/>
  <c r="B74" i="54"/>
  <c r="B78" i="44"/>
  <c r="C54" i="48"/>
  <c r="E36" i="48"/>
  <c r="E74" i="48"/>
  <c r="D39" i="44"/>
  <c r="B2" i="54"/>
  <c r="B68" i="54"/>
  <c r="E42" i="44"/>
  <c r="C61" i="48"/>
  <c r="B8" i="54"/>
  <c r="M8" i="54"/>
  <c r="D23" i="44"/>
  <c r="D73" i="48"/>
  <c r="B17" i="54"/>
  <c r="B72" i="48"/>
  <c r="C40" i="48"/>
  <c r="C36" i="44"/>
  <c r="C68" i="44"/>
  <c r="M49" i="54"/>
  <c r="D28" i="48"/>
  <c r="AK28" i="48" s="1"/>
  <c r="E5" i="48"/>
  <c r="C98" i="48"/>
  <c r="C33" i="48"/>
  <c r="B42" i="54"/>
  <c r="C79" i="44"/>
  <c r="E24" i="44"/>
  <c r="C86" i="48"/>
  <c r="M74" i="54"/>
  <c r="B6" i="48"/>
  <c r="AI6" i="48" s="1"/>
  <c r="B18" i="48"/>
  <c r="AI18" i="48" s="1"/>
  <c r="D76" i="48"/>
  <c r="M19" i="54"/>
  <c r="M50" i="54"/>
  <c r="C73" i="44"/>
  <c r="C40" i="44"/>
  <c r="M31" i="54"/>
  <c r="B79" i="54"/>
  <c r="E63" i="44"/>
  <c r="B14" i="44"/>
  <c r="B61" i="54"/>
  <c r="M62" i="54"/>
  <c r="B41" i="44"/>
  <c r="B25" i="44"/>
  <c r="E60" i="48"/>
  <c r="D24" i="44"/>
  <c r="D65" i="48"/>
  <c r="C93" i="48"/>
  <c r="B65" i="48"/>
  <c r="D58" i="44"/>
  <c r="B52" i="44"/>
  <c r="C41" i="48"/>
  <c r="C62" i="48"/>
  <c r="C78" i="44"/>
  <c r="D75" i="44"/>
  <c r="C60" i="48"/>
  <c r="B32" i="48"/>
  <c r="AI32" i="48" s="1"/>
  <c r="B54" i="44"/>
  <c r="C35" i="48"/>
  <c r="E47" i="44"/>
  <c r="E58" i="44"/>
  <c r="D29" i="44"/>
  <c r="D29" i="48"/>
  <c r="AK29" i="48" s="1"/>
  <c r="C76" i="48"/>
  <c r="C44" i="44"/>
  <c r="B82" i="48"/>
  <c r="C62" i="44"/>
  <c r="E22" i="44"/>
  <c r="B73" i="44"/>
  <c r="D95" i="48"/>
  <c r="C22" i="48"/>
  <c r="B29" i="48"/>
  <c r="AI29" i="48" s="1"/>
  <c r="C67" i="48"/>
  <c r="E23" i="48"/>
  <c r="C23" i="44"/>
  <c r="E43" i="44"/>
  <c r="C43" i="48"/>
  <c r="E67" i="44"/>
  <c r="D2" i="44"/>
  <c r="D75" i="48"/>
  <c r="C30" i="48"/>
  <c r="B76" i="48"/>
  <c r="C22" i="44"/>
  <c r="B27" i="44"/>
  <c r="B21" i="54"/>
  <c r="C46" i="44"/>
  <c r="B83" i="48"/>
  <c r="M80" i="54"/>
  <c r="E6" i="44"/>
  <c r="E14" i="48"/>
  <c r="B71" i="54"/>
  <c r="D73" i="44"/>
  <c r="B31" i="44"/>
  <c r="B61" i="44"/>
  <c r="D2" i="48"/>
  <c r="AK2" i="48" s="1"/>
  <c r="E16" i="44"/>
  <c r="E96" i="48"/>
  <c r="C79" i="48"/>
  <c r="E13" i="48"/>
  <c r="C6" i="44"/>
  <c r="D5" i="48"/>
  <c r="AK5" i="48" s="1"/>
  <c r="C69" i="44"/>
  <c r="M72" i="54"/>
  <c r="C57" i="44"/>
  <c r="D55" i="44"/>
  <c r="E69" i="44"/>
  <c r="D54" i="44"/>
  <c r="C74" i="44"/>
  <c r="B11" i="44"/>
  <c r="D50" i="44"/>
  <c r="B24" i="48"/>
  <c r="AI24" i="48" s="1"/>
  <c r="E25" i="48"/>
  <c r="D14" i="48"/>
  <c r="AK14" i="48" s="1"/>
  <c r="E8" i="48"/>
  <c r="B45" i="44"/>
  <c r="D65" i="44"/>
  <c r="B74" i="48"/>
  <c r="D90" i="48"/>
  <c r="C58" i="44"/>
  <c r="B66" i="48"/>
  <c r="D94" i="48"/>
  <c r="D40" i="48"/>
  <c r="AK40" i="48" s="1"/>
  <c r="D53" i="48"/>
  <c r="C29" i="48"/>
  <c r="D45" i="44"/>
  <c r="E60" i="44"/>
  <c r="M3" i="54"/>
  <c r="M28" i="54"/>
  <c r="C88" i="48"/>
  <c r="C65" i="44"/>
  <c r="B87" i="48"/>
  <c r="D30" i="48"/>
  <c r="AK30" i="48" s="1"/>
  <c r="B95" i="48"/>
  <c r="C78" i="48"/>
  <c r="B13" i="54"/>
  <c r="D68" i="48"/>
  <c r="D63" i="44"/>
  <c r="C15" i="48"/>
  <c r="D60" i="48"/>
  <c r="C63" i="48"/>
  <c r="C55" i="48"/>
  <c r="B19" i="54"/>
  <c r="D46" i="44"/>
  <c r="D14" i="44"/>
  <c r="E28" i="48"/>
  <c r="C70" i="44"/>
  <c r="M53" i="54"/>
  <c r="B79" i="48"/>
  <c r="C66" i="44"/>
  <c r="C61" i="44"/>
  <c r="B13" i="44"/>
  <c r="B69" i="44"/>
  <c r="M24" i="54"/>
  <c r="D72" i="48"/>
  <c r="E11" i="48"/>
  <c r="B70" i="44"/>
  <c r="E80" i="48"/>
  <c r="B71" i="44"/>
  <c r="B19" i="44"/>
  <c r="D67" i="48"/>
  <c r="D66" i="48"/>
  <c r="C74" i="48"/>
  <c r="B67" i="48"/>
  <c r="B98" i="48"/>
  <c r="C56" i="48"/>
  <c r="M23" i="54"/>
  <c r="D80" i="48"/>
  <c r="B62" i="44"/>
  <c r="B8" i="44"/>
  <c r="E17" i="44"/>
  <c r="B24" i="44"/>
  <c r="B12" i="44"/>
  <c r="B51" i="54"/>
  <c r="D15" i="48"/>
  <c r="AK15" i="48" s="1"/>
  <c r="B33" i="44"/>
  <c r="D19" i="44"/>
  <c r="B21" i="44"/>
  <c r="D61" i="48"/>
  <c r="C39" i="44"/>
  <c r="E92" i="48"/>
  <c r="B15" i="54"/>
  <c r="B41" i="54"/>
  <c r="D7" i="48"/>
  <c r="AK7" i="48" s="1"/>
  <c r="M56" i="54"/>
  <c r="D41" i="48"/>
  <c r="AK41" i="48" s="1"/>
  <c r="E50" i="44"/>
  <c r="B51" i="48"/>
  <c r="B9" i="44"/>
  <c r="M30" i="54"/>
  <c r="M73" i="54"/>
  <c r="E93" i="48"/>
  <c r="C44" i="48"/>
  <c r="C32" i="44"/>
  <c r="M52" i="54"/>
  <c r="D44" i="48"/>
  <c r="M38" i="54"/>
  <c r="C36" i="48"/>
  <c r="E4" i="44"/>
  <c r="D22" i="44"/>
  <c r="B62" i="54"/>
  <c r="B7" i="48"/>
  <c r="AI7" i="48" s="1"/>
  <c r="B41" i="48"/>
  <c r="AI41" i="48" s="1"/>
  <c r="E27" i="44"/>
  <c r="B31" i="48"/>
  <c r="AI31" i="48" s="1"/>
  <c r="C71" i="44"/>
  <c r="D87" i="48"/>
  <c r="B2" i="48"/>
  <c r="AI2" i="48" s="1"/>
  <c r="B97" i="48"/>
  <c r="C69" i="48"/>
  <c r="B32" i="54"/>
  <c r="B90" i="48"/>
  <c r="D50" i="48"/>
  <c r="M68" i="54"/>
  <c r="B75" i="54"/>
  <c r="C87" i="48"/>
  <c r="B71" i="48"/>
  <c r="E79" i="48"/>
  <c r="B20" i="54"/>
  <c r="B65" i="54"/>
  <c r="C81" i="48"/>
  <c r="C80" i="48"/>
  <c r="M32" i="54"/>
  <c r="M18" i="54"/>
  <c r="C68" i="48"/>
  <c r="E9" i="48"/>
  <c r="C12" i="44"/>
  <c r="E76" i="44"/>
  <c r="E95" i="48"/>
  <c r="D10" i="48"/>
  <c r="AK10" i="48" s="1"/>
  <c r="B3" i="54"/>
  <c r="E68" i="44"/>
  <c r="E75" i="44"/>
  <c r="D22" i="48"/>
  <c r="AK22" i="48" s="1"/>
  <c r="D67" i="44"/>
  <c r="D9" i="48"/>
  <c r="AK9" i="48" s="1"/>
  <c r="D30" i="44"/>
  <c r="C50" i="44"/>
  <c r="D71" i="44"/>
  <c r="B57" i="44"/>
  <c r="D21" i="44"/>
  <c r="E14" i="44"/>
  <c r="C9" i="44"/>
  <c r="M27" i="54"/>
  <c r="E91" i="48"/>
  <c r="B27" i="48"/>
  <c r="AI27" i="48" s="1"/>
  <c r="B48" i="48"/>
  <c r="B31" i="54"/>
  <c r="E62" i="48"/>
  <c r="M10" i="54"/>
  <c r="C41" i="44"/>
  <c r="M25" i="54"/>
  <c r="B34" i="48"/>
  <c r="AI34" i="48" s="1"/>
  <c r="B33" i="48"/>
  <c r="AI33" i="48" s="1"/>
  <c r="E78" i="44"/>
  <c r="B36" i="44"/>
  <c r="B50" i="48"/>
  <c r="B50" i="54"/>
  <c r="B37" i="48"/>
  <c r="AI37" i="48" s="1"/>
  <c r="E55" i="44"/>
  <c r="D5" i="44"/>
  <c r="B53" i="48"/>
  <c r="E18" i="44"/>
  <c r="M48" i="54"/>
  <c r="B23" i="48"/>
  <c r="AI23" i="48" s="1"/>
  <c r="E66" i="44"/>
  <c r="E30" i="48"/>
  <c r="M9" i="54"/>
  <c r="E26" i="48"/>
  <c r="D26" i="44"/>
  <c r="D78" i="48"/>
  <c r="B73" i="48"/>
  <c r="D88" i="48"/>
  <c r="D39" i="48"/>
  <c r="AK39" i="48" s="1"/>
  <c r="D17" i="48"/>
  <c r="AK17" i="48" s="1"/>
  <c r="B72" i="54"/>
  <c r="C51" i="48"/>
  <c r="E40" i="48"/>
  <c r="B16" i="48"/>
  <c r="AI16" i="48" s="1"/>
  <c r="B35" i="54"/>
  <c r="E34" i="44"/>
  <c r="E24" i="48"/>
  <c r="B67" i="44"/>
  <c r="E86" i="48"/>
  <c r="B75" i="44"/>
  <c r="D93" i="48"/>
  <c r="C90" i="48"/>
  <c r="B76" i="44"/>
  <c r="B77" i="44"/>
  <c r="B66" i="44"/>
  <c r="C35" i="44"/>
  <c r="B70" i="54"/>
  <c r="D31" i="48"/>
  <c r="AK31" i="48" s="1"/>
  <c r="C33" i="44"/>
  <c r="B21" i="48"/>
  <c r="AI21" i="48" s="1"/>
  <c r="C17" i="48"/>
  <c r="D34" i="44"/>
  <c r="E69" i="48"/>
  <c r="C55" i="44"/>
  <c r="C7" i="44"/>
  <c r="B27" i="54"/>
  <c r="B77" i="54"/>
  <c r="B81" i="48"/>
  <c r="B38" i="44"/>
  <c r="B46" i="48"/>
  <c r="M12" i="54"/>
  <c r="E29" i="44"/>
  <c r="B93" i="48"/>
  <c r="C100" i="48"/>
  <c r="C76" i="44"/>
  <c r="C71" i="48"/>
  <c r="B32" i="44"/>
  <c r="D52" i="48"/>
  <c r="E44" i="44"/>
  <c r="E77" i="48"/>
  <c r="D69" i="44"/>
  <c r="B26" i="48"/>
  <c r="AI26" i="48" s="1"/>
  <c r="D25" i="44"/>
  <c r="B45" i="48"/>
  <c r="D49" i="44"/>
  <c r="B52" i="54"/>
  <c r="D27" i="44"/>
  <c r="C42" i="48"/>
  <c r="M59" i="54"/>
  <c r="C85" i="48"/>
  <c r="B10" i="54"/>
  <c r="M35" i="54"/>
  <c r="M69" i="54"/>
  <c r="D37" i="48"/>
  <c r="AK37" i="48" s="1"/>
  <c r="C63" i="44"/>
  <c r="B40" i="54"/>
  <c r="E33" i="48"/>
  <c r="M55" i="54"/>
  <c r="B16" i="44"/>
  <c r="B68" i="44"/>
  <c r="C50" i="48"/>
  <c r="B86" i="48"/>
  <c r="B23" i="54"/>
  <c r="D45" i="48"/>
  <c r="B17" i="48"/>
  <c r="AI17" i="48" s="1"/>
  <c r="D98" i="48"/>
  <c r="B78" i="54"/>
  <c r="C84" i="48"/>
  <c r="C25" i="44"/>
  <c r="E42" i="48"/>
  <c r="C72" i="44"/>
  <c r="C64" i="48"/>
  <c r="B74" i="44"/>
  <c r="C66" i="48"/>
  <c r="D84" i="48"/>
  <c r="D47" i="44"/>
  <c r="E59" i="44"/>
  <c r="D13" i="48"/>
  <c r="AK13" i="48" s="1"/>
  <c r="E41" i="44"/>
  <c r="E68" i="48"/>
  <c r="B58" i="44"/>
  <c r="C16" i="44"/>
  <c r="B59" i="48"/>
  <c r="B18" i="44"/>
  <c r="B100" i="48"/>
  <c r="C24" i="48"/>
  <c r="E64" i="44"/>
  <c r="D91" i="48"/>
  <c r="E20" i="48"/>
  <c r="B60" i="44"/>
  <c r="C10" i="44"/>
  <c r="C58" i="48"/>
  <c r="C5" i="48"/>
  <c r="E45" i="44"/>
  <c r="M26" i="54"/>
  <c r="D28" i="44"/>
  <c r="C95" i="48"/>
  <c r="D79" i="44"/>
  <c r="B39" i="48"/>
  <c r="AI39" i="48" s="1"/>
  <c r="C21" i="48"/>
  <c r="E73" i="48"/>
  <c r="B77" i="48"/>
  <c r="C53" i="44"/>
  <c r="B64" i="54"/>
  <c r="B28" i="48"/>
  <c r="AI28" i="48" s="1"/>
  <c r="C46" i="48"/>
  <c r="B26" i="54"/>
  <c r="C4" i="48"/>
  <c r="E49" i="48"/>
  <c r="D18" i="48"/>
  <c r="AK18" i="48" s="1"/>
  <c r="D17" i="44"/>
  <c r="D74" i="44"/>
  <c r="M42" i="54"/>
  <c r="E99" i="48"/>
  <c r="E74" i="44"/>
  <c r="E3" i="48"/>
  <c r="D59" i="44"/>
  <c r="E17" i="48"/>
  <c r="B69" i="54"/>
  <c r="B29" i="44"/>
  <c r="E76" i="48"/>
  <c r="B6" i="44"/>
  <c r="B57" i="54"/>
  <c r="E41" i="48"/>
  <c r="E57" i="48"/>
  <c r="B20" i="44"/>
  <c r="B64" i="44"/>
  <c r="D56" i="48"/>
  <c r="B40" i="44"/>
  <c r="C89" i="48"/>
  <c r="E34" i="48"/>
  <c r="B59" i="44"/>
  <c r="E33" i="44"/>
  <c r="E46" i="44"/>
  <c r="E77" i="44"/>
  <c r="D89" i="48"/>
  <c r="B52" i="48"/>
  <c r="C5" i="44"/>
  <c r="B84" i="48"/>
  <c r="E44" i="48"/>
  <c r="E85" i="48"/>
  <c r="E21" i="48"/>
  <c r="E15" i="44"/>
  <c r="B9" i="54"/>
  <c r="D49" i="48"/>
  <c r="B43" i="44"/>
  <c r="M51" i="54"/>
  <c r="E53" i="44"/>
  <c r="B76" i="54"/>
  <c r="C42" i="44"/>
  <c r="B44" i="44"/>
  <c r="C38" i="48"/>
  <c r="B99" i="48"/>
  <c r="D56" i="44"/>
  <c r="E97" i="48"/>
  <c r="D53" i="44"/>
  <c r="E52" i="44"/>
  <c r="D57" i="44"/>
  <c r="D18" i="44"/>
  <c r="B68" i="48"/>
  <c r="D76" i="44"/>
  <c r="D4" i="44"/>
  <c r="D52" i="44"/>
  <c r="E59" i="48"/>
  <c r="F59" i="48" s="1"/>
  <c r="M63" i="54"/>
  <c r="D21" i="48"/>
  <c r="AK21" i="48" s="1"/>
  <c r="D86" i="48"/>
  <c r="D42" i="48"/>
  <c r="E57" i="44"/>
  <c r="C23" i="48"/>
  <c r="M75" i="54"/>
  <c r="D51" i="44"/>
  <c r="E50" i="48"/>
  <c r="E28" i="44"/>
  <c r="B57" i="48"/>
  <c r="E10" i="48"/>
  <c r="D6" i="48"/>
  <c r="AK6" i="48" s="1"/>
  <c r="B49" i="44"/>
  <c r="D51" i="48"/>
  <c r="B63" i="48"/>
  <c r="M77" i="54"/>
  <c r="D38" i="44"/>
  <c r="M14" i="54"/>
  <c r="C29" i="44"/>
  <c r="B24" i="54"/>
  <c r="E72" i="48"/>
  <c r="B43" i="54"/>
  <c r="C64" i="44"/>
  <c r="M33" i="54"/>
  <c r="B16" i="54"/>
  <c r="E90" i="48"/>
  <c r="B55" i="44"/>
  <c r="D26" i="48"/>
  <c r="AK26" i="48" s="1"/>
  <c r="C28" i="44"/>
  <c r="E45" i="48"/>
  <c r="E63" i="48"/>
  <c r="C3" i="44"/>
  <c r="E38" i="44"/>
  <c r="E7" i="44"/>
  <c r="C99" i="48"/>
  <c r="B69" i="48"/>
  <c r="B89" i="48"/>
  <c r="M45" i="54"/>
  <c r="D33" i="48"/>
  <c r="AK33" i="48" s="1"/>
  <c r="E65" i="44"/>
  <c r="D8" i="44"/>
  <c r="D32" i="44"/>
  <c r="B94" i="48"/>
  <c r="D48" i="44"/>
  <c r="D36" i="48"/>
  <c r="AK36" i="48" s="1"/>
  <c r="B36" i="54"/>
  <c r="D63" i="48"/>
  <c r="D44" i="44"/>
  <c r="C11" i="44"/>
  <c r="D64" i="48"/>
  <c r="D48" i="48"/>
  <c r="D37" i="44"/>
  <c r="B26" i="44"/>
  <c r="D15" i="44"/>
  <c r="B80" i="44"/>
  <c r="D59" i="48"/>
  <c r="D38" i="48"/>
  <c r="AK38" i="48" s="1"/>
  <c r="B80" i="48"/>
  <c r="E18" i="48"/>
  <c r="B5" i="54"/>
  <c r="C82" i="48"/>
  <c r="D10" i="44"/>
  <c r="D64" i="44"/>
  <c r="E3" i="44"/>
  <c r="M61" i="54"/>
  <c r="B45" i="54"/>
  <c r="E84" i="48"/>
  <c r="E66" i="48"/>
  <c r="D25" i="48"/>
  <c r="AK25" i="48" s="1"/>
  <c r="E2" i="44"/>
  <c r="D11" i="48"/>
  <c r="AK11" i="48" s="1"/>
  <c r="E37" i="44"/>
  <c r="B36" i="48"/>
  <c r="AI36" i="48" s="1"/>
  <c r="D100" i="48"/>
  <c r="C11" i="48"/>
  <c r="C19" i="44"/>
  <c r="M64" i="54"/>
  <c r="B34" i="54"/>
  <c r="C49" i="44"/>
  <c r="B20" i="48"/>
  <c r="AI20" i="48" s="1"/>
  <c r="C31" i="44"/>
  <c r="E79" i="44"/>
  <c r="E39" i="44"/>
  <c r="D47" i="48"/>
  <c r="C97" i="48"/>
  <c r="C34" i="44"/>
  <c r="E22" i="48"/>
  <c r="C47" i="48"/>
  <c r="B60" i="48"/>
  <c r="C6" i="48"/>
  <c r="B5" i="48"/>
  <c r="AI5" i="48" s="1"/>
  <c r="C25" i="48"/>
  <c r="E48" i="48"/>
  <c r="D70" i="48"/>
  <c r="M70" i="54"/>
  <c r="B22" i="44"/>
  <c r="D81" i="48"/>
  <c r="D77" i="44"/>
  <c r="D23" i="48"/>
  <c r="AK23" i="48" s="1"/>
  <c r="B3" i="44"/>
  <c r="B17" i="44"/>
  <c r="E100" i="48"/>
  <c r="E87" i="48"/>
  <c r="E88" i="48"/>
  <c r="E35" i="44"/>
  <c r="C14" i="44"/>
  <c r="D7" i="44"/>
  <c r="E37" i="48"/>
  <c r="D19" i="48"/>
  <c r="AK19" i="48" s="1"/>
  <c r="B56" i="54"/>
  <c r="B4" i="48"/>
  <c r="AI4" i="48" s="1"/>
  <c r="E8" i="44"/>
  <c r="M22" i="54"/>
  <c r="C48" i="48"/>
  <c r="E49" i="44"/>
  <c r="D11" i="44"/>
  <c r="M37" i="54"/>
  <c r="C19" i="48"/>
  <c r="C8" i="44"/>
  <c r="E13" i="44"/>
  <c r="B18" i="54"/>
  <c r="D9" i="44"/>
  <c r="C16" i="48"/>
  <c r="B51" i="44"/>
  <c r="C10" i="48"/>
  <c r="C77" i="44"/>
  <c r="D33" i="44"/>
  <c r="E36" i="44"/>
  <c r="E65" i="48"/>
  <c r="E30" i="44"/>
  <c r="D69" i="48"/>
  <c r="D62" i="44"/>
  <c r="M71" i="54"/>
  <c r="B39" i="54"/>
  <c r="B39" i="44"/>
  <c r="D80" i="44"/>
  <c r="M11" i="54"/>
  <c r="D3" i="48"/>
  <c r="AK3" i="48" s="1"/>
  <c r="M54" i="54"/>
  <c r="C14" i="48"/>
  <c r="M36" i="54"/>
  <c r="D96" i="48"/>
  <c r="M34" i="54"/>
  <c r="D58" i="48"/>
  <c r="D78" i="44"/>
  <c r="C45" i="44"/>
  <c r="D85" i="48"/>
  <c r="E48" i="44"/>
  <c r="M60" i="54"/>
  <c r="B22" i="54"/>
  <c r="M4" i="54"/>
  <c r="B38" i="48"/>
  <c r="AI38" i="48" s="1"/>
  <c r="E72" i="44"/>
  <c r="B19" i="48"/>
  <c r="AI19" i="48" s="1"/>
  <c r="C30" i="44"/>
  <c r="C96" i="48"/>
  <c r="M57" i="54"/>
  <c r="D83" i="48"/>
  <c r="E7" i="48"/>
  <c r="C51" i="44"/>
  <c r="E9" i="44"/>
  <c r="D101" i="48"/>
  <c r="E35" i="48"/>
  <c r="E20" i="44"/>
  <c r="D8" i="48"/>
  <c r="AK8" i="48" s="1"/>
  <c r="B70" i="48"/>
  <c r="D92" i="48"/>
  <c r="C8" i="48"/>
  <c r="E55" i="48"/>
  <c r="B63" i="44"/>
  <c r="D40" i="44"/>
  <c r="C73" i="48"/>
  <c r="E32" i="48"/>
  <c r="D4" i="48"/>
  <c r="AK4" i="48" s="1"/>
  <c r="C101" i="48"/>
  <c r="B55" i="48"/>
  <c r="D66" i="44"/>
  <c r="B4" i="44"/>
  <c r="D74" i="48"/>
  <c r="B101" i="48"/>
  <c r="C17" i="44"/>
  <c r="B49" i="48"/>
  <c r="E31" i="48"/>
  <c r="E61" i="48"/>
  <c r="C72" i="48"/>
  <c r="M6" i="54"/>
  <c r="D24" i="48"/>
  <c r="AK24" i="48" s="1"/>
  <c r="B40" i="48"/>
  <c r="AI40" i="48" s="1"/>
  <c r="E73" i="44"/>
  <c r="C13" i="48"/>
  <c r="M29" i="54"/>
  <c r="D12" i="48"/>
  <c r="AK12" i="48" s="1"/>
  <c r="C47" i="44"/>
  <c r="B48" i="54"/>
  <c r="B4" i="54"/>
  <c r="B30" i="54"/>
  <c r="C7" i="48"/>
  <c r="D35" i="48"/>
  <c r="AK35" i="48" s="1"/>
  <c r="M66" i="54"/>
  <c r="E61" i="44"/>
  <c r="B37" i="54"/>
  <c r="B44" i="54"/>
  <c r="M76" i="54"/>
  <c r="E51" i="48"/>
  <c r="B92" i="48"/>
  <c r="E23" i="44"/>
  <c r="B53" i="54"/>
  <c r="C12" i="48"/>
  <c r="E70" i="48"/>
  <c r="D34" i="48"/>
  <c r="AK34" i="48" s="1"/>
  <c r="E15" i="48"/>
  <c r="B47" i="44"/>
  <c r="C94" i="48"/>
  <c r="B28" i="44"/>
  <c r="B15" i="44"/>
  <c r="C52" i="48"/>
  <c r="D70" i="44"/>
  <c r="C4" i="44"/>
  <c r="C15" i="44"/>
  <c r="E4" i="48"/>
  <c r="B62" i="48"/>
  <c r="B38" i="54"/>
  <c r="E12" i="48"/>
  <c r="B55" i="54"/>
  <c r="B63" i="54"/>
  <c r="B65" i="44"/>
  <c r="B23" i="44"/>
  <c r="E82" i="48"/>
  <c r="B15" i="48"/>
  <c r="AI15" i="48" s="1"/>
  <c r="C21" i="44"/>
  <c r="E56" i="44"/>
  <c r="B29" i="54"/>
  <c r="D77" i="48"/>
  <c r="C34" i="48"/>
  <c r="D61" i="44"/>
  <c r="B75" i="48"/>
  <c r="C9" i="48"/>
  <c r="C70" i="48"/>
  <c r="D42" i="44"/>
  <c r="B10" i="44"/>
  <c r="M39" i="54"/>
  <c r="C37" i="48"/>
  <c r="E40" i="44"/>
  <c r="D20" i="44"/>
  <c r="B42" i="48"/>
  <c r="B58" i="48"/>
  <c r="E80" i="44"/>
  <c r="B54" i="48"/>
  <c r="E54" i="48"/>
  <c r="E12" i="44"/>
  <c r="C37" i="44"/>
  <c r="C27" i="44"/>
  <c r="C65" i="48"/>
  <c r="E19" i="44"/>
  <c r="C18" i="44"/>
  <c r="C13" i="44"/>
  <c r="D43" i="48"/>
  <c r="M65" i="54"/>
  <c r="E31" i="44"/>
  <c r="M5" i="54"/>
  <c r="B8" i="48"/>
  <c r="AI8" i="48" s="1"/>
  <c r="D13" i="44"/>
  <c r="M78" i="54"/>
  <c r="M67" i="54"/>
  <c r="D35" i="44"/>
  <c r="E47" i="48"/>
  <c r="B11" i="54"/>
  <c r="B59" i="54"/>
  <c r="B50" i="44"/>
  <c r="E10" i="44"/>
  <c r="C67" i="44"/>
  <c r="B35" i="44"/>
  <c r="E39" i="48"/>
  <c r="D16" i="44"/>
  <c r="M79" i="54"/>
  <c r="C60" i="44"/>
  <c r="C2" i="44"/>
  <c r="C53" i="48"/>
  <c r="B37" i="44"/>
  <c r="C45" i="48"/>
  <c r="B9" i="48"/>
  <c r="AI9" i="48" s="1"/>
  <c r="B61" i="48"/>
  <c r="C57" i="48"/>
  <c r="C56" i="44"/>
  <c r="C54" i="44"/>
  <c r="B88" i="48"/>
  <c r="C59" i="48"/>
  <c r="C3" i="48"/>
  <c r="M20" i="54"/>
  <c r="B22" i="48"/>
  <c r="AI22" i="48" s="1"/>
  <c r="B30" i="48"/>
  <c r="AI30" i="48" s="1"/>
  <c r="B85" i="48"/>
  <c r="D72" i="44"/>
  <c r="B14" i="54"/>
  <c r="D68" i="44"/>
  <c r="E38" i="48"/>
  <c r="B3" i="48"/>
  <c r="AI3" i="48" s="1"/>
  <c r="M7" i="54"/>
  <c r="E51" i="44"/>
  <c r="B64" i="48"/>
  <c r="C39" i="48"/>
  <c r="E101" i="48"/>
  <c r="E71" i="44"/>
  <c r="E11" i="44"/>
  <c r="E52" i="48"/>
  <c r="E27" i="48"/>
  <c r="E56" i="48"/>
  <c r="C24" i="44"/>
  <c r="D62" i="48"/>
  <c r="B73" i="54"/>
  <c r="M17" i="54"/>
  <c r="E46" i="48"/>
  <c r="B2" i="44"/>
  <c r="B80" i="54"/>
  <c r="B44" i="48"/>
  <c r="B67" i="54"/>
  <c r="B53" i="44"/>
  <c r="D20" i="48"/>
  <c r="AK20" i="48" s="1"/>
  <c r="E98" i="48"/>
  <c r="C49" i="48"/>
  <c r="M46" i="54"/>
  <c r="C26" i="44"/>
  <c r="B14" i="48"/>
  <c r="AI14" i="48" s="1"/>
  <c r="C59" i="44"/>
  <c r="B56" i="48"/>
  <c r="E26" i="44"/>
  <c r="M13" i="54"/>
  <c r="E19" i="48"/>
  <c r="C77" i="48"/>
  <c r="C75" i="44"/>
  <c r="D36" i="44"/>
  <c r="B7" i="44"/>
  <c r="E58" i="48"/>
  <c r="D57" i="48"/>
  <c r="B46" i="54"/>
  <c r="B34" i="44"/>
  <c r="E67" i="48"/>
  <c r="B28" i="54"/>
  <c r="D71" i="48"/>
  <c r="D60" i="44"/>
  <c r="D43" i="44"/>
  <c r="E62" i="44"/>
  <c r="D41" i="44"/>
  <c r="D46" i="48"/>
  <c r="H34" i="54" l="1"/>
  <c r="K34" i="54"/>
  <c r="G34" i="54"/>
  <c r="I34" i="54"/>
  <c r="E34" i="54"/>
  <c r="J34" i="54"/>
  <c r="F34" i="54"/>
  <c r="L34" i="54"/>
  <c r="E36" i="54"/>
  <c r="H36" i="54"/>
  <c r="I36" i="54"/>
  <c r="K36" i="54"/>
  <c r="G36" i="54"/>
  <c r="L36" i="54"/>
  <c r="F36" i="54"/>
  <c r="J36" i="54"/>
  <c r="F43" i="54"/>
  <c r="I43" i="54"/>
  <c r="J43" i="54"/>
  <c r="K43" i="54"/>
  <c r="G43" i="54"/>
  <c r="E43" i="54"/>
  <c r="H43" i="54"/>
  <c r="L43" i="54"/>
  <c r="K78" i="54"/>
  <c r="G78" i="54"/>
  <c r="J78" i="54"/>
  <c r="H78" i="54"/>
  <c r="F78" i="54"/>
  <c r="L78" i="54"/>
  <c r="I78" i="54"/>
  <c r="E78" i="54"/>
  <c r="G51" i="54"/>
  <c r="J51" i="54"/>
  <c r="E51" i="54"/>
  <c r="L51" i="54"/>
  <c r="H51" i="54"/>
  <c r="F51" i="54"/>
  <c r="I51" i="54"/>
  <c r="K51" i="54"/>
  <c r="K54" i="54"/>
  <c r="G54" i="54"/>
  <c r="E54" i="54"/>
  <c r="J54" i="54"/>
  <c r="H54" i="54"/>
  <c r="I54" i="54"/>
  <c r="L54" i="54"/>
  <c r="F54" i="54"/>
  <c r="E38" i="54"/>
  <c r="L38" i="54"/>
  <c r="H38" i="54"/>
  <c r="F38" i="54"/>
  <c r="G38" i="54"/>
  <c r="K38" i="54"/>
  <c r="J38" i="54"/>
  <c r="I38" i="54"/>
  <c r="J24" i="54"/>
  <c r="K24" i="54"/>
  <c r="G24" i="54"/>
  <c r="E24" i="54"/>
  <c r="H24" i="54"/>
  <c r="L24" i="54"/>
  <c r="I24" i="54"/>
  <c r="F24" i="54"/>
  <c r="F70" i="54"/>
  <c r="I70" i="54"/>
  <c r="G70" i="54"/>
  <c r="E70" i="54"/>
  <c r="K70" i="54"/>
  <c r="J70" i="54"/>
  <c r="H70" i="54"/>
  <c r="L70" i="54"/>
  <c r="I65" i="54"/>
  <c r="L65" i="54"/>
  <c r="K65" i="54"/>
  <c r="G65" i="54"/>
  <c r="E65" i="54"/>
  <c r="F65" i="54"/>
  <c r="H65" i="54"/>
  <c r="J65" i="54"/>
  <c r="I20" i="54"/>
  <c r="F20" i="54"/>
  <c r="H20" i="54"/>
  <c r="L20" i="54"/>
  <c r="J20" i="54"/>
  <c r="K20" i="54"/>
  <c r="E20" i="54"/>
  <c r="G20" i="54"/>
  <c r="E60" i="54"/>
  <c r="H60" i="54"/>
  <c r="K60" i="54"/>
  <c r="I60" i="54"/>
  <c r="G60" i="54"/>
  <c r="J60" i="54"/>
  <c r="L60" i="54"/>
  <c r="F60" i="54"/>
  <c r="E14" i="54"/>
  <c r="H14" i="54"/>
  <c r="L14" i="54"/>
  <c r="J14" i="54"/>
  <c r="F14" i="54"/>
  <c r="K14" i="54"/>
  <c r="G14" i="54"/>
  <c r="I14" i="54"/>
  <c r="F46" i="54"/>
  <c r="H46" i="54"/>
  <c r="J46" i="54"/>
  <c r="L46" i="54"/>
  <c r="G46" i="54"/>
  <c r="E46" i="54"/>
  <c r="I46" i="54"/>
  <c r="K46" i="54"/>
  <c r="F45" i="54"/>
  <c r="I45" i="54"/>
  <c r="H45" i="54"/>
  <c r="L45" i="54"/>
  <c r="J45" i="54"/>
  <c r="G45" i="54"/>
  <c r="E45" i="54"/>
  <c r="K45" i="54"/>
  <c r="J23" i="54"/>
  <c r="F23" i="54"/>
  <c r="E23" i="54"/>
  <c r="H23" i="54"/>
  <c r="L23" i="54"/>
  <c r="I23" i="54"/>
  <c r="G23" i="54"/>
  <c r="K23" i="54"/>
  <c r="I42" i="54"/>
  <c r="L42" i="54"/>
  <c r="J42" i="54"/>
  <c r="F42" i="54"/>
  <c r="G42" i="54"/>
  <c r="H42" i="54"/>
  <c r="E42" i="54"/>
  <c r="K42" i="54"/>
  <c r="G74" i="54"/>
  <c r="J74" i="54"/>
  <c r="L74" i="54"/>
  <c r="H74" i="54"/>
  <c r="F74" i="54"/>
  <c r="K74" i="54"/>
  <c r="E74" i="54"/>
  <c r="I74" i="54"/>
  <c r="H10" i="54"/>
  <c r="K10" i="54"/>
  <c r="L10" i="54"/>
  <c r="F10" i="54"/>
  <c r="I10" i="54"/>
  <c r="G10" i="54"/>
  <c r="J10" i="54"/>
  <c r="E10" i="54"/>
  <c r="J73" i="54"/>
  <c r="F73" i="54"/>
  <c r="I73" i="54"/>
  <c r="K73" i="54"/>
  <c r="H73" i="54"/>
  <c r="G73" i="54"/>
  <c r="E73" i="54"/>
  <c r="L73" i="54"/>
  <c r="G29" i="54"/>
  <c r="I29" i="54"/>
  <c r="K29" i="54"/>
  <c r="E29" i="54"/>
  <c r="H29" i="54"/>
  <c r="L29" i="54"/>
  <c r="J29" i="54"/>
  <c r="F29" i="54"/>
  <c r="G53" i="54"/>
  <c r="H53" i="54"/>
  <c r="E53" i="54"/>
  <c r="J53" i="54"/>
  <c r="L53" i="54"/>
  <c r="I53" i="54"/>
  <c r="K53" i="54"/>
  <c r="F53" i="54"/>
  <c r="G75" i="54"/>
  <c r="J75" i="54"/>
  <c r="L75" i="54"/>
  <c r="H75" i="54"/>
  <c r="F75" i="54"/>
  <c r="K75" i="54"/>
  <c r="I75" i="54"/>
  <c r="E75" i="54"/>
  <c r="F19" i="54"/>
  <c r="I19" i="54"/>
  <c r="H19" i="54"/>
  <c r="J19" i="54"/>
  <c r="L19" i="54"/>
  <c r="E19" i="54"/>
  <c r="K19" i="54"/>
  <c r="G19" i="54"/>
  <c r="E39" i="54"/>
  <c r="L39" i="54"/>
  <c r="F39" i="54"/>
  <c r="K39" i="54"/>
  <c r="J39" i="54"/>
  <c r="G39" i="54"/>
  <c r="I39" i="54"/>
  <c r="H39" i="54"/>
  <c r="K56" i="54"/>
  <c r="E56" i="54"/>
  <c r="J56" i="54"/>
  <c r="F56" i="54"/>
  <c r="I56" i="54"/>
  <c r="G56" i="54"/>
  <c r="L56" i="54"/>
  <c r="H56" i="54"/>
  <c r="G26" i="54"/>
  <c r="J26" i="54"/>
  <c r="K26" i="54"/>
  <c r="E26" i="54"/>
  <c r="F26" i="54"/>
  <c r="I26" i="54"/>
  <c r="L26" i="54"/>
  <c r="H26" i="54"/>
  <c r="H58" i="54"/>
  <c r="K58" i="54"/>
  <c r="I58" i="54"/>
  <c r="G58" i="54"/>
  <c r="E58" i="54"/>
  <c r="L58" i="54"/>
  <c r="J58" i="54"/>
  <c r="F58" i="54"/>
  <c r="G5" i="54"/>
  <c r="I5" i="54"/>
  <c r="E5" i="54"/>
  <c r="L5" i="54"/>
  <c r="H5" i="54"/>
  <c r="K5" i="54"/>
  <c r="J5" i="54"/>
  <c r="F5" i="54"/>
  <c r="J71" i="54"/>
  <c r="F71" i="54"/>
  <c r="I71" i="54"/>
  <c r="G71" i="54"/>
  <c r="H71" i="54"/>
  <c r="E71" i="54"/>
  <c r="L71" i="54"/>
  <c r="K71" i="54"/>
  <c r="H33" i="54"/>
  <c r="K33" i="54"/>
  <c r="G33" i="54"/>
  <c r="I33" i="54"/>
  <c r="F33" i="54"/>
  <c r="E33" i="54"/>
  <c r="J33" i="54"/>
  <c r="L33" i="54"/>
  <c r="I64" i="54"/>
  <c r="E64" i="54"/>
  <c r="L64" i="54"/>
  <c r="K64" i="54"/>
  <c r="G64" i="54"/>
  <c r="H64" i="54"/>
  <c r="J64" i="54"/>
  <c r="F64" i="54"/>
  <c r="K32" i="54"/>
  <c r="G32" i="54"/>
  <c r="I32" i="54"/>
  <c r="H32" i="54"/>
  <c r="F32" i="54"/>
  <c r="E32" i="54"/>
  <c r="J32" i="54"/>
  <c r="L32" i="54"/>
  <c r="K7" i="54"/>
  <c r="G7" i="54"/>
  <c r="I7" i="54"/>
  <c r="H7" i="54"/>
  <c r="L7" i="54"/>
  <c r="J7" i="54"/>
  <c r="F7" i="54"/>
  <c r="E7" i="54"/>
  <c r="I40" i="54"/>
  <c r="E40" i="54"/>
  <c r="L40" i="54"/>
  <c r="F40" i="54"/>
  <c r="J40" i="54"/>
  <c r="G40" i="54"/>
  <c r="H40" i="54"/>
  <c r="K40" i="54"/>
  <c r="F44" i="54"/>
  <c r="I44" i="54"/>
  <c r="L44" i="54"/>
  <c r="J44" i="54"/>
  <c r="K44" i="54"/>
  <c r="H44" i="54"/>
  <c r="G44" i="54"/>
  <c r="E44" i="54"/>
  <c r="G50" i="54"/>
  <c r="J50" i="54"/>
  <c r="E50" i="54"/>
  <c r="F50" i="54"/>
  <c r="H50" i="54"/>
  <c r="L50" i="54"/>
  <c r="I50" i="54"/>
  <c r="K50" i="54"/>
  <c r="L61" i="54"/>
  <c r="E61" i="54"/>
  <c r="H61" i="54"/>
  <c r="K61" i="54"/>
  <c r="I61" i="54"/>
  <c r="G61" i="54"/>
  <c r="J61" i="54"/>
  <c r="F61" i="54"/>
  <c r="K6" i="54"/>
  <c r="G6" i="54"/>
  <c r="I6" i="54"/>
  <c r="E6" i="54"/>
  <c r="L6" i="54"/>
  <c r="F6" i="54"/>
  <c r="J6" i="54"/>
  <c r="H6" i="54"/>
  <c r="E12" i="54"/>
  <c r="H12" i="54"/>
  <c r="J12" i="54"/>
  <c r="F12" i="54"/>
  <c r="L12" i="54"/>
  <c r="I12" i="54"/>
  <c r="K12" i="54"/>
  <c r="G12" i="54"/>
  <c r="K55" i="54"/>
  <c r="J55" i="54"/>
  <c r="E55" i="54"/>
  <c r="F55" i="54"/>
  <c r="H55" i="54"/>
  <c r="I55" i="54"/>
  <c r="G55" i="54"/>
  <c r="L55" i="54"/>
  <c r="G76" i="54"/>
  <c r="J76" i="54"/>
  <c r="L76" i="54"/>
  <c r="H76" i="54"/>
  <c r="F76" i="54"/>
  <c r="K76" i="54"/>
  <c r="I76" i="54"/>
  <c r="E76" i="54"/>
  <c r="H35" i="54"/>
  <c r="K35" i="54"/>
  <c r="I35" i="54"/>
  <c r="G35" i="54"/>
  <c r="E35" i="54"/>
  <c r="F35" i="54"/>
  <c r="J35" i="54"/>
  <c r="L35" i="54"/>
  <c r="L13" i="54"/>
  <c r="E13" i="54"/>
  <c r="H13" i="54"/>
  <c r="J13" i="54"/>
  <c r="F13" i="54"/>
  <c r="K13" i="54"/>
  <c r="G13" i="54"/>
  <c r="I13" i="54"/>
  <c r="I17" i="54"/>
  <c r="L17" i="54"/>
  <c r="H17" i="54"/>
  <c r="F17" i="54"/>
  <c r="J17" i="54"/>
  <c r="K17" i="54"/>
  <c r="G17" i="54"/>
  <c r="E17" i="54"/>
  <c r="J25" i="54"/>
  <c r="K25" i="54"/>
  <c r="G25" i="54"/>
  <c r="E25" i="54"/>
  <c r="L25" i="54"/>
  <c r="H25" i="54"/>
  <c r="I25" i="54"/>
  <c r="F25" i="54"/>
  <c r="J49" i="54"/>
  <c r="F49" i="54"/>
  <c r="H49" i="54"/>
  <c r="L49" i="54"/>
  <c r="K49" i="54"/>
  <c r="E49" i="54"/>
  <c r="G49" i="54"/>
  <c r="I49" i="54"/>
  <c r="G3" i="54"/>
  <c r="J3" i="54"/>
  <c r="K3" i="54"/>
  <c r="I3" i="54"/>
  <c r="H3" i="54"/>
  <c r="F3" i="54"/>
  <c r="E3" i="54"/>
  <c r="L3" i="54"/>
  <c r="I41" i="54"/>
  <c r="L41" i="54"/>
  <c r="J41" i="54"/>
  <c r="F41" i="54"/>
  <c r="G41" i="54"/>
  <c r="E41" i="54"/>
  <c r="H41" i="54"/>
  <c r="K41" i="54"/>
  <c r="K79" i="54"/>
  <c r="E79" i="54"/>
  <c r="H79" i="54"/>
  <c r="J79" i="54"/>
  <c r="L79" i="54"/>
  <c r="F79" i="54"/>
  <c r="G79" i="54"/>
  <c r="I79" i="54"/>
  <c r="E15" i="54"/>
  <c r="L15" i="54"/>
  <c r="H15" i="54"/>
  <c r="J15" i="54"/>
  <c r="F15" i="54"/>
  <c r="I15" i="54"/>
  <c r="K15" i="54"/>
  <c r="G15" i="54"/>
  <c r="I21" i="54"/>
  <c r="F21" i="54"/>
  <c r="E21" i="54"/>
  <c r="L21" i="54"/>
  <c r="H21" i="54"/>
  <c r="J21" i="54"/>
  <c r="K21" i="54"/>
  <c r="G21" i="54"/>
  <c r="G27" i="54"/>
  <c r="J27" i="54"/>
  <c r="E27" i="54"/>
  <c r="K27" i="54"/>
  <c r="L27" i="54"/>
  <c r="F27" i="54"/>
  <c r="I27" i="54"/>
  <c r="H27" i="54"/>
  <c r="H57" i="54"/>
  <c r="K57" i="54"/>
  <c r="E57" i="54"/>
  <c r="L57" i="54"/>
  <c r="J57" i="54"/>
  <c r="G57" i="54"/>
  <c r="F57" i="54"/>
  <c r="I57" i="54"/>
  <c r="F67" i="54"/>
  <c r="I67" i="54"/>
  <c r="K67" i="54"/>
  <c r="G67" i="54"/>
  <c r="L67" i="54"/>
  <c r="H67" i="54"/>
  <c r="E67" i="54"/>
  <c r="J67" i="54"/>
  <c r="H59" i="54"/>
  <c r="K59" i="54"/>
  <c r="I59" i="54"/>
  <c r="G59" i="54"/>
  <c r="E59" i="54"/>
  <c r="F59" i="54"/>
  <c r="L59" i="54"/>
  <c r="J59" i="54"/>
  <c r="K30" i="54"/>
  <c r="G30" i="54"/>
  <c r="I30" i="54"/>
  <c r="E30" i="54"/>
  <c r="J30" i="54"/>
  <c r="F30" i="54"/>
  <c r="L30" i="54"/>
  <c r="H30" i="54"/>
  <c r="J72" i="54"/>
  <c r="F72" i="54"/>
  <c r="I72" i="54"/>
  <c r="G72" i="54"/>
  <c r="E72" i="54"/>
  <c r="L72" i="54"/>
  <c r="H72" i="54"/>
  <c r="K72" i="54"/>
  <c r="K8" i="54"/>
  <c r="L8" i="54"/>
  <c r="F8" i="54"/>
  <c r="G8" i="54"/>
  <c r="I8" i="54"/>
  <c r="J8" i="54"/>
  <c r="H8" i="54"/>
  <c r="E8" i="54"/>
  <c r="H11" i="54"/>
  <c r="J11" i="54"/>
  <c r="L11" i="54"/>
  <c r="F11" i="54"/>
  <c r="I11" i="54"/>
  <c r="G11" i="54"/>
  <c r="K11" i="54"/>
  <c r="E11" i="54"/>
  <c r="G4" i="54"/>
  <c r="J4" i="54"/>
  <c r="I4" i="54"/>
  <c r="K4" i="54"/>
  <c r="H4" i="54"/>
  <c r="E4" i="54"/>
  <c r="L4" i="54"/>
  <c r="F4" i="54"/>
  <c r="L63" i="54"/>
  <c r="E63" i="54"/>
  <c r="G63" i="54"/>
  <c r="K63" i="54"/>
  <c r="I63" i="54"/>
  <c r="H63" i="54"/>
  <c r="F63" i="54"/>
  <c r="J63" i="54"/>
  <c r="H9" i="54"/>
  <c r="K9" i="54"/>
  <c r="L9" i="54"/>
  <c r="F9" i="54"/>
  <c r="G9" i="54"/>
  <c r="E9" i="54"/>
  <c r="J9" i="54"/>
  <c r="I9" i="54"/>
  <c r="G28" i="54"/>
  <c r="J28" i="54"/>
  <c r="I28" i="54"/>
  <c r="E28" i="54"/>
  <c r="K28" i="54"/>
  <c r="H28" i="54"/>
  <c r="L28" i="54"/>
  <c r="F28" i="54"/>
  <c r="K80" i="54"/>
  <c r="E80" i="54"/>
  <c r="J80" i="54"/>
  <c r="F80" i="54"/>
  <c r="L80" i="54"/>
  <c r="H80" i="54"/>
  <c r="G80" i="54"/>
  <c r="I80" i="54"/>
  <c r="J48" i="54"/>
  <c r="L48" i="54"/>
  <c r="F48" i="54"/>
  <c r="H48" i="54"/>
  <c r="I48" i="54"/>
  <c r="E48" i="54"/>
  <c r="G48" i="54"/>
  <c r="K48" i="54"/>
  <c r="F69" i="54"/>
  <c r="I69" i="54"/>
  <c r="K69" i="54"/>
  <c r="E69" i="54"/>
  <c r="J69" i="54"/>
  <c r="L69" i="54"/>
  <c r="H69" i="54"/>
  <c r="G69" i="54"/>
  <c r="I18" i="54"/>
  <c r="L18" i="54"/>
  <c r="H18" i="54"/>
  <c r="J18" i="54"/>
  <c r="K18" i="54"/>
  <c r="E18" i="54"/>
  <c r="G18" i="54"/>
  <c r="F18" i="54"/>
  <c r="I16" i="54"/>
  <c r="L16" i="54"/>
  <c r="E16" i="54"/>
  <c r="H16" i="54"/>
  <c r="F16" i="54"/>
  <c r="J16" i="54"/>
  <c r="K16" i="54"/>
  <c r="G16" i="54"/>
  <c r="G52" i="54"/>
  <c r="J52" i="54"/>
  <c r="E52" i="54"/>
  <c r="H52" i="54"/>
  <c r="L52" i="54"/>
  <c r="K52" i="54"/>
  <c r="I52" i="54"/>
  <c r="F52" i="54"/>
  <c r="L62" i="54"/>
  <c r="E62" i="54"/>
  <c r="I62" i="54"/>
  <c r="K62" i="54"/>
  <c r="G62" i="54"/>
  <c r="F62" i="54"/>
  <c r="J62" i="54"/>
  <c r="H62" i="54"/>
  <c r="F68" i="54"/>
  <c r="I68" i="54"/>
  <c r="K68" i="54"/>
  <c r="E68" i="54"/>
  <c r="L68" i="54"/>
  <c r="H68" i="54"/>
  <c r="J68" i="54"/>
  <c r="G68" i="54"/>
  <c r="G77" i="54"/>
  <c r="J77" i="54"/>
  <c r="L77" i="54"/>
  <c r="H77" i="54"/>
  <c r="F77" i="54"/>
  <c r="I77" i="54"/>
  <c r="K77" i="54"/>
  <c r="E77" i="54"/>
  <c r="K31" i="54"/>
  <c r="G31" i="54"/>
  <c r="I31" i="54"/>
  <c r="J31" i="54"/>
  <c r="L31" i="54"/>
  <c r="E31" i="54"/>
  <c r="F31" i="54"/>
  <c r="H31" i="54"/>
  <c r="G2" i="54"/>
  <c r="J2" i="54"/>
  <c r="I2" i="54"/>
  <c r="K2" i="54"/>
  <c r="H2" i="54"/>
  <c r="F2" i="54"/>
  <c r="E2" i="54"/>
  <c r="L2" i="54"/>
  <c r="J47" i="54"/>
  <c r="F47" i="54"/>
  <c r="H47" i="54"/>
  <c r="L47" i="54"/>
  <c r="I47" i="54"/>
  <c r="K47" i="54"/>
  <c r="G47" i="54"/>
  <c r="E47" i="54"/>
  <c r="L37" i="54"/>
  <c r="E37" i="54"/>
  <c r="H37" i="54"/>
  <c r="F37" i="54"/>
  <c r="I37" i="54"/>
  <c r="K37" i="54"/>
  <c r="G37" i="54"/>
  <c r="J37" i="54"/>
  <c r="F22" i="54"/>
  <c r="E22" i="54"/>
  <c r="H22" i="54"/>
  <c r="L22" i="54"/>
  <c r="K22" i="54"/>
  <c r="G22" i="54"/>
  <c r="J22" i="54"/>
  <c r="I22" i="54"/>
  <c r="I66" i="54"/>
  <c r="L66" i="54"/>
  <c r="F66" i="54"/>
  <c r="G66" i="54"/>
  <c r="K66" i="54"/>
  <c r="E66" i="54"/>
  <c r="H66" i="54"/>
  <c r="J66" i="54"/>
  <c r="F44" i="48"/>
  <c r="F58" i="48"/>
  <c r="F50" i="48"/>
  <c r="F88" i="48"/>
  <c r="F98" i="48"/>
  <c r="F45" i="48"/>
  <c r="F101" i="48"/>
  <c r="F100" i="48"/>
  <c r="F48" i="48"/>
  <c r="F56" i="48"/>
  <c r="F52" i="48"/>
  <c r="F70" i="48"/>
  <c r="F61" i="48"/>
  <c r="F97" i="48"/>
  <c r="F54" i="48"/>
  <c r="F72" i="48"/>
  <c r="F66" i="48"/>
  <c r="F84" i="48"/>
  <c r="F77" i="48"/>
  <c r="F91" i="48"/>
  <c r="F93" i="48"/>
  <c r="F68" i="48"/>
  <c r="F49" i="48"/>
  <c r="F82" i="48"/>
  <c r="F51" i="48"/>
  <c r="F65" i="48"/>
  <c r="F57" i="48"/>
  <c r="F73" i="48"/>
  <c r="F87" i="48"/>
  <c r="F63" i="48"/>
  <c r="F90" i="48"/>
  <c r="F55" i="48"/>
  <c r="F42" i="48"/>
  <c r="F47" i="48"/>
  <c r="F67" i="48"/>
  <c r="F46" i="48"/>
  <c r="F85" i="48"/>
  <c r="F80" i="48"/>
  <c r="AL15" i="48"/>
  <c r="F15" i="48"/>
  <c r="D36" i="54"/>
  <c r="C36" i="54"/>
  <c r="D2" i="54"/>
  <c r="C2" i="54"/>
  <c r="F16" i="48"/>
  <c r="AL16" i="48"/>
  <c r="D47" i="54"/>
  <c r="C47" i="54"/>
  <c r="AL38" i="48"/>
  <c r="F38" i="48"/>
  <c r="D73" i="54"/>
  <c r="C73" i="54"/>
  <c r="D43" i="54"/>
  <c r="C43" i="54"/>
  <c r="D78" i="54"/>
  <c r="C78" i="54"/>
  <c r="F99" i="48"/>
  <c r="AL26" i="48"/>
  <c r="F26" i="48"/>
  <c r="C51" i="54"/>
  <c r="D51" i="54"/>
  <c r="F94" i="48"/>
  <c r="AL2" i="48"/>
  <c r="F2" i="48"/>
  <c r="F74" i="48"/>
  <c r="F75" i="48"/>
  <c r="AL36" i="48"/>
  <c r="F36" i="48"/>
  <c r="C54" i="54"/>
  <c r="D54" i="54"/>
  <c r="F43" i="48"/>
  <c r="D45" i="54"/>
  <c r="C45" i="54"/>
  <c r="C23" i="54"/>
  <c r="D23" i="54"/>
  <c r="C20" i="54"/>
  <c r="D20" i="54"/>
  <c r="AL23" i="48"/>
  <c r="F23" i="48"/>
  <c r="C24" i="54"/>
  <c r="D24" i="54"/>
  <c r="F79" i="48"/>
  <c r="AL28" i="48"/>
  <c r="F28" i="48"/>
  <c r="F96" i="48"/>
  <c r="C60" i="54"/>
  <c r="D60" i="54"/>
  <c r="AL29" i="48"/>
  <c r="F29" i="48"/>
  <c r="AL30" i="48"/>
  <c r="F30" i="48"/>
  <c r="AL13" i="48"/>
  <c r="F13" i="48"/>
  <c r="C42" i="54"/>
  <c r="D42" i="54"/>
  <c r="C53" i="54"/>
  <c r="D53" i="54"/>
  <c r="AL31" i="48"/>
  <c r="F31" i="48"/>
  <c r="AL7" i="48"/>
  <c r="F7" i="48"/>
  <c r="AL22" i="48"/>
  <c r="F22" i="48"/>
  <c r="AL19" i="48"/>
  <c r="F19" i="48"/>
  <c r="C39" i="54"/>
  <c r="D39" i="54"/>
  <c r="C56" i="54"/>
  <c r="D56" i="54"/>
  <c r="AL34" i="48"/>
  <c r="F34" i="48"/>
  <c r="C26" i="54"/>
  <c r="D26" i="54"/>
  <c r="C75" i="54"/>
  <c r="D75" i="54"/>
  <c r="D19" i="54"/>
  <c r="C19" i="54"/>
  <c r="F83" i="48"/>
  <c r="AL20" i="48"/>
  <c r="F20" i="48"/>
  <c r="D65" i="54"/>
  <c r="C65" i="54"/>
  <c r="D74" i="54"/>
  <c r="C74" i="54"/>
  <c r="F60" i="48"/>
  <c r="AL5" i="48"/>
  <c r="F5" i="48"/>
  <c r="AL27" i="48"/>
  <c r="F27" i="48"/>
  <c r="C29" i="54"/>
  <c r="D29" i="54"/>
  <c r="AL37" i="48"/>
  <c r="F37" i="48"/>
  <c r="D5" i="54"/>
  <c r="C5" i="54"/>
  <c r="F33" i="48"/>
  <c r="AL33" i="48"/>
  <c r="F86" i="48"/>
  <c r="D58" i="54"/>
  <c r="C58" i="54"/>
  <c r="AL18" i="48"/>
  <c r="F18" i="48"/>
  <c r="C64" i="54"/>
  <c r="D64" i="54"/>
  <c r="D40" i="54"/>
  <c r="C40" i="54"/>
  <c r="D71" i="54"/>
  <c r="C71" i="54"/>
  <c r="AL6" i="48"/>
  <c r="F6" i="48"/>
  <c r="AL10" i="48"/>
  <c r="F10" i="48"/>
  <c r="D44" i="54"/>
  <c r="C44" i="54"/>
  <c r="AL24" i="48"/>
  <c r="F24" i="48"/>
  <c r="C50" i="54"/>
  <c r="D50" i="54"/>
  <c r="C32" i="54"/>
  <c r="D32" i="54"/>
  <c r="AL8" i="48"/>
  <c r="F8" i="48"/>
  <c r="AL14" i="48"/>
  <c r="F14" i="48"/>
  <c r="D33" i="54"/>
  <c r="C33" i="54"/>
  <c r="C7" i="54"/>
  <c r="D7" i="54"/>
  <c r="AL39" i="48"/>
  <c r="F39" i="48"/>
  <c r="C76" i="54"/>
  <c r="D76" i="54"/>
  <c r="D35" i="54"/>
  <c r="C35" i="54"/>
  <c r="AL25" i="48"/>
  <c r="F25" i="48"/>
  <c r="D6" i="54"/>
  <c r="C6" i="54"/>
  <c r="AL35" i="48"/>
  <c r="F35" i="48"/>
  <c r="D37" i="54"/>
  <c r="C37" i="54"/>
  <c r="D61" i="54"/>
  <c r="C61" i="54"/>
  <c r="AL12" i="48"/>
  <c r="F12" i="48"/>
  <c r="AL41" i="48"/>
  <c r="F41" i="48"/>
  <c r="D13" i="54"/>
  <c r="C13" i="54"/>
  <c r="D66" i="54"/>
  <c r="C66" i="54"/>
  <c r="D12" i="54"/>
  <c r="C12" i="54"/>
  <c r="C70" i="54"/>
  <c r="D70" i="54"/>
  <c r="D57" i="54"/>
  <c r="C57" i="54"/>
  <c r="D10" i="54"/>
  <c r="C10" i="54"/>
  <c r="C3" i="54"/>
  <c r="D3" i="54"/>
  <c r="D41" i="54"/>
  <c r="C41" i="54"/>
  <c r="D17" i="54"/>
  <c r="C17" i="54"/>
  <c r="C25" i="54"/>
  <c r="D25" i="54"/>
  <c r="F64" i="48"/>
  <c r="F71" i="48"/>
  <c r="D49" i="54"/>
  <c r="C49" i="54"/>
  <c r="C77" i="54"/>
  <c r="D77" i="54"/>
  <c r="F32" i="48"/>
  <c r="AL32" i="48"/>
  <c r="D27" i="54"/>
  <c r="C27" i="54"/>
  <c r="D15" i="54"/>
  <c r="C15" i="54"/>
  <c r="D21" i="54"/>
  <c r="C21" i="54"/>
  <c r="C79" i="54"/>
  <c r="D79" i="54"/>
  <c r="D34" i="54"/>
  <c r="C34" i="54"/>
  <c r="AL40" i="48"/>
  <c r="F40" i="48"/>
  <c r="D30" i="54"/>
  <c r="C30" i="54"/>
  <c r="F76" i="48"/>
  <c r="D72" i="54"/>
  <c r="C72" i="54"/>
  <c r="F95" i="48"/>
  <c r="F92" i="48"/>
  <c r="D14" i="54"/>
  <c r="C14" i="54"/>
  <c r="C22" i="54"/>
  <c r="D22" i="54"/>
  <c r="D67" i="54"/>
  <c r="C67" i="54"/>
  <c r="D59" i="54"/>
  <c r="C59" i="54"/>
  <c r="C11" i="54"/>
  <c r="D11" i="54"/>
  <c r="C4" i="54"/>
  <c r="D4" i="54"/>
  <c r="C9" i="54"/>
  <c r="D9" i="54"/>
  <c r="AL11" i="48"/>
  <c r="F11" i="48"/>
  <c r="F81" i="48"/>
  <c r="D63" i="54"/>
  <c r="C63" i="54"/>
  <c r="F4" i="48"/>
  <c r="AL4" i="48"/>
  <c r="D28" i="54"/>
  <c r="C28" i="54"/>
  <c r="D80" i="54"/>
  <c r="C80" i="54"/>
  <c r="C48" i="54"/>
  <c r="D48" i="54"/>
  <c r="C69" i="54"/>
  <c r="D69" i="54"/>
  <c r="F69" i="48"/>
  <c r="D8" i="54"/>
  <c r="C8" i="54"/>
  <c r="C38" i="54"/>
  <c r="D38" i="54"/>
  <c r="D18" i="54"/>
  <c r="C18" i="54"/>
  <c r="D16" i="54"/>
  <c r="C16" i="54"/>
  <c r="AL21" i="48"/>
  <c r="F21" i="48"/>
  <c r="AL17" i="48"/>
  <c r="F17" i="48"/>
  <c r="C52" i="54"/>
  <c r="D52" i="54"/>
  <c r="AL9" i="48"/>
  <c r="F9" i="48"/>
  <c r="F78" i="48"/>
  <c r="F89" i="48"/>
  <c r="F62" i="48"/>
  <c r="C62" i="54"/>
  <c r="D62" i="54"/>
  <c r="F53" i="48"/>
  <c r="C55" i="54"/>
  <c r="D55" i="54"/>
  <c r="D46" i="54"/>
  <c r="C46" i="54"/>
  <c r="F3" i="48"/>
  <c r="AL3" i="48"/>
  <c r="D31" i="54"/>
  <c r="C31" i="54"/>
  <c r="C68" i="54"/>
  <c r="D68" i="54"/>
  <c r="AM18" i="48" l="1"/>
  <c r="AM12" i="48"/>
  <c r="AM9" i="48"/>
  <c r="AM15" i="48"/>
  <c r="AM34" i="48"/>
  <c r="AM35" i="48"/>
  <c r="AM21" i="48"/>
  <c r="AM11" i="48"/>
  <c r="AM26" i="48"/>
  <c r="AM30" i="48"/>
  <c r="AM8" i="48"/>
  <c r="AM40" i="48"/>
  <c r="AM19" i="48"/>
  <c r="AM25" i="48"/>
  <c r="AM6" i="48"/>
  <c r="AM36" i="48"/>
  <c r="AM29" i="48"/>
  <c r="AM4" i="48"/>
  <c r="AM13" i="48"/>
  <c r="AM14" i="48"/>
  <c r="AM24" i="48"/>
  <c r="AM10" i="48"/>
  <c r="AM5" i="48"/>
  <c r="AM31" i="48"/>
  <c r="AM39" i="48"/>
  <c r="AM38" i="48"/>
  <c r="AM41" i="48"/>
  <c r="AM33" i="48"/>
  <c r="AM37" i="48"/>
  <c r="AM23" i="48"/>
  <c r="AM16" i="48"/>
  <c r="AM17" i="48"/>
  <c r="AM28" i="48"/>
  <c r="AM27" i="48"/>
  <c r="AM3" i="48"/>
  <c r="AM20" i="48"/>
  <c r="AM22" i="48"/>
  <c r="AM7" i="48"/>
  <c r="AM32" i="48"/>
  <c r="AM2" i="48"/>
  <c r="BM2" i="48"/>
  <c r="BM6" i="48" s="1"/>
  <c r="F52" i="44" s="1"/>
  <c r="F66" i="44" l="1"/>
  <c r="N80" i="54"/>
  <c r="F72" i="44"/>
  <c r="F55" i="44"/>
  <c r="N17" i="54"/>
  <c r="F54" i="44"/>
  <c r="N57" i="54"/>
  <c r="F37" i="44"/>
  <c r="N39" i="54"/>
  <c r="N39" i="55" s="1"/>
  <c r="F5" i="44"/>
  <c r="F64" i="44"/>
  <c r="F53" i="44"/>
  <c r="F7" i="44"/>
  <c r="F73" i="44"/>
  <c r="N37" i="54"/>
  <c r="N37" i="55" s="1"/>
  <c r="N76" i="54"/>
  <c r="N76" i="55" s="1"/>
  <c r="F4" i="44"/>
  <c r="F30" i="44"/>
  <c r="N78" i="54"/>
  <c r="N78" i="55" s="1"/>
  <c r="F48" i="44"/>
  <c r="F70" i="44"/>
  <c r="N29" i="54"/>
  <c r="N29" i="55" s="1"/>
  <c r="N62" i="54"/>
  <c r="N62" i="55" s="1"/>
  <c r="N27" i="54"/>
  <c r="N27" i="55" s="1"/>
  <c r="N74" i="54"/>
  <c r="N74" i="55" s="1"/>
  <c r="F29" i="44"/>
  <c r="F62" i="44"/>
  <c r="N33" i="54"/>
  <c r="N33" i="55" s="1"/>
  <c r="F43" i="44"/>
  <c r="F27" i="44"/>
  <c r="F33" i="44"/>
  <c r="N71" i="54"/>
  <c r="N71" i="55" s="1"/>
  <c r="N54" i="54"/>
  <c r="N54" i="55" s="1"/>
  <c r="N32" i="54"/>
  <c r="N32" i="55" s="1"/>
  <c r="N72" i="54"/>
  <c r="N72" i="55" s="1"/>
  <c r="N36" i="54"/>
  <c r="N36" i="55" s="1"/>
  <c r="F28" i="44"/>
  <c r="N67" i="54"/>
  <c r="N67" i="55" s="1"/>
  <c r="F36" i="44"/>
  <c r="F21" i="44"/>
  <c r="N28" i="54"/>
  <c r="N28" i="55" s="1"/>
  <c r="N41" i="54"/>
  <c r="N41" i="55" s="1"/>
  <c r="N66" i="54"/>
  <c r="N66" i="55" s="1"/>
  <c r="N21" i="54"/>
  <c r="N21" i="55" s="1"/>
  <c r="N48" i="54"/>
  <c r="N48" i="55" s="1"/>
  <c r="F32" i="44"/>
  <c r="F41" i="44"/>
  <c r="N53" i="54"/>
  <c r="N53" i="55" s="1"/>
  <c r="F68" i="44"/>
  <c r="F45" i="44"/>
  <c r="N45" i="54"/>
  <c r="N45" i="55" s="1"/>
  <c r="N35" i="54"/>
  <c r="N35" i="55" s="1"/>
  <c r="F35" i="44"/>
  <c r="N19" i="54"/>
  <c r="N19" i="55" s="1"/>
  <c r="N34" i="54"/>
  <c r="N34" i="55" s="1"/>
  <c r="F34" i="44"/>
  <c r="F39" i="44"/>
  <c r="N31" i="54"/>
  <c r="N31" i="55" s="1"/>
  <c r="F67" i="44"/>
  <c r="F19" i="44"/>
  <c r="F31" i="44"/>
  <c r="F80" i="44"/>
  <c r="F47" i="44"/>
  <c r="N64" i="54"/>
  <c r="N64" i="55" s="1"/>
  <c r="N40" i="54"/>
  <c r="N40" i="55" s="1"/>
  <c r="N15" i="54"/>
  <c r="N15" i="55" s="1"/>
  <c r="N55" i="54"/>
  <c r="N55" i="55" s="1"/>
  <c r="N69" i="54"/>
  <c r="N69" i="55" s="1"/>
  <c r="N13" i="54"/>
  <c r="N13" i="55" s="1"/>
  <c r="F40" i="44"/>
  <c r="F15" i="44"/>
  <c r="F17" i="44"/>
  <c r="N7" i="54"/>
  <c r="N7" i="55" s="1"/>
  <c r="F22" i="44"/>
  <c r="N22" i="54"/>
  <c r="N22" i="55" s="1"/>
  <c r="F13" i="44"/>
  <c r="F23" i="44"/>
  <c r="F10" i="44"/>
  <c r="N8" i="54"/>
  <c r="N8" i="55" s="1"/>
  <c r="N9" i="54"/>
  <c r="N9" i="55" s="1"/>
  <c r="F79" i="44"/>
  <c r="F57" i="44"/>
  <c r="N5" i="54"/>
  <c r="N5" i="55" s="1"/>
  <c r="N47" i="54"/>
  <c r="N47" i="55" s="1"/>
  <c r="N60" i="54"/>
  <c r="N60" i="55" s="1"/>
  <c r="F60" i="44"/>
  <c r="N61" i="54"/>
  <c r="N61" i="55" s="1"/>
  <c r="N10" i="54"/>
  <c r="N10" i="55" s="1"/>
  <c r="N3" i="54"/>
  <c r="N3" i="55" s="1"/>
  <c r="N56" i="54"/>
  <c r="N56" i="55" s="1"/>
  <c r="N24" i="54"/>
  <c r="N24" i="55" s="1"/>
  <c r="N46" i="54"/>
  <c r="N46" i="55" s="1"/>
  <c r="F42" i="44"/>
  <c r="N23" i="54"/>
  <c r="N23" i="55" s="1"/>
  <c r="F50" i="44"/>
  <c r="F46" i="44"/>
  <c r="F8" i="44"/>
  <c r="F3" i="44"/>
  <c r="F56" i="44"/>
  <c r="N4" i="54"/>
  <c r="N4" i="55" s="1"/>
  <c r="N30" i="54"/>
  <c r="N30" i="55" s="1"/>
  <c r="N42" i="54"/>
  <c r="N42" i="55" s="1"/>
  <c r="F24" i="44"/>
  <c r="N70" i="54"/>
  <c r="N70" i="55" s="1"/>
  <c r="F61" i="44"/>
  <c r="N16" i="54"/>
  <c r="N16" i="55" s="1"/>
  <c r="N75" i="54"/>
  <c r="N75" i="55" s="1"/>
  <c r="F78" i="44"/>
  <c r="N63" i="54"/>
  <c r="N63" i="55" s="1"/>
  <c r="AZ19" i="54"/>
  <c r="AZ19" i="55" s="1"/>
  <c r="AZ43" i="54"/>
  <c r="AZ43" i="55" s="1"/>
  <c r="AZ67" i="54"/>
  <c r="AZ67" i="55" s="1"/>
  <c r="AZ91" i="54"/>
  <c r="AZ91" i="55" s="1"/>
  <c r="AO19" i="54"/>
  <c r="AO19" i="55" s="1"/>
  <c r="AO43" i="54"/>
  <c r="AO43" i="55" s="1"/>
  <c r="AO67" i="54"/>
  <c r="AO67" i="55" s="1"/>
  <c r="AO91" i="54"/>
  <c r="AO91" i="55" s="1"/>
  <c r="AO115" i="54"/>
  <c r="AO115" i="55" s="1"/>
  <c r="AO139" i="54"/>
  <c r="AO139" i="55" s="1"/>
  <c r="AO163" i="54"/>
  <c r="AO163" i="55" s="1"/>
  <c r="AO187" i="54"/>
  <c r="AO187" i="55" s="1"/>
  <c r="AO211" i="54"/>
  <c r="AO211" i="55" s="1"/>
  <c r="AZ20" i="54"/>
  <c r="AZ20" i="55" s="1"/>
  <c r="AZ44" i="54"/>
  <c r="AZ44" i="55" s="1"/>
  <c r="AZ68" i="54"/>
  <c r="AZ68" i="55" s="1"/>
  <c r="AZ92" i="54"/>
  <c r="AZ92" i="55" s="1"/>
  <c r="AO20" i="54"/>
  <c r="AO20" i="55" s="1"/>
  <c r="AO44" i="54"/>
  <c r="AO44" i="55" s="1"/>
  <c r="AO68" i="54"/>
  <c r="AO68" i="55" s="1"/>
  <c r="AO92" i="54"/>
  <c r="AO92" i="55" s="1"/>
  <c r="AO116" i="54"/>
  <c r="AO116" i="55" s="1"/>
  <c r="AO140" i="54"/>
  <c r="AO140" i="55" s="1"/>
  <c r="AO164" i="54"/>
  <c r="AO164" i="55" s="1"/>
  <c r="AO188" i="54"/>
  <c r="AO188" i="55" s="1"/>
  <c r="AO212" i="54"/>
  <c r="AO212" i="55" s="1"/>
  <c r="AZ22" i="54"/>
  <c r="AZ22" i="55" s="1"/>
  <c r="AZ46" i="54"/>
  <c r="AZ46" i="55" s="1"/>
  <c r="AZ70" i="54"/>
  <c r="AZ70" i="55" s="1"/>
  <c r="AZ94" i="54"/>
  <c r="AZ94" i="55" s="1"/>
  <c r="AO22" i="54"/>
  <c r="AO22" i="55" s="1"/>
  <c r="AO46" i="54"/>
  <c r="AO46" i="55" s="1"/>
  <c r="AO70" i="54"/>
  <c r="AO70" i="55" s="1"/>
  <c r="AO94" i="54"/>
  <c r="AO94" i="55" s="1"/>
  <c r="AO118" i="54"/>
  <c r="AO118" i="55" s="1"/>
  <c r="AO142" i="54"/>
  <c r="AO142" i="55" s="1"/>
  <c r="AO166" i="54"/>
  <c r="AO166" i="55" s="1"/>
  <c r="AO190" i="54"/>
  <c r="AO190" i="55" s="1"/>
  <c r="AO214" i="54"/>
  <c r="AO214" i="55" s="1"/>
  <c r="AZ23" i="54"/>
  <c r="AZ23" i="55" s="1"/>
  <c r="AZ47" i="54"/>
  <c r="AZ47" i="55" s="1"/>
  <c r="AZ71" i="54"/>
  <c r="AZ71" i="55" s="1"/>
  <c r="AZ95" i="54"/>
  <c r="AZ95" i="55" s="1"/>
  <c r="AO23" i="54"/>
  <c r="AO23" i="55" s="1"/>
  <c r="AO47" i="54"/>
  <c r="AO47" i="55" s="1"/>
  <c r="AO71" i="54"/>
  <c r="AO71" i="55" s="1"/>
  <c r="AO95" i="54"/>
  <c r="AO95" i="55" s="1"/>
  <c r="AO119" i="54"/>
  <c r="AO119" i="55" s="1"/>
  <c r="AO143" i="54"/>
  <c r="AO143" i="55" s="1"/>
  <c r="AO167" i="54"/>
  <c r="AO167" i="55" s="1"/>
  <c r="AO191" i="54"/>
  <c r="AO191" i="55" s="1"/>
  <c r="AO215" i="54"/>
  <c r="AO215" i="55" s="1"/>
  <c r="AZ24" i="54"/>
  <c r="AZ24" i="55" s="1"/>
  <c r="AZ48" i="54"/>
  <c r="AZ48" i="55" s="1"/>
  <c r="AZ72" i="54"/>
  <c r="AZ72" i="55" s="1"/>
  <c r="AZ96" i="54"/>
  <c r="AZ96" i="55" s="1"/>
  <c r="AO24" i="54"/>
  <c r="AO24" i="55" s="1"/>
  <c r="AO48" i="54"/>
  <c r="AO48" i="55" s="1"/>
  <c r="AO72" i="54"/>
  <c r="AO72" i="55" s="1"/>
  <c r="AO96" i="54"/>
  <c r="AO96" i="55" s="1"/>
  <c r="AO120" i="54"/>
  <c r="AO120" i="55" s="1"/>
  <c r="AO144" i="54"/>
  <c r="AO144" i="55" s="1"/>
  <c r="AO168" i="54"/>
  <c r="AO168" i="55" s="1"/>
  <c r="AO192" i="54"/>
  <c r="AO192" i="55" s="1"/>
  <c r="AO216" i="54"/>
  <c r="AO216" i="55" s="1"/>
  <c r="AO217" i="54"/>
  <c r="AO217" i="55" s="1"/>
  <c r="AZ25" i="54"/>
  <c r="AZ25" i="55" s="1"/>
  <c r="AZ49" i="54"/>
  <c r="AZ49" i="55" s="1"/>
  <c r="AZ73" i="54"/>
  <c r="AZ73" i="55" s="1"/>
  <c r="AZ97" i="54"/>
  <c r="AZ97" i="55" s="1"/>
  <c r="AO25" i="54"/>
  <c r="AO25" i="55" s="1"/>
  <c r="AO49" i="54"/>
  <c r="AO49" i="55" s="1"/>
  <c r="AO73" i="54"/>
  <c r="AO73" i="55" s="1"/>
  <c r="AO97" i="54"/>
  <c r="AO97" i="55" s="1"/>
  <c r="AO121" i="54"/>
  <c r="AO121" i="55" s="1"/>
  <c r="AO145" i="54"/>
  <c r="AO145" i="55" s="1"/>
  <c r="AO169" i="54"/>
  <c r="AO169" i="55" s="1"/>
  <c r="AO193" i="54"/>
  <c r="AO193" i="55" s="1"/>
  <c r="AZ2" i="54"/>
  <c r="AZ2" i="55" s="1"/>
  <c r="AZ26" i="54"/>
  <c r="AZ26" i="55" s="1"/>
  <c r="AZ50" i="54"/>
  <c r="AZ50" i="55" s="1"/>
  <c r="AZ74" i="54"/>
  <c r="AZ74" i="55" s="1"/>
  <c r="AZ98" i="54"/>
  <c r="AZ98" i="55" s="1"/>
  <c r="AO2" i="54"/>
  <c r="AO2" i="55" s="1"/>
  <c r="AO26" i="54"/>
  <c r="AO26" i="55" s="1"/>
  <c r="AO50" i="54"/>
  <c r="AO50" i="55" s="1"/>
  <c r="AO74" i="54"/>
  <c r="AO74" i="55" s="1"/>
  <c r="AO98" i="54"/>
  <c r="AO98" i="55" s="1"/>
  <c r="AO122" i="54"/>
  <c r="AO122" i="55" s="1"/>
  <c r="AO146" i="54"/>
  <c r="AO146" i="55" s="1"/>
  <c r="AO170" i="54"/>
  <c r="AO170" i="55" s="1"/>
  <c r="AO194" i="54"/>
  <c r="AO194" i="55" s="1"/>
  <c r="AO218" i="54"/>
  <c r="AO218" i="55" s="1"/>
  <c r="AZ5" i="54"/>
  <c r="AZ5" i="55" s="1"/>
  <c r="AZ6" i="54"/>
  <c r="AZ6" i="55" s="1"/>
  <c r="AZ10" i="54"/>
  <c r="AZ10" i="55" s="1"/>
  <c r="AZ12" i="54"/>
  <c r="AZ12" i="55" s="1"/>
  <c r="AZ17" i="54"/>
  <c r="AZ17" i="55" s="1"/>
  <c r="AZ18" i="54"/>
  <c r="AZ18" i="55" s="1"/>
  <c r="AZ31" i="54"/>
  <c r="AZ31" i="55" s="1"/>
  <c r="AZ62" i="54"/>
  <c r="AZ62" i="55" s="1"/>
  <c r="AZ100" i="54"/>
  <c r="AZ100" i="55" s="1"/>
  <c r="AO5" i="54"/>
  <c r="AO5" i="55" s="1"/>
  <c r="AO36" i="54"/>
  <c r="AO36" i="55" s="1"/>
  <c r="AO69" i="54"/>
  <c r="AO69" i="55" s="1"/>
  <c r="AO105" i="54"/>
  <c r="AO105" i="55" s="1"/>
  <c r="AO136" i="54"/>
  <c r="AO136" i="55" s="1"/>
  <c r="AO174" i="54"/>
  <c r="AO174" i="55" s="1"/>
  <c r="AO205" i="54"/>
  <c r="AO205" i="55" s="1"/>
  <c r="AZ32" i="54"/>
  <c r="AZ32" i="55" s="1"/>
  <c r="AZ63" i="54"/>
  <c r="AZ63" i="55" s="1"/>
  <c r="AZ101" i="54"/>
  <c r="AZ101" i="55" s="1"/>
  <c r="AO6" i="54"/>
  <c r="AO6" i="55" s="1"/>
  <c r="AO37" i="54"/>
  <c r="AO37" i="55" s="1"/>
  <c r="AO75" i="54"/>
  <c r="AO75" i="55" s="1"/>
  <c r="AO106" i="54"/>
  <c r="AO106" i="55" s="1"/>
  <c r="AO175" i="54"/>
  <c r="AO175" i="55" s="1"/>
  <c r="AO206" i="54"/>
  <c r="AO206" i="55" s="1"/>
  <c r="AO137" i="54"/>
  <c r="AO137" i="55" s="1"/>
  <c r="AZ33" i="54"/>
  <c r="AZ33" i="55" s="1"/>
  <c r="AZ64" i="54"/>
  <c r="AZ64" i="55" s="1"/>
  <c r="AO7" i="54"/>
  <c r="AO7" i="55" s="1"/>
  <c r="AO38" i="54"/>
  <c r="AO38" i="55" s="1"/>
  <c r="AO76" i="54"/>
  <c r="AO76" i="55" s="1"/>
  <c r="AO107" i="54"/>
  <c r="AO107" i="55" s="1"/>
  <c r="AO138" i="54"/>
  <c r="AO138" i="55" s="1"/>
  <c r="AO176" i="54"/>
  <c r="AO176" i="55" s="1"/>
  <c r="AO207" i="54"/>
  <c r="AO207" i="55" s="1"/>
  <c r="AZ34" i="54"/>
  <c r="AZ34" i="55" s="1"/>
  <c r="AZ65" i="54"/>
  <c r="AZ65" i="55" s="1"/>
  <c r="AO8" i="54"/>
  <c r="AO8" i="55" s="1"/>
  <c r="AO39" i="54"/>
  <c r="AO39" i="55" s="1"/>
  <c r="AO77" i="54"/>
  <c r="AO77" i="55" s="1"/>
  <c r="AO108" i="54"/>
  <c r="AO108" i="55" s="1"/>
  <c r="AO141" i="54"/>
  <c r="AO141" i="55" s="1"/>
  <c r="AO177" i="54"/>
  <c r="AO177" i="55" s="1"/>
  <c r="AO208" i="54"/>
  <c r="AO208" i="55" s="1"/>
  <c r="AZ35" i="54"/>
  <c r="AZ35" i="55" s="1"/>
  <c r="AZ66" i="54"/>
  <c r="AZ66" i="55" s="1"/>
  <c r="AO9" i="54"/>
  <c r="AO9" i="55" s="1"/>
  <c r="AO40" i="54"/>
  <c r="AO40" i="55" s="1"/>
  <c r="AO78" i="54"/>
  <c r="AO78" i="55" s="1"/>
  <c r="AO109" i="54"/>
  <c r="AO109" i="55" s="1"/>
  <c r="AO147" i="54"/>
  <c r="AO147" i="55" s="1"/>
  <c r="AO178" i="54"/>
  <c r="AO178" i="55" s="1"/>
  <c r="AO209" i="54"/>
  <c r="AO209" i="55" s="1"/>
  <c r="AZ9" i="54"/>
  <c r="AZ9" i="55" s="1"/>
  <c r="AZ51" i="54"/>
  <c r="AZ51" i="55" s="1"/>
  <c r="AZ82" i="54"/>
  <c r="AZ82" i="55" s="1"/>
  <c r="AO18" i="54"/>
  <c r="AO18" i="55" s="1"/>
  <c r="AO56" i="54"/>
  <c r="AO56" i="55" s="1"/>
  <c r="AO87" i="54"/>
  <c r="AO87" i="55" s="1"/>
  <c r="AO125" i="54"/>
  <c r="AO125" i="55" s="1"/>
  <c r="AO156" i="54"/>
  <c r="AO156" i="55" s="1"/>
  <c r="AO189" i="54"/>
  <c r="AO189" i="55" s="1"/>
  <c r="AZ11" i="54"/>
  <c r="AZ11" i="55" s="1"/>
  <c r="AZ52" i="54"/>
  <c r="AZ52" i="55" s="1"/>
  <c r="AZ83" i="54"/>
  <c r="AZ83" i="55" s="1"/>
  <c r="AO21" i="54"/>
  <c r="AO21" i="55" s="1"/>
  <c r="AO57" i="54"/>
  <c r="AO57" i="55" s="1"/>
  <c r="AO88" i="54"/>
  <c r="AO88" i="55" s="1"/>
  <c r="AO126" i="54"/>
  <c r="AO126" i="55" s="1"/>
  <c r="AO157" i="54"/>
  <c r="AO157" i="55" s="1"/>
  <c r="AO195" i="54"/>
  <c r="AO195" i="55" s="1"/>
  <c r="AZ27" i="54"/>
  <c r="AZ27" i="55" s="1"/>
  <c r="AZ77" i="54"/>
  <c r="AZ77" i="55" s="1"/>
  <c r="AO31" i="54"/>
  <c r="AO31" i="55" s="1"/>
  <c r="AO81" i="54"/>
  <c r="AO81" i="55" s="1"/>
  <c r="AO128" i="54"/>
  <c r="AO128" i="55" s="1"/>
  <c r="AO173" i="54"/>
  <c r="AO173" i="55" s="1"/>
  <c r="AZ80" i="54"/>
  <c r="AZ80" i="55" s="1"/>
  <c r="AZ28" i="54"/>
  <c r="AZ28" i="55" s="1"/>
  <c r="AZ78" i="54"/>
  <c r="AZ78" i="55" s="1"/>
  <c r="AO32" i="54"/>
  <c r="AO32" i="55" s="1"/>
  <c r="AO82" i="54"/>
  <c r="AO82" i="55" s="1"/>
  <c r="AO129" i="54"/>
  <c r="AO129" i="55" s="1"/>
  <c r="AO179" i="54"/>
  <c r="AO179" i="55" s="1"/>
  <c r="AZ30" i="54"/>
  <c r="AZ30" i="55" s="1"/>
  <c r="AZ29" i="54"/>
  <c r="AZ29" i="55" s="1"/>
  <c r="AZ79" i="54"/>
  <c r="AZ79" i="55" s="1"/>
  <c r="AO33" i="54"/>
  <c r="AO33" i="55" s="1"/>
  <c r="AO83" i="54"/>
  <c r="AO83" i="55" s="1"/>
  <c r="AO130" i="54"/>
  <c r="AO130" i="55" s="1"/>
  <c r="AO180" i="54"/>
  <c r="AO180" i="55" s="1"/>
  <c r="AO84" i="54"/>
  <c r="AO84" i="55" s="1"/>
  <c r="AO131" i="54"/>
  <c r="AO131" i="55" s="1"/>
  <c r="AO181" i="54"/>
  <c r="AO181" i="55" s="1"/>
  <c r="AO34" i="54"/>
  <c r="AO34" i="55" s="1"/>
  <c r="AZ36" i="54"/>
  <c r="AZ36" i="55" s="1"/>
  <c r="AZ81" i="54"/>
  <c r="AZ81" i="55" s="1"/>
  <c r="AO35" i="54"/>
  <c r="AO35" i="55" s="1"/>
  <c r="AO85" i="54"/>
  <c r="AO85" i="55" s="1"/>
  <c r="AO132" i="54"/>
  <c r="AO132" i="55" s="1"/>
  <c r="AO182" i="54"/>
  <c r="AO182" i="55" s="1"/>
  <c r="AZ38" i="54"/>
  <c r="AZ38" i="55" s="1"/>
  <c r="AZ85" i="54"/>
  <c r="AZ85" i="55" s="1"/>
  <c r="AO42" i="54"/>
  <c r="AO42" i="55" s="1"/>
  <c r="AO134" i="54"/>
  <c r="AO134" i="55" s="1"/>
  <c r="AO184" i="54"/>
  <c r="AO184" i="55" s="1"/>
  <c r="AZ37" i="54"/>
  <c r="AZ37" i="55" s="1"/>
  <c r="AZ84" i="54"/>
  <c r="AZ84" i="55" s="1"/>
  <c r="AO41" i="54"/>
  <c r="AO41" i="55" s="1"/>
  <c r="AO86" i="54"/>
  <c r="AO86" i="55" s="1"/>
  <c r="AO133" i="54"/>
  <c r="AO133" i="55" s="1"/>
  <c r="AO183" i="54"/>
  <c r="AO183" i="55" s="1"/>
  <c r="AO89" i="54"/>
  <c r="AO89" i="55" s="1"/>
  <c r="AZ40" i="54"/>
  <c r="AZ40" i="55" s="1"/>
  <c r="AZ87" i="54"/>
  <c r="AZ87" i="55" s="1"/>
  <c r="AO51" i="54"/>
  <c r="AO51" i="55" s="1"/>
  <c r="AO93" i="54"/>
  <c r="AO93" i="55" s="1"/>
  <c r="AO148" i="54"/>
  <c r="AO148" i="55" s="1"/>
  <c r="AO186" i="54"/>
  <c r="AO186" i="55" s="1"/>
  <c r="AZ41" i="54"/>
  <c r="AZ41" i="55" s="1"/>
  <c r="AZ88" i="54"/>
  <c r="AZ88" i="55" s="1"/>
  <c r="AO52" i="54"/>
  <c r="AO52" i="55" s="1"/>
  <c r="AZ53" i="54"/>
  <c r="AZ53" i="55" s="1"/>
  <c r="AZ93" i="54"/>
  <c r="AZ93" i="55" s="1"/>
  <c r="AO10" i="54"/>
  <c r="AO10" i="55" s="1"/>
  <c r="AO55" i="54"/>
  <c r="AO55" i="55" s="1"/>
  <c r="AO102" i="54"/>
  <c r="AO102" i="55" s="1"/>
  <c r="AO152" i="54"/>
  <c r="AO152" i="55" s="1"/>
  <c r="AO199" i="54"/>
  <c r="AO199" i="55" s="1"/>
  <c r="AZ57" i="54"/>
  <c r="AZ57" i="55" s="1"/>
  <c r="AO158" i="54"/>
  <c r="AO158" i="55" s="1"/>
  <c r="AZ54" i="54"/>
  <c r="AZ54" i="55" s="1"/>
  <c r="AZ99" i="54"/>
  <c r="AZ99" i="55" s="1"/>
  <c r="AO11" i="54"/>
  <c r="AO11" i="55" s="1"/>
  <c r="AO58" i="54"/>
  <c r="AO58" i="55" s="1"/>
  <c r="AO103" i="54"/>
  <c r="AO103" i="55" s="1"/>
  <c r="AO153" i="54"/>
  <c r="AO153" i="55" s="1"/>
  <c r="AO200" i="54"/>
  <c r="AO200" i="55" s="1"/>
  <c r="AZ55" i="54"/>
  <c r="AZ55" i="55" s="1"/>
  <c r="AO12" i="54"/>
  <c r="AO12" i="55" s="1"/>
  <c r="AO59" i="54"/>
  <c r="AO59" i="55" s="1"/>
  <c r="AO104" i="54"/>
  <c r="AO104" i="55" s="1"/>
  <c r="AO154" i="54"/>
  <c r="AO154" i="55" s="1"/>
  <c r="AO201" i="54"/>
  <c r="AO201" i="55" s="1"/>
  <c r="AZ56" i="54"/>
  <c r="AZ56" i="55" s="1"/>
  <c r="AO60" i="54"/>
  <c r="AO60" i="55" s="1"/>
  <c r="AO110" i="54"/>
  <c r="AO110" i="55" s="1"/>
  <c r="AO155" i="54"/>
  <c r="AO155" i="55" s="1"/>
  <c r="AZ4" i="54"/>
  <c r="AZ4" i="55" s="1"/>
  <c r="AO14" i="54"/>
  <c r="AO14" i="55" s="1"/>
  <c r="AO61" i="54"/>
  <c r="AO61" i="55" s="1"/>
  <c r="AO111" i="54"/>
  <c r="AO111" i="55" s="1"/>
  <c r="AO203" i="54"/>
  <c r="AO203" i="55" s="1"/>
  <c r="AZ3" i="54"/>
  <c r="AZ3" i="55" s="1"/>
  <c r="AO13" i="54"/>
  <c r="AO13" i="55" s="1"/>
  <c r="AO202" i="54"/>
  <c r="AO202" i="55" s="1"/>
  <c r="AZ7" i="54"/>
  <c r="AZ7" i="55" s="1"/>
  <c r="AZ58" i="54"/>
  <c r="AZ58" i="55" s="1"/>
  <c r="AO29" i="54"/>
  <c r="AO29" i="55" s="1"/>
  <c r="AO149" i="54"/>
  <c r="AO149" i="55" s="1"/>
  <c r="AO30" i="54"/>
  <c r="AO30" i="55" s="1"/>
  <c r="AO150" i="54"/>
  <c r="AO150" i="55" s="1"/>
  <c r="AO45" i="54"/>
  <c r="AO45" i="55" s="1"/>
  <c r="AO151" i="54"/>
  <c r="AO151" i="55" s="1"/>
  <c r="AZ15" i="54"/>
  <c r="AZ15" i="55" s="1"/>
  <c r="AO63" i="54"/>
  <c r="AO63" i="55" s="1"/>
  <c r="AO162" i="54"/>
  <c r="AO162" i="55" s="1"/>
  <c r="AZ21" i="54"/>
  <c r="AZ21" i="55" s="1"/>
  <c r="AO65" i="54"/>
  <c r="AO65" i="55" s="1"/>
  <c r="AO171" i="54"/>
  <c r="AO171" i="55" s="1"/>
  <c r="AZ39" i="54"/>
  <c r="AZ39" i="55" s="1"/>
  <c r="AO66" i="54"/>
  <c r="AO66" i="55" s="1"/>
  <c r="AZ42" i="54"/>
  <c r="AZ42" i="55" s="1"/>
  <c r="AO172" i="54"/>
  <c r="AO172" i="55" s="1"/>
  <c r="AZ8" i="54"/>
  <c r="AZ8" i="55" s="1"/>
  <c r="AO53" i="54"/>
  <c r="AO53" i="55" s="1"/>
  <c r="AO159" i="54"/>
  <c r="AO159" i="55" s="1"/>
  <c r="AZ13" i="54"/>
  <c r="AZ13" i="55" s="1"/>
  <c r="AO54" i="54"/>
  <c r="AO54" i="55" s="1"/>
  <c r="AO160" i="54"/>
  <c r="AO160" i="55" s="1"/>
  <c r="AO161" i="54"/>
  <c r="AO161" i="55" s="1"/>
  <c r="AZ14" i="54"/>
  <c r="AZ14" i="55" s="1"/>
  <c r="AO62" i="54"/>
  <c r="AO62" i="55" s="1"/>
  <c r="AZ16" i="54"/>
  <c r="AZ16" i="55" s="1"/>
  <c r="AO64" i="54"/>
  <c r="AO64" i="55" s="1"/>
  <c r="AO165" i="54"/>
  <c r="AO165" i="55" s="1"/>
  <c r="AZ60" i="54"/>
  <c r="AZ60" i="55" s="1"/>
  <c r="AO99" i="54"/>
  <c r="AO99" i="55" s="1"/>
  <c r="AO198" i="54"/>
  <c r="AO198" i="55" s="1"/>
  <c r="AZ61" i="54"/>
  <c r="AZ61" i="55" s="1"/>
  <c r="AO100" i="54"/>
  <c r="AO100" i="55" s="1"/>
  <c r="AO204" i="54"/>
  <c r="AO204" i="55" s="1"/>
  <c r="AZ69" i="54"/>
  <c r="AZ69" i="55" s="1"/>
  <c r="AO101" i="54"/>
  <c r="AO101" i="55" s="1"/>
  <c r="AO210" i="54"/>
  <c r="AO210" i="55" s="1"/>
  <c r="AZ86" i="54"/>
  <c r="AZ86" i="55" s="1"/>
  <c r="AO213" i="54"/>
  <c r="AO213" i="55" s="1"/>
  <c r="AZ75" i="54"/>
  <c r="AZ75" i="55" s="1"/>
  <c r="AO112" i="54"/>
  <c r="AO112" i="55" s="1"/>
  <c r="AZ76" i="54"/>
  <c r="AZ76" i="55" s="1"/>
  <c r="AO3" i="54"/>
  <c r="AO3" i="55" s="1"/>
  <c r="AO113" i="54"/>
  <c r="AO113" i="55" s="1"/>
  <c r="AO219" i="54"/>
  <c r="AO219" i="55" s="1"/>
  <c r="AZ45" i="54"/>
  <c r="AZ45" i="55" s="1"/>
  <c r="AO4" i="54"/>
  <c r="AO4" i="55" s="1"/>
  <c r="AZ90" i="54"/>
  <c r="AZ90" i="55" s="1"/>
  <c r="AO17" i="54"/>
  <c r="AO17" i="55" s="1"/>
  <c r="AO27" i="54"/>
  <c r="AO27" i="55" s="1"/>
  <c r="AO28" i="54"/>
  <c r="AO28" i="55" s="1"/>
  <c r="AO79" i="54"/>
  <c r="AO79" i="55" s="1"/>
  <c r="AO114" i="54"/>
  <c r="AO114" i="55" s="1"/>
  <c r="AO117" i="54"/>
  <c r="AO117" i="55" s="1"/>
  <c r="AO123" i="54"/>
  <c r="AO123" i="55" s="1"/>
  <c r="AO124" i="54"/>
  <c r="AO124" i="55" s="1"/>
  <c r="AZ59" i="54"/>
  <c r="AZ59" i="55" s="1"/>
  <c r="AO15" i="54"/>
  <c r="AO15" i="55" s="1"/>
  <c r="AZ89" i="54"/>
  <c r="AZ89" i="55" s="1"/>
  <c r="AO16" i="54"/>
  <c r="AO16" i="55" s="1"/>
  <c r="AO80" i="54"/>
  <c r="AO80" i="55" s="1"/>
  <c r="AO90" i="54"/>
  <c r="AO90" i="55" s="1"/>
  <c r="AO127" i="54"/>
  <c r="AO127" i="55" s="1"/>
  <c r="AO135" i="54"/>
  <c r="AO135" i="55" s="1"/>
  <c r="AO220" i="54"/>
  <c r="AO220" i="55" s="1"/>
  <c r="AO185" i="54"/>
  <c r="AO185" i="55" s="1"/>
  <c r="AO196" i="54"/>
  <c r="AO196" i="55" s="1"/>
  <c r="AO197" i="54"/>
  <c r="AO197" i="55" s="1"/>
  <c r="AO221" i="54"/>
  <c r="AO221" i="55" s="1"/>
  <c r="AB84" i="54"/>
  <c r="AB84" i="55" s="1"/>
  <c r="AB125" i="54"/>
  <c r="AB125" i="55" s="1"/>
  <c r="AB29" i="54"/>
  <c r="AB29" i="55" s="1"/>
  <c r="AB127" i="54"/>
  <c r="AB127" i="55" s="1"/>
  <c r="AB56" i="54"/>
  <c r="AB56" i="55" s="1"/>
  <c r="AB170" i="54"/>
  <c r="AB170" i="55" s="1"/>
  <c r="AB60" i="54"/>
  <c r="AB60" i="55" s="1"/>
  <c r="AB82" i="54"/>
  <c r="AB82" i="55" s="1"/>
  <c r="AB27" i="54"/>
  <c r="AB27" i="55" s="1"/>
  <c r="AB70" i="54"/>
  <c r="AB70" i="55" s="1"/>
  <c r="AB80" i="54"/>
  <c r="AB80" i="55" s="1"/>
  <c r="AB75" i="54"/>
  <c r="AB75" i="55" s="1"/>
  <c r="AB115" i="54"/>
  <c r="AB115" i="55" s="1"/>
  <c r="AB5" i="54"/>
  <c r="AB5" i="55" s="1"/>
  <c r="AB140" i="54"/>
  <c r="AB140" i="55" s="1"/>
  <c r="AB10" i="54"/>
  <c r="AB10" i="55" s="1"/>
  <c r="AB37" i="54"/>
  <c r="AB37" i="55" s="1"/>
  <c r="AB68" i="54"/>
  <c r="AB68" i="55" s="1"/>
  <c r="AB25" i="54"/>
  <c r="AB25" i="55" s="1"/>
  <c r="AB64" i="54"/>
  <c r="AB64" i="55" s="1"/>
  <c r="AB138" i="54"/>
  <c r="AB138" i="55" s="1"/>
  <c r="AB58" i="54"/>
  <c r="AB58" i="55" s="1"/>
  <c r="AB72" i="54"/>
  <c r="AB72" i="55" s="1"/>
  <c r="AB165" i="54"/>
  <c r="AB165" i="55" s="1"/>
  <c r="AB57" i="54"/>
  <c r="AB57" i="55" s="1"/>
  <c r="AB17" i="54"/>
  <c r="AB17" i="55" s="1"/>
  <c r="AB159" i="54"/>
  <c r="AB159" i="55" s="1"/>
  <c r="AB40" i="54"/>
  <c r="AB40" i="55" s="1"/>
  <c r="AB49" i="54"/>
  <c r="AB49" i="55" s="1"/>
  <c r="AB31" i="54"/>
  <c r="AB31" i="55" s="1"/>
  <c r="AB47" i="54"/>
  <c r="AB47" i="55" s="1"/>
  <c r="AB103" i="54"/>
  <c r="AB103" i="55" s="1"/>
  <c r="AB77" i="54"/>
  <c r="AB77" i="55" s="1"/>
  <c r="AB11" i="54"/>
  <c r="AB11" i="55" s="1"/>
  <c r="AB41" i="54"/>
  <c r="AB41" i="55" s="1"/>
  <c r="AB48" i="54"/>
  <c r="AB48" i="55" s="1"/>
  <c r="AB52" i="54"/>
  <c r="AB52" i="55" s="1"/>
  <c r="AB109" i="54"/>
  <c r="AB109" i="55" s="1"/>
  <c r="AB161" i="54"/>
  <c r="AB161" i="55" s="1"/>
  <c r="AB86" i="54"/>
  <c r="AB86" i="55" s="1"/>
  <c r="AB87" i="54"/>
  <c r="AB87" i="55" s="1"/>
  <c r="AB59" i="54"/>
  <c r="AB59" i="55" s="1"/>
  <c r="AB34" i="54"/>
  <c r="AB34" i="55" s="1"/>
  <c r="AB14" i="54"/>
  <c r="AB14" i="55" s="1"/>
  <c r="AB79" i="54"/>
  <c r="AB79" i="55" s="1"/>
  <c r="AB106" i="54"/>
  <c r="AB106" i="55" s="1"/>
  <c r="AB158" i="54"/>
  <c r="AB158" i="55" s="1"/>
  <c r="AB134" i="54"/>
  <c r="AB134" i="55" s="1"/>
  <c r="AB36" i="54"/>
  <c r="AB36" i="55" s="1"/>
  <c r="AB39" i="54"/>
  <c r="AB39" i="55" s="1"/>
  <c r="AB92" i="54"/>
  <c r="AB92" i="55" s="1"/>
  <c r="AB46" i="54"/>
  <c r="AB46" i="55" s="1"/>
  <c r="AB126" i="54"/>
  <c r="AB126" i="55" s="1"/>
  <c r="AB13" i="54"/>
  <c r="AB13" i="55" s="1"/>
  <c r="AB133" i="54"/>
  <c r="AB133" i="55" s="1"/>
  <c r="AB130" i="54"/>
  <c r="AB130" i="55" s="1"/>
  <c r="AB42" i="54"/>
  <c r="AB42" i="55" s="1"/>
  <c r="AB66" i="54"/>
  <c r="AB66" i="55" s="1"/>
  <c r="AB18" i="54"/>
  <c r="AB18" i="55" s="1"/>
  <c r="AB113" i="54"/>
  <c r="AB113" i="55" s="1"/>
  <c r="AB88" i="54"/>
  <c r="AB88" i="55" s="1"/>
  <c r="AB83" i="54"/>
  <c r="AB83" i="55" s="1"/>
  <c r="AB16" i="54"/>
  <c r="AB16" i="55" s="1"/>
  <c r="AB155" i="54"/>
  <c r="AB155" i="55" s="1"/>
  <c r="AB122" i="54"/>
  <c r="AB122" i="55" s="1"/>
  <c r="AB93" i="54"/>
  <c r="AB93" i="55" s="1"/>
  <c r="AB154" i="54"/>
  <c r="AB154" i="55" s="1"/>
  <c r="AB97" i="54"/>
  <c r="AB97" i="55" s="1"/>
  <c r="AB160" i="54"/>
  <c r="AB160" i="55" s="1"/>
  <c r="AB105" i="54"/>
  <c r="AB105" i="55" s="1"/>
  <c r="AB30" i="54"/>
  <c r="AB30" i="55" s="1"/>
  <c r="AB143" i="54"/>
  <c r="AB143" i="55" s="1"/>
  <c r="AB147" i="54"/>
  <c r="AB147" i="55" s="1"/>
  <c r="AB95" i="54"/>
  <c r="AB95" i="55" s="1"/>
  <c r="AB32" i="54"/>
  <c r="AB32" i="55" s="1"/>
  <c r="AB19" i="54"/>
  <c r="AB19" i="55" s="1"/>
  <c r="AB162" i="54"/>
  <c r="AB162" i="55" s="1"/>
  <c r="AB164" i="54"/>
  <c r="AB164" i="55" s="1"/>
  <c r="AB6" i="54"/>
  <c r="AB6" i="55" s="1"/>
  <c r="AB119" i="54"/>
  <c r="AB119" i="55" s="1"/>
  <c r="AB23" i="54"/>
  <c r="AB23" i="55" s="1"/>
  <c r="AB33" i="54"/>
  <c r="AB33" i="55" s="1"/>
  <c r="AB120" i="54"/>
  <c r="AB120" i="55" s="1"/>
  <c r="AB12" i="54"/>
  <c r="AB12" i="55" s="1"/>
  <c r="AB73" i="54"/>
  <c r="AB73" i="55" s="1"/>
  <c r="AB22" i="54"/>
  <c r="AB22" i="55" s="1"/>
  <c r="AB53" i="54"/>
  <c r="AB53" i="55" s="1"/>
  <c r="AB51" i="54"/>
  <c r="AB51" i="55" s="1"/>
  <c r="AB89" i="54"/>
  <c r="AB89" i="55" s="1"/>
  <c r="AB78" i="54"/>
  <c r="AB78" i="55" s="1"/>
  <c r="AB45" i="54"/>
  <c r="AB45" i="55" s="1"/>
  <c r="AB129" i="54"/>
  <c r="AB129" i="55" s="1"/>
  <c r="AB71" i="54"/>
  <c r="AB71" i="55" s="1"/>
  <c r="AB131" i="54"/>
  <c r="AB131" i="55" s="1"/>
  <c r="AB141" i="54"/>
  <c r="AB141" i="55" s="1"/>
  <c r="AB137" i="54"/>
  <c r="AB137" i="55" s="1"/>
  <c r="AB61" i="54"/>
  <c r="AB61" i="55" s="1"/>
  <c r="AB139" i="54"/>
  <c r="AB139" i="55" s="1"/>
  <c r="AB123" i="54"/>
  <c r="AB123" i="55" s="1"/>
  <c r="AB2" i="54"/>
  <c r="AB2" i="55" s="1"/>
  <c r="AB7" i="54"/>
  <c r="AB7" i="55" s="1"/>
  <c r="AB24" i="54"/>
  <c r="AB24" i="55" s="1"/>
  <c r="AB156" i="54"/>
  <c r="AB156" i="55" s="1"/>
  <c r="AB117" i="54"/>
  <c r="AB117" i="55" s="1"/>
  <c r="AB55" i="54"/>
  <c r="AB55" i="55" s="1"/>
  <c r="AB128" i="54"/>
  <c r="AB128" i="55" s="1"/>
  <c r="AB76" i="54"/>
  <c r="AB76" i="55" s="1"/>
  <c r="AB135" i="54"/>
  <c r="AB135" i="55" s="1"/>
  <c r="AB114" i="54"/>
  <c r="AB114" i="55" s="1"/>
  <c r="AB98" i="54"/>
  <c r="AB98" i="55" s="1"/>
  <c r="AB85" i="54"/>
  <c r="AB85" i="55" s="1"/>
  <c r="AB100" i="54"/>
  <c r="AB100" i="55" s="1"/>
  <c r="AB43" i="54"/>
  <c r="AB43" i="55" s="1"/>
  <c r="AB35" i="54"/>
  <c r="AB35" i="55" s="1"/>
  <c r="AB9" i="54"/>
  <c r="AB9" i="55" s="1"/>
  <c r="AB15" i="54"/>
  <c r="AB15" i="55" s="1"/>
  <c r="AB163" i="54"/>
  <c r="AB163" i="55" s="1"/>
  <c r="AB152" i="54"/>
  <c r="AB152" i="55" s="1"/>
  <c r="AB20" i="54"/>
  <c r="AB20" i="55" s="1"/>
  <c r="AB104" i="54"/>
  <c r="AB104" i="55" s="1"/>
  <c r="AB132" i="54"/>
  <c r="AB132" i="55" s="1"/>
  <c r="AB99" i="54"/>
  <c r="AB99" i="55" s="1"/>
  <c r="AB150" i="54"/>
  <c r="AB150" i="55" s="1"/>
  <c r="AB50" i="54"/>
  <c r="AB50" i="55" s="1"/>
  <c r="AB136" i="54"/>
  <c r="AB136" i="55" s="1"/>
  <c r="AB67" i="54"/>
  <c r="AB67" i="55" s="1"/>
  <c r="AB54" i="54"/>
  <c r="AB54" i="55" s="1"/>
  <c r="AB168" i="54"/>
  <c r="AB168" i="55" s="1"/>
  <c r="AB63" i="54"/>
  <c r="AB63" i="55" s="1"/>
  <c r="AB111" i="54"/>
  <c r="AB111" i="55" s="1"/>
  <c r="AB157" i="54"/>
  <c r="AB157" i="55" s="1"/>
  <c r="AB8" i="54"/>
  <c r="AB8" i="55" s="1"/>
  <c r="AB38" i="54"/>
  <c r="AB38" i="55" s="1"/>
  <c r="AB108" i="54"/>
  <c r="AB108" i="55" s="1"/>
  <c r="AB90" i="54"/>
  <c r="AB90" i="55" s="1"/>
  <c r="AB44" i="54"/>
  <c r="AB44" i="55" s="1"/>
  <c r="AB94" i="54"/>
  <c r="AB94" i="55" s="1"/>
  <c r="AB171" i="54"/>
  <c r="AB171" i="55" s="1"/>
  <c r="AB169" i="54"/>
  <c r="AB169" i="55" s="1"/>
  <c r="AB28" i="54"/>
  <c r="AB28" i="55" s="1"/>
  <c r="AB142" i="54"/>
  <c r="AB142" i="55" s="1"/>
  <c r="AB3" i="54"/>
  <c r="AB3" i="55" s="1"/>
  <c r="AB144" i="54"/>
  <c r="AB144" i="55" s="1"/>
  <c r="AB26" i="54"/>
  <c r="AB26" i="55" s="1"/>
  <c r="AB102" i="54"/>
  <c r="AB102" i="55" s="1"/>
  <c r="AB4" i="54"/>
  <c r="AB4" i="55" s="1"/>
  <c r="AB101" i="54"/>
  <c r="AB101" i="55" s="1"/>
  <c r="AB107" i="54"/>
  <c r="AB107" i="55" s="1"/>
  <c r="AB21" i="54"/>
  <c r="AB21" i="55" s="1"/>
  <c r="AB146" i="54"/>
  <c r="AB146" i="55" s="1"/>
  <c r="AB153" i="54"/>
  <c r="AB153" i="55" s="1"/>
  <c r="AB151" i="54"/>
  <c r="AB151" i="55" s="1"/>
  <c r="AB62" i="54"/>
  <c r="AB62" i="55" s="1"/>
  <c r="AB166" i="54"/>
  <c r="AB166" i="55" s="1"/>
  <c r="AB121" i="54"/>
  <c r="AB121" i="55" s="1"/>
  <c r="AB118" i="54"/>
  <c r="AB118" i="55" s="1"/>
  <c r="AB110" i="54"/>
  <c r="AB110" i="55" s="1"/>
  <c r="AB167" i="54"/>
  <c r="AB167" i="55" s="1"/>
  <c r="AB145" i="54"/>
  <c r="AB145" i="55" s="1"/>
  <c r="AB81" i="54"/>
  <c r="AB81" i="55" s="1"/>
  <c r="AB74" i="54"/>
  <c r="AB74" i="55" s="1"/>
  <c r="AB116" i="54"/>
  <c r="AB116" i="55" s="1"/>
  <c r="AB69" i="54"/>
  <c r="AB69" i="55" s="1"/>
  <c r="AB96" i="54"/>
  <c r="AB96" i="55" s="1"/>
  <c r="AB148" i="54"/>
  <c r="AB148" i="55" s="1"/>
  <c r="AB65" i="54"/>
  <c r="AB65" i="55" s="1"/>
  <c r="AB91" i="54"/>
  <c r="AB91" i="55" s="1"/>
  <c r="AB112" i="54"/>
  <c r="AB112" i="55" s="1"/>
  <c r="AB149" i="54"/>
  <c r="AB149" i="55" s="1"/>
  <c r="AB124" i="54"/>
  <c r="AB124" i="55" s="1"/>
  <c r="F59" i="44"/>
  <c r="N59" i="54"/>
  <c r="N59" i="55" s="1"/>
  <c r="F12" i="44"/>
  <c r="F16" i="44"/>
  <c r="N52" i="54"/>
  <c r="N52" i="55" s="1"/>
  <c r="N77" i="54"/>
  <c r="N77" i="55" s="1"/>
  <c r="AH40" i="48"/>
  <c r="F44" i="44"/>
  <c r="F65" i="44"/>
  <c r="F69" i="44"/>
  <c r="F75" i="44"/>
  <c r="F6" i="44"/>
  <c r="F26" i="44"/>
  <c r="N2" i="54"/>
  <c r="N2" i="55" s="1"/>
  <c r="N73" i="54"/>
  <c r="N73" i="55" s="1"/>
  <c r="F58" i="44"/>
  <c r="N6" i="54"/>
  <c r="N6" i="55" s="1"/>
  <c r="N20" i="54"/>
  <c r="N20" i="55" s="1"/>
  <c r="N65" i="54"/>
  <c r="N65" i="55" s="1"/>
  <c r="F76" i="44"/>
  <c r="F74" i="44"/>
  <c r="N18" i="54"/>
  <c r="N18" i="55" s="1"/>
  <c r="N58" i="54"/>
  <c r="N58" i="55" s="1"/>
  <c r="F63" i="44"/>
  <c r="N12" i="54"/>
  <c r="N12" i="55" s="1"/>
  <c r="F2" i="44"/>
  <c r="F77" i="44"/>
  <c r="F20" i="44"/>
  <c r="F49" i="44"/>
  <c r="N51" i="54"/>
  <c r="N51" i="55" s="1"/>
  <c r="N38" i="54"/>
  <c r="N38" i="55" s="1"/>
  <c r="N79" i="54"/>
  <c r="N79" i="55" s="1"/>
  <c r="N14" i="54"/>
  <c r="N14" i="55" s="1"/>
  <c r="N25" i="54"/>
  <c r="N25" i="55" s="1"/>
  <c r="N11" i="54"/>
  <c r="N11" i="55" s="1"/>
  <c r="F18" i="44"/>
  <c r="F9" i="44"/>
  <c r="N68" i="54"/>
  <c r="N68" i="55" s="1"/>
  <c r="N26" i="54"/>
  <c r="N26" i="55" s="1"/>
  <c r="N49" i="54"/>
  <c r="N49" i="55" s="1"/>
  <c r="N44" i="54"/>
  <c r="N44" i="55" s="1"/>
  <c r="N43" i="54"/>
  <c r="N43" i="55" s="1"/>
  <c r="N50" i="54"/>
  <c r="N50" i="55" s="1"/>
  <c r="F51" i="44"/>
  <c r="F38" i="44"/>
  <c r="F71" i="44"/>
  <c r="F14" i="44"/>
  <c r="F25" i="44"/>
  <c r="F11" i="44"/>
  <c r="AH4" i="48"/>
  <c r="AH21" i="48"/>
  <c r="AH37" i="48"/>
  <c r="AH15" i="48"/>
  <c r="AH10" i="48"/>
  <c r="AH33" i="48"/>
  <c r="AH11" i="48"/>
  <c r="AH22" i="48"/>
  <c r="AH19" i="48"/>
  <c r="AH128" i="48"/>
  <c r="AH255" i="48"/>
  <c r="AH93" i="48"/>
  <c r="AH174" i="48"/>
  <c r="AH118" i="48"/>
  <c r="AH76" i="48"/>
  <c r="AH94" i="48"/>
  <c r="AH82" i="48"/>
  <c r="AH212" i="48"/>
  <c r="AH171" i="48"/>
  <c r="AH271" i="48"/>
  <c r="AH101" i="48"/>
  <c r="AH262" i="48"/>
  <c r="AH293" i="48"/>
  <c r="AH88" i="48"/>
  <c r="AH223" i="48"/>
  <c r="AH86" i="48"/>
  <c r="AH288" i="48"/>
  <c r="AH291" i="48"/>
  <c r="AH259" i="48"/>
  <c r="AH154" i="48"/>
  <c r="AH122" i="48"/>
  <c r="AH58" i="48"/>
  <c r="AH72" i="48"/>
  <c r="AH243" i="48"/>
  <c r="AH2" i="48"/>
  <c r="AH221" i="48"/>
  <c r="AH159" i="48"/>
  <c r="AH182" i="48"/>
  <c r="AH91" i="48"/>
  <c r="AH186" i="48"/>
  <c r="AH198" i="48"/>
  <c r="AH189" i="48"/>
  <c r="AH73" i="48"/>
  <c r="AH112" i="48"/>
  <c r="AH127" i="48"/>
  <c r="AH136" i="48"/>
  <c r="AH270" i="48"/>
  <c r="AH89" i="48"/>
  <c r="AH219" i="48"/>
  <c r="AH211" i="48"/>
  <c r="AH179" i="48"/>
  <c r="AH50" i="48"/>
  <c r="AH202" i="48"/>
  <c r="AH295" i="48"/>
  <c r="AH148" i="48"/>
  <c r="AH44" i="48"/>
  <c r="AH256" i="48"/>
  <c r="AH85" i="48"/>
  <c r="AH280" i="48"/>
  <c r="AH239" i="48"/>
  <c r="AH105" i="48"/>
  <c r="AH281" i="48"/>
  <c r="AH183" i="48"/>
  <c r="AH244" i="48"/>
  <c r="AH245" i="48"/>
  <c r="AH253" i="48"/>
  <c r="AH56" i="48"/>
  <c r="AH234" i="48"/>
  <c r="AH181" i="48"/>
  <c r="AH69" i="48"/>
  <c r="AH120" i="48"/>
  <c r="AH48" i="48"/>
  <c r="AH265" i="48"/>
  <c r="AH140" i="48"/>
  <c r="AH151" i="48"/>
  <c r="AH65" i="48"/>
  <c r="AH260" i="48"/>
  <c r="AH164" i="48"/>
  <c r="AH106" i="48"/>
  <c r="AH301" i="48"/>
  <c r="AH180" i="48"/>
  <c r="AH45" i="48"/>
  <c r="AH218" i="48"/>
  <c r="AH276" i="48"/>
  <c r="AH285" i="48"/>
  <c r="AH261" i="48"/>
  <c r="AH110" i="48"/>
  <c r="AH68" i="48"/>
  <c r="AH258" i="48"/>
  <c r="AH67" i="48"/>
  <c r="AH300" i="48"/>
  <c r="AH51" i="48"/>
  <c r="AH131" i="48"/>
  <c r="AH43" i="48"/>
  <c r="AH197" i="48"/>
  <c r="AH79" i="48"/>
  <c r="AH284" i="48"/>
  <c r="AH249" i="48"/>
  <c r="AH187" i="48"/>
  <c r="AH135" i="48"/>
  <c r="AH215" i="48"/>
  <c r="AH297" i="48"/>
  <c r="AH286" i="48"/>
  <c r="AH292" i="48"/>
  <c r="AH123" i="48"/>
  <c r="AH277" i="48"/>
  <c r="AH235" i="48"/>
  <c r="AH193" i="48"/>
  <c r="AH287" i="48"/>
  <c r="AH47" i="48"/>
  <c r="AH126" i="48"/>
  <c r="AH195" i="48"/>
  <c r="AH254" i="48"/>
  <c r="AH210" i="48"/>
  <c r="AH196" i="48"/>
  <c r="AH107" i="48"/>
  <c r="AH46" i="48"/>
  <c r="AH184" i="48"/>
  <c r="AH62" i="48"/>
  <c r="AH250" i="48"/>
  <c r="AH74" i="48"/>
  <c r="AH229" i="48"/>
  <c r="AH205" i="48"/>
  <c r="AH114" i="48"/>
  <c r="AH252" i="48"/>
  <c r="AH268" i="48"/>
  <c r="AH175" i="48"/>
  <c r="AH185" i="48"/>
  <c r="AH298" i="48"/>
  <c r="AH236" i="48"/>
  <c r="AH104" i="48"/>
  <c r="AH143" i="48"/>
  <c r="AH158" i="48"/>
  <c r="AH141" i="48"/>
  <c r="AH273" i="48"/>
  <c r="AH71" i="48"/>
  <c r="AH264" i="48"/>
  <c r="AH204" i="48"/>
  <c r="AH194" i="48"/>
  <c r="AH266" i="48"/>
  <c r="AH165" i="48"/>
  <c r="AH53" i="48"/>
  <c r="AH296" i="48"/>
  <c r="AH257" i="48"/>
  <c r="AH134" i="48"/>
  <c r="AH248" i="48"/>
  <c r="AH84" i="48"/>
  <c r="AH77" i="48"/>
  <c r="AH80" i="48"/>
  <c r="AH95" i="48"/>
  <c r="AH283" i="48"/>
  <c r="AH251" i="48"/>
  <c r="AH57" i="48"/>
  <c r="AH278" i="48"/>
  <c r="AH147" i="48"/>
  <c r="AH170" i="48"/>
  <c r="AH242" i="48"/>
  <c r="AH87" i="48"/>
  <c r="AH92" i="48"/>
  <c r="AH224" i="48"/>
  <c r="AH137" i="48"/>
  <c r="AH163" i="48"/>
  <c r="AH139" i="48"/>
  <c r="AH177" i="48"/>
  <c r="AH172" i="48"/>
  <c r="AH113" i="48"/>
  <c r="AH102" i="48"/>
  <c r="AH146" i="48"/>
  <c r="AH282" i="48"/>
  <c r="AH208" i="48"/>
  <c r="AH299" i="48"/>
  <c r="AH49" i="48"/>
  <c r="AH96" i="48"/>
  <c r="AH156" i="48"/>
  <c r="AH267" i="48"/>
  <c r="AH78" i="48"/>
  <c r="AH216" i="48"/>
  <c r="AH90" i="48"/>
  <c r="AH60" i="48"/>
  <c r="AH149" i="48"/>
  <c r="AH209" i="48"/>
  <c r="AH129" i="48"/>
  <c r="AH99" i="48"/>
  <c r="AH169" i="48"/>
  <c r="AH98" i="48"/>
  <c r="AH138" i="48"/>
  <c r="AH61" i="48"/>
  <c r="AH119" i="48"/>
  <c r="AH144" i="48"/>
  <c r="AH150" i="48"/>
  <c r="AH238" i="48"/>
  <c r="AH161" i="48"/>
  <c r="AH52" i="48"/>
  <c r="AH220" i="48"/>
  <c r="AH222" i="48"/>
  <c r="AH200" i="48"/>
  <c r="AH247" i="48"/>
  <c r="AH192" i="48"/>
  <c r="AH109" i="48"/>
  <c r="AH167" i="48"/>
  <c r="AH103" i="48"/>
  <c r="AH233" i="48"/>
  <c r="AH290" i="48"/>
  <c r="AH190" i="48"/>
  <c r="AH63" i="48"/>
  <c r="AH294" i="48"/>
  <c r="AH66" i="48"/>
  <c r="AH207" i="48"/>
  <c r="AH246" i="48"/>
  <c r="AH188" i="48"/>
  <c r="AH81" i="48"/>
  <c r="AH201" i="48"/>
  <c r="AH121" i="48"/>
  <c r="AH166" i="48"/>
  <c r="AH289" i="48"/>
  <c r="AH55" i="48"/>
  <c r="AH230" i="48"/>
  <c r="AH279" i="48"/>
  <c r="AH64" i="48"/>
  <c r="AH162" i="48"/>
  <c r="AH226" i="48"/>
  <c r="AH116" i="48"/>
  <c r="AH203" i="48"/>
  <c r="AH152" i="48"/>
  <c r="AH214" i="48"/>
  <c r="AH115" i="48"/>
  <c r="AH117" i="48"/>
  <c r="AH199" i="48"/>
  <c r="AH132" i="48"/>
  <c r="AH42" i="48"/>
  <c r="AH70" i="48"/>
  <c r="AH59" i="48"/>
  <c r="AH191" i="48"/>
  <c r="AH155" i="48"/>
  <c r="AH241" i="48"/>
  <c r="AH54" i="48"/>
  <c r="AH227" i="48"/>
  <c r="AH213" i="48"/>
  <c r="AH145" i="48"/>
  <c r="AH275" i="48"/>
  <c r="AH111" i="48"/>
  <c r="AH228" i="48"/>
  <c r="AH206" i="48"/>
  <c r="AH237" i="48"/>
  <c r="AH108" i="48"/>
  <c r="AH240" i="48"/>
  <c r="AH217" i="48"/>
  <c r="AH75" i="48"/>
  <c r="AH142" i="48"/>
  <c r="AH124" i="48"/>
  <c r="AH274" i="48"/>
  <c r="AH97" i="48"/>
  <c r="AH160" i="48"/>
  <c r="AH173" i="48"/>
  <c r="AH231" i="48"/>
  <c r="AH157" i="48"/>
  <c r="AH100" i="48"/>
  <c r="AH263" i="48"/>
  <c r="AH168" i="48"/>
  <c r="AH178" i="48"/>
  <c r="AH225" i="48"/>
  <c r="AH130" i="48"/>
  <c r="AH272" i="48"/>
  <c r="AH176" i="48"/>
  <c r="AH153" i="48"/>
  <c r="AH125" i="48"/>
  <c r="AH133" i="48"/>
  <c r="AH269" i="48"/>
  <c r="AH232" i="48"/>
  <c r="AH83" i="48"/>
  <c r="AH27" i="48"/>
  <c r="AH35" i="48"/>
  <c r="AH14" i="48"/>
  <c r="T29" i="44"/>
  <c r="T85" i="44"/>
  <c r="M36" i="44"/>
  <c r="M117" i="44"/>
  <c r="T73" i="44"/>
  <c r="AA32" i="44"/>
  <c r="T107" i="44"/>
  <c r="T208" i="44"/>
  <c r="AA23" i="44"/>
  <c r="T171" i="44"/>
  <c r="M27" i="44"/>
  <c r="M151" i="44"/>
  <c r="T164" i="44"/>
  <c r="T70" i="44"/>
  <c r="M145" i="44"/>
  <c r="T200" i="44"/>
  <c r="T187" i="44"/>
  <c r="M35" i="44"/>
  <c r="T77" i="44"/>
  <c r="AA44" i="44"/>
  <c r="AA21" i="44"/>
  <c r="T204" i="44"/>
  <c r="M126" i="44"/>
  <c r="T159" i="44"/>
  <c r="M85" i="44"/>
  <c r="M66" i="44"/>
  <c r="M46" i="44"/>
  <c r="AA16" i="44"/>
  <c r="T119" i="44"/>
  <c r="T115" i="44"/>
  <c r="M128" i="44"/>
  <c r="M47" i="44"/>
  <c r="M82" i="44"/>
  <c r="AA68" i="44"/>
  <c r="M29" i="44"/>
  <c r="M57" i="44"/>
  <c r="M60" i="44"/>
  <c r="T80" i="44"/>
  <c r="T81" i="44"/>
  <c r="T211" i="44"/>
  <c r="T17" i="44"/>
  <c r="M108" i="44"/>
  <c r="AA89" i="44"/>
  <c r="T157" i="44"/>
  <c r="T145" i="44"/>
  <c r="T194" i="44"/>
  <c r="T50" i="44"/>
  <c r="AA94" i="44"/>
  <c r="T110" i="44"/>
  <c r="T152" i="44"/>
  <c r="AA20" i="44"/>
  <c r="M131" i="44"/>
  <c r="M152" i="44"/>
  <c r="T126" i="44"/>
  <c r="AA101" i="44"/>
  <c r="M116" i="44"/>
  <c r="T30" i="44"/>
  <c r="M18" i="44"/>
  <c r="AA78" i="44"/>
  <c r="M21" i="44"/>
  <c r="M149" i="44"/>
  <c r="T154" i="44"/>
  <c r="T65" i="44"/>
  <c r="M166" i="44"/>
  <c r="M162" i="44"/>
  <c r="T174" i="44"/>
  <c r="M161" i="44"/>
  <c r="T91" i="44"/>
  <c r="M51" i="44"/>
  <c r="AA73" i="44"/>
  <c r="T156" i="44"/>
  <c r="AA49" i="44"/>
  <c r="M160" i="44"/>
  <c r="M99" i="44"/>
  <c r="M24" i="44"/>
  <c r="T57" i="44"/>
  <c r="M157" i="44"/>
  <c r="AA82" i="44"/>
  <c r="M68" i="44"/>
  <c r="M10" i="44"/>
  <c r="AA84" i="44"/>
  <c r="AA62" i="44"/>
  <c r="AA85" i="44"/>
  <c r="M155" i="44"/>
  <c r="AA11" i="44"/>
  <c r="AA39" i="44"/>
  <c r="AA79" i="44"/>
  <c r="T78" i="44"/>
  <c r="AA99" i="44"/>
  <c r="M92" i="44"/>
  <c r="M59" i="44"/>
  <c r="T14" i="44"/>
  <c r="AA92" i="44"/>
  <c r="M106" i="44"/>
  <c r="AA15" i="44"/>
  <c r="T108" i="44"/>
  <c r="M165" i="44"/>
  <c r="M123" i="44"/>
  <c r="T55" i="44"/>
  <c r="M84" i="44"/>
  <c r="T199" i="44"/>
  <c r="M141" i="44"/>
  <c r="T71" i="44"/>
  <c r="T212" i="44"/>
  <c r="M124" i="44"/>
  <c r="M101" i="44"/>
  <c r="M17" i="44"/>
  <c r="M127" i="44"/>
  <c r="AA13" i="44"/>
  <c r="T28" i="44"/>
  <c r="T103" i="44"/>
  <c r="T99" i="44"/>
  <c r="M26" i="44"/>
  <c r="T196" i="44"/>
  <c r="T58" i="44"/>
  <c r="T76" i="44"/>
  <c r="T101" i="44"/>
  <c r="M103" i="44"/>
  <c r="M54" i="44"/>
  <c r="AA87" i="44"/>
  <c r="T51" i="44"/>
  <c r="T2" i="44"/>
  <c r="T9" i="44"/>
  <c r="T56" i="44"/>
  <c r="AA18" i="44"/>
  <c r="M33" i="44"/>
  <c r="T54" i="44"/>
  <c r="AA48" i="44"/>
  <c r="M6" i="44"/>
  <c r="T141" i="44"/>
  <c r="AA93" i="44"/>
  <c r="M96" i="44"/>
  <c r="M79" i="44"/>
  <c r="T155" i="44"/>
  <c r="AA61" i="44"/>
  <c r="T53" i="44"/>
  <c r="AA51" i="44"/>
  <c r="T123" i="44"/>
  <c r="T102" i="44"/>
  <c r="M15" i="44"/>
  <c r="T61" i="44"/>
  <c r="M135" i="44"/>
  <c r="M70" i="44"/>
  <c r="M69" i="44"/>
  <c r="T189" i="44"/>
  <c r="M72" i="44"/>
  <c r="T25" i="44"/>
  <c r="AA33" i="44"/>
  <c r="T74" i="44"/>
  <c r="M146" i="44"/>
  <c r="T146" i="44"/>
  <c r="T186" i="44"/>
  <c r="M107" i="44"/>
  <c r="T129" i="44"/>
  <c r="T100" i="44"/>
  <c r="T111" i="44"/>
  <c r="AA86" i="44"/>
  <c r="M129" i="44"/>
  <c r="T90" i="44"/>
  <c r="M55" i="44"/>
  <c r="AA5" i="44"/>
  <c r="AA14" i="44"/>
  <c r="T168" i="44"/>
  <c r="T33" i="44"/>
  <c r="M20" i="44"/>
  <c r="M118" i="44"/>
  <c r="M163" i="44"/>
  <c r="AA41" i="44"/>
  <c r="M144" i="44"/>
  <c r="T140" i="44"/>
  <c r="M83" i="44"/>
  <c r="T180" i="44"/>
  <c r="M49" i="44"/>
  <c r="AA12" i="44"/>
  <c r="M158" i="44"/>
  <c r="AA67" i="44"/>
  <c r="T8" i="44"/>
  <c r="T178" i="44"/>
  <c r="M7" i="44"/>
  <c r="T62" i="44"/>
  <c r="AA81" i="44"/>
  <c r="M97" i="44"/>
  <c r="T35" i="44"/>
  <c r="T88" i="44"/>
  <c r="T209" i="44"/>
  <c r="M78" i="44"/>
  <c r="T36" i="44"/>
  <c r="M156" i="44"/>
  <c r="M164" i="44"/>
  <c r="M169" i="44"/>
  <c r="M45" i="44"/>
  <c r="AA52" i="44"/>
  <c r="T19" i="44"/>
  <c r="AA28" i="44"/>
  <c r="T149" i="44"/>
  <c r="M167" i="44"/>
  <c r="T221" i="44"/>
  <c r="T69" i="44"/>
  <c r="T202" i="44"/>
  <c r="T79" i="44"/>
  <c r="M100" i="44"/>
  <c r="AA25" i="44"/>
  <c r="AA10" i="44"/>
  <c r="AA66" i="44"/>
  <c r="T169" i="44"/>
  <c r="T106" i="44"/>
  <c r="T24" i="44"/>
  <c r="T170" i="44"/>
  <c r="M133" i="44"/>
  <c r="M81" i="44"/>
  <c r="AA55" i="44"/>
  <c r="T148" i="44"/>
  <c r="T66" i="44"/>
  <c r="AA36" i="44"/>
  <c r="T16" i="44"/>
  <c r="M30" i="44"/>
  <c r="AA91" i="44"/>
  <c r="AA2" i="44"/>
  <c r="M42" i="44"/>
  <c r="T3" i="44"/>
  <c r="T138" i="44"/>
  <c r="M3" i="44"/>
  <c r="AA26" i="44"/>
  <c r="T96" i="44"/>
  <c r="M12" i="44"/>
  <c r="T93" i="44"/>
  <c r="T136" i="44"/>
  <c r="M119" i="44"/>
  <c r="T131" i="44"/>
  <c r="T49" i="44"/>
  <c r="AA88" i="44"/>
  <c r="T166" i="44"/>
  <c r="M147" i="44"/>
  <c r="M77" i="44"/>
  <c r="M43" i="44"/>
  <c r="T134" i="44"/>
  <c r="T105" i="44"/>
  <c r="T42" i="44"/>
  <c r="T182" i="44"/>
  <c r="T163" i="44"/>
  <c r="T150" i="44"/>
  <c r="M134" i="44"/>
  <c r="AA17" i="44"/>
  <c r="T193" i="44"/>
  <c r="T173" i="44"/>
  <c r="AA71" i="44"/>
  <c r="M140" i="44"/>
  <c r="T104" i="44"/>
  <c r="AA77" i="44"/>
  <c r="M31" i="44"/>
  <c r="AA50" i="44"/>
  <c r="M154" i="44"/>
  <c r="AA70" i="44"/>
  <c r="AA4" i="44"/>
  <c r="M37" i="44"/>
  <c r="AA100" i="44"/>
  <c r="M120" i="44"/>
  <c r="M153" i="44"/>
  <c r="M87" i="44"/>
  <c r="M61" i="44"/>
  <c r="AA64" i="44"/>
  <c r="AA27" i="44"/>
  <c r="AA63" i="44"/>
  <c r="M130" i="44"/>
  <c r="T175" i="44"/>
  <c r="AA30" i="44"/>
  <c r="AA97" i="44"/>
  <c r="AA24" i="44"/>
  <c r="T10" i="44"/>
  <c r="T82" i="44"/>
  <c r="T95" i="44"/>
  <c r="M136" i="44"/>
  <c r="T112" i="44"/>
  <c r="AA98" i="44"/>
  <c r="AA35" i="44"/>
  <c r="AA83" i="44"/>
  <c r="M16" i="44"/>
  <c r="T22" i="44"/>
  <c r="M62" i="44"/>
  <c r="T87" i="44"/>
  <c r="M11" i="44"/>
  <c r="T27" i="44"/>
  <c r="AA46" i="44"/>
  <c r="T217" i="44"/>
  <c r="M90" i="44"/>
  <c r="T117" i="44"/>
  <c r="M171" i="44"/>
  <c r="T165" i="44"/>
  <c r="T118" i="44"/>
  <c r="T43" i="44"/>
  <c r="T122" i="44"/>
  <c r="AA42" i="44"/>
  <c r="M159" i="44"/>
  <c r="T162" i="44"/>
  <c r="M71" i="44"/>
  <c r="T68" i="44"/>
  <c r="T98" i="44"/>
  <c r="T72" i="44"/>
  <c r="T191" i="44"/>
  <c r="M86" i="44"/>
  <c r="T192" i="44"/>
  <c r="M52" i="44"/>
  <c r="M39" i="44"/>
  <c r="M63" i="44"/>
  <c r="M94" i="44"/>
  <c r="M73" i="44"/>
  <c r="M5" i="44"/>
  <c r="M115" i="44"/>
  <c r="M114" i="44"/>
  <c r="T214" i="44"/>
  <c r="M132" i="44"/>
  <c r="M40" i="44"/>
  <c r="M48" i="44"/>
  <c r="T32" i="44"/>
  <c r="T183" i="44"/>
  <c r="T6" i="44"/>
  <c r="T179" i="44"/>
  <c r="AA80" i="44"/>
  <c r="T46" i="44"/>
  <c r="M4" i="44"/>
  <c r="M104" i="44"/>
  <c r="AA34" i="44"/>
  <c r="T124" i="44"/>
  <c r="M139" i="44"/>
  <c r="M122" i="44"/>
  <c r="AA9" i="44"/>
  <c r="M170" i="44"/>
  <c r="T135" i="44"/>
  <c r="M41" i="44"/>
  <c r="T184" i="44"/>
  <c r="T177" i="44"/>
  <c r="T142" i="44"/>
  <c r="M9" i="44"/>
  <c r="AA3" i="44"/>
  <c r="AA37" i="44"/>
  <c r="AA47" i="44"/>
  <c r="T92" i="44"/>
  <c r="M76" i="44"/>
  <c r="M113" i="44"/>
  <c r="T40" i="44"/>
  <c r="M150" i="44"/>
  <c r="T44" i="44"/>
  <c r="M138" i="44"/>
  <c r="M8" i="44"/>
  <c r="T130" i="44"/>
  <c r="AA57" i="44"/>
  <c r="T20" i="44"/>
  <c r="T203" i="44"/>
  <c r="T86" i="44"/>
  <c r="T207" i="44"/>
  <c r="T210" i="44"/>
  <c r="AA45" i="44"/>
  <c r="AA56" i="44"/>
  <c r="T59" i="44"/>
  <c r="T201" i="44"/>
  <c r="M98" i="44"/>
  <c r="T116" i="44"/>
  <c r="T34" i="44"/>
  <c r="AA29" i="44"/>
  <c r="M80" i="44"/>
  <c r="T18" i="44"/>
  <c r="AA75" i="44"/>
  <c r="T11" i="44"/>
  <c r="T176" i="44"/>
  <c r="T4" i="44"/>
  <c r="T13" i="44"/>
  <c r="M112" i="44"/>
  <c r="T147" i="44"/>
  <c r="M32" i="44"/>
  <c r="T206" i="44"/>
  <c r="T94" i="44"/>
  <c r="M89" i="44"/>
  <c r="T41" i="44"/>
  <c r="T216" i="44"/>
  <c r="M125" i="44"/>
  <c r="M75" i="44"/>
  <c r="T161" i="44"/>
  <c r="M121" i="44"/>
  <c r="M168" i="44"/>
  <c r="M142" i="44"/>
  <c r="T114" i="44"/>
  <c r="AA31" i="44"/>
  <c r="M34" i="44"/>
  <c r="AA6" i="44"/>
  <c r="T39" i="44"/>
  <c r="T60" i="44"/>
  <c r="T52" i="44"/>
  <c r="T188" i="44"/>
  <c r="T64" i="44"/>
  <c r="M93" i="44"/>
  <c r="T121" i="44"/>
  <c r="T133" i="44"/>
  <c r="T198" i="44"/>
  <c r="M105" i="44"/>
  <c r="M74" i="44"/>
  <c r="T47" i="44"/>
  <c r="T219" i="44"/>
  <c r="T128" i="44"/>
  <c r="M44" i="44"/>
  <c r="T139" i="44"/>
  <c r="AA95" i="44"/>
  <c r="T113" i="44"/>
  <c r="AA22" i="44"/>
  <c r="M14" i="44"/>
  <c r="T31" i="44"/>
  <c r="AA72" i="44"/>
  <c r="AA19" i="44"/>
  <c r="M67" i="44"/>
  <c r="T218" i="44"/>
  <c r="M109" i="44"/>
  <c r="M25" i="44"/>
  <c r="M95" i="44"/>
  <c r="M88" i="44"/>
  <c r="M91" i="44"/>
  <c r="T197" i="44"/>
  <c r="T63" i="44"/>
  <c r="T75" i="44"/>
  <c r="T48" i="44"/>
  <c r="T185" i="44"/>
  <c r="AA54" i="44"/>
  <c r="T89" i="44"/>
  <c r="T125" i="44"/>
  <c r="T158" i="44"/>
  <c r="T23" i="44"/>
  <c r="AA69" i="44"/>
  <c r="T190" i="44"/>
  <c r="T172" i="44"/>
  <c r="AA43" i="44"/>
  <c r="M148" i="44"/>
  <c r="T137" i="44"/>
  <c r="AA74" i="44"/>
  <c r="AA58" i="44"/>
  <c r="T160" i="44"/>
  <c r="AA76" i="44"/>
  <c r="T37" i="44"/>
  <c r="T181" i="44"/>
  <c r="AA59" i="44"/>
  <c r="T7" i="44"/>
  <c r="T205" i="44"/>
  <c r="T109" i="44"/>
  <c r="T195" i="44"/>
  <c r="M64" i="44"/>
  <c r="AA96" i="44"/>
  <c r="T215" i="44"/>
  <c r="M143" i="44"/>
  <c r="T167" i="44"/>
  <c r="T97" i="44"/>
  <c r="T21" i="44"/>
  <c r="T67" i="44"/>
  <c r="T26" i="44"/>
  <c r="T83" i="44"/>
  <c r="M102" i="44"/>
  <c r="M23" i="44"/>
  <c r="T38" i="44"/>
  <c r="AA7" i="44"/>
  <c r="T151" i="44"/>
  <c r="AA8" i="44"/>
  <c r="M22" i="44"/>
  <c r="M110" i="44"/>
  <c r="T127" i="44"/>
  <c r="M137" i="44"/>
  <c r="M19" i="44"/>
  <c r="M65" i="44"/>
  <c r="M2" i="44"/>
  <c r="T143" i="44"/>
  <c r="M58" i="44"/>
  <c r="T120" i="44"/>
  <c r="AA60" i="44"/>
  <c r="T213" i="44"/>
  <c r="T132" i="44"/>
  <c r="M50" i="44"/>
  <c r="AA65" i="44"/>
  <c r="M13" i="44"/>
  <c r="M56" i="44"/>
  <c r="T15" i="44"/>
  <c r="AA53" i="44"/>
  <c r="AA40" i="44"/>
  <c r="T144" i="44"/>
  <c r="T5" i="44"/>
  <c r="AA38" i="44"/>
  <c r="T153" i="44"/>
  <c r="T220" i="44"/>
  <c r="M53" i="44"/>
  <c r="M38" i="44"/>
  <c r="T84" i="44"/>
  <c r="M28" i="44"/>
  <c r="AA90" i="44"/>
  <c r="T12" i="44"/>
  <c r="M111" i="44"/>
  <c r="T45" i="44"/>
  <c r="N17" i="55"/>
  <c r="N57" i="55"/>
  <c r="N80" i="55"/>
  <c r="AH30" i="48"/>
  <c r="AH28" i="48"/>
  <c r="AH26" i="48"/>
  <c r="AH38" i="48"/>
  <c r="AH39" i="48"/>
  <c r="AH7" i="48"/>
  <c r="AH24" i="48"/>
  <c r="AH29" i="48"/>
  <c r="AH32" i="48"/>
  <c r="AH41" i="48"/>
  <c r="AH36" i="48"/>
  <c r="AH23" i="48"/>
  <c r="AH34" i="48"/>
  <c r="AH31" i="48"/>
  <c r="AH8" i="48"/>
  <c r="AH17" i="48"/>
  <c r="AH20" i="48"/>
  <c r="AH6" i="48"/>
  <c r="AH25" i="48"/>
  <c r="AH12" i="48"/>
  <c r="AH3" i="48"/>
  <c r="AH18" i="48"/>
  <c r="AH13" i="48"/>
  <c r="AH16" i="48"/>
  <c r="AH5" i="48"/>
  <c r="AH9" i="48"/>
  <c r="AP21" i="48" l="1"/>
  <c r="AP262" i="48"/>
  <c r="AP98" i="48"/>
  <c r="AP214" i="48"/>
  <c r="AP131" i="48"/>
  <c r="AP14" i="48"/>
  <c r="AP167" i="48"/>
  <c r="AP146" i="48"/>
  <c r="AP186" i="48"/>
  <c r="AP71" i="48"/>
  <c r="AP22" i="48"/>
  <c r="AP91" i="48"/>
  <c r="AP109" i="48"/>
  <c r="AP11" i="48"/>
  <c r="AP280" i="48"/>
  <c r="AP100" i="48"/>
  <c r="AP277" i="48"/>
  <c r="AP211" i="48"/>
  <c r="AP246" i="48"/>
  <c r="AP271" i="48"/>
  <c r="AP101" i="48"/>
  <c r="AP47" i="48"/>
  <c r="AP212" i="48"/>
  <c r="AP136" i="48"/>
  <c r="AP30" i="48"/>
  <c r="AP235" i="48"/>
  <c r="AP268" i="48"/>
  <c r="AP119" i="48"/>
  <c r="AP124" i="48"/>
  <c r="AP210" i="48"/>
  <c r="AP80" i="48"/>
  <c r="AP257" i="48"/>
  <c r="AP222" i="48"/>
  <c r="AP292" i="48"/>
  <c r="AP59" i="48"/>
  <c r="AP85" i="48"/>
  <c r="AP126" i="48"/>
  <c r="AP51" i="48"/>
  <c r="AP203" i="48"/>
  <c r="AP153" i="48"/>
  <c r="AP162" i="48"/>
  <c r="AP198" i="48"/>
  <c r="AP258" i="48"/>
  <c r="AP182" i="48"/>
  <c r="AP286" i="48"/>
  <c r="AP108" i="48"/>
  <c r="AP24" i="48"/>
  <c r="AP132" i="48"/>
  <c r="AP113" i="48"/>
  <c r="AP287" i="48"/>
  <c r="AP217" i="48"/>
  <c r="AP137" i="48"/>
  <c r="AP32" i="48"/>
  <c r="AP55" i="48"/>
  <c r="AP89" i="48"/>
  <c r="AP225" i="48"/>
  <c r="AP31" i="48"/>
  <c r="AP70" i="48"/>
  <c r="AP156" i="48"/>
  <c r="AP5" i="48"/>
  <c r="AP107" i="48"/>
  <c r="AP112" i="48"/>
  <c r="AP197" i="48"/>
  <c r="AP299" i="48"/>
  <c r="AP38" i="48"/>
  <c r="AP103" i="48"/>
  <c r="AP97" i="48"/>
  <c r="AP165" i="48"/>
  <c r="AP176" i="48"/>
  <c r="AP40" i="48"/>
  <c r="AP244" i="48"/>
  <c r="AP7" i="48"/>
  <c r="AP158" i="48"/>
  <c r="AP208" i="48"/>
  <c r="AP90" i="48"/>
  <c r="AP253" i="48"/>
  <c r="AP39" i="48"/>
  <c r="AP139" i="48"/>
  <c r="AP135" i="48"/>
  <c r="AP117" i="48"/>
  <c r="AP251" i="48"/>
  <c r="AP96" i="48"/>
  <c r="AP240" i="48"/>
  <c r="AP188" i="48"/>
  <c r="AP194" i="48"/>
  <c r="AP42" i="48"/>
  <c r="AP140" i="48"/>
  <c r="AP289" i="48"/>
  <c r="AP263" i="48"/>
  <c r="AP270" i="48"/>
  <c r="AP43" i="48"/>
  <c r="AP12" i="48"/>
  <c r="AP105" i="48"/>
  <c r="AP265" i="48"/>
  <c r="AP17" i="48"/>
  <c r="AP127" i="48"/>
  <c r="AP254" i="48"/>
  <c r="AP69" i="48"/>
  <c r="AP128" i="48"/>
  <c r="AP159" i="48"/>
  <c r="AP142" i="48"/>
  <c r="AP20" i="48"/>
  <c r="AP163" i="48"/>
  <c r="AP245" i="48"/>
  <c r="AP115" i="48"/>
  <c r="AP191" i="48"/>
  <c r="AP6" i="48"/>
  <c r="AP273" i="48"/>
  <c r="AP56" i="48"/>
  <c r="AP200" i="48"/>
  <c r="AP15" i="48"/>
  <c r="AP229" i="48"/>
  <c r="AP296" i="48"/>
  <c r="AP77" i="48"/>
  <c r="AP199" i="48"/>
  <c r="AP67" i="48"/>
  <c r="AP18" i="48"/>
  <c r="AP160" i="48"/>
  <c r="AP193" i="48"/>
  <c r="AP181" i="48"/>
  <c r="AP278" i="48"/>
  <c r="AP133" i="48"/>
  <c r="AP63" i="48"/>
  <c r="AP216" i="48"/>
  <c r="AP178" i="48"/>
  <c r="AP227" i="48"/>
  <c r="AP196" i="48"/>
  <c r="AP9" i="48"/>
  <c r="AP81" i="48"/>
  <c r="AP48" i="48"/>
  <c r="AP281" i="48"/>
  <c r="AP234" i="48"/>
  <c r="AP68" i="48"/>
  <c r="AP88" i="48"/>
  <c r="AP52" i="48"/>
  <c r="AP141" i="48"/>
  <c r="AP218" i="48"/>
  <c r="AP147" i="48"/>
  <c r="AP57" i="48"/>
  <c r="AP300" i="48"/>
  <c r="AP259" i="48"/>
  <c r="AP116" i="48"/>
  <c r="AP50" i="48"/>
  <c r="AP231" i="48"/>
  <c r="AP207" i="48"/>
  <c r="AP150" i="48"/>
  <c r="AP184" i="48"/>
  <c r="AP29" i="48"/>
  <c r="AP13" i="48"/>
  <c r="AP185" i="48"/>
  <c r="AP209" i="48"/>
  <c r="AP2" i="48"/>
  <c r="AP54" i="48"/>
  <c r="AP264" i="48"/>
  <c r="AP123" i="48"/>
  <c r="AP237" i="48"/>
  <c r="AP60" i="48"/>
  <c r="AP285" i="48"/>
  <c r="AP129" i="48"/>
  <c r="AP27" i="48"/>
  <c r="AP8" i="48"/>
  <c r="AP84" i="48"/>
  <c r="AP174" i="48"/>
  <c r="AP266" i="48"/>
  <c r="AP294" i="48"/>
  <c r="AP232" i="48"/>
  <c r="AP44" i="48"/>
  <c r="AP223" i="48"/>
  <c r="AP260" i="48"/>
  <c r="AP169" i="48"/>
  <c r="AP45" i="48"/>
  <c r="AP130" i="48"/>
  <c r="AP106" i="48"/>
  <c r="AP298" i="48"/>
  <c r="AP187" i="48"/>
  <c r="AP73" i="48"/>
  <c r="AP93" i="48"/>
  <c r="AP279" i="48"/>
  <c r="AP28" i="48"/>
  <c r="AP53" i="48"/>
  <c r="AP301" i="48"/>
  <c r="AP168" i="48"/>
  <c r="AP110" i="48"/>
  <c r="AP125" i="48"/>
  <c r="AP62" i="48"/>
  <c r="AP66" i="48"/>
  <c r="AP41" i="48"/>
  <c r="AP248" i="48"/>
  <c r="AP74" i="48"/>
  <c r="AP25" i="48"/>
  <c r="AP34" i="48"/>
  <c r="AP252" i="48"/>
  <c r="AP206" i="48"/>
  <c r="AP26" i="48"/>
  <c r="AP274" i="48"/>
  <c r="AP173" i="48"/>
  <c r="AP255" i="48"/>
  <c r="AP164" i="48"/>
  <c r="AP283" i="48"/>
  <c r="AP79" i="48"/>
  <c r="AP152" i="48"/>
  <c r="AP247" i="48"/>
  <c r="AP46" i="48"/>
  <c r="AP83" i="48"/>
  <c r="AP19" i="48"/>
  <c r="AP121" i="48"/>
  <c r="AP290" i="48"/>
  <c r="AP249" i="48"/>
  <c r="AP284" i="48"/>
  <c r="AP241" i="48"/>
  <c r="AP204" i="48"/>
  <c r="AP161" i="48"/>
  <c r="AP213" i="48"/>
  <c r="AP190" i="48"/>
  <c r="AP205" i="48"/>
  <c r="AP154" i="48"/>
  <c r="AP220" i="48"/>
  <c r="AP175" i="48"/>
  <c r="AP104" i="48"/>
  <c r="AP78" i="48"/>
  <c r="AP148" i="48"/>
  <c r="AP172" i="48"/>
  <c r="AP179" i="48"/>
  <c r="AP282" i="48"/>
  <c r="AP65" i="48"/>
  <c r="AP64" i="48"/>
  <c r="AP92" i="48"/>
  <c r="AP75" i="48"/>
  <c r="AP170" i="48"/>
  <c r="AP228" i="48"/>
  <c r="AP94" i="48"/>
  <c r="AP288" i="48"/>
  <c r="AP295" i="48"/>
  <c r="AP35" i="48"/>
  <c r="AP122" i="48"/>
  <c r="AP166" i="48"/>
  <c r="AP111" i="48"/>
  <c r="AP58" i="48"/>
  <c r="AP4" i="48"/>
  <c r="AP36" i="48"/>
  <c r="AP243" i="48"/>
  <c r="AP224" i="48"/>
  <c r="AP272" i="48"/>
  <c r="AP256" i="48"/>
  <c r="AP143" i="48"/>
  <c r="AP118" i="48"/>
  <c r="AP114" i="48"/>
  <c r="AP102" i="48"/>
  <c r="AP226" i="48"/>
  <c r="AP10" i="48"/>
  <c r="AP3" i="48"/>
  <c r="AP72" i="48"/>
  <c r="AP145" i="48"/>
  <c r="AP219" i="48"/>
  <c r="AP177" i="48"/>
  <c r="AP76" i="48"/>
  <c r="AP297" i="48"/>
  <c r="AP221" i="48"/>
  <c r="AP23" i="48"/>
  <c r="AP195" i="48"/>
  <c r="AP134" i="48"/>
  <c r="AP236" i="48"/>
  <c r="AP276" i="48"/>
  <c r="AP239" i="48"/>
  <c r="AP250" i="48"/>
  <c r="AP87" i="48"/>
  <c r="AP16" i="48"/>
  <c r="AP37" i="48"/>
  <c r="AP238" i="48"/>
  <c r="AP99" i="48"/>
  <c r="AP233" i="48"/>
  <c r="AP171" i="48"/>
  <c r="AP61" i="48"/>
  <c r="AP202" i="48"/>
  <c r="AP215" i="48"/>
  <c r="AP49" i="48"/>
  <c r="AP149" i="48"/>
  <c r="AP242" i="48"/>
  <c r="AP86" i="48"/>
  <c r="AP180" i="48"/>
  <c r="AP138" i="48"/>
  <c r="AP33" i="48"/>
  <c r="AP95" i="48"/>
  <c r="AP267" i="48"/>
  <c r="AP230" i="48"/>
  <c r="AP183" i="48"/>
  <c r="AP269" i="48"/>
  <c r="AP192" i="48"/>
  <c r="AP293" i="48"/>
  <c r="AP82" i="48"/>
  <c r="AP151" i="48"/>
  <c r="AP155" i="48"/>
  <c r="AP157" i="48"/>
  <c r="AP144" i="48"/>
  <c r="AP189" i="48"/>
  <c r="AP201" i="48"/>
  <c r="AP275" i="48"/>
  <c r="AP291" i="48"/>
  <c r="AP261" i="48"/>
  <c r="AP120" i="48"/>
  <c r="AR223" i="48" l="1"/>
  <c r="AQ223" i="48"/>
  <c r="AT223" i="48"/>
  <c r="AS223" i="48"/>
  <c r="AQ44" i="48"/>
  <c r="AS44" i="48"/>
  <c r="AR44" i="48"/>
  <c r="AT44" i="48"/>
  <c r="AS25" i="48"/>
  <c r="AR25" i="48"/>
  <c r="AQ25" i="48"/>
  <c r="AT25" i="48"/>
  <c r="AR286" i="48"/>
  <c r="AQ286" i="48"/>
  <c r="AT286" i="48"/>
  <c r="AS286" i="48"/>
  <c r="AQ95" i="48"/>
  <c r="AT95" i="48"/>
  <c r="AS95" i="48"/>
  <c r="AR95" i="48"/>
  <c r="AR97" i="48"/>
  <c r="AS97" i="48"/>
  <c r="AT97" i="48"/>
  <c r="AQ97" i="48"/>
  <c r="AS263" i="48"/>
  <c r="AR263" i="48"/>
  <c r="AT263" i="48"/>
  <c r="AQ263" i="48"/>
  <c r="AT38" i="48"/>
  <c r="AR38" i="48"/>
  <c r="AQ38" i="48"/>
  <c r="AS38" i="48"/>
  <c r="AR162" i="48"/>
  <c r="AT162" i="48"/>
  <c r="AS162" i="48"/>
  <c r="AQ162" i="48"/>
  <c r="AQ277" i="48"/>
  <c r="AT277" i="48"/>
  <c r="AR277" i="48"/>
  <c r="AS277" i="48"/>
  <c r="AS132" i="48"/>
  <c r="AT132" i="48"/>
  <c r="AR132" i="48"/>
  <c r="AQ132" i="48"/>
  <c r="AR265" i="48"/>
  <c r="AQ265" i="48"/>
  <c r="AT265" i="48"/>
  <c r="AS265" i="48"/>
  <c r="AR195" i="48"/>
  <c r="AS195" i="48"/>
  <c r="AT195" i="48"/>
  <c r="AQ195" i="48"/>
  <c r="AR122" i="48"/>
  <c r="AS122" i="48"/>
  <c r="AT122" i="48"/>
  <c r="AQ122" i="48"/>
  <c r="AQ84" i="48"/>
  <c r="AR84" i="48"/>
  <c r="AT84" i="48"/>
  <c r="AS84" i="48"/>
  <c r="AT27" i="48"/>
  <c r="AR27" i="48"/>
  <c r="AQ27" i="48"/>
  <c r="AS27" i="48"/>
  <c r="AQ141" i="48"/>
  <c r="AR141" i="48"/>
  <c r="AT141" i="48"/>
  <c r="AS141" i="48"/>
  <c r="AT229" i="48"/>
  <c r="AQ229" i="48"/>
  <c r="AR229" i="48"/>
  <c r="AS229" i="48"/>
  <c r="AR289" i="48"/>
  <c r="AT289" i="48"/>
  <c r="AQ289" i="48"/>
  <c r="AS289" i="48"/>
  <c r="AS299" i="48"/>
  <c r="AR299" i="48"/>
  <c r="AQ299" i="48"/>
  <c r="AT299" i="48"/>
  <c r="AR153" i="48"/>
  <c r="AT153" i="48"/>
  <c r="AQ153" i="48"/>
  <c r="AS153" i="48"/>
  <c r="AQ100" i="48"/>
  <c r="AS100" i="48"/>
  <c r="AR100" i="48"/>
  <c r="AT100" i="48"/>
  <c r="AR154" i="48"/>
  <c r="AS154" i="48"/>
  <c r="AQ154" i="48"/>
  <c r="AT154" i="48"/>
  <c r="AQ24" i="48"/>
  <c r="AR24" i="48"/>
  <c r="AT24" i="48"/>
  <c r="AS24" i="48"/>
  <c r="AT259" i="48"/>
  <c r="AQ259" i="48"/>
  <c r="AR259" i="48"/>
  <c r="AS259" i="48"/>
  <c r="AQ12" i="48"/>
  <c r="AR12" i="48"/>
  <c r="AT12" i="48"/>
  <c r="AS12" i="48"/>
  <c r="AT241" i="48"/>
  <c r="AS241" i="48"/>
  <c r="AQ241" i="48"/>
  <c r="AR241" i="48"/>
  <c r="AR138" i="48"/>
  <c r="AS138" i="48"/>
  <c r="AQ138" i="48"/>
  <c r="AT138" i="48"/>
  <c r="AR52" i="48"/>
  <c r="AQ52" i="48"/>
  <c r="AS52" i="48"/>
  <c r="AT52" i="48"/>
  <c r="AQ15" i="48"/>
  <c r="AT15" i="48"/>
  <c r="AS15" i="48"/>
  <c r="AR15" i="48"/>
  <c r="AS140" i="48"/>
  <c r="AR140" i="48"/>
  <c r="AT140" i="48"/>
  <c r="AQ140" i="48"/>
  <c r="AS197" i="48"/>
  <c r="AQ197" i="48"/>
  <c r="AR197" i="48"/>
  <c r="AT197" i="48"/>
  <c r="AQ203" i="48"/>
  <c r="AS203" i="48"/>
  <c r="AT203" i="48"/>
  <c r="AR203" i="48"/>
  <c r="AR280" i="48"/>
  <c r="AT280" i="48"/>
  <c r="AQ280" i="48"/>
  <c r="AS280" i="48"/>
  <c r="AR239" i="48"/>
  <c r="AT239" i="48"/>
  <c r="AQ239" i="48"/>
  <c r="AS239" i="48"/>
  <c r="AR17" i="48"/>
  <c r="AT17" i="48"/>
  <c r="AQ17" i="48"/>
  <c r="AS17" i="48"/>
  <c r="AS105" i="48"/>
  <c r="AQ105" i="48"/>
  <c r="AT105" i="48"/>
  <c r="AR105" i="48"/>
  <c r="AT199" i="48"/>
  <c r="AQ199" i="48"/>
  <c r="AR199" i="48"/>
  <c r="AS199" i="48"/>
  <c r="AT228" i="48"/>
  <c r="AS228" i="48"/>
  <c r="AQ228" i="48"/>
  <c r="AR228" i="48"/>
  <c r="AT121" i="48"/>
  <c r="AR121" i="48"/>
  <c r="AS121" i="48"/>
  <c r="AQ121" i="48"/>
  <c r="AS168" i="48"/>
  <c r="AQ168" i="48"/>
  <c r="AR168" i="48"/>
  <c r="AT168" i="48"/>
  <c r="AR285" i="48"/>
  <c r="AS285" i="48"/>
  <c r="AQ285" i="48"/>
  <c r="AT285" i="48"/>
  <c r="AQ88" i="48"/>
  <c r="AS88" i="48"/>
  <c r="AR88" i="48"/>
  <c r="AT88" i="48"/>
  <c r="AQ200" i="48"/>
  <c r="AS200" i="48"/>
  <c r="AR200" i="48"/>
  <c r="AT200" i="48"/>
  <c r="AT42" i="48"/>
  <c r="AR42" i="48"/>
  <c r="AQ42" i="48"/>
  <c r="AS42" i="48"/>
  <c r="AT112" i="48"/>
  <c r="AR112" i="48"/>
  <c r="AS112" i="48"/>
  <c r="AQ112" i="48"/>
  <c r="AR51" i="48"/>
  <c r="AS51" i="48"/>
  <c r="AT51" i="48"/>
  <c r="AQ51" i="48"/>
  <c r="AQ11" i="48"/>
  <c r="AR11" i="48"/>
  <c r="AS11" i="48"/>
  <c r="AT11" i="48"/>
  <c r="AR181" i="48"/>
  <c r="AQ181" i="48"/>
  <c r="AS181" i="48"/>
  <c r="AT181" i="48"/>
  <c r="AT4" i="48"/>
  <c r="AQ4" i="48"/>
  <c r="AS4" i="48"/>
  <c r="AR4" i="48"/>
  <c r="AQ47" i="48"/>
  <c r="AR47" i="48"/>
  <c r="AT47" i="48"/>
  <c r="AS47" i="48"/>
  <c r="AT248" i="48"/>
  <c r="AS248" i="48"/>
  <c r="AQ248" i="48"/>
  <c r="AR248" i="48"/>
  <c r="AQ270" i="48"/>
  <c r="AS270" i="48"/>
  <c r="AT270" i="48"/>
  <c r="AR270" i="48"/>
  <c r="AS249" i="48"/>
  <c r="AR249" i="48"/>
  <c r="AT249" i="48"/>
  <c r="AQ249" i="48"/>
  <c r="AQ145" i="48"/>
  <c r="AT145" i="48"/>
  <c r="AR145" i="48"/>
  <c r="AS145" i="48"/>
  <c r="AR170" i="48"/>
  <c r="AQ170" i="48"/>
  <c r="AS170" i="48"/>
  <c r="AT170" i="48"/>
  <c r="AQ19" i="48"/>
  <c r="AS19" i="48"/>
  <c r="AT19" i="48"/>
  <c r="AR19" i="48"/>
  <c r="AT301" i="48"/>
  <c r="AR301" i="48"/>
  <c r="AQ301" i="48"/>
  <c r="AS301" i="48"/>
  <c r="AS60" i="48"/>
  <c r="AQ60" i="48"/>
  <c r="AT60" i="48"/>
  <c r="AR60" i="48"/>
  <c r="AQ68" i="48"/>
  <c r="AR68" i="48"/>
  <c r="AT68" i="48"/>
  <c r="AS68" i="48"/>
  <c r="AR56" i="48"/>
  <c r="AS56" i="48"/>
  <c r="AQ56" i="48"/>
  <c r="AT56" i="48"/>
  <c r="AS194" i="48"/>
  <c r="AR194" i="48"/>
  <c r="AQ194" i="48"/>
  <c r="AT194" i="48"/>
  <c r="AR107" i="48"/>
  <c r="AQ107" i="48"/>
  <c r="AT107" i="48"/>
  <c r="AS107" i="48"/>
  <c r="AS126" i="48"/>
  <c r="AQ126" i="48"/>
  <c r="AT126" i="48"/>
  <c r="AR126" i="48"/>
  <c r="AR109" i="48"/>
  <c r="AQ109" i="48"/>
  <c r="AT109" i="48"/>
  <c r="AS109" i="48"/>
  <c r="AS192" i="48"/>
  <c r="AR192" i="48"/>
  <c r="AT192" i="48"/>
  <c r="AQ192" i="48"/>
  <c r="AR236" i="48"/>
  <c r="AQ236" i="48"/>
  <c r="AT236" i="48"/>
  <c r="AS236" i="48"/>
  <c r="AR108" i="48"/>
  <c r="AS108" i="48"/>
  <c r="AT108" i="48"/>
  <c r="AQ108" i="48"/>
  <c r="AT182" i="48"/>
  <c r="AQ182" i="48"/>
  <c r="AS182" i="48"/>
  <c r="AR182" i="48"/>
  <c r="AR198" i="48"/>
  <c r="AT198" i="48"/>
  <c r="AQ198" i="48"/>
  <c r="AS198" i="48"/>
  <c r="AS94" i="48"/>
  <c r="AQ94" i="48"/>
  <c r="AT94" i="48"/>
  <c r="AR94" i="48"/>
  <c r="AQ75" i="48"/>
  <c r="AR75" i="48"/>
  <c r="AS75" i="48"/>
  <c r="AT75" i="48"/>
  <c r="AS83" i="48"/>
  <c r="AQ83" i="48"/>
  <c r="AR83" i="48"/>
  <c r="AT83" i="48"/>
  <c r="AT53" i="48"/>
  <c r="AQ53" i="48"/>
  <c r="AR53" i="48"/>
  <c r="AS53" i="48"/>
  <c r="AQ237" i="48"/>
  <c r="AT237" i="48"/>
  <c r="AR237" i="48"/>
  <c r="AS237" i="48"/>
  <c r="AR234" i="48"/>
  <c r="AS234" i="48"/>
  <c r="AT234" i="48"/>
  <c r="AQ234" i="48"/>
  <c r="AQ273" i="48"/>
  <c r="AS273" i="48"/>
  <c r="AR273" i="48"/>
  <c r="AT273" i="48"/>
  <c r="AQ188" i="48"/>
  <c r="AS188" i="48"/>
  <c r="AR188" i="48"/>
  <c r="AT188" i="48"/>
  <c r="AT5" i="48"/>
  <c r="AR5" i="48"/>
  <c r="AS5" i="48"/>
  <c r="AQ5" i="48"/>
  <c r="AS85" i="48"/>
  <c r="AR85" i="48"/>
  <c r="AT85" i="48"/>
  <c r="AQ85" i="48"/>
  <c r="AT91" i="48"/>
  <c r="AR91" i="48"/>
  <c r="AQ91" i="48"/>
  <c r="AS91" i="48"/>
  <c r="AQ205" i="48"/>
  <c r="AS205" i="48"/>
  <c r="AT205" i="48"/>
  <c r="AR205" i="48"/>
  <c r="AT116" i="48"/>
  <c r="AS116" i="48"/>
  <c r="AR116" i="48"/>
  <c r="AQ116" i="48"/>
  <c r="AQ111" i="48"/>
  <c r="AR111" i="48"/>
  <c r="AT111" i="48"/>
  <c r="AS111" i="48"/>
  <c r="AT67" i="48"/>
  <c r="AS67" i="48"/>
  <c r="AR67" i="48"/>
  <c r="AQ67" i="48"/>
  <c r="AT23" i="48"/>
  <c r="AQ23" i="48"/>
  <c r="AR23" i="48"/>
  <c r="AS23" i="48"/>
  <c r="AT147" i="48"/>
  <c r="AQ147" i="48"/>
  <c r="AS147" i="48"/>
  <c r="AR147" i="48"/>
  <c r="AR177" i="48"/>
  <c r="AQ177" i="48"/>
  <c r="AT177" i="48"/>
  <c r="AS177" i="48"/>
  <c r="AT261" i="48"/>
  <c r="AQ261" i="48"/>
  <c r="AR261" i="48"/>
  <c r="AS261" i="48"/>
  <c r="AT215" i="48"/>
  <c r="AS215" i="48"/>
  <c r="AR215" i="48"/>
  <c r="AQ215" i="48"/>
  <c r="AR3" i="48"/>
  <c r="AT3" i="48"/>
  <c r="AQ3" i="48"/>
  <c r="AS3" i="48"/>
  <c r="AR92" i="48"/>
  <c r="AQ92" i="48"/>
  <c r="AT92" i="48"/>
  <c r="AS92" i="48"/>
  <c r="AT46" i="48"/>
  <c r="AQ46" i="48"/>
  <c r="AS46" i="48"/>
  <c r="AR46" i="48"/>
  <c r="AS28" i="48"/>
  <c r="AQ28" i="48"/>
  <c r="AT28" i="48"/>
  <c r="AR28" i="48"/>
  <c r="AQ123" i="48"/>
  <c r="AT123" i="48"/>
  <c r="AS123" i="48"/>
  <c r="AR123" i="48"/>
  <c r="AQ281" i="48"/>
  <c r="AT281" i="48"/>
  <c r="AS281" i="48"/>
  <c r="AR281" i="48"/>
  <c r="AQ6" i="48"/>
  <c r="AR6" i="48"/>
  <c r="AT6" i="48"/>
  <c r="AS6" i="48"/>
  <c r="AS240" i="48"/>
  <c r="AR240" i="48"/>
  <c r="AQ240" i="48"/>
  <c r="AT240" i="48"/>
  <c r="AT156" i="48"/>
  <c r="AR156" i="48"/>
  <c r="AS156" i="48"/>
  <c r="AQ156" i="48"/>
  <c r="AT59" i="48"/>
  <c r="AS59" i="48"/>
  <c r="AR59" i="48"/>
  <c r="AQ59" i="48"/>
  <c r="AR22" i="48"/>
  <c r="AS22" i="48"/>
  <c r="AT22" i="48"/>
  <c r="AQ22" i="48"/>
  <c r="AR276" i="48"/>
  <c r="AT276" i="48"/>
  <c r="AQ276" i="48"/>
  <c r="AS276" i="48"/>
  <c r="AR232" i="48"/>
  <c r="AQ232" i="48"/>
  <c r="AS232" i="48"/>
  <c r="AT232" i="48"/>
  <c r="AS74" i="48"/>
  <c r="AT74" i="48"/>
  <c r="AQ74" i="48"/>
  <c r="AR74" i="48"/>
  <c r="AS166" i="48"/>
  <c r="AR166" i="48"/>
  <c r="AQ166" i="48"/>
  <c r="AT166" i="48"/>
  <c r="AS41" i="48"/>
  <c r="AT41" i="48"/>
  <c r="AR41" i="48"/>
  <c r="AQ41" i="48"/>
  <c r="AS35" i="48"/>
  <c r="AT35" i="48"/>
  <c r="AQ35" i="48"/>
  <c r="AR35" i="48"/>
  <c r="AS8" i="48"/>
  <c r="AR8" i="48"/>
  <c r="AT8" i="48"/>
  <c r="AQ8" i="48"/>
  <c r="AQ86" i="48"/>
  <c r="AR86" i="48"/>
  <c r="AT86" i="48"/>
  <c r="AS86" i="48"/>
  <c r="AR202" i="48"/>
  <c r="AS202" i="48"/>
  <c r="AT202" i="48"/>
  <c r="AQ202" i="48"/>
  <c r="AT10" i="48"/>
  <c r="AS10" i="48"/>
  <c r="AR10" i="48"/>
  <c r="AQ10" i="48"/>
  <c r="AR64" i="48"/>
  <c r="AQ64" i="48"/>
  <c r="AT64" i="48"/>
  <c r="AS64" i="48"/>
  <c r="AR247" i="48"/>
  <c r="AS247" i="48"/>
  <c r="AT247" i="48"/>
  <c r="AQ247" i="48"/>
  <c r="AS279" i="48"/>
  <c r="AT279" i="48"/>
  <c r="AQ279" i="48"/>
  <c r="AR279" i="48"/>
  <c r="AR264" i="48"/>
  <c r="AT264" i="48"/>
  <c r="AS264" i="48"/>
  <c r="AQ264" i="48"/>
  <c r="AQ48" i="48"/>
  <c r="AT48" i="48"/>
  <c r="AR48" i="48"/>
  <c r="AS48" i="48"/>
  <c r="AR191" i="48"/>
  <c r="AS191" i="48"/>
  <c r="AT191" i="48"/>
  <c r="AQ191" i="48"/>
  <c r="AT96" i="48"/>
  <c r="AS96" i="48"/>
  <c r="AQ96" i="48"/>
  <c r="AR96" i="48"/>
  <c r="AQ70" i="48"/>
  <c r="AS70" i="48"/>
  <c r="AT70" i="48"/>
  <c r="AR70" i="48"/>
  <c r="AQ292" i="48"/>
  <c r="AT292" i="48"/>
  <c r="AS292" i="48"/>
  <c r="AR292" i="48"/>
  <c r="AR71" i="48"/>
  <c r="AQ71" i="48"/>
  <c r="AT71" i="48"/>
  <c r="AS71" i="48"/>
  <c r="AS231" i="48"/>
  <c r="AQ231" i="48"/>
  <c r="AT231" i="48"/>
  <c r="AR231" i="48"/>
  <c r="AR50" i="48"/>
  <c r="AQ50" i="48"/>
  <c r="AT50" i="48"/>
  <c r="AS50" i="48"/>
  <c r="AS134" i="48"/>
  <c r="AQ134" i="48"/>
  <c r="AR134" i="48"/>
  <c r="AT134" i="48"/>
  <c r="AR101" i="48"/>
  <c r="AT101" i="48"/>
  <c r="AQ101" i="48"/>
  <c r="AS101" i="48"/>
  <c r="AQ258" i="48"/>
  <c r="AS258" i="48"/>
  <c r="AR258" i="48"/>
  <c r="AT258" i="48"/>
  <c r="AR218" i="48"/>
  <c r="AT218" i="48"/>
  <c r="AQ218" i="48"/>
  <c r="AS218" i="48"/>
  <c r="AS120" i="48"/>
  <c r="AT120" i="48"/>
  <c r="AQ120" i="48"/>
  <c r="AR120" i="48"/>
  <c r="AR226" i="48"/>
  <c r="AS226" i="48"/>
  <c r="AT226" i="48"/>
  <c r="AQ226" i="48"/>
  <c r="AR65" i="48"/>
  <c r="AQ65" i="48"/>
  <c r="AS65" i="48"/>
  <c r="AT65" i="48"/>
  <c r="AT152" i="48"/>
  <c r="AR152" i="48"/>
  <c r="AS152" i="48"/>
  <c r="AQ152" i="48"/>
  <c r="AS93" i="48"/>
  <c r="AT93" i="48"/>
  <c r="AQ93" i="48"/>
  <c r="AR93" i="48"/>
  <c r="AS54" i="48"/>
  <c r="AR54" i="48"/>
  <c r="AQ54" i="48"/>
  <c r="AT54" i="48"/>
  <c r="AQ81" i="48"/>
  <c r="AT81" i="48"/>
  <c r="AR81" i="48"/>
  <c r="AS81" i="48"/>
  <c r="AS115" i="48"/>
  <c r="AQ115" i="48"/>
  <c r="AR115" i="48"/>
  <c r="AT115" i="48"/>
  <c r="AR251" i="48"/>
  <c r="AS251" i="48"/>
  <c r="AQ251" i="48"/>
  <c r="AT251" i="48"/>
  <c r="AT31" i="48"/>
  <c r="AR31" i="48"/>
  <c r="AS31" i="48"/>
  <c r="AQ31" i="48"/>
  <c r="AS222" i="48"/>
  <c r="AQ222" i="48"/>
  <c r="AR222" i="48"/>
  <c r="AT222" i="48"/>
  <c r="AQ186" i="48"/>
  <c r="AR186" i="48"/>
  <c r="AT186" i="48"/>
  <c r="AS186" i="48"/>
  <c r="AS244" i="48"/>
  <c r="AT244" i="48"/>
  <c r="AR244" i="48"/>
  <c r="AQ244" i="48"/>
  <c r="AS294" i="48"/>
  <c r="AQ294" i="48"/>
  <c r="AT294" i="48"/>
  <c r="AR294" i="48"/>
  <c r="AR211" i="48"/>
  <c r="AQ211" i="48"/>
  <c r="AT211" i="48"/>
  <c r="AS211" i="48"/>
  <c r="AS110" i="48"/>
  <c r="AQ110" i="48"/>
  <c r="AR110" i="48"/>
  <c r="AT110" i="48"/>
  <c r="AS282" i="48"/>
  <c r="AR282" i="48"/>
  <c r="AQ282" i="48"/>
  <c r="AT282" i="48"/>
  <c r="AT73" i="48"/>
  <c r="AS73" i="48"/>
  <c r="AQ73" i="48"/>
  <c r="AR73" i="48"/>
  <c r="AR2" i="48"/>
  <c r="AQ2" i="48"/>
  <c r="AS2" i="48"/>
  <c r="AT2" i="48"/>
  <c r="AS9" i="48"/>
  <c r="AQ9" i="48"/>
  <c r="AT9" i="48"/>
  <c r="AR9" i="48"/>
  <c r="AT245" i="48"/>
  <c r="AR245" i="48"/>
  <c r="AQ245" i="48"/>
  <c r="AS245" i="48"/>
  <c r="AS117" i="48"/>
  <c r="AT117" i="48"/>
  <c r="AR117" i="48"/>
  <c r="AQ117" i="48"/>
  <c r="AQ225" i="48"/>
  <c r="AT225" i="48"/>
  <c r="AR225" i="48"/>
  <c r="AS225" i="48"/>
  <c r="AR257" i="48"/>
  <c r="AQ257" i="48"/>
  <c r="AS257" i="48"/>
  <c r="AT257" i="48"/>
  <c r="AS146" i="48"/>
  <c r="AR146" i="48"/>
  <c r="AT146" i="48"/>
  <c r="AQ146" i="48"/>
  <c r="AR127" i="48"/>
  <c r="AT127" i="48"/>
  <c r="AQ127" i="48"/>
  <c r="AS127" i="48"/>
  <c r="AQ34" i="48"/>
  <c r="AS34" i="48"/>
  <c r="AR34" i="48"/>
  <c r="AT34" i="48"/>
  <c r="AQ190" i="48"/>
  <c r="AT190" i="48"/>
  <c r="AR190" i="48"/>
  <c r="AS190" i="48"/>
  <c r="AR18" i="48"/>
  <c r="AS18" i="48"/>
  <c r="AQ18" i="48"/>
  <c r="AT18" i="48"/>
  <c r="AT300" i="48"/>
  <c r="AR300" i="48"/>
  <c r="AS300" i="48"/>
  <c r="AQ300" i="48"/>
  <c r="AR57" i="48"/>
  <c r="AT57" i="48"/>
  <c r="AQ57" i="48"/>
  <c r="AS57" i="48"/>
  <c r="AR77" i="48"/>
  <c r="AQ77" i="48"/>
  <c r="AS77" i="48"/>
  <c r="AT77" i="48"/>
  <c r="AQ62" i="48"/>
  <c r="AR62" i="48"/>
  <c r="AS62" i="48"/>
  <c r="AT62" i="48"/>
  <c r="AT125" i="48"/>
  <c r="AS125" i="48"/>
  <c r="AR125" i="48"/>
  <c r="AQ125" i="48"/>
  <c r="AR49" i="48"/>
  <c r="AQ49" i="48"/>
  <c r="AS49" i="48"/>
  <c r="AT49" i="48"/>
  <c r="AT79" i="48"/>
  <c r="AR79" i="48"/>
  <c r="AS79" i="48"/>
  <c r="AQ79" i="48"/>
  <c r="AQ189" i="48"/>
  <c r="AS189" i="48"/>
  <c r="AR189" i="48"/>
  <c r="AT189" i="48"/>
  <c r="AR233" i="48"/>
  <c r="AQ233" i="48"/>
  <c r="AT233" i="48"/>
  <c r="AS233" i="48"/>
  <c r="AQ114" i="48"/>
  <c r="AS114" i="48"/>
  <c r="AT114" i="48"/>
  <c r="AR114" i="48"/>
  <c r="AS179" i="48"/>
  <c r="AR179" i="48"/>
  <c r="AT179" i="48"/>
  <c r="AQ179" i="48"/>
  <c r="AT283" i="48"/>
  <c r="AQ283" i="48"/>
  <c r="AR283" i="48"/>
  <c r="AS283" i="48"/>
  <c r="AS187" i="48"/>
  <c r="AR187" i="48"/>
  <c r="AT187" i="48"/>
  <c r="AQ187" i="48"/>
  <c r="AR209" i="48"/>
  <c r="AS209" i="48"/>
  <c r="AT209" i="48"/>
  <c r="AQ209" i="48"/>
  <c r="AT196" i="48"/>
  <c r="AR196" i="48"/>
  <c r="AQ196" i="48"/>
  <c r="AS196" i="48"/>
  <c r="AQ163" i="48"/>
  <c r="AR163" i="48"/>
  <c r="AT163" i="48"/>
  <c r="AS163" i="48"/>
  <c r="AR135" i="48"/>
  <c r="AS135" i="48"/>
  <c r="AQ135" i="48"/>
  <c r="AT135" i="48"/>
  <c r="AR89" i="48"/>
  <c r="AS89" i="48"/>
  <c r="AQ89" i="48"/>
  <c r="AT89" i="48"/>
  <c r="AT80" i="48"/>
  <c r="AS80" i="48"/>
  <c r="AQ80" i="48"/>
  <c r="AR80" i="48"/>
  <c r="AS167" i="48"/>
  <c r="AT167" i="48"/>
  <c r="AR167" i="48"/>
  <c r="AQ167" i="48"/>
  <c r="AS252" i="48"/>
  <c r="AR252" i="48"/>
  <c r="AQ252" i="48"/>
  <c r="AT252" i="48"/>
  <c r="AQ271" i="48"/>
  <c r="AS271" i="48"/>
  <c r="AR271" i="48"/>
  <c r="AT271" i="48"/>
  <c r="AR221" i="48"/>
  <c r="AT221" i="48"/>
  <c r="AQ221" i="48"/>
  <c r="AS221" i="48"/>
  <c r="AT296" i="48"/>
  <c r="AR296" i="48"/>
  <c r="AQ296" i="48"/>
  <c r="AS296" i="48"/>
  <c r="AS219" i="48"/>
  <c r="AT219" i="48"/>
  <c r="AR219" i="48"/>
  <c r="AQ219" i="48"/>
  <c r="AT201" i="48"/>
  <c r="AQ201" i="48"/>
  <c r="AR201" i="48"/>
  <c r="AS201" i="48"/>
  <c r="AS144" i="48"/>
  <c r="AT144" i="48"/>
  <c r="AQ144" i="48"/>
  <c r="AR144" i="48"/>
  <c r="AS99" i="48"/>
  <c r="AQ99" i="48"/>
  <c r="AR99" i="48"/>
  <c r="AT99" i="48"/>
  <c r="AQ118" i="48"/>
  <c r="AT118" i="48"/>
  <c r="AS118" i="48"/>
  <c r="AR118" i="48"/>
  <c r="AQ172" i="48"/>
  <c r="AR172" i="48"/>
  <c r="AS172" i="48"/>
  <c r="AT172" i="48"/>
  <c r="AT164" i="48"/>
  <c r="AR164" i="48"/>
  <c r="AS164" i="48"/>
  <c r="AQ164" i="48"/>
  <c r="AR298" i="48"/>
  <c r="AS298" i="48"/>
  <c r="AT298" i="48"/>
  <c r="AQ298" i="48"/>
  <c r="AS185" i="48"/>
  <c r="AT185" i="48"/>
  <c r="AQ185" i="48"/>
  <c r="AR185" i="48"/>
  <c r="AR227" i="48"/>
  <c r="AQ227" i="48"/>
  <c r="AS227" i="48"/>
  <c r="AT227" i="48"/>
  <c r="AT20" i="48"/>
  <c r="AR20" i="48"/>
  <c r="AS20" i="48"/>
  <c r="AQ20" i="48"/>
  <c r="AQ139" i="48"/>
  <c r="AR139" i="48"/>
  <c r="AS139" i="48"/>
  <c r="AT139" i="48"/>
  <c r="AT55" i="48"/>
  <c r="AS55" i="48"/>
  <c r="AQ55" i="48"/>
  <c r="AR55" i="48"/>
  <c r="AS210" i="48"/>
  <c r="AR210" i="48"/>
  <c r="AT210" i="48"/>
  <c r="AQ210" i="48"/>
  <c r="AT14" i="48"/>
  <c r="AS14" i="48"/>
  <c r="AQ14" i="48"/>
  <c r="AR14" i="48"/>
  <c r="AS36" i="48"/>
  <c r="AT36" i="48"/>
  <c r="AR36" i="48"/>
  <c r="AQ36" i="48"/>
  <c r="AT212" i="48"/>
  <c r="AS212" i="48"/>
  <c r="AQ212" i="48"/>
  <c r="AR212" i="48"/>
  <c r="AQ213" i="48"/>
  <c r="AT213" i="48"/>
  <c r="AR213" i="48"/>
  <c r="AS213" i="48"/>
  <c r="AR266" i="48"/>
  <c r="AS266" i="48"/>
  <c r="AQ266" i="48"/>
  <c r="AT266" i="48"/>
  <c r="AS43" i="48"/>
  <c r="AR43" i="48"/>
  <c r="AT43" i="48"/>
  <c r="AQ43" i="48"/>
  <c r="AR284" i="48"/>
  <c r="AT284" i="48"/>
  <c r="AQ284" i="48"/>
  <c r="AS284" i="48"/>
  <c r="AS290" i="48"/>
  <c r="AT290" i="48"/>
  <c r="AR290" i="48"/>
  <c r="AQ290" i="48"/>
  <c r="AS275" i="48"/>
  <c r="AQ275" i="48"/>
  <c r="AT275" i="48"/>
  <c r="AR275" i="48"/>
  <c r="AR238" i="48"/>
  <c r="AS238" i="48"/>
  <c r="AT238" i="48"/>
  <c r="AQ238" i="48"/>
  <c r="AR143" i="48"/>
  <c r="AQ143" i="48"/>
  <c r="AT143" i="48"/>
  <c r="AS143" i="48"/>
  <c r="AT148" i="48"/>
  <c r="AQ148" i="48"/>
  <c r="AR148" i="48"/>
  <c r="AS148" i="48"/>
  <c r="AT255" i="48"/>
  <c r="AR255" i="48"/>
  <c r="AQ255" i="48"/>
  <c r="AS255" i="48"/>
  <c r="AQ106" i="48"/>
  <c r="AS106" i="48"/>
  <c r="AT106" i="48"/>
  <c r="AR106" i="48"/>
  <c r="AS13" i="48"/>
  <c r="AR13" i="48"/>
  <c r="AT13" i="48"/>
  <c r="AQ13" i="48"/>
  <c r="AT178" i="48"/>
  <c r="AS178" i="48"/>
  <c r="AQ178" i="48"/>
  <c r="AR178" i="48"/>
  <c r="AT142" i="48"/>
  <c r="AS142" i="48"/>
  <c r="AR142" i="48"/>
  <c r="AQ142" i="48"/>
  <c r="AS39" i="48"/>
  <c r="AT39" i="48"/>
  <c r="AQ39" i="48"/>
  <c r="AR39" i="48"/>
  <c r="AR32" i="48"/>
  <c r="AQ32" i="48"/>
  <c r="AT32" i="48"/>
  <c r="AS32" i="48"/>
  <c r="AT124" i="48"/>
  <c r="AS124" i="48"/>
  <c r="AR124" i="48"/>
  <c r="AQ124" i="48"/>
  <c r="AS131" i="48"/>
  <c r="AT131" i="48"/>
  <c r="AQ131" i="48"/>
  <c r="AR131" i="48"/>
  <c r="AS7" i="48"/>
  <c r="AQ7" i="48"/>
  <c r="AR7" i="48"/>
  <c r="AT7" i="48"/>
  <c r="AR183" i="48"/>
  <c r="AQ183" i="48"/>
  <c r="AS183" i="48"/>
  <c r="AT183" i="48"/>
  <c r="AQ40" i="48"/>
  <c r="AS40" i="48"/>
  <c r="AR40" i="48"/>
  <c r="AT40" i="48"/>
  <c r="AT165" i="48"/>
  <c r="AQ165" i="48"/>
  <c r="AS165" i="48"/>
  <c r="AR165" i="48"/>
  <c r="AR103" i="48"/>
  <c r="AT103" i="48"/>
  <c r="AS103" i="48"/>
  <c r="AQ103" i="48"/>
  <c r="AQ76" i="48"/>
  <c r="AR76" i="48"/>
  <c r="AS76" i="48"/>
  <c r="AT76" i="48"/>
  <c r="AT72" i="48"/>
  <c r="AR72" i="48"/>
  <c r="AS72" i="48"/>
  <c r="AQ72" i="48"/>
  <c r="AT102" i="48"/>
  <c r="AR102" i="48"/>
  <c r="AQ102" i="48"/>
  <c r="AS102" i="48"/>
  <c r="AT37" i="48"/>
  <c r="AR37" i="48"/>
  <c r="AQ37" i="48"/>
  <c r="AS37" i="48"/>
  <c r="AS256" i="48"/>
  <c r="AR256" i="48"/>
  <c r="AQ256" i="48"/>
  <c r="AT256" i="48"/>
  <c r="AR78" i="48"/>
  <c r="AS78" i="48"/>
  <c r="AT78" i="48"/>
  <c r="AQ78" i="48"/>
  <c r="AT173" i="48"/>
  <c r="AR173" i="48"/>
  <c r="AQ173" i="48"/>
  <c r="AS173" i="48"/>
  <c r="AS130" i="48"/>
  <c r="AQ130" i="48"/>
  <c r="AR130" i="48"/>
  <c r="AT130" i="48"/>
  <c r="AQ29" i="48"/>
  <c r="AT29" i="48"/>
  <c r="AR29" i="48"/>
  <c r="AS29" i="48"/>
  <c r="AS216" i="48"/>
  <c r="AQ216" i="48"/>
  <c r="AT216" i="48"/>
  <c r="AR216" i="48"/>
  <c r="AS159" i="48"/>
  <c r="AR159" i="48"/>
  <c r="AT159" i="48"/>
  <c r="AQ159" i="48"/>
  <c r="AR253" i="48"/>
  <c r="AQ253" i="48"/>
  <c r="AS253" i="48"/>
  <c r="AT253" i="48"/>
  <c r="AT137" i="48"/>
  <c r="AR137" i="48"/>
  <c r="AS137" i="48"/>
  <c r="AQ137" i="48"/>
  <c r="AT119" i="48"/>
  <c r="AR119" i="48"/>
  <c r="AS119" i="48"/>
  <c r="AQ119" i="48"/>
  <c r="AR214" i="48"/>
  <c r="AQ214" i="48"/>
  <c r="AS214" i="48"/>
  <c r="AT214" i="48"/>
  <c r="AT193" i="48"/>
  <c r="AR193" i="48"/>
  <c r="AQ193" i="48"/>
  <c r="AS193" i="48"/>
  <c r="AQ176" i="48"/>
  <c r="AR176" i="48"/>
  <c r="AS176" i="48"/>
  <c r="AT176" i="48"/>
  <c r="AQ246" i="48"/>
  <c r="AR246" i="48"/>
  <c r="AS246" i="48"/>
  <c r="AT246" i="48"/>
  <c r="AS295" i="48"/>
  <c r="AR295" i="48"/>
  <c r="AQ295" i="48"/>
  <c r="AT295" i="48"/>
  <c r="AS288" i="48"/>
  <c r="AT288" i="48"/>
  <c r="AQ288" i="48"/>
  <c r="AR288" i="48"/>
  <c r="AR149" i="48"/>
  <c r="AS149" i="48"/>
  <c r="AQ149" i="48"/>
  <c r="AT149" i="48"/>
  <c r="AR171" i="48"/>
  <c r="AS171" i="48"/>
  <c r="AQ171" i="48"/>
  <c r="AT171" i="48"/>
  <c r="AQ151" i="48"/>
  <c r="AR151" i="48"/>
  <c r="AS151" i="48"/>
  <c r="AT151" i="48"/>
  <c r="AT272" i="48"/>
  <c r="AR272" i="48"/>
  <c r="AS272" i="48"/>
  <c r="AQ272" i="48"/>
  <c r="AQ104" i="48"/>
  <c r="AT104" i="48"/>
  <c r="AR104" i="48"/>
  <c r="AS104" i="48"/>
  <c r="AT274" i="48"/>
  <c r="AS274" i="48"/>
  <c r="AQ274" i="48"/>
  <c r="AR274" i="48"/>
  <c r="AT45" i="48"/>
  <c r="AQ45" i="48"/>
  <c r="AR45" i="48"/>
  <c r="AS45" i="48"/>
  <c r="AQ184" i="48"/>
  <c r="AT184" i="48"/>
  <c r="AS184" i="48"/>
  <c r="AR184" i="48"/>
  <c r="AQ63" i="48"/>
  <c r="AS63" i="48"/>
  <c r="AT63" i="48"/>
  <c r="AR63" i="48"/>
  <c r="AS128" i="48"/>
  <c r="AT128" i="48"/>
  <c r="AR128" i="48"/>
  <c r="AQ128" i="48"/>
  <c r="AS90" i="48"/>
  <c r="AT90" i="48"/>
  <c r="AQ90" i="48"/>
  <c r="AR90" i="48"/>
  <c r="AQ217" i="48"/>
  <c r="AR217" i="48"/>
  <c r="AS217" i="48"/>
  <c r="AT217" i="48"/>
  <c r="AQ268" i="48"/>
  <c r="AS268" i="48"/>
  <c r="AT268" i="48"/>
  <c r="AR268" i="48"/>
  <c r="AT98" i="48"/>
  <c r="AS98" i="48"/>
  <c r="AR98" i="48"/>
  <c r="AQ98" i="48"/>
  <c r="AR136" i="48"/>
  <c r="AQ136" i="48"/>
  <c r="AT136" i="48"/>
  <c r="AS136" i="48"/>
  <c r="AR58" i="48"/>
  <c r="AT58" i="48"/>
  <c r="AQ58" i="48"/>
  <c r="AS58" i="48"/>
  <c r="AS230" i="48"/>
  <c r="AT230" i="48"/>
  <c r="AQ230" i="48"/>
  <c r="AR230" i="48"/>
  <c r="AT161" i="48"/>
  <c r="AR161" i="48"/>
  <c r="AS161" i="48"/>
  <c r="AQ161" i="48"/>
  <c r="AQ204" i="48"/>
  <c r="AS204" i="48"/>
  <c r="AR204" i="48"/>
  <c r="AT204" i="48"/>
  <c r="AR66" i="48"/>
  <c r="AQ66" i="48"/>
  <c r="AT66" i="48"/>
  <c r="AS66" i="48"/>
  <c r="AQ180" i="48"/>
  <c r="AT180" i="48"/>
  <c r="AR180" i="48"/>
  <c r="AS180" i="48"/>
  <c r="AT242" i="48"/>
  <c r="AS242" i="48"/>
  <c r="AR242" i="48"/>
  <c r="AQ242" i="48"/>
  <c r="AS61" i="48"/>
  <c r="AT61" i="48"/>
  <c r="AQ61" i="48"/>
  <c r="AR61" i="48"/>
  <c r="AS155" i="48"/>
  <c r="AQ155" i="48"/>
  <c r="AR155" i="48"/>
  <c r="AT155" i="48"/>
  <c r="AQ16" i="48"/>
  <c r="AS16" i="48"/>
  <c r="AR16" i="48"/>
  <c r="AT16" i="48"/>
  <c r="AS82" i="48"/>
  <c r="AR82" i="48"/>
  <c r="AQ82" i="48"/>
  <c r="AT82" i="48"/>
  <c r="AS87" i="48"/>
  <c r="AT87" i="48"/>
  <c r="AR87" i="48"/>
  <c r="AQ87" i="48"/>
  <c r="AT224" i="48"/>
  <c r="AR224" i="48"/>
  <c r="AQ224" i="48"/>
  <c r="AS224" i="48"/>
  <c r="AS175" i="48"/>
  <c r="AR175" i="48"/>
  <c r="AT175" i="48"/>
  <c r="AQ175" i="48"/>
  <c r="AT26" i="48"/>
  <c r="AR26" i="48"/>
  <c r="AQ26" i="48"/>
  <c r="AS26" i="48"/>
  <c r="AQ169" i="48"/>
  <c r="AT169" i="48"/>
  <c r="AR169" i="48"/>
  <c r="AS169" i="48"/>
  <c r="AQ150" i="48"/>
  <c r="AR150" i="48"/>
  <c r="AS150" i="48"/>
  <c r="AT150" i="48"/>
  <c r="AS133" i="48"/>
  <c r="AQ133" i="48"/>
  <c r="AR133" i="48"/>
  <c r="AT133" i="48"/>
  <c r="AT69" i="48"/>
  <c r="AR69" i="48"/>
  <c r="AQ69" i="48"/>
  <c r="AS69" i="48"/>
  <c r="AS208" i="48"/>
  <c r="AT208" i="48"/>
  <c r="AR208" i="48"/>
  <c r="AQ208" i="48"/>
  <c r="AQ287" i="48"/>
  <c r="AT287" i="48"/>
  <c r="AR287" i="48"/>
  <c r="AS287" i="48"/>
  <c r="AR235" i="48"/>
  <c r="AS235" i="48"/>
  <c r="AQ235" i="48"/>
  <c r="AT235" i="48"/>
  <c r="AT262" i="48"/>
  <c r="AS262" i="48"/>
  <c r="AQ262" i="48"/>
  <c r="AR262" i="48"/>
  <c r="AQ269" i="48"/>
  <c r="AT269" i="48"/>
  <c r="AS269" i="48"/>
  <c r="AR269" i="48"/>
  <c r="AS160" i="48"/>
  <c r="AR160" i="48"/>
  <c r="AT160" i="48"/>
  <c r="AQ160" i="48"/>
  <c r="AT267" i="48"/>
  <c r="AS267" i="48"/>
  <c r="AQ267" i="48"/>
  <c r="AR267" i="48"/>
  <c r="AS174" i="48"/>
  <c r="AR174" i="48"/>
  <c r="AQ174" i="48"/>
  <c r="AT174" i="48"/>
  <c r="AQ33" i="48"/>
  <c r="AS33" i="48"/>
  <c r="AT33" i="48"/>
  <c r="AR33" i="48"/>
  <c r="AQ297" i="48"/>
  <c r="AS297" i="48"/>
  <c r="AR297" i="48"/>
  <c r="AT297" i="48"/>
  <c r="AR129" i="48"/>
  <c r="AT129" i="48"/>
  <c r="AQ129" i="48"/>
  <c r="AS129" i="48"/>
  <c r="AS291" i="48"/>
  <c r="AQ291" i="48"/>
  <c r="AT291" i="48"/>
  <c r="AR291" i="48"/>
  <c r="AR157" i="48"/>
  <c r="AS157" i="48"/>
  <c r="AT157" i="48"/>
  <c r="AQ157" i="48"/>
  <c r="AS293" i="48"/>
  <c r="AQ293" i="48"/>
  <c r="AR293" i="48"/>
  <c r="AT293" i="48"/>
  <c r="AS250" i="48"/>
  <c r="AT250" i="48"/>
  <c r="AQ250" i="48"/>
  <c r="AR250" i="48"/>
  <c r="AS243" i="48"/>
  <c r="AT243" i="48"/>
  <c r="AR243" i="48"/>
  <c r="AQ243" i="48"/>
  <c r="AS220" i="48"/>
  <c r="AQ220" i="48"/>
  <c r="AT220" i="48"/>
  <c r="AR220" i="48"/>
  <c r="AS206" i="48"/>
  <c r="AQ206" i="48"/>
  <c r="AT206" i="48"/>
  <c r="AR206" i="48"/>
  <c r="AS260" i="48"/>
  <c r="AT260" i="48"/>
  <c r="AQ260" i="48"/>
  <c r="AR260" i="48"/>
  <c r="AT207" i="48"/>
  <c r="AR207" i="48"/>
  <c r="AQ207" i="48"/>
  <c r="AS207" i="48"/>
  <c r="AQ278" i="48"/>
  <c r="AT278" i="48"/>
  <c r="AS278" i="48"/>
  <c r="AR278" i="48"/>
  <c r="AS254" i="48"/>
  <c r="AQ254" i="48"/>
  <c r="AR254" i="48"/>
  <c r="AT254" i="48"/>
  <c r="AT158" i="48"/>
  <c r="AR158" i="48"/>
  <c r="AQ158" i="48"/>
  <c r="AS158" i="48"/>
  <c r="AQ113" i="48"/>
  <c r="AS113" i="48"/>
  <c r="AT113" i="48"/>
  <c r="AR113" i="48"/>
  <c r="AQ30" i="48"/>
  <c r="AT30" i="48"/>
  <c r="AR30" i="48"/>
  <c r="AS30" i="48"/>
  <c r="AT21" i="48"/>
  <c r="AQ21" i="48"/>
  <c r="AR21" i="48"/>
  <c r="AS21" i="48"/>
</calcChain>
</file>

<file path=xl/sharedStrings.xml><?xml version="1.0" encoding="utf-8"?>
<sst xmlns="http://schemas.openxmlformats.org/spreadsheetml/2006/main" count="7377" uniqueCount="724">
  <si>
    <t>PLAYER</t>
  </si>
  <si>
    <t>COMP</t>
  </si>
  <si>
    <t>INT</t>
  </si>
  <si>
    <t>TGT</t>
  </si>
  <si>
    <t>REC</t>
  </si>
  <si>
    <t>Christian McCaffrey</t>
  </si>
  <si>
    <t>Curtis Samuel</t>
  </si>
  <si>
    <t>Ian Thomas</t>
  </si>
  <si>
    <t>POS</t>
  </si>
  <si>
    <t>QB</t>
  </si>
  <si>
    <t>TE</t>
  </si>
  <si>
    <t>Jimmy Garoppolo</t>
  </si>
  <si>
    <t>Deebo Samuel</t>
  </si>
  <si>
    <t>George Kittle</t>
  </si>
  <si>
    <t>Austin Ekeler</t>
  </si>
  <si>
    <t>Keenan Allen</t>
  </si>
  <si>
    <t>Mike Williams</t>
  </si>
  <si>
    <t>Hunter Henry</t>
  </si>
  <si>
    <t>Austin Hooper</t>
  </si>
  <si>
    <t>Lamar Jackson</t>
  </si>
  <si>
    <t>Gus Edwards</t>
  </si>
  <si>
    <t>Marquise Brown</t>
  </si>
  <si>
    <t>Mark Andrews</t>
  </si>
  <si>
    <t>Hayden Hurst</t>
  </si>
  <si>
    <t>Dawson Knox</t>
  </si>
  <si>
    <t>Devin Singletary</t>
  </si>
  <si>
    <t>Josh Allen</t>
  </si>
  <si>
    <t>David Montgomery</t>
  </si>
  <si>
    <t>Cordarrelle Patterson</t>
  </si>
  <si>
    <t>C.J. Uzomah</t>
  </si>
  <si>
    <t>Joe Mixon</t>
  </si>
  <si>
    <t>Andy Dalton</t>
  </si>
  <si>
    <t>Nick Chubb</t>
  </si>
  <si>
    <t>David Njoku</t>
  </si>
  <si>
    <t>Amari Cooper</t>
  </si>
  <si>
    <t>Michael Gallup</t>
  </si>
  <si>
    <t>Ezekiel Elliott</t>
  </si>
  <si>
    <t>Tony Pollard</t>
  </si>
  <si>
    <t>Dak Prescott</t>
  </si>
  <si>
    <t>Courtland Sutton</t>
  </si>
  <si>
    <t>Noah Fant</t>
  </si>
  <si>
    <t>T.J. Hockenson</t>
  </si>
  <si>
    <t>Matthew Stafford</t>
  </si>
  <si>
    <t>Aaron Rodgers</t>
  </si>
  <si>
    <t>Aaron Jones</t>
  </si>
  <si>
    <t>Davante Adams</t>
  </si>
  <si>
    <t>Deshaun Watson</t>
  </si>
  <si>
    <t>Parris Campbell</t>
  </si>
  <si>
    <t>Patrick Mahomes</t>
  </si>
  <si>
    <t>Tyreek Hill</t>
  </si>
  <si>
    <t>Travis Kelce</t>
  </si>
  <si>
    <t>Gerald Everett</t>
  </si>
  <si>
    <t>Tyler Higbee</t>
  </si>
  <si>
    <t>Brandin Cooks</t>
  </si>
  <si>
    <t>Robert Woods</t>
  </si>
  <si>
    <t>Cooper Kupp</t>
  </si>
  <si>
    <t>Josh Reynolds</t>
  </si>
  <si>
    <t>Jared Goff</t>
  </si>
  <si>
    <t>DeVante Parker</t>
  </si>
  <si>
    <t>Mike Gesicki</t>
  </si>
  <si>
    <t>Terry McLaurin</t>
  </si>
  <si>
    <t>Derrick Henry</t>
  </si>
  <si>
    <t>A.J. Brown</t>
  </si>
  <si>
    <t>Jonnu Smith</t>
  </si>
  <si>
    <t>Mike Evans</t>
  </si>
  <si>
    <t>Chris Godwin</t>
  </si>
  <si>
    <t>Russell Wilson</t>
  </si>
  <si>
    <t>Tyler Lockett</t>
  </si>
  <si>
    <t>Will Dissly</t>
  </si>
  <si>
    <t>JuJu Smith-Schuster</t>
  </si>
  <si>
    <t>James Conner</t>
  </si>
  <si>
    <t>Miles Sanders</t>
  </si>
  <si>
    <t>Nelson Agholor</t>
  </si>
  <si>
    <t>Zach Ertz</t>
  </si>
  <si>
    <t>Dallas Goedert</t>
  </si>
  <si>
    <t>Derek Carr</t>
  </si>
  <si>
    <t>Foster Moreau</t>
  </si>
  <si>
    <t>Josh Jacobs</t>
  </si>
  <si>
    <t>Sam Darnold</t>
  </si>
  <si>
    <t>Evan Engram</t>
  </si>
  <si>
    <t>Darius Slayton</t>
  </si>
  <si>
    <t>Saquon Barkley</t>
  </si>
  <si>
    <t>Daniel Jones</t>
  </si>
  <si>
    <t>Taysom Hill</t>
  </si>
  <si>
    <t>Alvin Kamara</t>
  </si>
  <si>
    <t>Kirk Cousins</t>
  </si>
  <si>
    <t>Alexander Mattison</t>
  </si>
  <si>
    <t>Adam Thielen</t>
  </si>
  <si>
    <t>Stefon Diggs</t>
  </si>
  <si>
    <t>Christian Kirk</t>
  </si>
  <si>
    <t>Chase Edmonds</t>
  </si>
  <si>
    <t>Kyler Murray</t>
  </si>
  <si>
    <t>TM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</si>
  <si>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</si>
  <si>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</si>
  <si>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</si>
  <si>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</si>
  <si>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</si>
  <si>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</si>
  <si>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</si>
  <si>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</si>
  <si>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</si>
  <si>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</si>
  <si>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</si>
  <si>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</si>
  <si>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</si>
  <si>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</si>
  <si>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Mo Alie-Cox</t>
  </si>
  <si>
    <t>KC</t>
  </si>
  <si>
    <t>LAC</t>
  </si>
  <si>
    <t>LAR</t>
  </si>
  <si>
    <t>MIA</t>
  </si>
  <si>
    <t>MIN</t>
  </si>
  <si>
    <t>NE</t>
  </si>
  <si>
    <t>NO</t>
  </si>
  <si>
    <t>NYG</t>
  </si>
  <si>
    <t>NYJ</t>
  </si>
  <si>
    <t>PHI</t>
  </si>
  <si>
    <t>PIT</t>
  </si>
  <si>
    <t>SEA</t>
  </si>
  <si>
    <t>SF</t>
  </si>
  <si>
    <t>TB</t>
  </si>
  <si>
    <t>TEN</t>
  </si>
  <si>
    <t>FPS</t>
  </si>
  <si>
    <t>JAX</t>
  </si>
  <si>
    <t>WSH</t>
  </si>
  <si>
    <t>HALF</t>
  </si>
  <si>
    <t>PPR</t>
  </si>
  <si>
    <t>BYE</t>
  </si>
  <si>
    <t>Jacoby Brissett</t>
  </si>
  <si>
    <t>PATT</t>
  </si>
  <si>
    <t>CMP</t>
  </si>
  <si>
    <t>PAYD</t>
  </si>
  <si>
    <t>PATD</t>
  </si>
  <si>
    <t>RUAT</t>
  </si>
  <si>
    <t>RUYD</t>
  </si>
  <si>
    <t>RUTD</t>
  </si>
  <si>
    <t>Raheem Mostert</t>
  </si>
  <si>
    <t>Jakobi Meyers</t>
  </si>
  <si>
    <t>Diontae Johnson</t>
  </si>
  <si>
    <t>Kendrick Bourne</t>
  </si>
  <si>
    <t>Dalton Schultz</t>
  </si>
  <si>
    <t>RK</t>
  </si>
  <si>
    <t>TD</t>
  </si>
  <si>
    <t>RCYD</t>
  </si>
  <si>
    <t>RCTD</t>
  </si>
  <si>
    <t>Devin Duvernay</t>
  </si>
  <si>
    <t>Cole Kmet</t>
  </si>
  <si>
    <t>Joe Burrow</t>
  </si>
  <si>
    <t>Tee Higgins</t>
  </si>
  <si>
    <t>CeeDee Lamb</t>
  </si>
  <si>
    <t>Drew Lock</t>
  </si>
  <si>
    <t>Jerry Jeudy</t>
  </si>
  <si>
    <t>Allen Lazard</t>
  </si>
  <si>
    <t>Jordan Love</t>
  </si>
  <si>
    <t>Jordan Akins</t>
  </si>
  <si>
    <t>Jonathan Taylor</t>
  </si>
  <si>
    <t>Clyde Edwards-Helaire</t>
  </si>
  <si>
    <t>Justin Herbert</t>
  </si>
  <si>
    <t>Van Jefferson</t>
  </si>
  <si>
    <t>Tua Tagovailoa</t>
  </si>
  <si>
    <t>Durham Smythe</t>
  </si>
  <si>
    <t>Justin Jefferson</t>
  </si>
  <si>
    <t>Adam Trautman</t>
  </si>
  <si>
    <t>Jalen Hurts</t>
  </si>
  <si>
    <t>Brandon Aiyuk</t>
  </si>
  <si>
    <t>Antonio Gibson</t>
  </si>
  <si>
    <t>Donovan Peoples-Jones</t>
  </si>
  <si>
    <t>DeeJay Dallas</t>
  </si>
  <si>
    <t>LV</t>
  </si>
  <si>
    <t>D'Ernest Johnson</t>
  </si>
  <si>
    <t>D'Andre Swift</t>
  </si>
  <si>
    <t>Jamaal Williams</t>
  </si>
  <si>
    <t>DeAndre Hopkins</t>
  </si>
  <si>
    <t>Isaiah McKenzie</t>
  </si>
  <si>
    <t>Harrison Bryant</t>
  </si>
  <si>
    <t>Albert Okwuegbunam</t>
  </si>
  <si>
    <t>DK Metcalf</t>
  </si>
  <si>
    <t>TEAM</t>
  </si>
  <si>
    <t>Braxton Berrios</t>
  </si>
  <si>
    <t>Justin Fields</t>
  </si>
  <si>
    <t>Trevor Lawrence</t>
  </si>
  <si>
    <t>Marcus Mariota</t>
  </si>
  <si>
    <t>Mac Jones</t>
  </si>
  <si>
    <t>Jameis Winston</t>
  </si>
  <si>
    <t>Geno Smith</t>
  </si>
  <si>
    <t>Taylor Heinicke</t>
  </si>
  <si>
    <t>Kyle Pitts</t>
  </si>
  <si>
    <t>Tommy Tremble</t>
  </si>
  <si>
    <t>Brevin Jordan</t>
  </si>
  <si>
    <t>Kylen Granson</t>
  </si>
  <si>
    <t>Pat Freiermuth</t>
  </si>
  <si>
    <t>Colby Parkinson</t>
  </si>
  <si>
    <t>Charlie Woerner</t>
  </si>
  <si>
    <t>Chuba Hubbard</t>
  </si>
  <si>
    <t>Khalil Herbert</t>
  </si>
  <si>
    <t>Samaje Perine</t>
  </si>
  <si>
    <t>Chris Evans</t>
  </si>
  <si>
    <t>Javonte Williams</t>
  </si>
  <si>
    <t>Rhamondre Stevenson</t>
  </si>
  <si>
    <t>Michael Carter</t>
  </si>
  <si>
    <t>Najee Harris</t>
  </si>
  <si>
    <t>Elijah Mitchell</t>
  </si>
  <si>
    <t>Rondale Moore</t>
  </si>
  <si>
    <t>Rashod Bateman</t>
  </si>
  <si>
    <t>DJ Moore</t>
  </si>
  <si>
    <t>Darnell Mooney</t>
  </si>
  <si>
    <t>Ja'Marr Chase</t>
  </si>
  <si>
    <t>Cedrick Wilson</t>
  </si>
  <si>
    <t>Amon-Ra St. Brown</t>
  </si>
  <si>
    <t>Nico Collins</t>
  </si>
  <si>
    <t>Tutu Atwell</t>
  </si>
  <si>
    <t>Ben Skowronek</t>
  </si>
  <si>
    <t>Jaylen Waddle</t>
  </si>
  <si>
    <t>Kadarius Toney</t>
  </si>
  <si>
    <t>Elijah Moore</t>
  </si>
  <si>
    <t>DeVonta Smith</t>
  </si>
  <si>
    <t>Quez Watkins</t>
  </si>
  <si>
    <t>Nick Westbrook-Ikhine</t>
  </si>
  <si>
    <t>Dyami Brown</t>
  </si>
  <si>
    <t>TD%</t>
  </si>
  <si>
    <t>Trent Sherfield</t>
  </si>
  <si>
    <t>RB</t>
  </si>
  <si>
    <t>WR</t>
  </si>
  <si>
    <t>INT%</t>
  </si>
  <si>
    <t>PASS ATT</t>
  </si>
  <si>
    <t>COMPLETIONS</t>
  </si>
  <si>
    <t>PASS ATTEMPTS</t>
  </si>
  <si>
    <t>PASS YARDS</t>
  </si>
  <si>
    <t>PASS TDS</t>
  </si>
  <si>
    <t>INTERCEPTIONS</t>
  </si>
  <si>
    <t>RUSH ATTEMPTS</t>
  </si>
  <si>
    <t>RUSH YARDS</t>
  </si>
  <si>
    <t>RUSH TDS</t>
  </si>
  <si>
    <t>TARGETS</t>
  </si>
  <si>
    <t>RECEPTIONS (RB)</t>
  </si>
  <si>
    <t>RECEPTIONS (WR)</t>
  </si>
  <si>
    <t>RECEPTIONS (TE)</t>
  </si>
  <si>
    <t>RECV YARDS</t>
  </si>
  <si>
    <t>RECV TDS</t>
  </si>
  <si>
    <t>SACKS</t>
  </si>
  <si>
    <t>SAFETIES</t>
  </si>
  <si>
    <t>DEF TD</t>
  </si>
  <si>
    <t>PASS TD</t>
  </si>
  <si>
    <t>RUSH ATT</t>
  </si>
  <si>
    <t>RUSH TD</t>
  </si>
  <si>
    <t>RECV TD</t>
  </si>
  <si>
    <t>COMP%</t>
  </si>
  <si>
    <t>TD PER CAR%</t>
  </si>
  <si>
    <t>RECP%</t>
  </si>
  <si>
    <t>YD PER RECP</t>
  </si>
  <si>
    <t>TGT SHARE</t>
  </si>
  <si>
    <t>MKT SHARE</t>
  </si>
  <si>
    <t>PTS PER GAME</t>
  </si>
  <si>
    <t>YD PER GAME</t>
  </si>
  <si>
    <t>RECOV'D FUMBLE</t>
  </si>
  <si>
    <t>FORCED FUMBLE</t>
  </si>
  <si>
    <t>DEF SACKS</t>
  </si>
  <si>
    <t>DEF INT</t>
  </si>
  <si>
    <t>DEF SAFETIES</t>
  </si>
  <si>
    <t>DEF TOUCHDOWN</t>
  </si>
  <si>
    <t>DEF 0 PTS ALLOW</t>
  </si>
  <si>
    <t>DEF 1-6 PTS ALLOW</t>
  </si>
  <si>
    <t>DEF 7-13 PTS ALLOW</t>
  </si>
  <si>
    <t>DEF 14-21 PTS ALLOW</t>
  </si>
  <si>
    <t>DEF 22-27 PTS ALLOW</t>
  </si>
  <si>
    <t>DEF 28-35 PTS ALLOW</t>
  </si>
  <si>
    <t>DEF RECOVER FUMBLE</t>
  </si>
  <si>
    <t>DEF FORCE FUMBLE</t>
  </si>
  <si>
    <t>DEF 35+ PTS ALLOW</t>
  </si>
  <si>
    <t>0 PT GAMES</t>
  </si>
  <si>
    <t>1-6 PT GAMES</t>
  </si>
  <si>
    <t>7-13 PT GAMES</t>
  </si>
  <si>
    <t>14-21 PT GAMES</t>
  </si>
  <si>
    <t>35+ PT GAMES</t>
  </si>
  <si>
    <t>22-26 PT GAMES</t>
  </si>
  <si>
    <t>27-34 PT GAMES</t>
  </si>
  <si>
    <t>TD SHARE</t>
  </si>
  <si>
    <t>YDS</t>
  </si>
  <si>
    <t>TOT SHR</t>
  </si>
  <si>
    <t>TEAM NUMBERS</t>
  </si>
  <si>
    <t>PASS%</t>
  </si>
  <si>
    <t>RUSH%</t>
  </si>
  <si>
    <t>RUTD%</t>
  </si>
  <si>
    <t>PLAYS</t>
  </si>
  <si>
    <t>TM RUSH</t>
  </si>
  <si>
    <t>TM TGT</t>
  </si>
  <si>
    <t>TM REC</t>
  </si>
  <si>
    <t>TM RUSH ATT</t>
  </si>
  <si>
    <t>TM RUSH YD</t>
  </si>
  <si>
    <t>TM RUSH TD</t>
  </si>
  <si>
    <t>TM REC YD</t>
  </si>
  <si>
    <t>TM REC TD</t>
  </si>
  <si>
    <t>TM PASS</t>
  </si>
  <si>
    <t>TEAM TOTAL DIFFERENCES</t>
  </si>
  <si>
    <t>YD PER CARRY</t>
  </si>
  <si>
    <t>PASS SHARE</t>
  </si>
  <si>
    <t>RUSH SHARE</t>
  </si>
  <si>
    <t>EDIT PASS SHARE</t>
  </si>
  <si>
    <t>EDIT RUSH SHARE</t>
  </si>
  <si>
    <t>EDIT TGT SHARE</t>
  </si>
  <si>
    <t>RU YPC</t>
  </si>
  <si>
    <t>TEAMS</t>
  </si>
  <si>
    <t>STARTING QB</t>
  </si>
  <si>
    <t>STARTING RB</t>
  </si>
  <si>
    <t>STARTING WR</t>
  </si>
  <si>
    <t>STARTING TE</t>
  </si>
  <si>
    <t>STARTING DST</t>
  </si>
  <si>
    <t>STARTING FLEX</t>
  </si>
  <si>
    <t>STARTING SUPERFLEX</t>
  </si>
  <si>
    <t>AUC$</t>
  </si>
  <si>
    <t>STATS TO EDIT</t>
  </si>
  <si>
    <t>STAT TOTALS</t>
  </si>
  <si>
    <t>Columns AE-AH should total 100% or less (recommend 98-99% or less, as there are always a few random players) - the calcuations will still adjust to 98% (Columns W, AA, AC), but it's forcing the numbers if you're over 100% and/or inflating them if way low</t>
  </si>
  <si>
    <t>CELLS</t>
  </si>
  <si>
    <t>POSITION DIFFERENCES</t>
  </si>
  <si>
    <t>QB attempt total can't be manipulated manually - you must change TEAM PLAYS, TEAM PASS% and/or QB PASS SHARE</t>
  </si>
  <si>
    <t>League average for TD% per COMP is around 7.1-7.2 with Aaron Rodgers at 12.9% last year and Matthew Stafford at 7.7%</t>
  </si>
  <si>
    <t>BENCHMARKS QB</t>
  </si>
  <si>
    <t>BENCHMARKS RB</t>
  </si>
  <si>
    <t>League average for TD% per RUSH ATT is around 3.8 with Alvin Kamara blowing away everyone at 8.6%, Derrick Henry at 4.5% and Nyheim Hines at 3.4%</t>
  </si>
  <si>
    <t>BENCHMARKS WR</t>
  </si>
  <si>
    <t>League average for TGT% is around 9.0 with Davante Adams leading at 29.7% last year, Tee Higgins at 19.1% (30th overall) and Henry Ruggs at 8.2 (98th) - this is based on FULL SEASON total targets</t>
  </si>
  <si>
    <t>BENCHMARKS TE</t>
  </si>
  <si>
    <t>League average for TGT% is around 5.5 with Darren Waller tops at 27.7% last year, Dallas Goedert 20th with 11.6% and Durham Smythe 5.3 (49th)</t>
  </si>
  <si>
    <t>BENCHMARKS RECV TD SHARE</t>
  </si>
  <si>
    <t>Chris Carson's 4 recv TDs accounted for 10% of SEA passing TD, DK Metcalf and Tyler Lockett's 10 TDs each accounted for 25%, T.J. Hockenson's 7 accounted for 22.2% of the Lions 27 passing TDs</t>
  </si>
  <si>
    <t>MORE TEAM STATS/TOTALS</t>
  </si>
  <si>
    <t>There are cells all the way to the right, up to Column AH - make sure you see/use all of them if changing numbers</t>
  </si>
  <si>
    <t>Only change stats in YELLOW - the rest will auto-calculate after you make changes</t>
  </si>
  <si>
    <t>You can only edit PASS% (RUSH% auto adjusts to equal 100). Also, TEAM YPC and TD% affect "available" rushing yards and TDs - QB YPA and PASS TD% affect "available" targets, receptions (yards and TDs)</t>
  </si>
  <si>
    <t>Jeff Wilson</t>
  </si>
  <si>
    <t>LINK TO THE SITE WITH STEP-BY-STEP DEEPER INSTRUCTIONS AND PICTURES</t>
  </si>
  <si>
    <t>OPEN IN EXCEL</t>
  </si>
  <si>
    <t>If you don't have Excel, you can access Office 365 online (just have to create an account if you don't have one), so…</t>
  </si>
  <si>
    <t>GO HERE to access Excel online and open the file</t>
  </si>
  <si>
    <t>Custom</t>
  </si>
  <si>
    <t>Catergoy</t>
  </si>
  <si>
    <t>Points</t>
  </si>
  <si>
    <t>Category</t>
  </si>
  <si>
    <t>Player</t>
  </si>
  <si>
    <t>Ref</t>
  </si>
  <si>
    <t>DST1</t>
  </si>
  <si>
    <t>DST6</t>
  </si>
  <si>
    <t>DST8</t>
  </si>
  <si>
    <t>DST7</t>
  </si>
  <si>
    <t>DST9</t>
  </si>
  <si>
    <t>DST2</t>
  </si>
  <si>
    <t>DST3</t>
  </si>
  <si>
    <t>DST4</t>
  </si>
  <si>
    <t>DST5</t>
  </si>
  <si>
    <t>DST10</t>
  </si>
  <si>
    <t>DST11</t>
  </si>
  <si>
    <t>DST12</t>
  </si>
  <si>
    <t>DST13</t>
  </si>
  <si>
    <t>DST14</t>
  </si>
  <si>
    <t>DST15</t>
  </si>
  <si>
    <t>DST16</t>
  </si>
  <si>
    <t>DST17</t>
  </si>
  <si>
    <t>DST18</t>
  </si>
  <si>
    <t>DST19</t>
  </si>
  <si>
    <t>DST20</t>
  </si>
  <si>
    <t>DST21</t>
  </si>
  <si>
    <t>DST22</t>
  </si>
  <si>
    <t>DST23</t>
  </si>
  <si>
    <t>DST24</t>
  </si>
  <si>
    <t>DST25</t>
  </si>
  <si>
    <t>DST26</t>
  </si>
  <si>
    <t>DST27</t>
  </si>
  <si>
    <t>DST28</t>
  </si>
  <si>
    <t>DST29</t>
  </si>
  <si>
    <t>DST30</t>
  </si>
  <si>
    <t>DST31</t>
  </si>
  <si>
    <t>DST32</t>
  </si>
  <si>
    <t>AUCTION BUDGET</t>
  </si>
  <si>
    <t>QBRef</t>
  </si>
  <si>
    <t>RBRef</t>
  </si>
  <si>
    <t>WRRef</t>
  </si>
  <si>
    <t>TERef</t>
  </si>
  <si>
    <t>DSTRef</t>
  </si>
  <si>
    <t>Value</t>
  </si>
  <si>
    <t>SFLEX</t>
  </si>
  <si>
    <t>FLEX</t>
  </si>
  <si>
    <t>VORP</t>
  </si>
  <si>
    <t>WR and TE COMBINED</t>
  </si>
  <si>
    <t>OVERALL PLAYER</t>
  </si>
  <si>
    <t>TIGHT END</t>
  </si>
  <si>
    <t>WIDE RECEIVER</t>
  </si>
  <si>
    <t>RUNNING BACK</t>
  </si>
  <si>
    <t>QUARTERBACK</t>
  </si>
  <si>
    <t>Pos</t>
  </si>
  <si>
    <t>Calc</t>
  </si>
  <si>
    <t>OVR RK</t>
  </si>
  <si>
    <t>DO NOT EDIT THIS SHEET</t>
  </si>
  <si>
    <t>POS RK</t>
  </si>
  <si>
    <t>POSRef</t>
  </si>
  <si>
    <t>WRTE</t>
  </si>
  <si>
    <t>Gardner Minshew</t>
  </si>
  <si>
    <t>Jauan Jennings</t>
  </si>
  <si>
    <t>Mike White</t>
  </si>
  <si>
    <t>Juwan Johnson</t>
  </si>
  <si>
    <t>K.J. Osborn</t>
  </si>
  <si>
    <t>Mack Hollins</t>
  </si>
  <si>
    <t>Drake London</t>
  </si>
  <si>
    <t>KhaDarel Hodge</t>
  </si>
  <si>
    <t>J.K. Dobbins</t>
  </si>
  <si>
    <t>D'Onta Foreman</t>
  </si>
  <si>
    <t>Noah Brown</t>
  </si>
  <si>
    <t>Jameson Williams</t>
  </si>
  <si>
    <t>Brock Wright</t>
  </si>
  <si>
    <t>Deon Jackson</t>
  </si>
  <si>
    <t>Travis Etienne</t>
  </si>
  <si>
    <t>Donald Parham</t>
  </si>
  <si>
    <t>Nick Mullens</t>
  </si>
  <si>
    <t>Irv Smith</t>
  </si>
  <si>
    <t>Johnny Mundt</t>
  </si>
  <si>
    <t>Jahan Dotson</t>
  </si>
  <si>
    <t>Treylon Burks</t>
  </si>
  <si>
    <t>Kenny Pickett</t>
  </si>
  <si>
    <t>Garrett Wilson</t>
  </si>
  <si>
    <t>Chris Olave</t>
  </si>
  <si>
    <t>Deonte Harty</t>
  </si>
  <si>
    <t>Tyler Allgeier</t>
  </si>
  <si>
    <t>Charlie Kolar</t>
  </si>
  <si>
    <t>Isaiah Likely</t>
  </si>
  <si>
    <t>Khalil Shakir</t>
  </si>
  <si>
    <t>Jerome Ford</t>
  </si>
  <si>
    <t>Jake Ferguson</t>
  </si>
  <si>
    <t>Romeo Doubs</t>
  </si>
  <si>
    <t>Dameon Pierce</t>
  </si>
  <si>
    <t>Isaiah Spiller</t>
  </si>
  <si>
    <t>Zamir White</t>
  </si>
  <si>
    <t>Breece Hall</t>
  </si>
  <si>
    <t>Jeremy Ruckert</t>
  </si>
  <si>
    <t>George Pickens</t>
  </si>
  <si>
    <t>Calvin Austin</t>
  </si>
  <si>
    <t>Sam Howell</t>
  </si>
  <si>
    <t>Brian Robinson</t>
  </si>
  <si>
    <t>Kyle Philips</t>
  </si>
  <si>
    <t>Cade Otton</t>
  </si>
  <si>
    <t>Rachaad White</t>
  </si>
  <si>
    <t>Danny Gray</t>
  </si>
  <si>
    <t>Kyren Williams</t>
  </si>
  <si>
    <t>Skyy Moore</t>
  </si>
  <si>
    <t>Alec Pierce</t>
  </si>
  <si>
    <t>Jelani Woods</t>
  </si>
  <si>
    <t>John Metchie</t>
  </si>
  <si>
    <t>Christian Watson</t>
  </si>
  <si>
    <t>Greg Dulcich</t>
  </si>
  <si>
    <t>Jalen Tolbert</t>
  </si>
  <si>
    <t>David Bell</t>
  </si>
  <si>
    <t>Velus Jones</t>
  </si>
  <si>
    <t>James Cook</t>
  </si>
  <si>
    <t>Desmond Ridder</t>
  </si>
  <si>
    <t>Daniel Bellinger</t>
  </si>
  <si>
    <t>Wan'Dale Robinson</t>
  </si>
  <si>
    <t>WAS</t>
  </si>
  <si>
    <t>Kyle Trask</t>
  </si>
  <si>
    <t>Tyrod Taylor</t>
  </si>
  <si>
    <t>Jarrett Stidham</t>
  </si>
  <si>
    <t>JAC</t>
  </si>
  <si>
    <t>Team</t>
  </si>
  <si>
    <t>Kenneth Gainwell</t>
  </si>
  <si>
    <t>Ty Chandler</t>
  </si>
  <si>
    <t>Keaontay Ingram</t>
  </si>
  <si>
    <t>Zach Pascal</t>
  </si>
  <si>
    <t>Jalen Nailor</t>
  </si>
  <si>
    <t>Laviska Shenault</t>
  </si>
  <si>
    <t>Michael Pittman</t>
  </si>
  <si>
    <t>Terrace Marshall</t>
  </si>
  <si>
    <t>Chigoziem Okonkwo</t>
  </si>
  <si>
    <t>Ko Kieft</t>
  </si>
  <si>
    <t>Tyler Conklin</t>
  </si>
  <si>
    <t>Luke Farrell</t>
  </si>
  <si>
    <t>Trey McBride</t>
  </si>
  <si>
    <t>James Mitchell</t>
  </si>
  <si>
    <t>EDIT TD PER REC</t>
  </si>
  <si>
    <t>YDS PER COMP</t>
  </si>
  <si>
    <t>ABBREV</t>
  </si>
  <si>
    <t>TGTS</t>
  </si>
  <si>
    <t>Name</t>
  </si>
  <si>
    <t>Position</t>
  </si>
  <si>
    <t>AJ Dillon</t>
  </si>
  <si>
    <t>Baker Mayfield</t>
  </si>
  <si>
    <t>Isiah Pacheco</t>
  </si>
  <si>
    <t>Jaylen Warren</t>
  </si>
  <si>
    <t>Tim Jones</t>
  </si>
  <si>
    <t>Quintin Morris</t>
  </si>
  <si>
    <t>Peyton Hendershot</t>
  </si>
  <si>
    <t>Gunner Olszewski</t>
  </si>
  <si>
    <t>Jordan Mason</t>
  </si>
  <si>
    <t>Greg Dortch</t>
  </si>
  <si>
    <t>Raheem Blackshear</t>
  </si>
  <si>
    <t>Calvin Ridley</t>
  </si>
  <si>
    <t>Easton Stick</t>
  </si>
  <si>
    <t>Brock Purdy</t>
  </si>
  <si>
    <t>Rashid Shaheed</t>
  </si>
  <si>
    <t>Josh Oliver</t>
  </si>
  <si>
    <t>Odell Beckham</t>
  </si>
  <si>
    <t>KaVontae Turpin</t>
  </si>
  <si>
    <t>Michael Wilson</t>
  </si>
  <si>
    <t>Bijan Robinson</t>
  </si>
  <si>
    <t>Zay Flowers</t>
  </si>
  <si>
    <t>Gabe Davis</t>
  </si>
  <si>
    <t>Justin Shorter</t>
  </si>
  <si>
    <t>Dalton Kincaid</t>
  </si>
  <si>
    <t>Bryce Young</t>
  </si>
  <si>
    <t>Jonathan Mingo</t>
  </si>
  <si>
    <t>Tyler Scott</t>
  </si>
  <si>
    <t>Chase Brown</t>
  </si>
  <si>
    <t>Charlie Jones</t>
  </si>
  <si>
    <t>Cedric Tillman</t>
  </si>
  <si>
    <t>Deuce Vaughn</t>
  </si>
  <si>
    <t>Luke Schoonmaker</t>
  </si>
  <si>
    <t>Marvin Mims</t>
  </si>
  <si>
    <t>Jahmyr Gibbs</t>
  </si>
  <si>
    <t>Antoine Green</t>
  </si>
  <si>
    <t>Sam LaPorta</t>
  </si>
  <si>
    <t>Sean Clifford</t>
  </si>
  <si>
    <t>Jayden Reed</t>
  </si>
  <si>
    <t>Luke Musgrave</t>
  </si>
  <si>
    <t>Tucker Kraft</t>
  </si>
  <si>
    <t>C.J. Stroud</t>
  </si>
  <si>
    <t>Xavier Hutchinson</t>
  </si>
  <si>
    <t>Anthony Richardson</t>
  </si>
  <si>
    <t>Evan Hull</t>
  </si>
  <si>
    <t>Josh Downs</t>
  </si>
  <si>
    <t>Tank Bigsby</t>
  </si>
  <si>
    <t>Parker Washington</t>
  </si>
  <si>
    <t>Brenton Strange</t>
  </si>
  <si>
    <t>Rashee Rice</t>
  </si>
  <si>
    <t>Tre Tucker</t>
  </si>
  <si>
    <t>Michael Mayer</t>
  </si>
  <si>
    <t>Quentin Johnston</t>
  </si>
  <si>
    <t>Derius Davis</t>
  </si>
  <si>
    <t>Puka Nacua</t>
  </si>
  <si>
    <t>Jordan Addison</t>
  </si>
  <si>
    <t>Kendre Miller</t>
  </si>
  <si>
    <t>A.T. Perry</t>
  </si>
  <si>
    <t>Eric Gray</t>
  </si>
  <si>
    <t>Jalin Hyatt</t>
  </si>
  <si>
    <t>Israel Abanikanda</t>
  </si>
  <si>
    <t>Darnell Washington</t>
  </si>
  <si>
    <t>Zach Charbonnet</t>
  </si>
  <si>
    <t>Jaxon Smith-Njigba</t>
  </si>
  <si>
    <t>Sean Tucker</t>
  </si>
  <si>
    <t>Trey Palmer</t>
  </si>
  <si>
    <t>Payne Durham</t>
  </si>
  <si>
    <t>Will Levis</t>
  </si>
  <si>
    <t>Tyjae Spears</t>
  </si>
  <si>
    <t>Chris Rodriguez</t>
  </si>
  <si>
    <t>Josh Whyle</t>
  </si>
  <si>
    <t>Roschon Johnson</t>
  </si>
  <si>
    <t>Kenneth Walker</t>
  </si>
  <si>
    <t>Tank Dell</t>
  </si>
  <si>
    <t>De'Von Achane</t>
  </si>
  <si>
    <t>Demario Douglas</t>
  </si>
  <si>
    <t xml:space="preserve"> </t>
  </si>
  <si>
    <t>Kenny McIntosh</t>
  </si>
  <si>
    <t>Joshua Palmer</t>
  </si>
  <si>
    <t>Trayveon Williams</t>
  </si>
  <si>
    <t>Keaton Mitchell</t>
  </si>
  <si>
    <t>Deven Thompkins</t>
  </si>
  <si>
    <t>Rico Dowdle</t>
  </si>
  <si>
    <t>Cole Turner</t>
  </si>
  <si>
    <t>Jason Brownlee</t>
  </si>
  <si>
    <t>Tiers</t>
  </si>
  <si>
    <t>Mitch Trubisky</t>
  </si>
  <si>
    <t>Jaleel McLaughlin</t>
  </si>
  <si>
    <t>Chris Moore</t>
  </si>
  <si>
    <t>Kene Nwangwu</t>
  </si>
  <si>
    <t>Zack Moss</t>
  </si>
  <si>
    <t>Tyson Bagent</t>
  </si>
  <si>
    <t>Andrei Iosivas</t>
  </si>
  <si>
    <t>Trey Lance</t>
  </si>
  <si>
    <t>Chris Manhertz</t>
  </si>
  <si>
    <t>Ronnie Bell</t>
  </si>
  <si>
    <t>Brandon Johnson</t>
  </si>
  <si>
    <t>Brandon Powell</t>
  </si>
  <si>
    <t>Justice Hill</t>
  </si>
  <si>
    <t>Jake Browning</t>
  </si>
  <si>
    <t>Jake Bobo</t>
  </si>
  <si>
    <t>Craig Reynolds</t>
  </si>
  <si>
    <t>Elijah Higgins</t>
  </si>
  <si>
    <t>Ray-Ray McCloud</t>
  </si>
  <si>
    <t>Josh Johnson</t>
  </si>
  <si>
    <t>Ty Johnson</t>
  </si>
  <si>
    <t>Andy Isabella</t>
  </si>
  <si>
    <t>David Moore</t>
  </si>
  <si>
    <t>Caleb Williams</t>
  </si>
  <si>
    <t>Tanner Hudson</t>
  </si>
  <si>
    <t>Racey McMath</t>
  </si>
  <si>
    <t>Tim Patrick</t>
  </si>
  <si>
    <t>Hendon Hooker</t>
  </si>
  <si>
    <t>Kalif Raymond</t>
  </si>
  <si>
    <t>Dontayvion Wicks</t>
  </si>
  <si>
    <t>Bo Melton</t>
  </si>
  <si>
    <t>Joe Flacco</t>
  </si>
  <si>
    <t>Trey Sermon</t>
  </si>
  <si>
    <t>Justin Watson</t>
  </si>
  <si>
    <t>Aidan O'Connell</t>
  </si>
  <si>
    <t>Zach Evans</t>
  </si>
  <si>
    <t>Demarcus Robinson</t>
  </si>
  <si>
    <t>Kevin Harris</t>
  </si>
  <si>
    <t>Stanley Morgan</t>
  </si>
  <si>
    <t>Xavier Gipson</t>
  </si>
  <si>
    <t>Josh Dobbs</t>
  </si>
  <si>
    <t>Cameron Latu</t>
  </si>
  <si>
    <t>Pharoah Brown</t>
  </si>
  <si>
    <t>Mason Rudolph</t>
  </si>
  <si>
    <t>Jayden Daniels</t>
  </si>
  <si>
    <t>Jamison Crowder</t>
  </si>
  <si>
    <t>Royce Freeman</t>
  </si>
  <si>
    <t>Carson Wentz</t>
  </si>
  <si>
    <t>Noah Gray</t>
  </si>
  <si>
    <t>Julian Hill</t>
  </si>
  <si>
    <t>Nathan Peterman</t>
  </si>
  <si>
    <t>Hassan Haskins</t>
  </si>
  <si>
    <t>Olamide Zaccheaus</t>
  </si>
  <si>
    <t>Rome Odunze</t>
  </si>
  <si>
    <t>Drake Maye</t>
  </si>
  <si>
    <t>Marvin Harrison</t>
  </si>
  <si>
    <t>Malik Nabers</t>
  </si>
  <si>
    <t>Michael Penix</t>
  </si>
  <si>
    <t>J.J. McCarthy</t>
  </si>
  <si>
    <t>Bo Nix</t>
  </si>
  <si>
    <t>Zach Wilson</t>
  </si>
  <si>
    <t>Brock Bowers</t>
  </si>
  <si>
    <t>Brian Thomas</t>
  </si>
  <si>
    <t>Xavier Worthy</t>
  </si>
  <si>
    <t>Ricky Pearsall</t>
  </si>
  <si>
    <t>Xavier Legette</t>
  </si>
  <si>
    <t>Keon Coleman</t>
  </si>
  <si>
    <t>Ladd McConkey</t>
  </si>
  <si>
    <t>Ja'Lynn Polk</t>
  </si>
  <si>
    <t>Jonathon Brooks</t>
  </si>
  <si>
    <t>Adonai Mitchell</t>
  </si>
  <si>
    <t>Ben Sinnott</t>
  </si>
  <si>
    <t>Tip Reiman</t>
  </si>
  <si>
    <t>Trey Benson</t>
  </si>
  <si>
    <t>Casey Washington</t>
  </si>
  <si>
    <t>Jase McClellan</t>
  </si>
  <si>
    <t>Devontez Walker</t>
  </si>
  <si>
    <t>Ray Davis</t>
  </si>
  <si>
    <t>Ja'Tavion Sanders</t>
  </si>
  <si>
    <t>Jermaine Burton</t>
  </si>
  <si>
    <t>Erick All</t>
  </si>
  <si>
    <t>Tanner McLachlan</t>
  </si>
  <si>
    <t>Jamari Thrash</t>
  </si>
  <si>
    <t>Ryan Flournoy</t>
  </si>
  <si>
    <t>Troy Franklin</t>
  </si>
  <si>
    <t>Audric Estime</t>
  </si>
  <si>
    <t>MarShawn Lloyd</t>
  </si>
  <si>
    <t>Case Keenum</t>
  </si>
  <si>
    <t>Jawhar Jordan</t>
  </si>
  <si>
    <t>Cade Stover</t>
  </si>
  <si>
    <t>Anthony Gould</t>
  </si>
  <si>
    <t>Kellan Robinson</t>
  </si>
  <si>
    <t>Jared Wiley</t>
  </si>
  <si>
    <t>Dylan Laube</t>
  </si>
  <si>
    <t>Kimani Vidal</t>
  </si>
  <si>
    <t>Brenden Rice</t>
  </si>
  <si>
    <t>Cornelius Johnson</t>
  </si>
  <si>
    <t>Blake Corum</t>
  </si>
  <si>
    <t>Jordan Whittington</t>
  </si>
  <si>
    <t>Jaylen Wright</t>
  </si>
  <si>
    <t>Malik Washington</t>
  </si>
  <si>
    <t>Tahj Washington</t>
  </si>
  <si>
    <t>Javon Baker</t>
  </si>
  <si>
    <t>Bub Means</t>
  </si>
  <si>
    <t>Theo Johnson</t>
  </si>
  <si>
    <t>Tyrone Tracy</t>
  </si>
  <si>
    <t>Braelon Allen</t>
  </si>
  <si>
    <t>Isaiah Davis</t>
  </si>
  <si>
    <t>Malachi Corley</t>
  </si>
  <si>
    <t>Will Shipley</t>
  </si>
  <si>
    <t>Ainias Smith</t>
  </si>
  <si>
    <t>Johnny Wilson</t>
  </si>
  <si>
    <t>Roman Wilson</t>
  </si>
  <si>
    <t>Isaac Guerendo</t>
  </si>
  <si>
    <t>Jacob Cowing</t>
  </si>
  <si>
    <t>AJ Barner</t>
  </si>
  <si>
    <t>Jalen McMillan</t>
  </si>
  <si>
    <t>Bucky Irving</t>
  </si>
  <si>
    <t>Jha'Quan Jackson</t>
  </si>
  <si>
    <t>Luke McCaffrey</t>
  </si>
  <si>
    <t>Jalen Guyton</t>
  </si>
  <si>
    <t>DeMario Douglas</t>
  </si>
  <si>
    <t>Rasheen Ali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</si>
  <si>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</si>
  <si>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</si>
  <si>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</si>
  <si>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</si>
  <si>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</si>
  <si>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</si>
  <si>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</si>
  <si>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</si>
  <si>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</si>
  <si>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</si>
  <si>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</si>
  <si>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</si>
  <si>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</si>
  <si>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</si>
  <si>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</si>
  <si>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</si>
  <si>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</si>
  <si>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</si>
  <si>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</si>
  <si>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</si>
  <si>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</si>
  <si>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</si>
  <si>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</si>
  <si>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</si>
  <si>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</si>
  <si>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</si>
  <si>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</si>
  <si>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</si>
  <si>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</si>
  <si>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</si>
  <si>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</si>
  <si>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</si>
  <si>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Tyler Boyd</t>
  </si>
  <si>
    <t>Projected FFP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</si>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</sst>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"/>
    <numFmt numFmtId="167" formatCode="&quot;$&quot;#,##0.0"/>
    <numFmt numFmtId="168" formatCode="&quot;$&quot;#,##0"/>
  </numFmts>
  <fonts count="27" x14ac:knownFonts="1"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indexed="8"/>
      <name val="Calibri"/>
      <family val="2"/>
    </font>
    <font>
      <sz val="10"/>
      <color indexed="8"/>
      <name val="Calibri"/>
      <family val="2"/>
    </font>
    <font>
      <b/>
      <i/>
      <sz val="10"/>
      <color theme="1"/>
      <name val="Calibri"/>
      <family val="2"/>
    </font>
    <font>
      <b/>
      <i/>
      <sz val="10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b/>
      <u/>
      <sz val="14"/>
      <color theme="10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9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FFF5DC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D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BD7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D69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90">
    <xf numFmtId="0" fontId="0" fillId="0" borderId="0" xfId="0"/>
    <xf numFmtId="165" fontId="0" fillId="2" borderId="1" xfId="1" applyNumberFormat="1" applyFont="1" applyFill="1" applyBorder="1" applyAlignment="1" applyProtection="1">
      <alignment horizontal="center"/>
    </xf>
    <xf numFmtId="165" fontId="11" fillId="0" borderId="1" xfId="1" applyNumberFormat="1" applyFont="1" applyBorder="1" applyAlignment="1" applyProtection="1">
      <alignment horizontal="center"/>
    </xf>
    <xf numFmtId="165" fontId="0" fillId="0" borderId="0" xfId="1" applyNumberFormat="1" applyFont="1" applyAlignment="1" applyProtection="1">
      <alignment horizontal="center"/>
    </xf>
    <xf numFmtId="165" fontId="5" fillId="0" borderId="0" xfId="1" applyNumberFormat="1" applyFont="1" applyAlignment="1" applyProtection="1">
      <alignment horizontal="center"/>
    </xf>
    <xf numFmtId="164" fontId="11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165" fontId="6" fillId="0" borderId="1" xfId="1" applyNumberFormat="1" applyFont="1" applyBorder="1" applyAlignment="1" applyProtection="1">
      <alignment horizontal="center"/>
    </xf>
    <xf numFmtId="165" fontId="7" fillId="0" borderId="1" xfId="1" applyNumberFormat="1" applyFont="1" applyBorder="1" applyAlignment="1" applyProtection="1">
      <alignment horizontal="center"/>
    </xf>
    <xf numFmtId="165" fontId="7" fillId="0" borderId="1" xfId="1" applyNumberFormat="1" applyFont="1" applyBorder="1" applyAlignment="1" applyProtection="1">
      <alignment horizontal="center" vertical="center" wrapText="1"/>
    </xf>
    <xf numFmtId="165" fontId="0" fillId="0" borderId="0" xfId="1" applyNumberFormat="1" applyFont="1" applyFill="1" applyBorder="1" applyAlignment="1" applyProtection="1">
      <alignment horizontal="center"/>
    </xf>
    <xf numFmtId="165" fontId="14" fillId="0" borderId="1" xfId="1" applyNumberFormat="1" applyFont="1" applyBorder="1" applyAlignment="1" applyProtection="1">
      <alignment horizontal="center"/>
    </xf>
    <xf numFmtId="165" fontId="0" fillId="3" borderId="1" xfId="1" applyNumberFormat="1" applyFont="1" applyFill="1" applyBorder="1" applyAlignment="1" applyProtection="1">
      <alignment horizontal="center"/>
    </xf>
    <xf numFmtId="165" fontId="6" fillId="0" borderId="1" xfId="1" applyNumberFormat="1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4" borderId="1" xfId="1" applyNumberFormat="1" applyFont="1" applyFill="1" applyBorder="1" applyAlignment="1" applyProtection="1">
      <alignment horizontal="center"/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165" fontId="0" fillId="2" borderId="1" xfId="1" applyNumberFormat="1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164" fontId="10" fillId="0" borderId="0" xfId="0" applyNumberFormat="1" applyFont="1" applyAlignment="1" applyProtection="1">
      <alignment horizontal="center"/>
      <protection locked="0"/>
    </xf>
    <xf numFmtId="165" fontId="10" fillId="0" borderId="0" xfId="1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165" fontId="6" fillId="0" borderId="5" xfId="1" applyNumberFormat="1" applyFont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164" fontId="13" fillId="4" borderId="1" xfId="0" applyNumberFormat="1" applyFont="1" applyFill="1" applyBorder="1" applyAlignment="1" applyProtection="1">
      <alignment horizontal="center"/>
      <protection locked="0"/>
    </xf>
    <xf numFmtId="165" fontId="0" fillId="0" borderId="5" xfId="0" applyNumberFormat="1" applyBorder="1" applyAlignment="1" applyProtection="1">
      <alignment horizont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1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11" fillId="0" borderId="0" xfId="0" applyFont="1" applyProtection="1">
      <protection locked="0"/>
    </xf>
    <xf numFmtId="165" fontId="7" fillId="0" borderId="5" xfId="1" applyNumberFormat="1" applyFont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1" fontId="11" fillId="4" borderId="1" xfId="0" applyNumberFormat="1" applyFont="1" applyFill="1" applyBorder="1" applyAlignment="1" applyProtection="1">
      <alignment horizontal="center"/>
      <protection locked="0"/>
    </xf>
    <xf numFmtId="165" fontId="11" fillId="4" borderId="1" xfId="1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165" fontId="0" fillId="0" borderId="0" xfId="1" applyNumberFormat="1" applyFont="1" applyFill="1" applyBorder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0" xfId="1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14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/>
    <xf numFmtId="0" fontId="17" fillId="0" borderId="0" xfId="2" applyAlignment="1">
      <alignment horizontal="left"/>
    </xf>
    <xf numFmtId="164" fontId="0" fillId="0" borderId="0" xfId="0" applyNumberFormat="1"/>
    <xf numFmtId="0" fontId="15" fillId="0" borderId="0" xfId="0" applyFont="1"/>
    <xf numFmtId="0" fontId="16" fillId="0" borderId="0" xfId="0" applyFont="1"/>
    <xf numFmtId="164" fontId="16" fillId="0" borderId="0" xfId="0" applyNumberFormat="1" applyFont="1"/>
    <xf numFmtId="1" fontId="16" fillId="0" borderId="0" xfId="0" applyNumberFormat="1" applyFont="1"/>
    <xf numFmtId="0" fontId="15" fillId="0" borderId="8" xfId="0" applyFont="1" applyBorder="1"/>
    <xf numFmtId="2" fontId="15" fillId="0" borderId="9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15" fillId="0" borderId="8" xfId="0" applyFont="1" applyBorder="1" applyProtection="1">
      <protection locked="0"/>
    </xf>
    <xf numFmtId="0" fontId="16" fillId="5" borderId="6" xfId="0" applyFont="1" applyFill="1" applyBorder="1" applyProtection="1">
      <protection locked="0"/>
    </xf>
    <xf numFmtId="2" fontId="16" fillId="5" borderId="7" xfId="0" applyNumberFormat="1" applyFont="1" applyFill="1" applyBorder="1" applyProtection="1">
      <protection locked="0"/>
    </xf>
    <xf numFmtId="0" fontId="16" fillId="0" borderId="0" xfId="0" applyFont="1" applyProtection="1">
      <protection locked="0"/>
    </xf>
    <xf numFmtId="0" fontId="16" fillId="8" borderId="6" xfId="0" applyFont="1" applyFill="1" applyBorder="1" applyProtection="1">
      <protection locked="0"/>
    </xf>
    <xf numFmtId="1" fontId="16" fillId="8" borderId="7" xfId="0" applyNumberFormat="1" applyFont="1" applyFill="1" applyBorder="1" applyProtection="1">
      <protection locked="0"/>
    </xf>
    <xf numFmtId="0" fontId="16" fillId="4" borderId="6" xfId="0" applyFont="1" applyFill="1" applyBorder="1" applyProtection="1">
      <protection locked="0"/>
    </xf>
    <xf numFmtId="2" fontId="16" fillId="4" borderId="7" xfId="0" applyNumberFormat="1" applyFont="1" applyFill="1" applyBorder="1" applyProtection="1">
      <protection locked="0"/>
    </xf>
    <xf numFmtId="0" fontId="16" fillId="8" borderId="10" xfId="0" applyFont="1" applyFill="1" applyBorder="1" applyProtection="1">
      <protection locked="0"/>
    </xf>
    <xf numFmtId="1" fontId="16" fillId="8" borderId="11" xfId="0" applyNumberFormat="1" applyFont="1" applyFill="1" applyBorder="1" applyProtection="1">
      <protection locked="0"/>
    </xf>
    <xf numFmtId="0" fontId="16" fillId="6" borderId="6" xfId="0" applyFont="1" applyFill="1" applyBorder="1" applyProtection="1">
      <protection locked="0"/>
    </xf>
    <xf numFmtId="2" fontId="16" fillId="6" borderId="7" xfId="0" applyNumberFormat="1" applyFont="1" applyFill="1" applyBorder="1" applyProtection="1">
      <protection locked="0"/>
    </xf>
    <xf numFmtId="2" fontId="16" fillId="0" borderId="0" xfId="0" applyNumberFormat="1" applyFont="1" applyProtection="1">
      <protection locked="0"/>
    </xf>
    <xf numFmtId="0" fontId="16" fillId="7" borderId="6" xfId="0" applyFont="1" applyFill="1" applyBorder="1" applyProtection="1">
      <protection locked="0"/>
    </xf>
    <xf numFmtId="2" fontId="16" fillId="7" borderId="7" xfId="0" applyNumberFormat="1" applyFont="1" applyFill="1" applyBorder="1" applyProtection="1">
      <protection locked="0"/>
    </xf>
    <xf numFmtId="165" fontId="0" fillId="0" borderId="0" xfId="1" applyNumberFormat="1" applyFont="1" applyAlignme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8" fontId="16" fillId="8" borderId="11" xfId="0" applyNumberFormat="1" applyFont="1" applyFill="1" applyBorder="1" applyProtection="1">
      <protection locked="0"/>
    </xf>
    <xf numFmtId="164" fontId="20" fillId="0" borderId="0" xfId="0" applyNumberFormat="1" applyFont="1"/>
    <xf numFmtId="0" fontId="20" fillId="0" borderId="0" xfId="0" applyFont="1"/>
    <xf numFmtId="0" fontId="21" fillId="0" borderId="0" xfId="0" applyFont="1"/>
    <xf numFmtId="1" fontId="22" fillId="0" borderId="0" xfId="0" applyNumberFormat="1" applyFont="1"/>
    <xf numFmtId="0" fontId="22" fillId="0" borderId="0" xfId="0" applyFont="1"/>
    <xf numFmtId="164" fontId="22" fillId="0" borderId="0" xfId="0" applyNumberFormat="1" applyFont="1"/>
    <xf numFmtId="164" fontId="22" fillId="9" borderId="0" xfId="0" applyNumberFormat="1" applyFont="1" applyFill="1"/>
    <xf numFmtId="168" fontId="22" fillId="0" borderId="0" xfId="0" applyNumberFormat="1" applyFont="1"/>
    <xf numFmtId="164" fontId="16" fillId="9" borderId="0" xfId="0" applyNumberFormat="1" applyFont="1" applyFill="1"/>
    <xf numFmtId="168" fontId="16" fillId="0" borderId="0" xfId="0" applyNumberFormat="1" applyFont="1"/>
    <xf numFmtId="0" fontId="23" fillId="0" borderId="0" xfId="0" applyFont="1" applyAlignment="1">
      <alignment horizontal="center"/>
    </xf>
    <xf numFmtId="167" fontId="16" fillId="0" borderId="0" xfId="0" applyNumberFormat="1" applyFont="1"/>
    <xf numFmtId="165" fontId="0" fillId="0" borderId="2" xfId="1" applyNumberFormat="1" applyFont="1" applyFill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  <protection locked="0"/>
    </xf>
    <xf numFmtId="165" fontId="0" fillId="0" borderId="2" xfId="1" applyNumberFormat="1" applyFont="1" applyFill="1" applyBorder="1" applyAlignment="1" applyProtection="1">
      <alignment horizontal="center"/>
      <protection locked="0"/>
    </xf>
    <xf numFmtId="0" fontId="24" fillId="0" borderId="0" xfId="0" applyFont="1"/>
    <xf numFmtId="164" fontId="25" fillId="0" borderId="0" xfId="0" applyNumberFormat="1" applyFont="1"/>
    <xf numFmtId="164" fontId="25" fillId="9" borderId="0" xfId="0" applyNumberFormat="1" applyFont="1" applyFill="1"/>
    <xf numFmtId="0" fontId="25" fillId="0" borderId="0" xfId="0" applyFont="1"/>
    <xf numFmtId="2" fontId="11" fillId="4" borderId="1" xfId="1" applyNumberFormat="1" applyFont="1" applyFill="1" applyBorder="1" applyAlignment="1" applyProtection="1">
      <alignment horizontal="center"/>
      <protection locked="0"/>
    </xf>
    <xf numFmtId="2" fontId="0" fillId="4" borderId="1" xfId="1" applyNumberFormat="1" applyFont="1" applyFill="1" applyBorder="1" applyAlignment="1" applyProtection="1">
      <alignment horizontal="center"/>
      <protection locked="0"/>
    </xf>
    <xf numFmtId="10" fontId="0" fillId="4" borderId="1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0" fillId="13" borderId="0" xfId="0" applyFill="1"/>
    <xf numFmtId="164" fontId="0" fillId="13" borderId="0" xfId="0" applyNumberFormat="1" applyFill="1"/>
    <xf numFmtId="165" fontId="0" fillId="0" borderId="0" xfId="1" applyNumberFormat="1" applyFont="1" applyFill="1" applyAlignment="1" applyProtection="1">
      <protection locked="0"/>
    </xf>
    <xf numFmtId="0" fontId="0" fillId="12" borderId="0" xfId="0" applyFill="1"/>
    <xf numFmtId="164" fontId="0" fillId="12" borderId="0" xfId="0" applyNumberFormat="1" applyFill="1"/>
    <xf numFmtId="165" fontId="0" fillId="12" borderId="0" xfId="1" applyNumberFormat="1" applyFont="1" applyFill="1" applyAlignment="1"/>
    <xf numFmtId="0" fontId="0" fillId="11" borderId="0" xfId="0" applyFill="1"/>
    <xf numFmtId="164" fontId="0" fillId="11" borderId="0" xfId="0" applyNumberFormat="1" applyFill="1"/>
    <xf numFmtId="1" fontId="0" fillId="11" borderId="0" xfId="0" applyNumberFormat="1" applyFill="1"/>
    <xf numFmtId="165" fontId="0" fillId="11" borderId="0" xfId="1" applyNumberFormat="1" applyFont="1" applyFill="1" applyAlignment="1"/>
    <xf numFmtId="0" fontId="0" fillId="10" borderId="0" xfId="0" applyFill="1"/>
    <xf numFmtId="164" fontId="0" fillId="10" borderId="0" xfId="0" applyNumberFormat="1" applyFill="1"/>
    <xf numFmtId="165" fontId="0" fillId="0" borderId="0" xfId="0" applyNumberFormat="1" applyProtection="1">
      <protection locked="0"/>
    </xf>
    <xf numFmtId="168" fontId="0" fillId="0" borderId="0" xfId="3" applyNumberFormat="1" applyFont="1" applyProtection="1"/>
    <xf numFmtId="10" fontId="11" fillId="4" borderId="1" xfId="1" applyNumberFormat="1" applyFont="1" applyFill="1" applyBorder="1" applyAlignment="1" applyProtection="1">
      <alignment horizontal="center"/>
      <protection locked="0"/>
    </xf>
    <xf numFmtId="0" fontId="26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26" fillId="14" borderId="1" xfId="0" applyNumberFormat="1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 applyProtection="1">
      <alignment horizontal="center"/>
      <protection locked="0"/>
    </xf>
    <xf numFmtId="165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2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11" fillId="0" borderId="0" xfId="1" applyNumberFormat="1" applyFont="1" applyBorder="1" applyAlignment="1" applyProtection="1">
      <alignment horizontal="center"/>
      <protection locked="0"/>
    </xf>
    <xf numFmtId="165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3" borderId="1" xfId="0" applyNumberFormat="1" applyFill="1" applyBorder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1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4" applyFont="1" applyProtection="1">
      <protection locked="0"/>
    </xf>
    <xf numFmtId="165" fontId="0" fillId="10" borderId="0" xfId="1" applyNumberFormat="1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4" applyFont="1" applyProtection="1">
      <protection locked="0"/>
    </xf>
    <xf numFmtId="165" fontId="6" fillId="10" borderId="1" xfId="1" applyNumberFormat="1" applyFont="1" applyFill="1" applyBorder="1" applyAlignment="1" applyProtection="1">
      <alignment horizontal="center" vertical="center" wrapText="1"/>
      <protection locked="0"/>
    </xf>
    <xf numFmtId="165" fontId="7" fillId="10" borderId="1" xfId="1" applyNumberFormat="1" applyFont="1" applyFill="1" applyBorder="1" applyAlignment="1" applyProtection="1">
      <alignment horizontal="center" vertical="center" wrapText="1"/>
      <protection locked="0"/>
    </xf>
    <xf numFmtId="164" fontId="10" fillId="0" borderId="0" xfId="1" applyNumberFormat="1" applyFont="1" applyAlignment="1" applyProtection="1">
      <alignment horizontal="center"/>
      <protection locked="0"/>
    </xf>
    <xf numFmtId="2" fontId="10" fillId="0" borderId="0" xfId="1" applyNumberFormat="1" applyFont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18" fillId="0" borderId="0" xfId="2" applyFont="1" applyAlignment="1">
      <alignment horizontal="left"/>
    </xf>
  </cellXfs>
  <cellStyles count="6">
    <cellStyle name="Currency" xfId="3" builtinId="4"/>
    <cellStyle name="Hyperlink" xfId="2" builtinId="8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48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Light8" defaultPivotStyle="PivotStyleLight16"/>
  <colors>
    <mruColors>
      <color rgb="FFFFD69F"/>
      <color rgb="FFFFD5D5"/>
      <color rgb="FFFFC87D"/>
      <color rgb="FFEAF3FA"/>
      <color rgb="FFF1F7ED"/>
      <color rgb="FFFFEBD7"/>
      <color rgb="FFFFE6B9"/>
      <color rgb="FFF5DCFF"/>
      <color rgb="FFC8E6FA"/>
      <color rgb="FFE6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vin/Desktop/FF2021%20Custom%20Cheatsheet%20Upd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ettings"/>
      <sheetName val="POS Ranks"/>
      <sheetName val="ARI"/>
      <sheetName val="ATL"/>
      <sheetName val="BAL"/>
      <sheetName val="BUF"/>
      <sheetName val="CAR"/>
      <sheetName val="CHI"/>
      <sheetName val="CIN"/>
      <sheetName val="CLE"/>
      <sheetName val="DAL"/>
      <sheetName val="DEN"/>
      <sheetName val="DET"/>
      <sheetName val="GB"/>
      <sheetName val="HOU"/>
      <sheetName val="IND"/>
      <sheetName val="JAX"/>
      <sheetName val="KC"/>
      <sheetName val="LAC"/>
      <sheetName val="LAR"/>
      <sheetName val="LV"/>
      <sheetName val="MIA"/>
      <sheetName val="MIN"/>
      <sheetName val="NE"/>
      <sheetName val="NO"/>
      <sheetName val="NYG"/>
      <sheetName val="NYJ"/>
      <sheetName val="PHI"/>
      <sheetName val="PIT"/>
      <sheetName val="SEA"/>
      <sheetName val="SF"/>
      <sheetName val="TB"/>
      <sheetName val="TEN"/>
      <sheetName val="WFT"/>
      <sheetName val="DST"/>
      <sheetName val="QB"/>
      <sheetName val="RB"/>
      <sheetName val="WR"/>
      <sheetName val="TE"/>
      <sheetName val="DST1"/>
    </sheetNames>
    <sheetDataSet>
      <sheetData sheetId="0" refreshError="1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0.04</v>
          </cell>
        </row>
        <row r="5">
          <cell r="B5">
            <v>4</v>
          </cell>
        </row>
        <row r="6">
          <cell r="B6">
            <v>-2</v>
          </cell>
        </row>
        <row r="7">
          <cell r="B7">
            <v>0</v>
          </cell>
        </row>
        <row r="8">
          <cell r="B8">
            <v>0.1</v>
          </cell>
        </row>
        <row r="9">
          <cell r="B9">
            <v>6</v>
          </cell>
        </row>
        <row r="10">
          <cell r="B10">
            <v>0</v>
          </cell>
        </row>
        <row r="11">
          <cell r="B11">
            <v>0.5</v>
          </cell>
        </row>
        <row r="12">
          <cell r="B12">
            <v>0.5</v>
          </cell>
        </row>
        <row r="13">
          <cell r="B13">
            <v>0.5</v>
          </cell>
        </row>
        <row r="14">
          <cell r="B14">
            <v>0.1</v>
          </cell>
        </row>
        <row r="15">
          <cell r="B15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LeagueSettings" displayName="TableLeagueSettings" ref="A1:B28" totalsRowShown="0" headerRowDxfId="486" dataDxfId="484" headerRowBorderDxfId="485" tableBorderDxfId="483" totalsRowBorderDxfId="482">
  <tableColumns count="2">
    <tableColumn id="1" xr3:uid="{00000000-0010-0000-0000-000001000000}" name="Catergoy" dataDxfId="481"/>
    <tableColumn id="2" xr3:uid="{00000000-0010-0000-0000-000002000000}" name="Points" dataDxfId="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RBVORP" displayName="TableRBVORP" ref="H1:M176" totalsRowShown="0" headerRowDxfId="422" dataDxfId="421">
  <sortState xmlns:xlrd2="http://schemas.microsoft.com/office/spreadsheetml/2017/richdata2" ref="H2:M176">
    <sortCondition ref="H1:H176"/>
  </sortState>
  <tableColumns count="6">
    <tableColumn id="1" xr3:uid="{00000000-0010-0000-0900-000001000000}" name="RK" dataDxfId="420">
      <calculatedColumnFormula>IFERROR(RANK(TableRBVORP[[#This Row],[FPS]],TableRBVORP[FPS],0),"")</calculatedColumnFormula>
    </tableColumn>
    <tableColumn id="2" xr3:uid="{00000000-0010-0000-0900-000002000000}" name="RUNNING BACK" dataDxfId="419">
      <calculatedColumnFormula>IFERROR(INDEX(TableRBCalcPts[PLAYER],MATCH(TableRBVORP[[#This Row],[RK]],TableRBCalcPts[RK],0)),"")</calculatedColumnFormula>
    </tableColumn>
    <tableColumn id="3" xr3:uid="{00000000-0010-0000-0900-000003000000}" name="TM" dataDxfId="418">
      <calculatedColumnFormula>IFERROR(INDEX(TableRBCalcPts[TM],MATCH(TableRBVORP[[#This Row],[RK]],TableRBCalcPts[RK],0)),"")</calculatedColumnFormula>
    </tableColumn>
    <tableColumn id="4" xr3:uid="{00000000-0010-0000-0900-000004000000}" name="BYE" dataDxfId="417">
      <calculatedColumnFormula>IFERROR(INDEX(TableRBCalcPts[BYE],MATCH(TableRBVORP[[#This Row],[RK]],TableRBCalcPts[RK],0)),"")</calculatedColumnFormula>
    </tableColumn>
    <tableColumn id="5" xr3:uid="{00000000-0010-0000-0900-000005000000}" name="FPS" dataDxfId="416">
      <calculatedColumnFormula>IFERROR(INDEX(TableRBCalcPts[Custom],MATCH(TableRBVORP[[#This Row],[RK]],TableRBCalcPts[RK],0)),"")</calculatedColumnFormula>
    </tableColumn>
    <tableColumn id="6" xr3:uid="{00000000-0010-0000-0900-000006000000}" name="VORP" dataDxfId="415" dataCellStyle="Percent">
      <calculatedColumnFormula>IFERROR((TableRBVORP[[#This Row],[FPS]]-INDEX(TableRBVORP[FPS],MATCH(RBVORPCalc,TableRBVORP[RK],0)))/INDEX(TableRBVORP[FPS],MATCH(RBVORPCalc,TableRBVORP[RK],0)),"")</calculatedColumnFormula>
    </tableColumn>
  </tableColumns>
  <tableStyleInfo name="TableStyleLight8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WRVORP" displayName="TableWRVORP" ref="O1:T226" totalsRowShown="0" headerRowDxfId="414" dataDxfId="413">
  <sortState xmlns:xlrd2="http://schemas.microsoft.com/office/spreadsheetml/2017/richdata2" ref="O2:T226">
    <sortCondition ref="O1:O226"/>
  </sortState>
  <tableColumns count="6">
    <tableColumn id="1" xr3:uid="{00000000-0010-0000-0A00-000001000000}" name="RK" dataDxfId="412">
      <calculatedColumnFormula>IFERROR(RANK(TableWRVORP[[#This Row],[FPS]],TableWRVORP[FPS],0),"")</calculatedColumnFormula>
    </tableColumn>
    <tableColumn id="2" xr3:uid="{00000000-0010-0000-0A00-000002000000}" name="WIDE RECEIVER" dataDxfId="411">
      <calculatedColumnFormula>IFERROR(INDEX(TableWRCalcPts[PLAYER],MATCH(TableWRVORP[[#This Row],[RK]],TableWRCalcPts[RK],0)),"")</calculatedColumnFormula>
    </tableColumn>
    <tableColumn id="3" xr3:uid="{00000000-0010-0000-0A00-000003000000}" name="TM" dataDxfId="410">
      <calculatedColumnFormula>IFERROR(INDEX(TableWRCalcPts[TM],MATCH(TableWRVORP[[#This Row],[RK]],TableWRCalcPts[RK],0)),"")</calculatedColumnFormula>
    </tableColumn>
    <tableColumn id="4" xr3:uid="{00000000-0010-0000-0A00-000004000000}" name="BYE" dataDxfId="409">
      <calculatedColumnFormula>IFERROR(INDEX(TableWRCalcPts[BYE],MATCH(TableWRVORP[[#This Row],[RK]],TableWRCalcPts[RK],0)),"")</calculatedColumnFormula>
    </tableColumn>
    <tableColumn id="5" xr3:uid="{00000000-0010-0000-0A00-000005000000}" name="FPS" dataDxfId="408">
      <calculatedColumnFormula>IFERROR(INDEX(TableWRCalcPts[Custom],MATCH(TableWRVORP[[#This Row],[RK]],TableWRCalcPts[RK],0)),"")</calculatedColumnFormula>
    </tableColumn>
    <tableColumn id="6" xr3:uid="{00000000-0010-0000-0A00-000006000000}" name="VORP" dataDxfId="407" dataCellStyle="Percent">
      <calculatedColumnFormula>IFERROR((TableWRVORP[[#This Row],[FPS]]-INDEX(TableWRVORP[FPS],MATCH(WRVORPCalc,TableWRVORP[RK],0)))/INDEX(TableWRVORP[FPS],MATCH(WRVORPCalc,TableWRVORP[RK],0)),"")</calculatedColumnFormula>
    </tableColumn>
  </tableColumns>
  <tableStyleInfo name="TableStyleLight8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TEVORP" displayName="TableTEVORP" ref="V1:AA101" totalsRowShown="0" headerRowDxfId="406" dataDxfId="405">
  <sortState xmlns:xlrd2="http://schemas.microsoft.com/office/spreadsheetml/2017/richdata2" ref="V2:AA101">
    <sortCondition ref="V1:V101"/>
  </sortState>
  <tableColumns count="6">
    <tableColumn id="1" xr3:uid="{00000000-0010-0000-0B00-000001000000}" name="RK" dataDxfId="404">
      <calculatedColumnFormula>IFERROR(RANK(TableTEVORP[[#This Row],[FPS]],TableTEVORP[FPS],0),"")</calculatedColumnFormula>
    </tableColumn>
    <tableColumn id="2" xr3:uid="{00000000-0010-0000-0B00-000002000000}" name="TIGHT END" dataDxfId="403">
      <calculatedColumnFormula>IFERROR(INDEX(TableTECalcPts[PLAYER],MATCH(TableTEVORP[[#This Row],[RK]],TableTECalcPts[RK],0)),"")</calculatedColumnFormula>
    </tableColumn>
    <tableColumn id="3" xr3:uid="{00000000-0010-0000-0B00-000003000000}" name="TM" dataDxfId="402">
      <calculatedColumnFormula>IFERROR(INDEX(TableTECalcPts[TM],MATCH(TableTEVORP[[#This Row],[RK]],TableTECalcPts[RK],0)),"")</calculatedColumnFormula>
    </tableColumn>
    <tableColumn id="4" xr3:uid="{00000000-0010-0000-0B00-000004000000}" name="BYE" dataDxfId="401">
      <calculatedColumnFormula>IFERROR(INDEX(TableTECalcPts[BYE],MATCH(TableTEVORP[[#This Row],[RK]],TableTECalcPts[RK],0)),"")</calculatedColumnFormula>
    </tableColumn>
    <tableColumn id="5" xr3:uid="{00000000-0010-0000-0B00-000005000000}" name="FPS" dataDxfId="400">
      <calculatedColumnFormula>IFERROR(INDEX(TableTECalcPts[Custom],MATCH(TableTEVORP[[#This Row],[RK]],TableTECalcPts[RK],0)),"")</calculatedColumnFormula>
    </tableColumn>
    <tableColumn id="6" xr3:uid="{00000000-0010-0000-0B00-000006000000}" name="VORP" dataDxfId="399" dataCellStyle="Percent">
      <calculatedColumnFormula>IFERROR((TableTEVORP[[#This Row],[FPS]]-INDEX(TableTEVORP[FPS],MATCH(TEVORPCalc,TableTEVORP[RK],0)))/INDEX(TableTEVORP[FPS],MATCH(TEVORPCalc,TableTEVORP[RK],0)),"")</calculatedColumnFormula>
    </tableColumn>
  </tableColumns>
  <tableStyleInfo name="TableStyleLight8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C000000}" name="TableOverallMaster" displayName="TableOverallMaster" ref="AF1:AM301" totalsRowShown="0" headerRowDxfId="398" dataDxfId="397">
  <tableColumns count="8">
    <tableColumn id="1" xr3:uid="{00000000-0010-0000-0C00-000001000000}" name="POS" dataDxfId="396"/>
    <tableColumn id="2" xr3:uid="{00000000-0010-0000-0C00-000002000000}" name="RK" dataDxfId="395"/>
    <tableColumn id="7" xr3:uid="{00000000-0010-0000-0C00-000007000000}" name="OVR RK" dataDxfId="394">
      <calculatedColumnFormula>RANK(TableOverallMaster[[#This Row],[VORP]],TableOverallMaster[VORP])+COUNTIF($AM$2:AM2,AM2)-1</calculatedColumnFormula>
    </tableColumn>
    <tableColumn id="3" xr3:uid="{00000000-0010-0000-0C00-000003000000}" name="OVERALL PLAYER" dataDxfId="393">
      <calculatedColumnFormula>IFERROR(INDEX(TableQBVORP[QUARTERBACK],MATCH(TableOverallMaster[[#This Row],[RK]],TableQBVORP[RK],0)),"")</calculatedColumnFormula>
    </tableColumn>
    <tableColumn id="4" xr3:uid="{00000000-0010-0000-0C00-000004000000}" name="POS RK" dataDxfId="392">
      <calculatedColumnFormula>CONCATENATE(AF2,AG2)</calculatedColumnFormula>
    </tableColumn>
    <tableColumn id="9" xr3:uid="{00000000-0010-0000-0C00-000009000000}" name="BYE" dataDxfId="391">
      <calculatedColumnFormula>IFERROR(INDEX(TableQBVORP[BYE],MATCH(TableOverallMaster[[#This Row],[RK]],TableQBVORP[RK],0)),"")</calculatedColumnFormula>
    </tableColumn>
    <tableColumn id="5" xr3:uid="{00000000-0010-0000-0C00-000005000000}" name="Custom" dataDxfId="390">
      <calculatedColumnFormula>VLOOKUP(AG2,V$1:AA$101,5,FALSE)</calculatedColumnFormula>
    </tableColumn>
    <tableColumn id="6" xr3:uid="{00000000-0010-0000-0C00-000006000000}" name="VORP" dataDxfId="389" dataCellStyle="Percent">
      <calculatedColumnFormula>IFERROR(INDEX(TableQBVORP[VORP],MATCH(TableOverallMaster[[#This Row],[RK]],TableQBVORP[RK],0)),"")</calculatedColumnFormula>
    </tableColumn>
  </tableColumns>
  <tableStyleInfo name="TableStyleLight8" showFirstColumn="0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TableOverallRank" displayName="TableOverallRank" ref="AO1:AT301" totalsRowShown="0" headerRowDxfId="388" dataDxfId="387">
  <sortState xmlns:xlrd2="http://schemas.microsoft.com/office/spreadsheetml/2017/richdata2" ref="AO2:AT301">
    <sortCondition descending="1" ref="AT2:AT301"/>
  </sortState>
  <tableColumns count="6">
    <tableColumn id="1" xr3:uid="{00000000-0010-0000-0D00-000001000000}" name="RK" dataDxfId="386"/>
    <tableColumn id="2" xr3:uid="{00000000-0010-0000-0D00-000002000000}" name="OVERALL PLAYER" dataDxfId="385">
      <calculatedColumnFormula>IFERROR(INDEX(TableOverallMaster[OVERALL PLAYER],MATCH(TableOverallRank[[#This Row],[RK]],TableOverallMaster[OVR RK],0)),"")</calculatedColumnFormula>
    </tableColumn>
    <tableColumn id="3" xr3:uid="{00000000-0010-0000-0D00-000003000000}" name="POS RK" dataDxfId="384">
      <calculatedColumnFormula>IFERROR(INDEX(TableOverallMaster[POS RK],MATCH(TableOverallRank[[#This Row],[OVERALL PLAYER]],TableOverallMaster[OVERALL PLAYER],0)),"")</calculatedColumnFormula>
    </tableColumn>
    <tableColumn id="6" xr3:uid="{00000000-0010-0000-0D00-000006000000}" name="BYE" dataDxfId="383">
      <calculatedColumnFormula>IFERROR(INDEX(TableOverallMaster[BYE],MATCH(TableOverallRank[[#This Row],[OVERALL PLAYER]],TableOverallMaster[OVERALL PLAYER],0)),"")</calculatedColumnFormula>
    </tableColumn>
    <tableColumn id="4" xr3:uid="{00000000-0010-0000-0D00-000004000000}" name="FPS" dataDxfId="382">
      <calculatedColumnFormula>IFERROR(INDEX(TableOverallMaster[Custom],MATCH(TableOverallRank[[#This Row],[OVERALL PLAYER]],TableOverallMaster[OVERALL PLAYER],0)),"")</calculatedColumnFormula>
    </tableColumn>
    <tableColumn id="5" xr3:uid="{00000000-0010-0000-0D00-000005000000}" name="VORP" dataDxfId="381" dataCellStyle="Percent">
      <calculatedColumnFormula>IFERROR(INDEX(TableOverallMaster[VORP],MATCH(TableOverallRank[[#This Row],[OVERALL PLAYER]],TableOverallMaster[OVERALL PLAYER],0)),"")</calculatedColumnFormula>
    </tableColumn>
  </tableColumns>
  <tableStyleInfo name="TableStyleLight8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E000000}" name="TableWRTERank" displayName="TableWRTERank" ref="AV1:BA281" totalsRowShown="0" headerRowDxfId="380" dataDxfId="379">
  <tableColumns count="6">
    <tableColumn id="1" xr3:uid="{00000000-0010-0000-0E00-000001000000}" name="RK" dataDxfId="378"/>
    <tableColumn id="2" xr3:uid="{00000000-0010-0000-0E00-000002000000}" name="WR and TE COMBINED" dataDxfId="377">
      <calculatedColumnFormula>IFERROR(INDEX(TableWRTECalcPts[PLAYER],MATCH(TableWRTERank[[#This Row],[RK]],TableWRTECalcPts[RK],0)),"")</calculatedColumnFormula>
    </tableColumn>
    <tableColumn id="3" xr3:uid="{00000000-0010-0000-0E00-000003000000}" name="POS RK" dataDxfId="376">
      <calculatedColumnFormula>IFERROR(INDEX(TableWRTECalcPts[POS RK],MATCH(TableWRTERank[[#This Row],[WR and TE COMBINED]],TableWRTECalcPts[PLAYER],0)),"")</calculatedColumnFormula>
    </tableColumn>
    <tableColumn id="4" xr3:uid="{00000000-0010-0000-0E00-000004000000}" name="BYE" dataDxfId="375">
      <calculatedColumnFormula>IFERROR(INDEX(TableWRTECalcPts[BYE],MATCH(TableWRTERank[[#This Row],[RK]],TableWRTECalcPts[RK],0)),"")</calculatedColumnFormula>
    </tableColumn>
    <tableColumn id="5" xr3:uid="{00000000-0010-0000-0E00-000005000000}" name="FPS" dataDxfId="374">
      <calculatedColumnFormula>IFERROR(INDEX(TableWRTECalcPts[Custom],MATCH(TableWRTERank[[#This Row],[RK]],TableWRTECalcPts[RK],0)),"")</calculatedColumnFormula>
    </tableColumn>
    <tableColumn id="6" xr3:uid="{00000000-0010-0000-0E00-000006000000}" name="VORP" dataDxfId="373" dataCellStyle="Percent">
      <calculatedColumnFormula>IFERROR((TableWRTERank[[#This Row],[FPS]]-INDEX(TableWRTERank[FPS],MATCH(WRTEVORPCalc,TableWRTERank[RK],0)))/INDEX(TableWRTERank[FPS],MATCH(WRTEVORPCalc,TableWRTERank[RK],0)),"")</calculatedColumnFormula>
    </tableColumn>
  </tableColumns>
  <tableStyleInfo name="TableStyleLight8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F000000}" name="TableWRTEMaster" displayName="TableWRTEMaster" ref="BC1:BJ281" totalsRowShown="0" headerRowDxfId="372" dataDxfId="371">
  <tableColumns count="8">
    <tableColumn id="1" xr3:uid="{00000000-0010-0000-0F00-000001000000}" name="POS" dataDxfId="370"/>
    <tableColumn id="2" xr3:uid="{00000000-0010-0000-0F00-000002000000}" name="RK" dataDxfId="369"/>
    <tableColumn id="7" xr3:uid="{00000000-0010-0000-0F00-000007000000}" name="OVR RK" dataDxfId="368">
      <calculatedColumnFormula>RANK(TableWRTEMaster[[#This Row],[VORP]],TableWRTEMaster[VORP])+COUNTIF($BJ$2:BJ2,BJ2)-1</calculatedColumnFormula>
    </tableColumn>
    <tableColumn id="3" xr3:uid="{00000000-0010-0000-0F00-000003000000}" name="OVERALL PLAYER" dataDxfId="367"/>
    <tableColumn id="4" xr3:uid="{00000000-0010-0000-0F00-000004000000}" name="POS RK" dataDxfId="366">
      <calculatedColumnFormula>_xlfn.CONCAT(TableWRTEMaster[[#This Row],[POS]],TableWRTEMaster[[#This Row],[RK]])</calculatedColumnFormula>
    </tableColumn>
    <tableColumn id="8" xr3:uid="{00000000-0010-0000-0F00-000008000000}" name="BYE" dataDxfId="365"/>
    <tableColumn id="5" xr3:uid="{00000000-0010-0000-0F00-000005000000}" name="Custom" dataDxfId="364"/>
    <tableColumn id="6" xr3:uid="{00000000-0010-0000-0F00-000006000000}" name="VORP" dataDxfId="363" dataCellStyle="Percent"/>
  </tableColumns>
  <tableStyleInfo name="TableStyleLight8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88412A6-82F9-4959-A243-0271E6A9084C}" name="TableQBRanks30" displayName="TableQBRanks30" ref="A1:N80" totalsRowShown="0" headerRowDxfId="362" dataDxfId="360" headerRowBorderDxfId="361">
  <sortState xmlns:xlrd2="http://schemas.microsoft.com/office/spreadsheetml/2017/richdata2" ref="A2:N68">
    <sortCondition ref="A1:A68"/>
  </sortState>
  <tableColumns count="14">
    <tableColumn id="1" xr3:uid="{DD294E2D-5990-4AF8-8878-BE34A05D93D2}" name="RK" dataDxfId="359">
      <calculatedColumnFormula>RANK(TableQBRanks30[[#This Row],[FPS]],TableQBRanks30[FPS],0)</calculatedColumnFormula>
    </tableColumn>
    <tableColumn id="2" xr3:uid="{EB4C05A1-12CE-49AE-B841-2DE35B064106}" name="Player" dataDxfId="358">
      <calculatedColumnFormula>IFERROR(INDEX(TableQBCalcPts[PLAYER],MATCH(TableQBRanks30[[#This Row],[RK]],TableQBCalcPts[RK],0)),"")</calculatedColumnFormula>
    </tableColumn>
    <tableColumn id="3" xr3:uid="{904CD835-3612-42DA-BB5B-114E20C8FAE3}" name="TM" dataDxfId="357">
      <calculatedColumnFormula>IFERROR(INDEX(TableQBCalcPts[TM],MATCH(TableQBRanks30[[#This Row],[Player]],TableQBCalcPts[PLAYER],0)),"")</calculatedColumnFormula>
    </tableColumn>
    <tableColumn id="4" xr3:uid="{4A0C9585-18CB-4A5F-AA2C-71D7F53C6180}" name="BYE" dataDxfId="356">
      <calculatedColumnFormula>IFERROR(INDEX(TableQBCalcPts[BYE],MATCH(TableQBRanks30[[#This Row],[Player]],TableQBCalcPts[PLAYER],0)),"")</calculatedColumnFormula>
    </tableColumn>
    <tableColumn id="8" xr3:uid="{67E015BD-1FE5-477A-BFC1-3F737DDEE4C5}" name="PASS ATT" dataDxfId="355">
      <calculatedColumnFormula>IFERROR((VLOOKUP(TableQBRanks30[[#This Row],[Player]],QB!B:O,4,FALSE)),"")</calculatedColumnFormula>
    </tableColumn>
    <tableColumn id="10" xr3:uid="{4749D8FF-DDAD-474E-B69C-C62F500B154F}" name="COMP" dataDxfId="354">
      <calculatedColumnFormula>IFERROR((VLOOKUP(TableQBRanks30[[#This Row],[Player]],QB!B:O,5,FALSE)),"")</calculatedColumnFormula>
    </tableColumn>
    <tableColumn id="9" xr3:uid="{2E281FD5-CDAC-468F-8B8E-F8A9686E01E4}" name="PASS YARDS" dataDxfId="353">
      <calculatedColumnFormula>IFERROR((VLOOKUP(TableQBRanks30[[#This Row],[Player]],QB!B:O,6,FALSE)),"")</calculatedColumnFormula>
    </tableColumn>
    <tableColumn id="14" xr3:uid="{999EC3A5-5EF5-43EE-A502-39A8B180D38B}" name="PASS TD" dataDxfId="352">
      <calculatedColumnFormula>IFERROR((VLOOKUP(TableQBRanks30[[#This Row],[Player]],QB!B:O,7,FALSE)),"")</calculatedColumnFormula>
    </tableColumn>
    <tableColumn id="13" xr3:uid="{20DD91C2-1ACB-4E68-91C4-6404151A74FA}" name="INT" dataDxfId="351">
      <calculatedColumnFormula>IFERROR((VLOOKUP(TableQBRanks30[[#This Row],[Player]],QB!B:O,8,FALSE)),"")</calculatedColumnFormula>
    </tableColumn>
    <tableColumn id="12" xr3:uid="{A3B3A3B7-B512-4584-BB8F-5A8EE269157D}" name="RUSH ATT" dataDxfId="350">
      <calculatedColumnFormula>IFERROR((VLOOKUP(TableQBRanks30[[#This Row],[Player]],QB!B:O,9,FALSE)),"")</calculatedColumnFormula>
    </tableColumn>
    <tableColumn id="11" xr3:uid="{D8FF2F81-4F78-45B3-8213-6C6E15807121}" name="RUSH YARDS" dataDxfId="349">
      <calculatedColumnFormula>IFERROR((VLOOKUP(TableQBRanks30[[#This Row],[Player]],QB!B:O,10,FALSE)),"")</calculatedColumnFormula>
    </tableColumn>
    <tableColumn id="7" xr3:uid="{B7BD51F5-F492-466D-AC1C-D200C03341CA}" name="RUSH TD" dataDxfId="348">
      <calculatedColumnFormula>IFERROR((VLOOKUP(TableQBRanks30[[#This Row],[Player]],QB!B:O,11,FALSE)),"")</calculatedColumnFormula>
    </tableColumn>
    <tableColumn id="5" xr3:uid="{DF1DA9CD-A230-40B5-AD00-5888E844A574}" name="FPS" dataDxfId="347">
      <calculatedColumnFormula>IFERROR(INDEX(TableQBCalcPts[Custom],MATCH(TableQBRanks30[[#This Row],[RK]],TableQBCalcPts[RK],0)),"")</calculatedColumnFormula>
    </tableColumn>
    <tableColumn id="6" xr3:uid="{7568CD2B-8DE4-432F-843B-9D807E9824EF}" name="AUC$" dataDxfId="346" dataCellStyle="Currency">
      <calculatedColumnFormula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074BF76-C86B-400B-9D4A-A1EF83A27677}" name="TableRBRanks31" displayName="TableRBRanks31" ref="P1:AB171" totalsRowShown="0" headerRowDxfId="345" dataDxfId="343" headerRowBorderDxfId="344">
  <sortState xmlns:xlrd2="http://schemas.microsoft.com/office/spreadsheetml/2017/richdata2" ref="P2:AB153">
    <sortCondition ref="P1:P153"/>
  </sortState>
  <tableColumns count="13">
    <tableColumn id="1" xr3:uid="{F8589C02-6C6A-4551-9B26-0AA53FFC4360}" name="RK" dataDxfId="342">
      <calculatedColumnFormula>RANK(TableRBRanks31[[#This Row],[FPS]],TableRBRanks31[FPS],0)</calculatedColumnFormula>
    </tableColumn>
    <tableColumn id="2" xr3:uid="{AA98FD46-655D-4881-A86F-7DC0F21E65D7}" name="Player" dataDxfId="341">
      <calculatedColumnFormula>IFERROR(INDEX(TableRBCalcPts[PLAYER],MATCH(TableRBRanks31[[#This Row],[RK]],TableRBCalcPts[RK],0)),"")</calculatedColumnFormula>
    </tableColumn>
    <tableColumn id="3" xr3:uid="{F1CE2B10-9FA7-40C6-8F57-7006F8593A6A}" name="TM" dataDxfId="340">
      <calculatedColumnFormula>IFERROR(INDEX(TableRBCalcPts[TM],MATCH(TableRBRanks31[[#This Row],[Player]],TableRBCalcPts[PLAYER],0)),"")</calculatedColumnFormula>
    </tableColumn>
    <tableColumn id="4" xr3:uid="{88D3ED97-5373-4CCF-A7B6-EC9F46DBAF12}" name="BYE" dataDxfId="339">
      <calculatedColumnFormula>IFERROR(INDEX(TableRBCalcPts[BYE],MATCH(TableRBRanks31[[#This Row],[Player]],TableRBCalcPts[PLAYER],0)),"")</calculatedColumnFormula>
    </tableColumn>
    <tableColumn id="7" xr3:uid="{CCCE3814-EAC0-47AD-9790-C63A6C9F7A84}" name="RUSH ATT" dataDxfId="338">
      <calculatedColumnFormula>IFERROR((VLOOKUP(TableRBRanks31[[#This Row],[Player]],RB!B:O,4,FALSE)),"")</calculatedColumnFormula>
    </tableColumn>
    <tableColumn id="10" xr3:uid="{46F8E04E-E137-4779-A056-F32C6C79D8ED}" name="RUSH YARDS" dataDxfId="337">
      <calculatedColumnFormula>IFERROR((VLOOKUP(TableRBRanks31[[#This Row],[Player]],RB!B:O,5,FALSE)),"")</calculatedColumnFormula>
    </tableColumn>
    <tableColumn id="9" xr3:uid="{69D6945E-A322-4EA8-8C9F-F64B8C207CE9}" name="RUSH TD" dataDxfId="336">
      <calculatedColumnFormula>IFERROR((VLOOKUP(TableRBRanks31[[#This Row],[Player]],RB!B:O,6,FALSE)),"")</calculatedColumnFormula>
    </tableColumn>
    <tableColumn id="13" xr3:uid="{E88ADEB9-929B-4902-97DB-B92524823CD7}" name="TGTS" dataDxfId="335">
      <calculatedColumnFormula>IFERROR((VLOOKUP(TableRBRanks31[[#This Row],[Player]],RB!B:O,7,FALSE)),"")</calculatedColumnFormula>
    </tableColumn>
    <tableColumn id="12" xr3:uid="{DB54F68E-08C0-4C71-9252-DE6AED1BE87A}" name="REC" dataDxfId="334">
      <calculatedColumnFormula>IFERROR((VLOOKUP(TableRBRanks31[[#This Row],[Player]],RB!B:O,8,FALSE)),"")</calculatedColumnFormula>
    </tableColumn>
    <tableColumn id="11" xr3:uid="{303F7563-DF84-4B47-9C7B-C24D317CBFF2}" name="RECV YARDS" dataDxfId="333">
      <calculatedColumnFormula>IFERROR((VLOOKUP(TableRBRanks31[[#This Row],[Player]],RB!B:O,9,FALSE)),"")</calculatedColumnFormula>
    </tableColumn>
    <tableColumn id="8" xr3:uid="{FA6E86C1-2B15-41FB-95FB-04444BAE609A}" name="RECV TD" dataDxfId="332">
      <calculatedColumnFormula>IFERROR((VLOOKUP(TableRBRanks31[[#This Row],[Player]],RB!B:O,10,FALSE)),"")</calculatedColumnFormula>
    </tableColumn>
    <tableColumn id="5" xr3:uid="{D33B3F1A-7BDB-4CC5-B0DB-EC2951D467F6}" name="FPS" dataDxfId="331">
      <calculatedColumnFormula>IFERROR((IFERROR(INDEX(TableRBCalcPts[Custom],MATCH(TableRBRanks31[[#This Row],[RK]],TableRBCalcPts[RK],0)),"")),"")</calculatedColumnFormula>
    </tableColumn>
    <tableColumn id="6" xr3:uid="{DCEA9BF2-313C-46D1-89FF-73CF9C5802EE}" name="AUC$" dataDxfId="330" dataCellStyle="Currency">
      <calculatedColumnFormula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4A6F5E5-A022-4994-AB6A-48459B2A5A50}" name="TableWRRanks32" displayName="TableWRRanks32" ref="AD1:AO221" totalsRowShown="0" headerRowDxfId="329" dataDxfId="327" headerRowBorderDxfId="328">
  <sortState xmlns:xlrd2="http://schemas.microsoft.com/office/spreadsheetml/2017/richdata2" ref="AD2:AO221">
    <sortCondition ref="AD1:AD203"/>
  </sortState>
  <tableColumns count="12">
    <tableColumn id="1" xr3:uid="{C133D361-2632-4065-9AF7-A1B699836ED1}" name="RK" dataDxfId="326">
      <calculatedColumnFormula>RANK(TableWRRanks32[[#This Row],[FPS]],TableWRRanks32[FPS],0)</calculatedColumnFormula>
    </tableColumn>
    <tableColumn id="2" xr3:uid="{F9BD7CF4-3EB9-49FC-9B83-8BD0A485D56C}" name="Player" dataDxfId="325">
      <calculatedColumnFormula>IFERROR(INDEX(TableWRCalcPts[PLAYER],MATCH(TableWRRanks32[[#This Row],[RK]],TableWRCalcPts[RK],0)),"")</calculatedColumnFormula>
    </tableColumn>
    <tableColumn id="3" xr3:uid="{A42D73C2-AFF4-42C6-A34E-C3FAC648562F}" name="TM" dataDxfId="324">
      <calculatedColumnFormula>IFERROR(INDEX(TableWRCalcPts[TM],MATCH(TableWRRanks32[[#This Row],[Player]],TableWRCalcPts[PLAYER],0)),"")</calculatedColumnFormula>
    </tableColumn>
    <tableColumn id="4" xr3:uid="{51B6DEB7-D4AE-4BAA-AD0F-7E2FAE3B8FA9}" name="BYE" dataDxfId="323">
      <calculatedColumnFormula>IFERROR(INDEX(TableWRCalcPts[BYE],MATCH(TableWRRanks32[[#This Row],[Player]],TableWRCalcPts[PLAYER],0)),"")</calculatedColumnFormula>
    </tableColumn>
    <tableColumn id="7" xr3:uid="{00F93329-FD97-4880-940E-D5B397F75F7C}" name="RUSH YARDS" dataDxfId="322">
      <calculatedColumnFormula>IFERROR((VLOOKUP(TableWRRanks32[[#This Row],[Player]],WR!B:O,4,FALSE)),"")</calculatedColumnFormula>
    </tableColumn>
    <tableColumn id="10" xr3:uid="{6F6CC6D8-08CF-48E4-B039-BA17647C357D}" name="RUSH TD" dataDxfId="321">
      <calculatedColumnFormula>IFERROR((VLOOKUP(TableWRRanks32[[#This Row],[Player]],WR!B:O,5,FALSE)),"")</calculatedColumnFormula>
    </tableColumn>
    <tableColumn id="13" xr3:uid="{DA79B0A4-BFF6-4BAE-AD35-90EC96A524A1}" name="TGTS" dataDxfId="320">
      <calculatedColumnFormula>IFERROR((VLOOKUP(TableWRRanks32[[#This Row],[Player]],WR!B:O,6,FALSE)),"")</calculatedColumnFormula>
    </tableColumn>
    <tableColumn id="12" xr3:uid="{7F5C25DD-85A3-4423-AF94-30286042FF9F}" name="REC" dataDxfId="319">
      <calculatedColumnFormula>IFERROR((VLOOKUP(TableWRRanks32[[#This Row],[Player]],WR!B:O,7,FALSE)),"")</calculatedColumnFormula>
    </tableColumn>
    <tableColumn id="11" xr3:uid="{32B83406-21A1-4BAC-81BA-F5EF20C28DEF}" name="RECV YARDS" dataDxfId="318">
      <calculatedColumnFormula>IFERROR((VLOOKUP(TableWRRanks32[[#This Row],[Player]],WR!B:O,8,FALSE)),"")</calculatedColumnFormula>
    </tableColumn>
    <tableColumn id="9" xr3:uid="{C046BF52-ED02-48F1-8A0D-A443BF83B1BA}" name="RECV TD" dataDxfId="317">
      <calculatedColumnFormula>IFERROR((VLOOKUP(TableWRRanks32[[#This Row],[Player]],WR!B:O,9,FALSE)),"")</calculatedColumnFormula>
    </tableColumn>
    <tableColumn id="5" xr3:uid="{AAD449F3-E594-415F-9EA3-23F4C2701976}" name="FPS" dataDxfId="316">
      <calculatedColumnFormula>IFERROR((IFERROR(INDEX(TableWRCalcPts[Custom],MATCH(TableWRRanks32[[#This Row],[RK]],TableWRCalcPts[RK],0)),"")),"")</calculatedColumnFormula>
    </tableColumn>
    <tableColumn id="6" xr3:uid="{CB725593-FF7F-435D-BF76-526C56C05BCD}" name="AUC$" dataDxfId="315" dataCellStyle="Currency">
      <calculatedColumnFormula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Roster" displayName="TableRoster" ref="D1:E10" totalsRowShown="0" headerRowDxfId="480" dataDxfId="478" headerRowBorderDxfId="479" tableBorderDxfId="477" totalsRowBorderDxfId="476">
  <tableColumns count="2">
    <tableColumn id="1" xr3:uid="{00000000-0010-0000-0100-000001000000}" name="Category" dataDxfId="475"/>
    <tableColumn id="2" xr3:uid="{00000000-0010-0000-0100-000002000000}" name="Value" dataDxfId="4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8F5D489-B040-44F4-9169-40D5BE9B80CA}" name="TableTERanks33" displayName="TableTERanks33" ref="AQ1:AZ101" totalsRowShown="0" headerRowDxfId="314" dataDxfId="312" headerRowBorderDxfId="313">
  <sortState xmlns:xlrd2="http://schemas.microsoft.com/office/spreadsheetml/2017/richdata2" ref="AQ2:AZ97">
    <sortCondition ref="AQ1:AQ97"/>
  </sortState>
  <tableColumns count="10">
    <tableColumn id="1" xr3:uid="{3B2F49A9-3410-44C7-AA89-529A298B4F79}" name="RK" dataDxfId="311">
      <calculatedColumnFormula>RANK(TableTERanks33[[#This Row],[FPS]],TableTERanks33[FPS],0)</calculatedColumnFormula>
    </tableColumn>
    <tableColumn id="2" xr3:uid="{C86B85C4-F335-40B4-B3CA-FA027C842AE9}" name="Player" dataDxfId="310">
      <calculatedColumnFormula>IFERROR(INDEX(TableTECalcPts[PLAYER],MATCH(TableTERanks33[[#This Row],[RK]],TableTECalcPts[RK],0)),"")</calculatedColumnFormula>
    </tableColumn>
    <tableColumn id="3" xr3:uid="{B1AABAA8-6838-49B0-9C33-401B7367D67D}" name="TM" dataDxfId="309">
      <calculatedColumnFormula>IFERROR(INDEX(TableTECalcPts[TM],MATCH(TableTERanks33[[#This Row],[Player]],TableTECalcPts[PLAYER],0)),"")</calculatedColumnFormula>
    </tableColumn>
    <tableColumn id="4" xr3:uid="{8D0666B6-E022-419F-86F4-4E7DDBA3CFA2}" name="BYE" dataDxfId="308">
      <calculatedColumnFormula>IFERROR(INDEX(TableTECalcPts[BYE],MATCH(TableTERanks33[[#This Row],[Player]],TableTECalcPts[PLAYER],0)),"")</calculatedColumnFormula>
    </tableColumn>
    <tableColumn id="7" xr3:uid="{79C7883E-3123-452F-951D-5CD0F099C1D6}" name="TGTS" dataDxfId="307">
      <calculatedColumnFormula>IFERROR((VLOOKUP(TableTERanks33[[#This Row],[Player]],TE!B:O,4,FALSE)),"")</calculatedColumnFormula>
    </tableColumn>
    <tableColumn id="10" xr3:uid="{928C04D5-7572-4757-B4DD-582E2294DCCC}" name="REC" dataDxfId="306">
      <calculatedColumnFormula>IFERROR((VLOOKUP(TableTERanks33[[#This Row],[Player]],TE!B:O,5,FALSE)),"")</calculatedColumnFormula>
    </tableColumn>
    <tableColumn id="9" xr3:uid="{D6ECB8ED-6792-4CCC-80FE-59D1DCF8BF2C}" name="RECV YARDS" dataDxfId="305">
      <calculatedColumnFormula>IFERROR((VLOOKUP(TableTERanks33[[#This Row],[Player]],TE!B:O,6,FALSE)),"")</calculatedColumnFormula>
    </tableColumn>
    <tableColumn id="8" xr3:uid="{2E2BBA19-5E03-4B2C-9D14-196B82B3B86B}" name="RECV TD" dataDxfId="304">
      <calculatedColumnFormula>IFERROR((VLOOKUP(TableTERanks33[[#This Row],[Player]],TE!B:O,7,FALSE)),"")</calculatedColumnFormula>
    </tableColumn>
    <tableColumn id="5" xr3:uid="{E32F372B-7FFB-435A-B73C-80F3590D4E15}" name="FPS" dataDxfId="303">
      <calculatedColumnFormula>IFERROR((IFERROR(INDEX(TableTECalcPts[Custom],MATCH(TableTERanks33[[#This Row],[RK]],TableTECalcPts[RK],0)),"")),"")</calculatedColumnFormula>
    </tableColumn>
    <tableColumn id="6" xr3:uid="{DE95DB89-5087-4CE2-9742-2FFA1C1C9ACC}" name="AUC$" dataDxfId="302" dataCellStyle="Currency">
      <calculatedColumnFormula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8468F97-B760-475C-A247-A5CE31C704ED}" name="TableQBRanks3040" displayName="TableQBRanks3040" ref="A1:N80" totalsRowShown="0" headerRowDxfId="301" dataDxfId="299" headerRowBorderDxfId="300">
  <sortState xmlns:xlrd2="http://schemas.microsoft.com/office/spreadsheetml/2017/richdata2" ref="A2:N68">
    <sortCondition ref="A1:A68"/>
  </sortState>
  <tableColumns count="14">
    <tableColumn id="1" xr3:uid="{F98CCEBD-C873-4336-8E83-75AFA588B8B9}" name="RK" dataDxfId="298">
      <calculatedColumnFormula>RANK(TableQBRanks3040[[#This Row],[FPS]],TableQBRanks3040[FPS],0)</calculatedColumnFormula>
    </tableColumn>
    <tableColumn id="2" xr3:uid="{1F973880-EA9F-4C6D-8E7E-6FBB94C39DE5}" name="Player" dataDxfId="297">
      <calculatedColumnFormula>VLOOKUP(TableQBRanks3040[[#This Row],[RK]],Rankings!A:T,3,FALSE)</calculatedColumnFormula>
    </tableColumn>
    <tableColumn id="3" xr3:uid="{C45E752E-64BD-402C-B7B3-18B2269AF0AE}" name="TM" dataDxfId="296">
      <calculatedColumnFormula>IFERROR(INDEX(TableQBCalcPts[TM],MATCH(TableQBRanks3040[[#This Row],[Player]],TableQBCalcPts[PLAYER],0)),"")</calculatedColumnFormula>
    </tableColumn>
    <tableColumn id="4" xr3:uid="{DEA61075-A102-4F66-AAA4-364FACCCDEBE}" name="BYE" dataDxfId="295">
      <calculatedColumnFormula>IFERROR(INDEX(TableQBCalcPts[BYE],MATCH(TableQBRanks3040[[#This Row],[Player]],TableQBCalcPts[PLAYER],0)),"")</calculatedColumnFormula>
    </tableColumn>
    <tableColumn id="8" xr3:uid="{84F3C1A7-54AE-4763-B55D-25BA03BF7BD8}" name="PASS ATT" dataDxfId="294">
      <calculatedColumnFormula>VLOOKUP(TableQBRanks3040[[#This Row],[Player]],QB!B:O,4,FALSE)</calculatedColumnFormula>
    </tableColumn>
    <tableColumn id="10" xr3:uid="{120049A0-F76C-494D-87D5-5BF456348B29}" name="COMP" dataDxfId="293">
      <calculatedColumnFormula>VLOOKUP(TableQBRanks3040[[#This Row],[Player]],QB!B:O,5,FALSE)</calculatedColumnFormula>
    </tableColumn>
    <tableColumn id="9" xr3:uid="{394E9AB7-F047-48B5-BFF3-68A93D163BD3}" name="PASS YARDS" dataDxfId="292">
      <calculatedColumnFormula>VLOOKUP(TableQBRanks3040[[#This Row],[Player]],QB!B:O,6,FALSE)</calculatedColumnFormula>
    </tableColumn>
    <tableColumn id="14" xr3:uid="{F7615B7E-4B61-4C77-AD4B-64BE3F70B618}" name="PASS TD" dataDxfId="291">
      <calculatedColumnFormula>VLOOKUP(TableQBRanks3040[[#This Row],[Player]],QB!B:O,7,FALSE)</calculatedColumnFormula>
    </tableColumn>
    <tableColumn id="13" xr3:uid="{210B4AB8-D1D5-4ED7-83EA-D39FF8D066FD}" name="INT" dataDxfId="290">
      <calculatedColumnFormula>VLOOKUP(TableQBRanks3040[[#This Row],[Player]],QB!B:O,8,FALSE)</calculatedColumnFormula>
    </tableColumn>
    <tableColumn id="12" xr3:uid="{3CAF741E-9C82-466A-BA97-BA2C236672D3}" name="RUSH ATT" dataDxfId="289">
      <calculatedColumnFormula>VLOOKUP(TableQBRanks3040[[#This Row],[Player]],QB!B:O,9,FALSE)</calculatedColumnFormula>
    </tableColumn>
    <tableColumn id="11" xr3:uid="{2EA94DD6-0E5B-4955-9492-1C4CC236C9A5}" name="RUSH YARDS" dataDxfId="288">
      <calculatedColumnFormula>VLOOKUP(TableQBRanks3040[[#This Row],[Player]],QB!B:O,10,FALSE)</calculatedColumnFormula>
    </tableColumn>
    <tableColumn id="7" xr3:uid="{4B95F803-D4E3-4BCF-9BE9-793F197177F2}" name="RUSH TD" dataDxfId="287">
      <calculatedColumnFormula>VLOOKUP(TableQBRanks3040[[#This Row],[Player]],QB!B:O,11,FALSE)</calculatedColumnFormula>
    </tableColumn>
    <tableColumn id="5" xr3:uid="{9088CACE-41B9-425B-BA6E-3F98CE94EDF6}" name="FPS" dataDxfId="286">
      <calculatedColumnFormula>VLOOKUP(TableQBRanks3040[[#This Row],[Player]],QB!B:O,13,FALSE)</calculatedColumnFormula>
    </tableColumn>
    <tableColumn id="6" xr3:uid="{C52D43B9-18E7-4EBA-BD09-FF454090EE15}" name="AUC$" dataDxfId="285" dataCellStyle="Currency">
      <calculatedColumnFormula>IF(VLOOKUP(TableQBRanks3040[[#This Row],[RK]],'Ranks w Proj'!$A:$N,14,FALSE)&lt;0,0,VLOOKUP(TableQBRanks3040[[#This Row],[RK]],'Ranks w Proj'!$A:$N,14,FALSE))</calculatedColumnFormula>
    </tableColumn>
  </tableColumns>
  <tableStyleInfo name="TableStyleLight8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7CB85CA-EAC8-4F88-8732-C09763166654}" name="TableRBRanks3141" displayName="TableRBRanks3141" ref="P1:AB171" totalsRowShown="0" headerRowDxfId="284" dataDxfId="282" headerRowBorderDxfId="283">
  <sortState xmlns:xlrd2="http://schemas.microsoft.com/office/spreadsheetml/2017/richdata2" ref="P2:AB153">
    <sortCondition ref="P1:P153"/>
  </sortState>
  <tableColumns count="13">
    <tableColumn id="1" xr3:uid="{AF88C4A6-CF7E-43D5-8544-2C7F0F428205}" name="RK" dataDxfId="281">
      <calculatedColumnFormula>RANK(TableRBRanks3141[[#This Row],[FPS]],TableRBRanks3141[FPS],0)</calculatedColumnFormula>
    </tableColumn>
    <tableColumn id="2" xr3:uid="{6BDD58F0-BD6D-4F74-8C6E-F5391DE80615}" name="Player" dataDxfId="280">
      <calculatedColumnFormula>VLOOKUP(TableRBRanks3141[[#This Row],[RK]],Rankings!A:T,8,FALSE)</calculatedColumnFormula>
    </tableColumn>
    <tableColumn id="3" xr3:uid="{2AFEF5B4-6A47-4FEF-B593-7702FF90640A}" name="TM" dataDxfId="279">
      <calculatedColumnFormula>IFERROR(INDEX(TableRBCalcPts[TM],MATCH(TableRBRanks3141[[#This Row],[Player]],TableRBCalcPts[PLAYER],0)),"")</calculatedColumnFormula>
    </tableColumn>
    <tableColumn id="4" xr3:uid="{E338865D-3DE8-462E-AD54-F7DCE2A2A148}" name="BYE" dataDxfId="278">
      <calculatedColumnFormula>IFERROR(INDEX(TableRBCalcPts[BYE],MATCH(TableRBRanks3141[[#This Row],[Player]],TableRBCalcPts[PLAYER],0)),"")</calculatedColumnFormula>
    </tableColumn>
    <tableColumn id="7" xr3:uid="{AE3D60FA-1D38-4E3A-BBCE-40225D089A2B}" name="RUSH ATT" dataDxfId="277">
      <calculatedColumnFormula>VLOOKUP(TableRBRanks3141[[#This Row],[Player]],RB!B:O,4,FALSE)</calculatedColumnFormula>
    </tableColumn>
    <tableColumn id="10" xr3:uid="{90E4DB17-8074-4BAB-864A-E29B8FDFB321}" name="RUSH YARDS" dataDxfId="276">
      <calculatedColumnFormula>VLOOKUP(TableRBRanks3141[[#This Row],[Player]],RB!B:O,5,FALSE)</calculatedColumnFormula>
    </tableColumn>
    <tableColumn id="9" xr3:uid="{A0B2390F-B4B0-4263-AABA-1DBFF701AB18}" name="RUSH TD" dataDxfId="275">
      <calculatedColumnFormula>VLOOKUP(TableRBRanks3141[[#This Row],[Player]],RB!B:O,6,FALSE)</calculatedColumnFormula>
    </tableColumn>
    <tableColumn id="13" xr3:uid="{AAE21B35-7DC3-4531-980A-6E295E92F217}" name="TGTS" dataDxfId="274">
      <calculatedColumnFormula>VLOOKUP(TableRBRanks3141[[#This Row],[Player]],RB!B:O,7,FALSE)</calculatedColumnFormula>
    </tableColumn>
    <tableColumn id="12" xr3:uid="{56573855-32BB-49FA-865B-92C6F8E99EEA}" name="REC" dataDxfId="273">
      <calculatedColumnFormula>VLOOKUP(TableRBRanks3141[[#This Row],[Player]],RB!B:O,8,FALSE)</calculatedColumnFormula>
    </tableColumn>
    <tableColumn id="11" xr3:uid="{ED0B008A-989B-43C2-BFCD-9D9CF902EFEE}" name="RECV YARDS" dataDxfId="272">
      <calculatedColumnFormula>VLOOKUP(TableRBRanks3141[[#This Row],[Player]],RB!B:O,9,FALSE)</calculatedColumnFormula>
    </tableColumn>
    <tableColumn id="8" xr3:uid="{D276DC31-3125-49B8-AB42-93FC53C5B258}" name="RECV TD" dataDxfId="271">
      <calculatedColumnFormula>VLOOKUP(TableRBRanks3141[[#This Row],[Player]],RB!B:O,10,FALSE)</calculatedColumnFormula>
    </tableColumn>
    <tableColumn id="5" xr3:uid="{AC6C6385-E0F3-4E38-874E-D3FD44904935}" name="FPS" dataDxfId="270">
      <calculatedColumnFormula>VLOOKUP(TableRBRanks3141[[#This Row],[Player]],RB!B:O,14,FALSE)</calculatedColumnFormula>
    </tableColumn>
    <tableColumn id="6" xr3:uid="{76D5C035-6884-4478-9B5A-355F1692BFB6}" name="AUC$" dataDxfId="269" dataCellStyle="Currency">
      <calculatedColumnFormula>IF(VLOOKUP(TableRBRanks3141[[#This Row],[RK]],'Ranks w Proj'!$P:$AB,13,FALSE)&lt;0,0,VLOOKUP(TableRBRanks3141[[#This Row],[RK]],'Ranks w Proj'!$P:$AB,13,FALSE))</calculatedColumnFormula>
    </tableColumn>
  </tableColumns>
  <tableStyleInfo name="TableStyleLight8" showFirstColumn="0" showLastColumn="0" showRowStripes="1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697FDE5-3C7D-40E5-A086-E284E77778CE}" name="TableWRRanks3242" displayName="TableWRRanks3242" ref="AD1:AO221" totalsRowShown="0" headerRowDxfId="268" dataDxfId="266" headerRowBorderDxfId="267">
  <sortState xmlns:xlrd2="http://schemas.microsoft.com/office/spreadsheetml/2017/richdata2" ref="AD2:AO221">
    <sortCondition ref="AD1:AD203"/>
  </sortState>
  <tableColumns count="12">
    <tableColumn id="1" xr3:uid="{17718EBB-2698-44E8-A091-DC356478EE0C}" name="RK" dataDxfId="265">
      <calculatedColumnFormula>RANK(TableWRRanks3242[[#This Row],[FPS]],TableWRRanks3242[FPS],0)</calculatedColumnFormula>
    </tableColumn>
    <tableColumn id="2" xr3:uid="{4E2F1325-7C1A-4DBA-808A-67BE5F454653}" name="Player" dataDxfId="264">
      <calculatedColumnFormula>VLOOKUP(TableWRRanks3242[[#This Row],[RK]],Rankings!A:T,13,FALSE)</calculatedColumnFormula>
    </tableColumn>
    <tableColumn id="3" xr3:uid="{4E930866-C328-40DA-8527-AA83D74F0DD9}" name="TM" dataDxfId="263">
      <calculatedColumnFormula>IFERROR(INDEX(TableWRCalcPts[TM],MATCH(TableWRRanks3242[[#This Row],[Player]],TableWRCalcPts[PLAYER],0)),"")</calculatedColumnFormula>
    </tableColumn>
    <tableColumn id="4" xr3:uid="{4839F7E0-88B5-4D83-BE5C-13BE0DE818A7}" name="BYE" dataDxfId="262">
      <calculatedColumnFormula>IFERROR(INDEX(TableWRCalcPts[BYE],MATCH(TableWRRanks3242[[#This Row],[Player]],TableWRCalcPts[PLAYER],0)),"")</calculatedColumnFormula>
    </tableColumn>
    <tableColumn id="7" xr3:uid="{E8E8F316-8A7D-4F0D-9BE1-BB12B6A9BE92}" name="RUSH YARDS" dataDxfId="261">
      <calculatedColumnFormula>VLOOKUP(TableWRRanks3242[[#This Row],[Player]],WR!B:O,4,FALSE)</calculatedColumnFormula>
    </tableColumn>
    <tableColumn id="10" xr3:uid="{2238F9D8-3C2F-430D-BD37-853D87BA89FE}" name="RUSH TD" dataDxfId="260">
      <calculatedColumnFormula>VLOOKUP(TableWRRanks3242[[#This Row],[Player]],WR!B:O,5,FALSE)</calculatedColumnFormula>
    </tableColumn>
    <tableColumn id="13" xr3:uid="{35352F7D-0F9D-4650-838D-6BCEEDC1E5C2}" name="TGTS" dataDxfId="259">
      <calculatedColumnFormula>VLOOKUP(TableWRRanks3242[[#This Row],[Player]],WR!B:O,6,FALSE)</calculatedColumnFormula>
    </tableColumn>
    <tableColumn id="12" xr3:uid="{34758BC4-A805-4FC1-B7D9-9C09FCBF3B38}" name="REC" dataDxfId="258">
      <calculatedColumnFormula>VLOOKUP(TableWRRanks3242[[#This Row],[Player]],WR!B:O,7,FALSE)</calculatedColumnFormula>
    </tableColumn>
    <tableColumn id="11" xr3:uid="{15ECAF3E-D50B-4A09-92B1-AFF99D96A46B}" name="RECV YARDS" dataDxfId="257">
      <calculatedColumnFormula>VLOOKUP(TableWRRanks3242[[#This Row],[Player]],WR!B:O,8,FALSE)</calculatedColumnFormula>
    </tableColumn>
    <tableColumn id="9" xr3:uid="{C48C0CB4-3BC5-4FF8-8E35-89BEABAB57D2}" name="RECV TD" dataDxfId="256">
      <calculatedColumnFormula>VLOOKUP(TableWRRanks3242[[#This Row],[Player]],WR!B:O,9,FALSE)</calculatedColumnFormula>
    </tableColumn>
    <tableColumn id="5" xr3:uid="{7FE6090D-A368-4A75-9F7F-A3DF9206E1DC}" name="FPS" dataDxfId="255">
      <calculatedColumnFormula>VLOOKUP(TableWRRanks3242[[#This Row],[Player]],WR!B:O,13,FALSE)</calculatedColumnFormula>
    </tableColumn>
    <tableColumn id="6" xr3:uid="{075E308E-09F6-4CC2-9E50-D0739ABAEBFE}" name="AUC$" dataDxfId="254" dataCellStyle="Currency">
      <calculatedColumnFormula>IF(VLOOKUP(TableWRRanks3242[[#This Row],[RK]],'Ranks w Proj'!AD:AO,12,FALSE)&lt;0,0,VLOOKUP(TableWRRanks3242[[#This Row],[RK]],'Ranks w Proj'!AD:AO,12,FALSE))</calculatedColumnFormula>
    </tableColumn>
  </tableColumns>
  <tableStyleInfo name="TableStyleLight8" showFirstColumn="0" showLastColumn="0" showRowStripes="1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F771C98-D01E-4851-B7F7-FD8853D14161}" name="TableTERanks3343" displayName="TableTERanks3343" ref="AQ1:AZ101" totalsRowShown="0" headerRowDxfId="253" dataDxfId="251" headerRowBorderDxfId="252">
  <sortState xmlns:xlrd2="http://schemas.microsoft.com/office/spreadsheetml/2017/richdata2" ref="AQ2:AZ97">
    <sortCondition ref="AQ1:AQ97"/>
  </sortState>
  <tableColumns count="10">
    <tableColumn id="1" xr3:uid="{1DE8B555-0B01-4E23-A3B9-F1E54B658BF5}" name="RK" dataDxfId="250">
      <calculatedColumnFormula>RANK(TableTERanks3343[[#This Row],[FPS]],TableTERanks3343[FPS],0)</calculatedColumnFormula>
    </tableColumn>
    <tableColumn id="2" xr3:uid="{399EB10C-1E56-46FE-9A7E-C5D26C22D252}" name="Player" dataDxfId="249">
      <calculatedColumnFormula>VLOOKUP(TableTERanks3343[[#This Row],[RK]],Rankings!A:T,18,FALSE)</calculatedColumnFormula>
    </tableColumn>
    <tableColumn id="3" xr3:uid="{0DB04BD7-A8D8-4C87-B996-68F9C25DCBD0}" name="TM" dataDxfId="248">
      <calculatedColumnFormula>IFERROR(INDEX(TableTECalcPts[TM],MATCH(TableTERanks3343[[#This Row],[Player]],TableTECalcPts[PLAYER],0)),"")</calculatedColumnFormula>
    </tableColumn>
    <tableColumn id="4" xr3:uid="{5702DA98-7FE8-4E0B-920D-BB01FFCF4E19}" name="BYE" dataDxfId="247">
      <calculatedColumnFormula>IFERROR(INDEX(TableTECalcPts[BYE],MATCH(TableTERanks3343[[#This Row],[Player]],TableTECalcPts[PLAYER],0)),"")</calculatedColumnFormula>
    </tableColumn>
    <tableColumn id="7" xr3:uid="{6EAFB157-7942-4226-9D34-99E5270657EB}" name="TGTS" dataDxfId="246">
      <calculatedColumnFormula>VLOOKUP(TableTERanks3343[[#This Row],[Player]],TE!B:O,4,FALSE)</calculatedColumnFormula>
    </tableColumn>
    <tableColumn id="10" xr3:uid="{57A234B1-A0FB-4E71-9A3A-6569ADD0B783}" name="REC" dataDxfId="245">
      <calculatedColumnFormula>VLOOKUP(TableTERanks3343[[#This Row],[Player]],TE!B:O,5,FALSE)</calculatedColumnFormula>
    </tableColumn>
    <tableColumn id="9" xr3:uid="{14A8750E-E072-4AA9-9BAA-8A61C7574381}" name="RECV YARDS" dataDxfId="244">
      <calculatedColumnFormula>VLOOKUP(TableTERanks3343[[#This Row],[Player]],TE!B:O,6,FALSE)</calculatedColumnFormula>
    </tableColumn>
    <tableColumn id="8" xr3:uid="{2C8495D7-E2AE-4484-ABDB-85C493308728}" name="RECV TD" dataDxfId="243">
      <calculatedColumnFormula>VLOOKUP(TableTERanks3343[[#This Row],[Player]],TE!B:O,7,FALSE)</calculatedColumnFormula>
    </tableColumn>
    <tableColumn id="5" xr3:uid="{57F3B59C-E84B-4E30-9FBA-62A421D9B00A}" name="FPS" dataDxfId="242">
      <calculatedColumnFormula>VLOOKUP(TableTERanks3343[[#This Row],[Player]],TE!B:O,11,FALSE)</calculatedColumnFormula>
    </tableColumn>
    <tableColumn id="6" xr3:uid="{2EC6160C-D456-423B-A400-AE67C2D32CAB}" name="AUC$" dataDxfId="241" dataCellStyle="Currency">
      <calculatedColumnFormula>IF(VLOOKUP(TableTERanks3343[[#This Row],[RK]],'Ranks w Proj'!AQ:AZ,10,FALSE)&lt;0,0,VLOOKUP(TableTERanks3343[[#This Row],[RK]],'Ranks w Proj'!AQ:AZ,10,FALSE))</calculatedColumnFormula>
    </tableColumn>
  </tableColumns>
  <tableStyleInfo name="TableStyleLight8" showFirstColumn="0" showLastColumn="0" showRowStripes="1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DSTOverall" displayName="TableDSTOverall" ref="A1:S33" totalsRowShown="0" headerRowDxfId="240" dataDxfId="239">
  <autoFilter ref="A1:S33" xr:uid="{00000000-0009-0000-0100-000018000000}"/>
  <tableColumns count="19">
    <tableColumn id="18" xr3:uid="{00000000-0010-0000-1000-000012000000}" name="Ref" dataDxfId="238"/>
    <tableColumn id="1" xr3:uid="{00000000-0010-0000-1000-000001000000}" name="TEAM" dataDxfId="237"/>
    <tableColumn id="19" xr3:uid="{E0B1E5CE-99E0-4122-BCB6-105E4C24EB2C}" name="ABBREV" dataDxfId="236"/>
    <tableColumn id="2" xr3:uid="{00000000-0010-0000-1000-000002000000}" name="BYE" dataDxfId="235"/>
    <tableColumn id="3" xr3:uid="{00000000-0010-0000-1000-000003000000}" name="SACKS" dataDxfId="234"/>
    <tableColumn id="4" xr3:uid="{00000000-0010-0000-1000-000004000000}" name="INT" dataDxfId="233"/>
    <tableColumn id="5" xr3:uid="{00000000-0010-0000-1000-000005000000}" name="FORCED FUMBLE" dataDxfId="232"/>
    <tableColumn id="6" xr3:uid="{00000000-0010-0000-1000-000006000000}" name="RECOV'D FUMBLE" dataDxfId="231"/>
    <tableColumn id="7" xr3:uid="{00000000-0010-0000-1000-000007000000}" name="SAFETIES" dataDxfId="230"/>
    <tableColumn id="8" xr3:uid="{00000000-0010-0000-1000-000008000000}" name="DEF TD" dataDxfId="229"/>
    <tableColumn id="9" xr3:uid="{00000000-0010-0000-1000-000009000000}" name="PTS PER GAME" dataDxfId="228"/>
    <tableColumn id="10" xr3:uid="{00000000-0010-0000-1000-00000A000000}" name="0 PT GAMES" dataDxfId="227"/>
    <tableColumn id="11" xr3:uid="{00000000-0010-0000-1000-00000B000000}" name="1-6 PT GAMES" dataDxfId="226"/>
    <tableColumn id="12" xr3:uid="{00000000-0010-0000-1000-00000C000000}" name="7-13 PT GAMES" dataDxfId="225"/>
    <tableColumn id="13" xr3:uid="{00000000-0010-0000-1000-00000D000000}" name="14-21 PT GAMES" dataDxfId="224"/>
    <tableColumn id="14" xr3:uid="{00000000-0010-0000-1000-00000E000000}" name="22-26 PT GAMES" dataDxfId="223"/>
    <tableColumn id="15" xr3:uid="{00000000-0010-0000-1000-00000F000000}" name="27-34 PT GAMES" dataDxfId="222"/>
    <tableColumn id="16" xr3:uid="{00000000-0010-0000-1000-000010000000}" name="35+ PT GAMES" dataDxfId="221"/>
    <tableColumn id="17" xr3:uid="{00000000-0010-0000-1000-000011000000}" name="YD PER GAME" dataDxfId="220"/>
  </tableColumns>
  <tableStyleInfo name="TableStyleLight8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1000000}" name="TableQBCalcPts" displayName="TableQBCalcPts" ref="A2:F102" totalsRowShown="0" headerRowDxfId="219" dataDxfId="218">
  <tableColumns count="6">
    <tableColumn id="1" xr3:uid="{00000000-0010-0000-1100-000001000000}" name="RK" dataDxfId="217">
      <calculatedColumnFormula>IFERROR(RANK(TableQBCalcPts[[#This Row],[Custom]],TableQBCalcPts[Custom])+COUNTIF($F$3:F3,F3)-1,"")</calculatedColumnFormula>
    </tableColumn>
    <tableColumn id="6" xr3:uid="{00000000-0010-0000-1100-000006000000}" name="QBRef" dataDxfId="216"/>
    <tableColumn id="2" xr3:uid="{00000000-0010-0000-1100-000002000000}" name="PLAYER" dataDxfId="215">
      <calculatedColumnFormula>IFERROR(INDEX(TableQBMaster[Player],MATCH(TableQBCalcPts[[#This Row],[QBRef]],TableQBMaster[QBRef],0)),"")</calculatedColumnFormula>
    </tableColumn>
    <tableColumn id="3" xr3:uid="{00000000-0010-0000-1100-000003000000}" name="TM" dataDxfId="214">
      <calculatedColumnFormula>IFERROR(INDEX(TableQBMaster[TM],MATCH(TableQBCalcPts[[#This Row],[QBRef]],TableQBMaster[QBRef],0)),"")</calculatedColumnFormula>
    </tableColumn>
    <tableColumn id="4" xr3:uid="{00000000-0010-0000-1100-000004000000}" name="BYE" dataDxfId="213">
      <calculatedColumnFormula>IFERROR(INDEX(TableQBMaster[BYE],MATCH(TableQBCalcPts[[#This Row],[QBRef]],TableQBMaster[QBRef],0)),"")</calculatedColumnFormula>
    </tableColumn>
    <tableColumn id="5" xr3:uid="{00000000-0010-0000-1100-000005000000}" name="Custom" dataDxfId="212">
      <calculatedColumnFormula>IFERROR(INDEX(TableQBMaster[Custom],MATCH(TableQBCalcPts[[#This Row],[QBRef]],TableQBMaster[QBRef],0)),"")</calculatedColumnFormula>
    </tableColumn>
  </tableColumns>
  <tableStyleInfo name="TableStyleLight8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2000000}" name="TableRBCalcPts" displayName="TableRBCalcPts" ref="H2:M177" totalsRowShown="0" headerRowDxfId="211" dataDxfId="210">
  <tableColumns count="6">
    <tableColumn id="1" xr3:uid="{00000000-0010-0000-1200-000001000000}" name="RK" dataDxfId="209">
      <calculatedColumnFormula>IFERROR(RANK(TableRBCalcPts[[#This Row],[Custom]],TableRBCalcPts[Custom])+COUNTIF($M$3:M3,M3)-1,"")</calculatedColumnFormula>
    </tableColumn>
    <tableColumn id="6" xr3:uid="{00000000-0010-0000-1200-000006000000}" name="RBRef" dataDxfId="208"/>
    <tableColumn id="2" xr3:uid="{00000000-0010-0000-1200-000002000000}" name="PLAYER" dataDxfId="207">
      <calculatedColumnFormula>IFERROR(INDEX(TableRBMaster[Player],MATCH(TableRBCalcPts[[#This Row],[RBRef]],TableRBMaster[RBRef],0)),"")</calculatedColumnFormula>
    </tableColumn>
    <tableColumn id="3" xr3:uid="{00000000-0010-0000-1200-000003000000}" name="TM" dataDxfId="206">
      <calculatedColumnFormula>IFERROR(INDEX(TableRBMaster[TM],MATCH(TableRBCalcPts[[#This Row],[RBRef]],TableRBMaster[RBRef],0)),"")</calculatedColumnFormula>
    </tableColumn>
    <tableColumn id="4" xr3:uid="{00000000-0010-0000-1200-000004000000}" name="BYE" dataDxfId="205">
      <calculatedColumnFormula>IFERROR(INDEX(TableRBMaster[BYE],MATCH(TableRBCalcPts[[#This Row],[RBRef]],TableRBMaster[RBRef],0)),"")</calculatedColumnFormula>
    </tableColumn>
    <tableColumn id="5" xr3:uid="{00000000-0010-0000-1200-000005000000}" name="Custom" dataDxfId="204">
      <calculatedColumnFormula>IFERROR(INDEX(TableRBMaster[Custom],MATCH(TableRBCalcPts[[#This Row],[RBRef]],TableRBMaster[RBRef],0)),"")</calculatedColumnFormula>
    </tableColumn>
  </tableColumns>
  <tableStyleInfo name="TableStyleLight8" showFirstColumn="0" showLastColumn="0" showRowStripes="1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3000000}" name="TableWRCalcPts" displayName="TableWRCalcPts" ref="O2:T227" totalsRowShown="0" headerRowDxfId="203" dataDxfId="202">
  <tableColumns count="6">
    <tableColumn id="1" xr3:uid="{00000000-0010-0000-1300-000001000000}" name="RK" dataDxfId="201">
      <calculatedColumnFormula>IFERROR(RANK(TableWRCalcPts[[#This Row],[Custom]],TableWRCalcPts[Custom])+COUNTIF($T$3:T3,T3)-1,"")</calculatedColumnFormula>
    </tableColumn>
    <tableColumn id="6" xr3:uid="{00000000-0010-0000-1300-000006000000}" name="WRRef" dataDxfId="200"/>
    <tableColumn id="2" xr3:uid="{00000000-0010-0000-1300-000002000000}" name="PLAYER" dataDxfId="199">
      <calculatedColumnFormula>IFERROR(INDEX(TableWRMaster[Player],MATCH(TableWRCalcPts[[#This Row],[WRRef]],TableWRMaster[WRRef],0)),"")</calculatedColumnFormula>
    </tableColumn>
    <tableColumn id="3" xr3:uid="{00000000-0010-0000-1300-000003000000}" name="TM" dataDxfId="198">
      <calculatedColumnFormula>IFERROR(INDEX(TableWRMaster[TM],MATCH(TableWRCalcPts[[#This Row],[WRRef]],TableWRMaster[WRRef],0)),"")</calculatedColumnFormula>
    </tableColumn>
    <tableColumn id="4" xr3:uid="{00000000-0010-0000-1300-000004000000}" name="BYE" dataDxfId="197">
      <calculatedColumnFormula>IFERROR(INDEX(TableWRMaster[BYE],MATCH(TableWRCalcPts[[#This Row],[WRRef]],TableWRMaster[WRRef],0)),"")</calculatedColumnFormula>
    </tableColumn>
    <tableColumn id="5" xr3:uid="{00000000-0010-0000-1300-000005000000}" name="Custom" dataDxfId="196">
      <calculatedColumnFormula>IFERROR(INDEX(TableWRMaster[Custom],MATCH(TableWRCalcPts[[#This Row],[WRRef]],TableWRMaster[WRRef],0)),"")</calculatedColumnFormula>
    </tableColumn>
  </tableColumns>
  <tableStyleInfo name="TableStyleLight8" showFirstColumn="0" showLastColumn="0" showRowStripes="1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4000000}" name="TableTECalcPts" displayName="TableTECalcPts" ref="V2:AA102" totalsRowShown="0" headerRowDxfId="195" dataDxfId="194">
  <tableColumns count="6">
    <tableColumn id="1" xr3:uid="{00000000-0010-0000-1400-000001000000}" name="RK" dataDxfId="193">
      <calculatedColumnFormula>IFERROR(RANK(TableTECalcPts[[#This Row],[Custom]],TableTECalcPts[Custom])+COUNTIF($AA$3:AA3,AA3)-1,"")</calculatedColumnFormula>
    </tableColumn>
    <tableColumn id="6" xr3:uid="{00000000-0010-0000-1400-000006000000}" name="TERef" dataDxfId="192"/>
    <tableColumn id="2" xr3:uid="{00000000-0010-0000-1400-000002000000}" name="PLAYER" dataDxfId="191">
      <calculatedColumnFormula>IFERROR(INDEX(TableTEMaster[Player],MATCH(TableTECalcPts[[#This Row],[TERef]],TableTEMaster[TERef],0)),"")</calculatedColumnFormula>
    </tableColumn>
    <tableColumn id="3" xr3:uid="{00000000-0010-0000-1400-000003000000}" name="TM" dataDxfId="190">
      <calculatedColumnFormula>IFERROR(INDEX(TableTEMaster[TM],MATCH(TableTECalcPts[[#This Row],[TERef]],TableTEMaster[TERef],0)),"")</calculatedColumnFormula>
    </tableColumn>
    <tableColumn id="4" xr3:uid="{00000000-0010-0000-1400-000004000000}" name="BYE" dataDxfId="189">
      <calculatedColumnFormula>IFERROR(INDEX(TableTEMaster[BYE],MATCH(TableTECalcPts[[#This Row],[TERef]],TableTEMaster[TERef],0)),"")</calculatedColumnFormula>
    </tableColumn>
    <tableColumn id="5" xr3:uid="{00000000-0010-0000-1400-000005000000}" name="Custom" dataDxfId="188">
      <calculatedColumnFormula>IFERROR(INDEX(TableTEMaster[Custom],MATCH(TableTECalcPts[[#This Row],[TERef]],TableTEMaster[TERef],0)),"")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QBRanks" displayName="TableQBRanks" ref="A1:F80" totalsRowShown="0" headerRowDxfId="473" dataDxfId="472">
  <sortState xmlns:xlrd2="http://schemas.microsoft.com/office/spreadsheetml/2017/richdata2" ref="A2:F68">
    <sortCondition ref="A1:A68"/>
  </sortState>
  <tableColumns count="6">
    <tableColumn id="1" xr3:uid="{00000000-0010-0000-0200-000001000000}" name="RK" dataDxfId="471">
      <calculatedColumnFormula>RANK(TableQBRanks[[#This Row],[FPS]],TableQBRanks[FPS],0)</calculatedColumnFormula>
    </tableColumn>
    <tableColumn id="2" xr3:uid="{00000000-0010-0000-0200-000002000000}" name="Player" dataDxfId="470">
      <calculatedColumnFormula>IFERROR(INDEX(TableQBCalcPts[PLAYER],MATCH(TableQBRanks[[#This Row],[RK]],TableQBCalcPts[RK],0)),"")</calculatedColumnFormula>
    </tableColumn>
    <tableColumn id="3" xr3:uid="{00000000-0010-0000-0200-000003000000}" name="TM" dataDxfId="469">
      <calculatedColumnFormula>IFERROR(INDEX(TableQBCalcPts[TM],MATCH(TableQBRanks[[#This Row],[RK]],TableQBCalcPts[RK],0)),"")</calculatedColumnFormula>
    </tableColumn>
    <tableColumn id="4" xr3:uid="{00000000-0010-0000-0200-000004000000}" name="BYE" dataDxfId="468">
      <calculatedColumnFormula>IFERROR(INDEX(TableQBCalcPts[BYE],MATCH(TableQBRanks[[#This Row],[RK]],TableQBCalcPts[RK],0)),"")</calculatedColumnFormula>
    </tableColumn>
    <tableColumn id="5" xr3:uid="{00000000-0010-0000-0200-000005000000}" name="FPS" dataDxfId="467">
      <calculatedColumnFormula>IFERROR(INDEX(TableQBCalcPts[Custom],MATCH(TableQBRanks[[#This Row],[RK]],TableQBCalcPts[RK],0)),"")</calculatedColumnFormula>
    </tableColumn>
    <tableColumn id="6" xr3:uid="{00000000-0010-0000-0200-000006000000}" name="AUC$" dataDxfId="466" dataCellStyle="Currency">
      <calculatedColumnFormula>(((VLOOKUP(TableQBRanks[[#This Row],[Player]],'OVR &amp; VORP Ranks'!$B:$F,5,FALSE)))/('OVR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5000000}" name="TableDSTCalcPts" displayName="TableDSTCalcPts" ref="AC2:AG34" totalsRowShown="0" headerRowDxfId="187" dataDxfId="186">
  <tableColumns count="5">
    <tableColumn id="1" xr3:uid="{00000000-0010-0000-1500-000001000000}" name="RK" dataDxfId="185">
      <calculatedColumnFormula>IFERROR(RANK(TableDSTCalcPts[[#This Row],[Custom]],TableDSTCalcPts[Custom],0),"")</calculatedColumnFormula>
    </tableColumn>
    <tableColumn id="5" xr3:uid="{00000000-0010-0000-1500-000005000000}" name="DSTRef" dataDxfId="184"/>
    <tableColumn id="2" xr3:uid="{00000000-0010-0000-1500-000002000000}" name="PLAYER" dataDxfId="183">
      <calculatedColumnFormula>IFERROR(INDEX(TableDSTMaster[Player],MATCH(TableDSTCalcPts[[#This Row],[DSTRef]],TableDSTMaster[DSTRef],0)),"")</calculatedColumnFormula>
    </tableColumn>
    <tableColumn id="3" xr3:uid="{00000000-0010-0000-1500-000003000000}" name="BYE" dataDxfId="182">
      <calculatedColumnFormula>IFERROR(INDEX(TableDSTMaster[BYE],MATCH(TableDSTCalcPts[[#This Row],[DSTRef]],TableDSTMaster[DSTRef],0)),"")</calculatedColumnFormula>
    </tableColumn>
    <tableColumn id="4" xr3:uid="{00000000-0010-0000-1500-000004000000}" name="Custom" dataDxfId="181">
      <calculatedColumnFormula>IFERROR(INDEX(TableDSTMaster[Custom],MATCH(TableDSTCalcPts[[#This Row],[DSTRef]],TableDSTMaster[DSTRef],0)),"")</calculatedColumnFormula>
    </tableColumn>
  </tableColumns>
  <tableStyleInfo name="TableStyleLight8" showFirstColumn="0" showLastColumn="0" showRowStripes="1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TableWRTECalcPts" displayName="TableWRTECalcPts" ref="AI2:AP327" totalsRowShown="0" headerRowDxfId="180" dataDxfId="179">
  <tableColumns count="8">
    <tableColumn id="8" xr3:uid="{00000000-0010-0000-1600-000008000000}" name="POS" dataDxfId="178"/>
    <tableColumn id="1" xr3:uid="{00000000-0010-0000-1600-000001000000}" name="RK" dataDxfId="177">
      <calculatedColumnFormula>IFERROR(RANK(TableWRTECalcPts[[#This Row],[Custom]],TableWRTECalcPts[Custom])+COUNTIF($AP$3:AP3,AP3)-1,"")</calculatedColumnFormula>
    </tableColumn>
    <tableColumn id="6" xr3:uid="{00000000-0010-0000-1600-000006000000}" name="POSRef" dataDxfId="176"/>
    <tableColumn id="2" xr3:uid="{00000000-0010-0000-1600-000002000000}" name="PLAYER" dataDxfId="175"/>
    <tableColumn id="9" xr3:uid="{00000000-0010-0000-1600-000009000000}" name="POS RK" dataDxfId="174">
      <calculatedColumnFormula>_xlfn.CONCAT(TableWRTECalcPts[[#This Row],[POS]],INDEX(TableTERanks[RK],MATCH(TableWRTECalcPts[[#This Row],[PLAYER]],TableTERanks[Player],0)))</calculatedColumnFormula>
    </tableColumn>
    <tableColumn id="3" xr3:uid="{00000000-0010-0000-1600-000003000000}" name="TM" dataDxfId="173"/>
    <tableColumn id="4" xr3:uid="{00000000-0010-0000-1600-000004000000}" name="BYE" dataDxfId="172"/>
    <tableColumn id="5" xr3:uid="{00000000-0010-0000-1600-000005000000}" name="Custom" dataDxfId="171"/>
  </tableColumns>
  <tableStyleInfo name="TableStyleLight9" showFirstColumn="0" showLastColumn="0" showRowStripes="1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7000000}" name="TableQBMaster" displayName="TableQBMaster" ref="A1:O74" totalsRowShown="0" headerRowDxfId="170" dataDxfId="169">
  <autoFilter ref="A1:O74" xr:uid="{00000000-0009-0000-0100-000004000000}"/>
  <sortState xmlns:xlrd2="http://schemas.microsoft.com/office/spreadsheetml/2017/richdata2" ref="B2:M73">
    <sortCondition ref="C1:C73"/>
  </sortState>
  <tableColumns count="15">
    <tableColumn id="14" xr3:uid="{00000000-0010-0000-1700-00000E000000}" name="QBRef" dataDxfId="168"/>
    <tableColumn id="1" xr3:uid="{00000000-0010-0000-1700-000001000000}" name="Player" dataDxfId="167"/>
    <tableColumn id="2" xr3:uid="{00000000-0010-0000-1700-000002000000}" name="TM" dataDxfId="166"/>
    <tableColumn id="3" xr3:uid="{00000000-0010-0000-1700-000003000000}" name="BYE" dataDxfId="165"/>
    <tableColumn id="4" xr3:uid="{00000000-0010-0000-1700-000004000000}" name="PATT" dataDxfId="164"/>
    <tableColumn id="5" xr3:uid="{00000000-0010-0000-1700-000005000000}" name="CMP" dataDxfId="163"/>
    <tableColumn id="6" xr3:uid="{00000000-0010-0000-1700-000006000000}" name="PAYD" dataDxfId="162"/>
    <tableColumn id="7" xr3:uid="{00000000-0010-0000-1700-000007000000}" name="PATD" dataDxfId="161"/>
    <tableColumn id="8" xr3:uid="{00000000-0010-0000-1700-000008000000}" name="INT" dataDxfId="160"/>
    <tableColumn id="9" xr3:uid="{00000000-0010-0000-1700-000009000000}" name="RUAT" dataDxfId="159"/>
    <tableColumn id="10" xr3:uid="{00000000-0010-0000-1700-00000A000000}" name="RUYD" dataDxfId="158"/>
    <tableColumn id="11" xr3:uid="{00000000-0010-0000-1700-00000B000000}" name="RUTD" dataDxfId="157"/>
    <tableColumn id="12" xr3:uid="{00000000-0010-0000-1700-00000C000000}" name="FPS" dataDxfId="156">
      <calculatedColumnFormula>(G2/25)+(H2*4)+(I2*-1.5)+(K2/10)+(L2*6)</calculatedColumnFormula>
    </tableColumn>
    <tableColumn id="13" xr3:uid="{00000000-0010-0000-1700-00000D000000}" name="Custom" dataDxfId="155">
      <calculatedColumnFormula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calculatedColumnFormula>
    </tableColumn>
    <tableColumn id="15" xr3:uid="{00000000-0010-0000-1700-00000F000000}" name="AUC$" dataDxfId="154"/>
  </tableColumns>
  <tableStyleInfo name="TableStyleLight8" showFirstColumn="0" showLastColumn="0" showRowStripes="1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8000000}" name="TableRBMaster" displayName="TableRBMaster" ref="A1:P161" totalsRowShown="0" headerRowDxfId="153" dataDxfId="152">
  <autoFilter ref="A1:P161" xr:uid="{00000000-0009-0000-0100-000005000000}"/>
  <sortState xmlns:xlrd2="http://schemas.microsoft.com/office/spreadsheetml/2017/richdata2" ref="B2:N152">
    <sortCondition ref="C1:C152"/>
  </sortState>
  <tableColumns count="16">
    <tableColumn id="16" xr3:uid="{00000000-0010-0000-1800-000010000000}" name="RBRef" dataDxfId="151"/>
    <tableColumn id="1" xr3:uid="{00000000-0010-0000-1800-000001000000}" name="Player" dataDxfId="150"/>
    <tableColumn id="2" xr3:uid="{00000000-0010-0000-1800-000002000000}" name="TM" dataDxfId="149"/>
    <tableColumn id="3" xr3:uid="{00000000-0010-0000-1800-000003000000}" name="BYE" dataDxfId="148"/>
    <tableColumn id="4" xr3:uid="{00000000-0010-0000-1800-000004000000}" name="RUAT" dataDxfId="147"/>
    <tableColumn id="5" xr3:uid="{00000000-0010-0000-1800-000005000000}" name="RUYD" dataDxfId="146"/>
    <tableColumn id="6" xr3:uid="{00000000-0010-0000-1800-000006000000}" name="RUTD" dataDxfId="145"/>
    <tableColumn id="7" xr3:uid="{00000000-0010-0000-1800-000007000000}" name="TGT" dataDxfId="144"/>
    <tableColumn id="8" xr3:uid="{00000000-0010-0000-1800-000008000000}" name="REC" dataDxfId="143"/>
    <tableColumn id="9" xr3:uid="{00000000-0010-0000-1800-000009000000}" name="RCYD" dataDxfId="142"/>
    <tableColumn id="10" xr3:uid="{00000000-0010-0000-1800-00000A000000}" name="RCTD" dataDxfId="141"/>
    <tableColumn id="11" xr3:uid="{00000000-0010-0000-1800-00000B000000}" name="FPS" dataDxfId="140">
      <calculatedColumnFormula>(F2/10)+(G2*6)+(J2/10)+(K2*6)</calculatedColumnFormula>
    </tableColumn>
    <tableColumn id="12" xr3:uid="{00000000-0010-0000-1800-00000C000000}" name="HALF" dataDxfId="139">
      <calculatedColumnFormula>L2+(I2*0.5)</calculatedColumnFormula>
    </tableColumn>
    <tableColumn id="13" xr3:uid="{00000000-0010-0000-1800-00000D000000}" name="PPR" dataDxfId="138">
      <calculatedColumnFormula>L2+I2</calculatedColumnFormula>
    </tableColumn>
    <tableColumn id="14" xr3:uid="{00000000-0010-0000-1800-00000E000000}" name="Custom" dataDxfId="137">
      <calculatedColumnFormula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calculatedColumnFormula>
    </tableColumn>
    <tableColumn id="15" xr3:uid="{00000000-0010-0000-1800-00000F000000}" name="AUC$" dataDxfId="136"/>
  </tableColumns>
  <tableStyleInfo name="TableStyleLight8" showFirstColumn="0" showLastColumn="0" showRowStripes="1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9000000}" name="TableWRMaster" displayName="TableWRMaster" ref="A1:O203" totalsRowShown="0" headerRowDxfId="135" dataDxfId="134">
  <autoFilter ref="A1:O203" xr:uid="{00000000-0009-0000-0100-000006000000}"/>
  <sortState xmlns:xlrd2="http://schemas.microsoft.com/office/spreadsheetml/2017/richdata2" ref="B2:M203">
    <sortCondition ref="C1:C203"/>
  </sortState>
  <tableColumns count="15">
    <tableColumn id="15" xr3:uid="{00000000-0010-0000-1900-00000F000000}" name="WRRef" dataDxfId="133"/>
    <tableColumn id="1" xr3:uid="{00000000-0010-0000-1900-000001000000}" name="Player" dataDxfId="132"/>
    <tableColumn id="2" xr3:uid="{00000000-0010-0000-1900-000002000000}" name="TM" dataDxfId="131"/>
    <tableColumn id="3" xr3:uid="{00000000-0010-0000-1900-000003000000}" name="BYE" dataDxfId="130"/>
    <tableColumn id="4" xr3:uid="{00000000-0010-0000-1900-000004000000}" name="RUYD" dataDxfId="129"/>
    <tableColumn id="5" xr3:uid="{00000000-0010-0000-1900-000005000000}" name="RUTD" dataDxfId="128"/>
    <tableColumn id="6" xr3:uid="{00000000-0010-0000-1900-000006000000}" name="TGT" dataDxfId="127"/>
    <tableColumn id="7" xr3:uid="{00000000-0010-0000-1900-000007000000}" name="REC" dataDxfId="126"/>
    <tableColumn id="8" xr3:uid="{00000000-0010-0000-1900-000008000000}" name="RCYD" dataDxfId="125"/>
    <tableColumn id="9" xr3:uid="{00000000-0010-0000-1900-000009000000}" name="RCTD" dataDxfId="124"/>
    <tableColumn id="10" xr3:uid="{00000000-0010-0000-1900-00000A000000}" name="FPS" dataDxfId="123">
      <calculatedColumnFormula>(E2/10)+(F2*6)+(I2/10)+(J2*6)</calculatedColumnFormula>
    </tableColumn>
    <tableColumn id="11" xr3:uid="{00000000-0010-0000-1900-00000B000000}" name="HALF" dataDxfId="122">
      <calculatedColumnFormula>K2+(H2*0.5)</calculatedColumnFormula>
    </tableColumn>
    <tableColumn id="12" xr3:uid="{00000000-0010-0000-1900-00000C000000}" name="PPR" dataDxfId="121">
      <calculatedColumnFormula>K2+H2</calculatedColumnFormula>
    </tableColumn>
    <tableColumn id="13" xr3:uid="{00000000-0010-0000-1900-00000D000000}" name="Custom" dataDxfId="120">
      <calculatedColumnFormula>(TableWRMaster[[#This Row],[RUYD]]*RUSH_YARDS)+(TableWRMaster[[#This Row],[RUTD]]*RUSH_TDS)+(TableWRMaster[[#This Row],[TGT]]*TARGETS)+(TableWRMaster[[#This Row],[REC]]*RECEPTIONS_WR)+(TableWRMaster[[#This Row],[RCYD]]*RECV_YARDS)+(TableWRMaster[[#This Row],[RCTD]]*RECV_TDS)</calculatedColumnFormula>
    </tableColumn>
    <tableColumn id="14" xr3:uid="{00000000-0010-0000-1900-00000E000000}" name="AUC$" dataDxfId="119"/>
  </tableColumns>
  <tableStyleInfo name="TableStyleLight8" showFirstColumn="0" showLastColumn="0" showRowStripes="1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A000000}" name="TableTEMaster" displayName="TableTEMaster" ref="A1:M97" totalsRowShown="0" headerRowDxfId="118" dataDxfId="117">
  <autoFilter ref="A1:M97" xr:uid="{00000000-0009-0000-0100-000007000000}"/>
  <tableColumns count="13">
    <tableColumn id="13" xr3:uid="{00000000-0010-0000-1A00-00000D000000}" name="TERef" dataDxfId="116"/>
    <tableColumn id="1" xr3:uid="{00000000-0010-0000-1A00-000001000000}" name="Player" dataDxfId="115"/>
    <tableColumn id="2" xr3:uid="{00000000-0010-0000-1A00-000002000000}" name="TM" dataDxfId="114"/>
    <tableColumn id="3" xr3:uid="{00000000-0010-0000-1A00-000003000000}" name="BYE" dataDxfId="113"/>
    <tableColumn id="4" xr3:uid="{00000000-0010-0000-1A00-000004000000}" name="TGT" dataDxfId="112"/>
    <tableColumn id="5" xr3:uid="{00000000-0010-0000-1A00-000005000000}" name="REC" dataDxfId="111"/>
    <tableColumn id="6" xr3:uid="{00000000-0010-0000-1A00-000006000000}" name="RCYD" dataDxfId="110"/>
    <tableColumn id="7" xr3:uid="{00000000-0010-0000-1A00-000007000000}" name="RCTD" dataDxfId="109"/>
    <tableColumn id="8" xr3:uid="{00000000-0010-0000-1A00-000008000000}" name="FPS" dataDxfId="108">
      <calculatedColumnFormula>(G2/10)+(H2*6)</calculatedColumnFormula>
    </tableColumn>
    <tableColumn id="9" xr3:uid="{00000000-0010-0000-1A00-000009000000}" name="HALF" dataDxfId="107">
      <calculatedColumnFormula>I2+(F2*0.5)</calculatedColumnFormula>
    </tableColumn>
    <tableColumn id="10" xr3:uid="{00000000-0010-0000-1A00-00000A000000}" name="PPR" dataDxfId="106">
      <calculatedColumnFormula>I2+F2</calculatedColumnFormula>
    </tableColumn>
    <tableColumn id="11" xr3:uid="{00000000-0010-0000-1A00-00000B000000}" name="Custom" dataDxfId="105">
      <calculatedColumnFormula>(TableTEMaster[[#This Row],[TGT]]*TARGETS)+(TableTEMaster[[#This Row],[REC]]*RECEPTIONS_TE)+(TableTEMaster[[#This Row],[RCYD]]*RECV_YARDS)+(TableTEMaster[[#This Row],[RCTD]]*RECV_TDS)</calculatedColumnFormula>
    </tableColumn>
    <tableColumn id="12" xr3:uid="{00000000-0010-0000-1A00-00000C000000}" name="AUC$" dataDxfId="104"/>
  </tableColumns>
  <tableStyleInfo name="TableStyleLight8" showFirstColumn="0" showLastColumn="0" showRowStripes="1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B000000}" name="TableDSTMaster" displayName="TableDSTMaster" ref="A1:E33" totalsRowShown="0" headerRowDxfId="103" dataDxfId="102">
  <autoFilter ref="A1:E33" xr:uid="{00000000-0009-0000-0100-00000C000000}"/>
  <tableColumns count="5">
    <tableColumn id="1" xr3:uid="{00000000-0010-0000-1B00-000001000000}" name="DSTRef" dataDxfId="101"/>
    <tableColumn id="2" xr3:uid="{00000000-0010-0000-1B00-000002000000}" name="Player" dataDxfId="100">
      <calculatedColumnFormula>DST!B2</calculatedColumnFormula>
    </tableColumn>
    <tableColumn id="3" xr3:uid="{00000000-0010-0000-1B00-000003000000}" name="BYE" dataDxfId="99">
      <calculatedColumnFormula>DST!D2</calculatedColumnFormula>
    </tableColumn>
    <tableColumn id="4" xr3:uid="{00000000-0010-0000-1B00-000004000000}" name="Custom" dataDxfId="98">
      <calculatedColumnFormula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calculatedColumnFormula>
    </tableColumn>
    <tableColumn id="5" xr3:uid="{00000000-0010-0000-1B00-000005000000}" name="AUC$" dataDxfId="97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RBRanks" displayName="TableRBRanks" ref="H1:M171" totalsRowShown="0" headerRowDxfId="465" dataDxfId="464">
  <sortState xmlns:xlrd2="http://schemas.microsoft.com/office/spreadsheetml/2017/richdata2" ref="H2:M153">
    <sortCondition ref="H1:H153"/>
  </sortState>
  <tableColumns count="6">
    <tableColumn id="1" xr3:uid="{00000000-0010-0000-0300-000001000000}" name="RK" dataDxfId="463">
      <calculatedColumnFormula>RANK(TableRBRanks[[#This Row],[FPS]],TableRBRanks[FPS],0)</calculatedColumnFormula>
    </tableColumn>
    <tableColumn id="2" xr3:uid="{00000000-0010-0000-0300-000002000000}" name="Player" dataDxfId="462">
      <calculatedColumnFormula>IFERROR(INDEX(TableRBCalcPts[PLAYER],MATCH(TableRBRanks[[#This Row],[RK]],TableRBCalcPts[RK],0)),"")</calculatedColumnFormula>
    </tableColumn>
    <tableColumn id="3" xr3:uid="{00000000-0010-0000-0300-000003000000}" name="TM" dataDxfId="461">
      <calculatedColumnFormula>IFERROR(INDEX(TableRBCalcPts[TM],MATCH(TableRBRanks[[#This Row],[RK]],TableRBCalcPts[RK],0)),"")</calculatedColumnFormula>
    </tableColumn>
    <tableColumn id="4" xr3:uid="{00000000-0010-0000-0300-000004000000}" name="BYE" dataDxfId="460">
      <calculatedColumnFormula>IFERROR(INDEX(TableRBCalcPts[BYE],MATCH(TableRBRanks[[#This Row],[RK]],TableRBCalcPts[RK],0)),"")</calculatedColumnFormula>
    </tableColumn>
    <tableColumn id="5" xr3:uid="{00000000-0010-0000-0300-000005000000}" name="FPS" dataDxfId="459">
      <calculatedColumnFormula>IFERROR(INDEX(TableRBCalcPts[Custom],MATCH(TableRBRanks[[#This Row],[RK]],TableRBCalcPts[RK],0)),"")</calculatedColumnFormula>
    </tableColumn>
    <tableColumn id="6" xr3:uid="{00000000-0010-0000-0300-000006000000}" name="AUC$" dataDxfId="458" dataCellStyle="Currency">
      <calculatedColumnFormula>(((VLOOKUP(TableRBRanks[[#This Row],[Player]],'OVR &amp; VORP Ranks'!$I:$M,5,FALSE)))/('OVR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4000000}" name="TableWRRanks" displayName="TableWRRanks" ref="O1:T221" totalsRowShown="0" headerRowDxfId="457" dataDxfId="456">
  <sortState xmlns:xlrd2="http://schemas.microsoft.com/office/spreadsheetml/2017/richdata2" ref="O2:T221">
    <sortCondition ref="O1:O203"/>
  </sortState>
  <tableColumns count="6">
    <tableColumn id="1" xr3:uid="{00000000-0010-0000-0400-000001000000}" name="RK" dataDxfId="455">
      <calculatedColumnFormula>RANK(TableWRRanks[[#This Row],[FPS]],TableWRRanks[FPS],0)</calculatedColumnFormula>
    </tableColumn>
    <tableColumn id="2" xr3:uid="{00000000-0010-0000-0400-000002000000}" name="Player" dataDxfId="454">
      <calculatedColumnFormula>IFERROR(INDEX(TableWRCalcPts[PLAYER],MATCH(TableWRRanks[[#This Row],[RK]],TableWRCalcPts[RK],0)),"")</calculatedColumnFormula>
    </tableColumn>
    <tableColumn id="3" xr3:uid="{00000000-0010-0000-0400-000003000000}" name="TM" dataDxfId="453">
      <calculatedColumnFormula>IFERROR(INDEX(TableWRCalcPts[TM],MATCH(TableWRRanks[[#This Row],[RK]],TableWRCalcPts[RK],0)),"")</calculatedColumnFormula>
    </tableColumn>
    <tableColumn id="4" xr3:uid="{00000000-0010-0000-0400-000004000000}" name="BYE" dataDxfId="452">
      <calculatedColumnFormula>IFERROR(INDEX(TableWRCalcPts[BYE],MATCH(TableWRRanks[[#This Row],[RK]],TableWRCalcPts[RK],0)),"")</calculatedColumnFormula>
    </tableColumn>
    <tableColumn id="5" xr3:uid="{00000000-0010-0000-0400-000005000000}" name="FPS" dataDxfId="451">
      <calculatedColumnFormula>IFERROR(INDEX(TableWRCalcPts[Custom],MATCH(TableWRRanks[[#This Row],[RK]],TableWRCalcPts[RK],0)),"")</calculatedColumnFormula>
    </tableColumn>
    <tableColumn id="6" xr3:uid="{00000000-0010-0000-0400-000006000000}" name="AUC$" dataDxfId="450" dataCellStyle="Currency">
      <calculatedColumnFormula>(((VLOOKUP(TableWRRanks[[#This Row],[Player]],'OVR &amp; VORP Ranks'!$P:$T,5,FALSE)))/('OVR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5000000}" name="TableTERanks" displayName="TableTERanks" ref="V1:AA101" totalsRowShown="0" headerRowDxfId="449" dataDxfId="448">
  <sortState xmlns:xlrd2="http://schemas.microsoft.com/office/spreadsheetml/2017/richdata2" ref="V2:AA97">
    <sortCondition ref="V1:V97"/>
  </sortState>
  <tableColumns count="6">
    <tableColumn id="1" xr3:uid="{00000000-0010-0000-0500-000001000000}" name="RK" dataDxfId="447">
      <calculatedColumnFormula>RANK(TableTERanks[[#This Row],[FPS]],TableTERanks[FPS],0)</calculatedColumnFormula>
    </tableColumn>
    <tableColumn id="2" xr3:uid="{00000000-0010-0000-0500-000002000000}" name="Player" dataDxfId="446">
      <calculatedColumnFormula>IFERROR(INDEX(TableTECalcPts[PLAYER],MATCH(TableTERanks[[#This Row],[RK]],TableTECalcPts[RK],0)),"")</calculatedColumnFormula>
    </tableColumn>
    <tableColumn id="3" xr3:uid="{00000000-0010-0000-0500-000003000000}" name="TM" dataDxfId="445">
      <calculatedColumnFormula>IFERROR(INDEX(TableTECalcPts[TM],MATCH(TableTERanks[[#This Row],[RK]],TableTECalcPts[RK],0)),"")</calculatedColumnFormula>
    </tableColumn>
    <tableColumn id="4" xr3:uid="{00000000-0010-0000-0500-000004000000}" name="BYE" dataDxfId="444">
      <calculatedColumnFormula>IFERROR(INDEX(TableTECalcPts[BYE],MATCH(TableTERanks[[#This Row],[RK]],TableTECalcPts[RK],0)),"")</calculatedColumnFormula>
    </tableColumn>
    <tableColumn id="5" xr3:uid="{00000000-0010-0000-0500-000005000000}" name="FPS" dataDxfId="443">
      <calculatedColumnFormula>IFERROR(INDEX(TableTECalcPts[Custom],MATCH(TableTERanks[[#This Row],[RK]],TableTECalcPts[RK],0)),"")</calculatedColumnFormula>
    </tableColumn>
    <tableColumn id="6" xr3:uid="{00000000-0010-0000-0500-000006000000}" name="AUC$" dataDxfId="442" dataCellStyle="Currency">
      <calculatedColumnFormula>(((VLOOKUP(TableTERanks[[#This Row],[Player]],'OVR &amp; VORP Ranks'!$W:$AA,5,FALSE)))/('OVR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6000000}" name="TableDSTRanks" displayName="TableDSTRanks" ref="AC1:AG33" totalsRowShown="0" headerRowDxfId="441" dataDxfId="440">
  <sortState xmlns:xlrd2="http://schemas.microsoft.com/office/spreadsheetml/2017/richdata2" ref="AC2:AG33">
    <sortCondition ref="AC1:AC33"/>
  </sortState>
  <tableColumns count="5">
    <tableColumn id="1" xr3:uid="{00000000-0010-0000-0600-000001000000}" name="RK" dataDxfId="439">
      <calculatedColumnFormula>RANK(TableDSTRanks[[#This Row],[FPS]],TableDSTRanks[FPS],0)</calculatedColumnFormula>
    </tableColumn>
    <tableColumn id="2" xr3:uid="{00000000-0010-0000-0600-000002000000}" name="Player" dataDxfId="438">
      <calculatedColumnFormula>IFERROR(INDEX(TableDSTCalcPts[PLAYER],MATCH(TableDSTRanks[[#This Row],[RK]],TableDSTCalcPts[RK],0)),"")</calculatedColumnFormula>
    </tableColumn>
    <tableColumn id="4" xr3:uid="{00000000-0010-0000-0600-000004000000}" name="BYE" dataDxfId="437">
      <calculatedColumnFormula>IFERROR(INDEX(TableDSTCalcPts[BYE],MATCH(TableDSTRanks[[#This Row],[RK]],TableDSTCalcPts[RK],0)),"")</calculatedColumnFormula>
    </tableColumn>
    <tableColumn id="5" xr3:uid="{00000000-0010-0000-0600-000005000000}" name="FPS" dataDxfId="436">
      <calculatedColumnFormula>IFERROR(INDEX(TableDSTCalcPts[Custom],MATCH(TableDSTRanks[[#This Row],[RK]],TableDSTCalcPts[RK],0)),"")</calculatedColumnFormula>
    </tableColumn>
    <tableColumn id="6" xr3:uid="{00000000-0010-0000-0600-000006000000}" name="AUC$" dataDxfId="435" dataCellStyle="Currency">
      <calculatedColumnFormula>IFERROR(INDEX(TableDSTMaster[AUC$],MATCH(TableDSTRanks[[#This Row],[Player]],TableDSTMaster[Player],0)),"")</calculatedColumnFormula>
    </tableColumn>
  </tableColumns>
  <tableStyleInfo name="TableStyleLight8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QBVORP" displayName="TableQBVORP" ref="A1:F101" totalsRowShown="0" headerRowDxfId="434" dataDxfId="433">
  <sortState xmlns:xlrd2="http://schemas.microsoft.com/office/spreadsheetml/2017/richdata2" ref="A2:F101">
    <sortCondition ref="A1:A101"/>
  </sortState>
  <tableColumns count="6">
    <tableColumn id="1" xr3:uid="{00000000-0010-0000-0700-000001000000}" name="RK" dataDxfId="432">
      <calculatedColumnFormula>IFERROR(RANK(TableQBVORP[[#This Row],[FPS]],TableQBVORP[FPS],0),"")</calculatedColumnFormula>
    </tableColumn>
    <tableColumn id="2" xr3:uid="{00000000-0010-0000-0700-000002000000}" name="QUARTERBACK" dataDxfId="431">
      <calculatedColumnFormula>IFERROR(INDEX(TableQBCalcPts[PLAYER],MATCH(TableQBVORP[[#This Row],[RK]],TableQBCalcPts[RK],0)),"")</calculatedColumnFormula>
    </tableColumn>
    <tableColumn id="3" xr3:uid="{00000000-0010-0000-0700-000003000000}" name="TM" dataDxfId="430">
      <calculatedColumnFormula>IFERROR(INDEX(TableQBCalcPts[TM],MATCH(TableQBVORP[[#This Row],[RK]],TableQBCalcPts[RK],0)),"")</calculatedColumnFormula>
    </tableColumn>
    <tableColumn id="4" xr3:uid="{00000000-0010-0000-0700-000004000000}" name="BYE" dataDxfId="429">
      <calculatedColumnFormula>IFERROR(INDEX(TableQBCalcPts[BYE],MATCH(TableQBVORP[[#This Row],[RK]],TableQBCalcPts[RK],0)),"")</calculatedColumnFormula>
    </tableColumn>
    <tableColumn id="5" xr3:uid="{00000000-0010-0000-0700-000005000000}" name="FPS" dataDxfId="428">
      <calculatedColumnFormula>IFERROR(INDEX(TableQBCalcPts[Custom],MATCH(TableQBVORP[[#This Row],[RK]],TableQBCalcPts[RK],0)),"")</calculatedColumnFormula>
    </tableColumn>
    <tableColumn id="6" xr3:uid="{00000000-0010-0000-0700-000006000000}" name="VORP" dataDxfId="427" dataCellStyle="Percent">
      <calculatedColumnFormula>(IFERROR((TableQBVORP[[#This Row],[FPS]]-INDEX(TableQBVORP[FPS],MATCH(QBVORPCalc,TableQBVORP[RK],0)))/INDEX(TableQBVORP[FPS],MATCH(QBVORPCalc,TableQBVORP[RK],0)),""))+(TableRBVORP[[#This Row],[VORP]]*0.45)</calculatedColumnFormula>
    </tableColumn>
  </tableColumns>
  <tableStyleInfo name="TableStyleLight8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VORPVari" displayName="TableVORPVari" ref="AC1:AD8" totalsRowShown="0" headerRowDxfId="426" dataDxfId="425">
  <tableColumns count="2">
    <tableColumn id="1" xr3:uid="{00000000-0010-0000-0800-000001000000}" name="Pos" dataDxfId="424"/>
    <tableColumn id="2" xr3:uid="{00000000-0010-0000-0800-000002000000}" name="Calc" dataDxfId="423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athletic.com/3383510/2022/07/13/fantasy-football-cheatsheet-customizable-rankings/" TargetMode="External"/><Relationship Id="rId2" Type="http://schemas.openxmlformats.org/officeDocument/2006/relationships/hyperlink" Target="https://www.office.com/launch/excel" TargetMode="External"/><Relationship Id="rId1" Type="http://schemas.openxmlformats.org/officeDocument/2006/relationships/hyperlink" Target="https://theathletic.com/2705029/2021/07/14/fantasy-football-cheat-sheet-a-fully-customizable-rankings-and-projection-tool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0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2">
    <tabColor theme="7" tint="0.79998168889431442"/>
  </sheetPr>
  <dimension ref="A1:B15"/>
  <sheetViews>
    <sheetView showGridLines="0" workbookViewId="0">
      <selection sqref="A1:B1"/>
    </sheetView>
  </sheetViews>
  <sheetFormatPr baseColWidth="10" defaultColWidth="9" defaultRowHeight="14" x14ac:dyDescent="0.2"/>
  <cols>
    <col min="1" max="1" width="26.19921875" bestFit="1" customWidth="1"/>
    <col min="2" max="2" width="208" bestFit="1" customWidth="1"/>
  </cols>
  <sheetData>
    <row r="1" spans="1:2" ht="19" x14ac:dyDescent="0.25">
      <c r="A1" s="189" t="s">
        <v>332</v>
      </c>
      <c r="B1" s="189"/>
    </row>
    <row r="3" spans="1:2" x14ac:dyDescent="0.2">
      <c r="A3" s="55" t="s">
        <v>333</v>
      </c>
      <c r="B3" t="s">
        <v>334</v>
      </c>
    </row>
    <row r="4" spans="1:2" x14ac:dyDescent="0.2">
      <c r="A4" s="55"/>
      <c r="B4" s="56" t="s">
        <v>335</v>
      </c>
    </row>
    <row r="5" spans="1:2" x14ac:dyDescent="0.2">
      <c r="A5" s="55" t="s">
        <v>314</v>
      </c>
      <c r="B5" t="s">
        <v>328</v>
      </c>
    </row>
    <row r="6" spans="1:2" x14ac:dyDescent="0.2">
      <c r="A6" s="55" t="s">
        <v>311</v>
      </c>
      <c r="B6" t="s">
        <v>329</v>
      </c>
    </row>
    <row r="7" spans="1:2" x14ac:dyDescent="0.2">
      <c r="A7" s="55" t="s">
        <v>312</v>
      </c>
      <c r="B7" t="s">
        <v>313</v>
      </c>
    </row>
    <row r="8" spans="1:2" x14ac:dyDescent="0.2">
      <c r="A8" s="55" t="s">
        <v>315</v>
      </c>
      <c r="B8" t="s">
        <v>316</v>
      </c>
    </row>
    <row r="9" spans="1:2" x14ac:dyDescent="0.2">
      <c r="A9" s="55" t="s">
        <v>327</v>
      </c>
      <c r="B9" t="s">
        <v>330</v>
      </c>
    </row>
    <row r="10" spans="1:2" x14ac:dyDescent="0.2">
      <c r="A10" s="55"/>
    </row>
    <row r="11" spans="1:2" x14ac:dyDescent="0.2">
      <c r="A11" s="55" t="s">
        <v>318</v>
      </c>
      <c r="B11" t="s">
        <v>317</v>
      </c>
    </row>
    <row r="12" spans="1:2" x14ac:dyDescent="0.2">
      <c r="A12" s="55" t="s">
        <v>319</v>
      </c>
      <c r="B12" t="s">
        <v>320</v>
      </c>
    </row>
    <row r="13" spans="1:2" x14ac:dyDescent="0.2">
      <c r="A13" s="55" t="s">
        <v>321</v>
      </c>
      <c r="B13" t="s">
        <v>322</v>
      </c>
    </row>
    <row r="14" spans="1:2" x14ac:dyDescent="0.2">
      <c r="A14" s="55" t="s">
        <v>323</v>
      </c>
      <c r="B14" t="s">
        <v>324</v>
      </c>
    </row>
    <row r="15" spans="1:2" x14ac:dyDescent="0.2">
      <c r="A15" s="55" t="s">
        <v>325</v>
      </c>
      <c r="B15" t="s">
        <v>326</v>
      </c>
    </row>
  </sheetData>
  <mergeCells count="1">
    <mergeCell ref="A1:B1"/>
  </mergeCells>
  <hyperlinks>
    <hyperlink ref="A1" r:id="rId1" xr:uid="{00000000-0004-0000-0000-000000000000}"/>
    <hyperlink ref="B4" r:id="rId2" xr:uid="{00000000-0004-0000-0000-000001000000}"/>
    <hyperlink ref="A1:B1" r:id="rId3" display="LINK TO THE SITE WITH STEP-BY-STEP DEEPER INSTRUCTIONS AND PICTURES" xr:uid="{05403A2C-21A9-44A0-A133-FAADE465E33F}"/>
  </hyperlinks>
  <pageMargins left="0.7" right="0.7" top="0.75" bottom="0.75" header="0.3" footer="0.3"/>
  <pageSetup orientation="portrait" verticalDpi="9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580167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5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5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19</v>
      </c>
      <c r="B2" s="18" t="s">
        <v>9</v>
      </c>
      <c r="C2" s="18">
        <v>13</v>
      </c>
      <c r="D2" s="146">
        <f>D$32*Q2</f>
        <v>513.14440000000002</v>
      </c>
      <c r="E2" s="146">
        <f>D2*R2</f>
        <v>339.18844840000003</v>
      </c>
      <c r="F2" s="146">
        <f>E2*S2</f>
        <v>3929.1589862656001</v>
      </c>
      <c r="G2" s="146">
        <f>D2*T2</f>
        <v>26.683508799999998</v>
      </c>
      <c r="H2" s="146">
        <f>E2*U2</f>
        <v>6.7837689680000004</v>
      </c>
      <c r="I2" s="146">
        <f>D$35*W2</f>
        <v>147.03669120000001</v>
      </c>
      <c r="J2" s="146">
        <f>I2*V2</f>
        <v>858.694276608</v>
      </c>
      <c r="K2" s="146">
        <f>I2*X2</f>
        <v>5.4403575744000001</v>
      </c>
      <c r="L2" s="147"/>
      <c r="M2" s="147"/>
      <c r="N2" s="147"/>
      <c r="O2" s="147"/>
      <c r="Q2" s="150">
        <f>(AE2/SUM(AE$2:AE$25))</f>
        <v>0.95</v>
      </c>
      <c r="R2" s="19">
        <v>0.66100000000000003</v>
      </c>
      <c r="S2" s="107">
        <v>11.584</v>
      </c>
      <c r="T2" s="19">
        <v>5.1999999999999998E-2</v>
      </c>
      <c r="U2" s="19">
        <v>0.02</v>
      </c>
      <c r="V2" s="107">
        <v>5.84</v>
      </c>
      <c r="W2" s="150">
        <f>(AF2/SUM(AF$2:AF$20))*0.98</f>
        <v>0.27440000000000003</v>
      </c>
      <c r="X2" s="19">
        <v>3.6999999999999998E-2</v>
      </c>
      <c r="Y2" s="21"/>
      <c r="Z2" s="22"/>
      <c r="AA2" s="1"/>
      <c r="AB2" s="1"/>
      <c r="AC2" s="1"/>
      <c r="AE2" s="19">
        <v>0.95</v>
      </c>
      <c r="AF2" s="19">
        <v>0.28000000000000003</v>
      </c>
      <c r="AG2" s="168"/>
      <c r="AH2" s="168"/>
    </row>
    <row r="3" spans="1:34" x14ac:dyDescent="0.2">
      <c r="A3" s="17" t="s">
        <v>585</v>
      </c>
      <c r="B3" s="18" t="s">
        <v>9</v>
      </c>
      <c r="C3" s="18">
        <v>13</v>
      </c>
      <c r="D3" s="146">
        <f>D$32*Q3</f>
        <v>27.007600000000004</v>
      </c>
      <c r="E3" s="146">
        <f t="shared" ref="E3:F4" si="0">D3*R3</f>
        <v>16.393613200000001</v>
      </c>
      <c r="F3" s="146">
        <f t="shared" si="0"/>
        <v>59.180943652000003</v>
      </c>
      <c r="G3" s="146">
        <f t="shared" ref="G3:G4" si="1">D3*T3</f>
        <v>0.91825840000000014</v>
      </c>
      <c r="H3" s="146">
        <f t="shared" ref="H3:H4" si="2">E3*U3</f>
        <v>0.32787226400000002</v>
      </c>
      <c r="I3" s="146">
        <f>D$35*W3</f>
        <v>2.6256551999999997</v>
      </c>
      <c r="J3" s="146">
        <f>I3*V3</f>
        <v>3.3083255519999999</v>
      </c>
      <c r="K3" s="146">
        <f>I3*X3</f>
        <v>6.8267035199999992E-2</v>
      </c>
      <c r="L3" s="147"/>
      <c r="M3" s="147"/>
      <c r="N3" s="147"/>
      <c r="O3" s="147"/>
      <c r="Q3" s="150">
        <f>(AE3/SUM(AE$2:AE$25))</f>
        <v>0.05</v>
      </c>
      <c r="R3" s="19">
        <v>0.60699999999999998</v>
      </c>
      <c r="S3" s="107">
        <v>3.61</v>
      </c>
      <c r="T3" s="19">
        <v>3.4000000000000002E-2</v>
      </c>
      <c r="U3" s="19">
        <v>0.02</v>
      </c>
      <c r="V3" s="107">
        <v>1.26</v>
      </c>
      <c r="W3" s="150">
        <f>(AF3/SUM(AF$2:AF$20))*0.98</f>
        <v>4.8999999999999998E-3</v>
      </c>
      <c r="X3" s="19">
        <v>2.5999999999999999E-2</v>
      </c>
      <c r="Y3" s="21"/>
      <c r="Z3" s="22"/>
      <c r="AA3" s="1"/>
      <c r="AB3" s="1"/>
      <c r="AC3" s="1"/>
      <c r="AE3" s="19">
        <v>0.05</v>
      </c>
      <c r="AF3" s="19">
        <v>5.0000000000000001E-3</v>
      </c>
      <c r="AG3" s="168"/>
      <c r="AH3" s="168"/>
    </row>
    <row r="4" spans="1:34" x14ac:dyDescent="0.2">
      <c r="B4" s="18" t="s">
        <v>9</v>
      </c>
      <c r="C4" s="18">
        <v>13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61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3">D$35*W6</f>
        <v>246.81158879999995</v>
      </c>
      <c r="J6" s="146">
        <f t="shared" ref="J6:J11" si="4">I6*V6</f>
        <v>1105.7159178239999</v>
      </c>
      <c r="K6" s="146">
        <f t="shared" ref="K6:K11" si="5">I6*X6</f>
        <v>14.068260561599997</v>
      </c>
      <c r="L6" s="146">
        <f t="shared" ref="L6:L11" si="6">((D$2+D$3+D$4)*AA6)</f>
        <v>31.760937600000002</v>
      </c>
      <c r="M6" s="146">
        <f t="shared" ref="M6:N11" si="7">L6*Y6</f>
        <v>23.820703200000001</v>
      </c>
      <c r="N6" s="146">
        <f t="shared" si="7"/>
        <v>187.707141216</v>
      </c>
      <c r="O6" s="146">
        <f t="shared" ref="O6:O11" si="8">M6*AH6</f>
        <v>0.95282812800000005</v>
      </c>
      <c r="Q6" s="13"/>
      <c r="R6" s="139"/>
      <c r="S6" s="140"/>
      <c r="T6" s="139"/>
      <c r="U6" s="139"/>
      <c r="V6" s="107">
        <v>4.4800000000000004</v>
      </c>
      <c r="W6" s="150">
        <f t="shared" ref="W6:W11" si="9">(AF6/SUM(AF$2:AF$20))*0.98</f>
        <v>0.46059999999999995</v>
      </c>
      <c r="X6" s="19">
        <v>5.7000000000000002E-2</v>
      </c>
      <c r="Y6" s="19">
        <v>0.75</v>
      </c>
      <c r="Z6" s="20">
        <v>7.88</v>
      </c>
      <c r="AA6" s="150">
        <f t="shared" ref="AA6:AA11" si="10">(AG6/SUM(AG$6:AG$25))*0.98</f>
        <v>5.8799999999999998E-2</v>
      </c>
      <c r="AB6" s="7">
        <v>7.4425001523669182E-2</v>
      </c>
      <c r="AC6" s="150">
        <f t="shared" ref="AC6:AC11" si="11">(AH6/SUM(AH$6:AH$25))*0.98</f>
        <v>4.7804878048780489E-2</v>
      </c>
      <c r="AE6" s="168"/>
      <c r="AF6" s="19">
        <v>0.47</v>
      </c>
      <c r="AG6" s="19">
        <v>0.06</v>
      </c>
      <c r="AH6" s="19">
        <v>0.04</v>
      </c>
    </row>
    <row r="7" spans="1:34" x14ac:dyDescent="0.2">
      <c r="A7" s="176" t="s">
        <v>688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3"/>
        <v>63.015724799999994</v>
      </c>
      <c r="J7" s="146">
        <f t="shared" si="4"/>
        <v>283.57076159999997</v>
      </c>
      <c r="K7" s="146">
        <f t="shared" si="5"/>
        <v>2.5836447167999999</v>
      </c>
      <c r="L7" s="146">
        <f t="shared" si="6"/>
        <v>10.5869792</v>
      </c>
      <c r="M7" s="146">
        <f t="shared" si="7"/>
        <v>7.9402343999999996</v>
      </c>
      <c r="N7" s="146">
        <f t="shared" si="7"/>
        <v>63.521875199999997</v>
      </c>
      <c r="O7" s="146">
        <f t="shared" si="8"/>
        <v>0.317609376</v>
      </c>
      <c r="Q7" s="13"/>
      <c r="R7" s="139"/>
      <c r="S7" s="140"/>
      <c r="T7" s="139"/>
      <c r="U7" s="139"/>
      <c r="V7" s="107">
        <v>4.5</v>
      </c>
      <c r="W7" s="150">
        <f t="shared" si="9"/>
        <v>0.1176</v>
      </c>
      <c r="X7" s="19">
        <v>4.1000000000000002E-2</v>
      </c>
      <c r="Y7" s="19">
        <v>0.75</v>
      </c>
      <c r="Z7" s="20">
        <v>8</v>
      </c>
      <c r="AA7" s="150">
        <f t="shared" si="10"/>
        <v>1.9599999999999999E-2</v>
      </c>
      <c r="AB7" s="7">
        <v>2.7786169029541063E-2</v>
      </c>
      <c r="AC7" s="150">
        <f t="shared" si="11"/>
        <v>4.7804878048780489E-2</v>
      </c>
      <c r="AE7" s="168"/>
      <c r="AF7" s="19">
        <v>0.12</v>
      </c>
      <c r="AG7" s="19">
        <v>0.02</v>
      </c>
      <c r="AH7" s="19">
        <v>0.04</v>
      </c>
    </row>
    <row r="8" spans="1:34" x14ac:dyDescent="0.2">
      <c r="A8" s="176" t="s">
        <v>561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3"/>
        <v>49.887448799999994</v>
      </c>
      <c r="J8" s="146">
        <f t="shared" si="4"/>
        <v>240.45750321599999</v>
      </c>
      <c r="K8" s="146">
        <f t="shared" si="5"/>
        <v>1.8458356055999996</v>
      </c>
      <c r="L8" s="146">
        <f t="shared" si="6"/>
        <v>5.2934896</v>
      </c>
      <c r="M8" s="146">
        <f t="shared" si="7"/>
        <v>4.1130414192</v>
      </c>
      <c r="N8" s="146">
        <f t="shared" si="7"/>
        <v>33.027722596175998</v>
      </c>
      <c r="O8" s="146">
        <f t="shared" si="8"/>
        <v>0.185086863864</v>
      </c>
      <c r="Q8" s="13"/>
      <c r="R8" s="139"/>
      <c r="S8" s="140"/>
      <c r="T8" s="139"/>
      <c r="U8" s="139"/>
      <c r="V8" s="107">
        <v>4.82</v>
      </c>
      <c r="W8" s="150">
        <f t="shared" si="9"/>
        <v>9.3100000000000002E-2</v>
      </c>
      <c r="X8" s="19">
        <v>3.6999999999999998E-2</v>
      </c>
      <c r="Y8" s="19">
        <v>0.77700000000000002</v>
      </c>
      <c r="Z8" s="20">
        <v>8.0299999999999994</v>
      </c>
      <c r="AA8" s="150">
        <f t="shared" si="10"/>
        <v>9.7999999999999997E-3</v>
      </c>
      <c r="AB8" s="7">
        <v>2.7655430004005315E-2</v>
      </c>
      <c r="AC8" s="150">
        <f t="shared" si="11"/>
        <v>5.3780487804878048E-2</v>
      </c>
      <c r="AE8" s="168"/>
      <c r="AF8" s="19">
        <v>9.5000000000000001E-2</v>
      </c>
      <c r="AG8" s="19">
        <v>0.01</v>
      </c>
      <c r="AH8" s="19">
        <v>4.4999999999999998E-2</v>
      </c>
    </row>
    <row r="9" spans="1:34" x14ac:dyDescent="0.2">
      <c r="A9" s="176" t="s">
        <v>579</v>
      </c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3"/>
        <v>7.8769655999999992</v>
      </c>
      <c r="J9" s="146">
        <f t="shared" si="4"/>
        <v>36.234041759999997</v>
      </c>
      <c r="K9" s="146">
        <f t="shared" si="5"/>
        <v>0.27569379599999999</v>
      </c>
      <c r="L9" s="146">
        <f t="shared" si="6"/>
        <v>13.233724000000002</v>
      </c>
      <c r="M9" s="146">
        <f t="shared" si="7"/>
        <v>10.176733756000003</v>
      </c>
      <c r="N9" s="146">
        <f t="shared" si="7"/>
        <v>70.219462916400019</v>
      </c>
      <c r="O9" s="146">
        <f t="shared" si="8"/>
        <v>0.45795301902000007</v>
      </c>
      <c r="Q9" s="13"/>
      <c r="R9" s="139"/>
      <c r="S9" s="140"/>
      <c r="T9" s="139"/>
      <c r="U9" s="139"/>
      <c r="V9" s="107">
        <v>4.5999999999999996</v>
      </c>
      <c r="W9" s="150">
        <f t="shared" si="9"/>
        <v>1.47E-2</v>
      </c>
      <c r="X9" s="19">
        <v>3.5000000000000003E-2</v>
      </c>
      <c r="Y9" s="19">
        <v>0.76900000000000002</v>
      </c>
      <c r="Z9" s="20">
        <v>6.9</v>
      </c>
      <c r="AA9" s="150">
        <f t="shared" si="10"/>
        <v>2.4500000000000001E-2</v>
      </c>
      <c r="AB9" s="7">
        <v>1.86198077556744E-2</v>
      </c>
      <c r="AC9" s="150">
        <f t="shared" si="11"/>
        <v>5.3780487804878048E-2</v>
      </c>
      <c r="AE9" s="168"/>
      <c r="AF9" s="19">
        <v>1.4999999999999999E-2</v>
      </c>
      <c r="AG9" s="19">
        <v>2.5000000000000001E-2</v>
      </c>
      <c r="AH9" s="19">
        <v>4.4999999999999998E-2</v>
      </c>
    </row>
    <row r="10" spans="1:34" x14ac:dyDescent="0.2">
      <c r="A10" s="172"/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40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7.6820007370456802E-3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40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/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502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2">D$35*W13</f>
        <v>7.8769655999999992</v>
      </c>
      <c r="J13" s="146">
        <f t="shared" ref="J13:J20" si="13">I13*V13</f>
        <v>41.826687335999992</v>
      </c>
      <c r="K13" s="146">
        <f t="shared" ref="K13:K20" si="14">I13*X13</f>
        <v>0.35446345199999996</v>
      </c>
      <c r="L13" s="146">
        <f t="shared" ref="L13:L20" si="15">((D$2+D$3+D$4)*AA13)</f>
        <v>113.81002640000001</v>
      </c>
      <c r="M13" s="146">
        <f t="shared" ref="M13:N20" si="16">L13*Y13</f>
        <v>78.07367811040001</v>
      </c>
      <c r="N13" s="146">
        <f t="shared" si="16"/>
        <v>911.90056032947211</v>
      </c>
      <c r="O13" s="146">
        <f t="shared" ref="O13:O20" si="17">M13*AH13</f>
        <v>5.8555258582800009</v>
      </c>
      <c r="Q13" s="13"/>
      <c r="R13" s="139"/>
      <c r="S13" s="140"/>
      <c r="T13" s="139"/>
      <c r="U13" s="139"/>
      <c r="V13" s="107">
        <v>5.31</v>
      </c>
      <c r="W13" s="150">
        <f t="shared" ref="W13:W20" si="18">(AF13/SUM(AF$2:AF$20))*0.98</f>
        <v>1.47E-2</v>
      </c>
      <c r="X13" s="19">
        <v>4.4999999999999998E-2</v>
      </c>
      <c r="Y13" s="19">
        <v>0.68600000000000005</v>
      </c>
      <c r="Z13" s="20">
        <v>11.68</v>
      </c>
      <c r="AA13" s="150">
        <f t="shared" ref="AA13:AA20" si="19">(AG13/SUM(AG$6:AG$25))*0.98</f>
        <v>0.2107</v>
      </c>
      <c r="AB13" s="7">
        <v>0.14561096689517464</v>
      </c>
      <c r="AC13" s="150">
        <f t="shared" ref="AC13:AC20" si="20">(AH13/SUM(AH$6:AH$25))*0.98</f>
        <v>8.9634146341463411E-2</v>
      </c>
      <c r="AE13" s="168"/>
      <c r="AF13" s="19">
        <v>1.4999999999999999E-2</v>
      </c>
      <c r="AG13" s="19">
        <v>0.215</v>
      </c>
      <c r="AH13" s="19">
        <v>7.4999999999999997E-2</v>
      </c>
    </row>
    <row r="14" spans="1:34" x14ac:dyDescent="0.2">
      <c r="A14" s="17" t="s">
        <v>204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79.402343999999999</v>
      </c>
      <c r="M14" s="146">
        <f t="shared" si="16"/>
        <v>47.244394679999999</v>
      </c>
      <c r="N14" s="146">
        <f t="shared" si="16"/>
        <v>607.56291558479995</v>
      </c>
      <c r="O14" s="146">
        <f t="shared" si="17"/>
        <v>3.3071076276000002</v>
      </c>
      <c r="Q14" s="13"/>
      <c r="R14" s="139"/>
      <c r="S14" s="140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0.59499999999999997</v>
      </c>
      <c r="Z14" s="20">
        <v>12.86</v>
      </c>
      <c r="AA14" s="150">
        <f t="shared" si="19"/>
        <v>0.14699999999999999</v>
      </c>
      <c r="AB14" s="7">
        <v>0.1296962865312439</v>
      </c>
      <c r="AC14" s="150">
        <f t="shared" si="20"/>
        <v>8.3658536585365859E-2</v>
      </c>
      <c r="AE14" s="168"/>
      <c r="AF14" s="19">
        <v>0</v>
      </c>
      <c r="AG14" s="19">
        <v>0.15</v>
      </c>
      <c r="AH14" s="19">
        <v>7.0000000000000007E-2</v>
      </c>
    </row>
    <row r="15" spans="1:34" x14ac:dyDescent="0.2">
      <c r="A15" s="17" t="s">
        <v>72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63.521875200000004</v>
      </c>
      <c r="M15" s="146">
        <f t="shared" si="16"/>
        <v>40.082303251200003</v>
      </c>
      <c r="N15" s="146">
        <f t="shared" si="16"/>
        <v>462.95060255136008</v>
      </c>
      <c r="O15" s="146">
        <f t="shared" si="17"/>
        <v>3.2065842600960002</v>
      </c>
      <c r="Q15" s="13"/>
      <c r="R15" s="139"/>
      <c r="S15" s="140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0.63100000000000001</v>
      </c>
      <c r="Z15" s="20">
        <v>11.55</v>
      </c>
      <c r="AA15" s="150">
        <f t="shared" si="19"/>
        <v>0.1176</v>
      </c>
      <c r="AB15" s="7">
        <v>0.12173525551154903</v>
      </c>
      <c r="AC15" s="150">
        <f t="shared" si="20"/>
        <v>9.5609756097560977E-2</v>
      </c>
      <c r="AE15" s="168"/>
      <c r="AF15" s="19">
        <v>0</v>
      </c>
      <c r="AG15" s="19">
        <v>0.12</v>
      </c>
      <c r="AH15" s="19">
        <v>0.08</v>
      </c>
    </row>
    <row r="16" spans="1:34" x14ac:dyDescent="0.2">
      <c r="A16" s="17" t="s">
        <v>421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21.1739584</v>
      </c>
      <c r="M16" s="146">
        <f t="shared" si="16"/>
        <v>13.593681292799999</v>
      </c>
      <c r="N16" s="146">
        <f t="shared" si="16"/>
        <v>149.122683782016</v>
      </c>
      <c r="O16" s="146">
        <f t="shared" si="17"/>
        <v>1.087494503424</v>
      </c>
      <c r="Q16" s="13"/>
      <c r="R16" s="139"/>
      <c r="S16" s="140"/>
      <c r="T16" s="139"/>
      <c r="U16" s="139"/>
      <c r="V16" s="107">
        <v>5.68</v>
      </c>
      <c r="W16" s="150">
        <f t="shared" si="18"/>
        <v>0</v>
      </c>
      <c r="X16" s="19">
        <v>8.0000000000000002E-3</v>
      </c>
      <c r="Y16" s="19">
        <v>0.64200000000000002</v>
      </c>
      <c r="Z16" s="20">
        <v>10.97</v>
      </c>
      <c r="AA16" s="150">
        <f t="shared" si="19"/>
        <v>3.9199999999999999E-2</v>
      </c>
      <c r="AB16" s="7">
        <v>5.3801420074477219E-2</v>
      </c>
      <c r="AC16" s="150">
        <f t="shared" si="20"/>
        <v>9.5609756097560977E-2</v>
      </c>
      <c r="AE16" s="168"/>
      <c r="AF16" s="19">
        <v>0</v>
      </c>
      <c r="AG16" s="19">
        <v>0.04</v>
      </c>
      <c r="AH16" s="19">
        <v>0.08</v>
      </c>
    </row>
    <row r="17" spans="1:34" x14ac:dyDescent="0.2">
      <c r="A17" s="17" t="s">
        <v>642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31.760937600000002</v>
      </c>
      <c r="M17" s="146">
        <f t="shared" si="16"/>
        <v>18.707192246400002</v>
      </c>
      <c r="N17" s="146">
        <f t="shared" si="16"/>
        <v>246.37372188508803</v>
      </c>
      <c r="O17" s="146">
        <f t="shared" si="17"/>
        <v>1.3095034572480002</v>
      </c>
      <c r="Q17" s="13"/>
      <c r="R17" s="139"/>
      <c r="S17" s="140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0.58899999999999997</v>
      </c>
      <c r="Z17" s="20">
        <v>13.17</v>
      </c>
      <c r="AA17" s="150">
        <f t="shared" si="19"/>
        <v>5.8799999999999998E-2</v>
      </c>
      <c r="AB17" s="7">
        <v>5.1413104394337189E-2</v>
      </c>
      <c r="AC17" s="150">
        <f t="shared" si="20"/>
        <v>8.3658536585365859E-2</v>
      </c>
      <c r="AE17" s="168"/>
      <c r="AF17" s="19">
        <v>0</v>
      </c>
      <c r="AG17" s="19">
        <v>0.06</v>
      </c>
      <c r="AH17" s="19">
        <v>7.0000000000000007E-2</v>
      </c>
    </row>
    <row r="18" spans="1:34" x14ac:dyDescent="0.2"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40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6.0690359663566847E-2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40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40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22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116.45677120000001</v>
      </c>
      <c r="M22" s="146">
        <f t="shared" ref="M22:N25" si="21">L22*Y22</f>
        <v>81.985566924799997</v>
      </c>
      <c r="N22" s="146">
        <f t="shared" si="21"/>
        <v>915.77878255001599</v>
      </c>
      <c r="O22" s="146">
        <f t="shared" ref="O22:O25" si="22">M22*AH22</f>
        <v>8.1985566924800004</v>
      </c>
      <c r="Q22" s="13"/>
      <c r="R22" s="139"/>
      <c r="S22" s="140"/>
      <c r="T22" s="139"/>
      <c r="U22" s="139"/>
      <c r="V22" s="140"/>
      <c r="W22" s="154"/>
      <c r="X22" s="139"/>
      <c r="Y22" s="19">
        <v>0.70399999999999996</v>
      </c>
      <c r="Z22" s="20">
        <v>11.17</v>
      </c>
      <c r="AA22" s="150">
        <f>(AG22/SUM(AG$6:AG$25))*0.98</f>
        <v>0.21559999999999999</v>
      </c>
      <c r="AB22" s="7">
        <v>0.18053077737948031</v>
      </c>
      <c r="AC22" s="150">
        <f>(AH22/SUM(AH$6:AH$25))*0.98</f>
        <v>0.11951219512195123</v>
      </c>
      <c r="AE22" s="168"/>
      <c r="AF22" s="168"/>
      <c r="AG22" s="19">
        <v>0.22</v>
      </c>
      <c r="AH22" s="19">
        <v>0.1</v>
      </c>
    </row>
    <row r="23" spans="1:34" x14ac:dyDescent="0.2">
      <c r="A23" s="17" t="s">
        <v>424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37.054427200000006</v>
      </c>
      <c r="M23" s="146">
        <f t="shared" si="21"/>
        <v>26.123371176000003</v>
      </c>
      <c r="N23" s="146">
        <f t="shared" si="21"/>
        <v>283.17734354784005</v>
      </c>
      <c r="O23" s="146">
        <f t="shared" si="22"/>
        <v>2.35110340584</v>
      </c>
      <c r="Q23" s="13"/>
      <c r="R23" s="139"/>
      <c r="S23" s="140"/>
      <c r="T23" s="139"/>
      <c r="U23" s="139"/>
      <c r="V23" s="140"/>
      <c r="W23" s="154"/>
      <c r="X23" s="139"/>
      <c r="Y23" s="19">
        <v>0.70499999999999996</v>
      </c>
      <c r="Z23" s="20">
        <v>10.84</v>
      </c>
      <c r="AA23" s="150">
        <f>(AG23/SUM(AG$6:AG$25))*0.98</f>
        <v>6.8600000000000008E-2</v>
      </c>
      <c r="AB23" s="7">
        <v>4.7408829825310229E-2</v>
      </c>
      <c r="AC23" s="150">
        <f>(AH23/SUM(AH$6:AH$25))*0.98</f>
        <v>0.1075609756097561</v>
      </c>
      <c r="AE23" s="168"/>
      <c r="AF23" s="168"/>
      <c r="AG23" s="19">
        <v>7.0000000000000007E-2</v>
      </c>
      <c r="AH23" s="19">
        <v>0.09</v>
      </c>
    </row>
    <row r="24" spans="1:34" x14ac:dyDescent="0.2">
      <c r="A24" s="17" t="s">
        <v>423</v>
      </c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5.2934896</v>
      </c>
      <c r="M24" s="146">
        <f t="shared" si="21"/>
        <v>3.4725291776000002</v>
      </c>
      <c r="N24" s="146">
        <f t="shared" si="21"/>
        <v>39.864634958848001</v>
      </c>
      <c r="O24" s="146">
        <f t="shared" si="22"/>
        <v>0.29516498009600006</v>
      </c>
      <c r="Q24" s="13"/>
      <c r="R24" s="139"/>
      <c r="S24" s="140"/>
      <c r="T24" s="139"/>
      <c r="U24" s="139"/>
      <c r="V24" s="140"/>
      <c r="W24" s="154"/>
      <c r="X24" s="139"/>
      <c r="Y24" s="19">
        <v>0.65600000000000003</v>
      </c>
      <c r="Z24" s="20">
        <v>11.48</v>
      </c>
      <c r="AA24" s="150">
        <f>(AG24/SUM(AG$6:AG$25))*0.98</f>
        <v>9.7999999999999997E-3</v>
      </c>
      <c r="AB24" s="7">
        <v>1.1868783100480383E-2</v>
      </c>
      <c r="AC24" s="150">
        <f>(AH24/SUM(AH$6:AH$25))*0.98</f>
        <v>0.10158536585365854</v>
      </c>
      <c r="AE24" s="168"/>
      <c r="AF24" s="168"/>
      <c r="AG24" s="19">
        <v>0.01</v>
      </c>
      <c r="AH24" s="19">
        <v>8.5000000000000006E-2</v>
      </c>
    </row>
    <row r="25" spans="1:34" x14ac:dyDescent="0.2"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40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3.7861891311964935E-3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3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31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31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0.96271038155675193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1076</v>
      </c>
      <c r="E29" s="47">
        <v>0.502</v>
      </c>
      <c r="F29" s="2">
        <f>1-E29</f>
        <v>0.498</v>
      </c>
      <c r="G29" s="106">
        <v>4.8</v>
      </c>
      <c r="H29" s="126">
        <v>4.5999999999999999E-2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31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31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31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540.15200000000004</v>
      </c>
      <c r="E32" s="156">
        <f>SUM(E2:E4)</f>
        <v>355.58206160000003</v>
      </c>
      <c r="F32" s="156">
        <f>SUM(F2:F4)</f>
        <v>3988.3399299176003</v>
      </c>
      <c r="G32" s="156">
        <f>SUM(G2:G4)</f>
        <v>27.601767199999998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535.84799999999996</v>
      </c>
      <c r="E35" s="156">
        <f>D35*G29</f>
        <v>2572.0703999999996</v>
      </c>
      <c r="F35" s="156">
        <f>D35*H29</f>
        <v>24.649007999999998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31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31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1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525.13103999999987</v>
      </c>
      <c r="E38" s="157">
        <f>SUM(J2:J4,J6:J11,J13:J20)</f>
        <v>2569.8075138959998</v>
      </c>
      <c r="F38" s="157">
        <f>SUM(K2:K4,K6:K11,K13:K20)</f>
        <v>24.636522741599993</v>
      </c>
      <c r="G38" s="157">
        <f>SUM(L6:L11,L13:L20,L22:L25)</f>
        <v>529.34896000000003</v>
      </c>
      <c r="H38" s="157">
        <f>SUM(M6:M11,M13:M20,M22:M25)</f>
        <v>355.33342963439998</v>
      </c>
      <c r="I38" s="157">
        <f>SUM(N6:N11,N13:N20,N22:N25)</f>
        <v>3971.2074471180158</v>
      </c>
      <c r="J38" s="157">
        <f>SUM(O6:O11,O13:O20,O22:O25)</f>
        <v>27.524518171948003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10.716960000000086</v>
      </c>
      <c r="E39" s="158">
        <f>E35-E38</f>
        <v>2.2628861039997901</v>
      </c>
      <c r="F39" s="158">
        <f>F35-F38</f>
        <v>1.248525840000525E-2</v>
      </c>
      <c r="G39" s="158">
        <f>SUM(D2:D4)-G38</f>
        <v>10.80304000000001</v>
      </c>
      <c r="H39" s="158">
        <f>E32-H38</f>
        <v>0.24863196560005463</v>
      </c>
      <c r="I39" s="158">
        <f>F32-I38</f>
        <v>17.132482799584523</v>
      </c>
      <c r="J39" s="158">
        <f>G32-J38</f>
        <v>7.7249028051994628E-2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89" priority="1" operator="lessThan">
      <formula>0</formula>
    </cfRule>
  </conditionalFormatting>
  <conditionalFormatting sqref="W28">
    <cfRule type="cellIs" dxfId="88" priority="2" operator="greaterThan">
      <formula>1</formula>
    </cfRule>
  </conditionalFormatting>
  <conditionalFormatting sqref="AA28:AG28">
    <cfRule type="cellIs" dxfId="8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26</v>
      </c>
      <c r="B2" s="18" t="s">
        <v>9</v>
      </c>
      <c r="C2" s="18">
        <v>13</v>
      </c>
      <c r="D2" s="146">
        <f>D$32*Q2</f>
        <v>613.57823999999994</v>
      </c>
      <c r="E2" s="146">
        <f>D2*R2</f>
        <v>396.37154303999995</v>
      </c>
      <c r="F2" s="146">
        <f>E2*S2</f>
        <v>4439.3612820479993</v>
      </c>
      <c r="G2" s="146">
        <f>D2*T2</f>
        <v>30.065333759999998</v>
      </c>
      <c r="H2" s="146">
        <f>E2*U2</f>
        <v>8.7201739468799992</v>
      </c>
      <c r="I2" s="146">
        <f>D$35*W2</f>
        <v>116.24587520000003</v>
      </c>
      <c r="J2" s="146">
        <f>I2*V2</f>
        <v>599.82871603200022</v>
      </c>
      <c r="K2" s="146">
        <f>I2*X2</f>
        <v>7.788473638400002</v>
      </c>
      <c r="L2" s="147"/>
      <c r="M2" s="147"/>
      <c r="N2" s="147"/>
      <c r="O2" s="147"/>
      <c r="Q2" s="150">
        <f>(AE2/SUM(AE$2:AE$25))</f>
        <v>0.99</v>
      </c>
      <c r="R2" s="19">
        <v>0.64600000000000002</v>
      </c>
      <c r="S2" s="107">
        <v>11.2</v>
      </c>
      <c r="T2" s="19">
        <v>4.9000000000000002E-2</v>
      </c>
      <c r="U2" s="19">
        <v>2.1999999999999999E-2</v>
      </c>
      <c r="V2" s="107">
        <v>5.16</v>
      </c>
      <c r="W2" s="150">
        <f>(AF2/SUM(AF$2:AF$20))*0.98</f>
        <v>0.25480000000000003</v>
      </c>
      <c r="X2" s="19">
        <v>6.7000000000000004E-2</v>
      </c>
      <c r="Y2" s="21"/>
      <c r="Z2" s="22"/>
      <c r="AA2" s="1"/>
      <c r="AB2" s="1"/>
      <c r="AC2" s="1"/>
      <c r="AE2" s="19">
        <v>0.99</v>
      </c>
      <c r="AF2" s="19">
        <v>0.26</v>
      </c>
      <c r="AG2" s="168"/>
      <c r="AH2" s="168"/>
    </row>
    <row r="3" spans="1:34" x14ac:dyDescent="0.2">
      <c r="A3" s="17" t="s">
        <v>567</v>
      </c>
      <c r="B3" s="18" t="s">
        <v>9</v>
      </c>
      <c r="C3" s="18">
        <v>13</v>
      </c>
      <c r="D3" s="146">
        <f>D$32*Q3</f>
        <v>6.197760000000005</v>
      </c>
      <c r="E3" s="146">
        <f t="shared" ref="E3:F4" si="0">D3*R3</f>
        <v>3.793029120000003</v>
      </c>
      <c r="F3" s="146">
        <f t="shared" si="0"/>
        <v>36.792382464000028</v>
      </c>
      <c r="G3" s="146">
        <f t="shared" ref="G3:G4" si="1">D3*T3</f>
        <v>0.21072384000000019</v>
      </c>
      <c r="H3" s="146">
        <f t="shared" ref="H3:H4" si="2">E3*U3</f>
        <v>7.5860582400000057E-2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0.61199999999999999</v>
      </c>
      <c r="S3" s="107">
        <v>9.6999999999999993</v>
      </c>
      <c r="T3" s="19">
        <v>3.4000000000000002E-2</v>
      </c>
      <c r="U3" s="19">
        <v>0.02</v>
      </c>
      <c r="V3" s="107">
        <v>4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13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452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3">D$35*W6</f>
        <v>178.83980800000003</v>
      </c>
      <c r="J6" s="146">
        <f>I6*V6</f>
        <v>804.77913600000011</v>
      </c>
      <c r="K6" s="146">
        <f>I6*X6</f>
        <v>5.365194240000001</v>
      </c>
      <c r="L6" s="146">
        <f>((D$2+D$3+D$4)*AA6)</f>
        <v>54.664243199999987</v>
      </c>
      <c r="M6" s="146">
        <f t="shared" ref="M6:N11" si="4">L6*Y6</f>
        <v>40.779525427199992</v>
      </c>
      <c r="N6" s="146">
        <f t="shared" si="4"/>
        <v>345.40258036838395</v>
      </c>
      <c r="O6" s="146">
        <f>M6*AH6</f>
        <v>2.0389762713599997</v>
      </c>
      <c r="Q6" s="13"/>
      <c r="R6" s="139"/>
      <c r="S6" s="138"/>
      <c r="T6" s="139"/>
      <c r="U6" s="139"/>
      <c r="V6" s="107">
        <v>4.5</v>
      </c>
      <c r="W6" s="150">
        <f t="shared" ref="W6:W11" si="5">(AF6/SUM(AF$2:AF$20))*0.98</f>
        <v>0.39200000000000002</v>
      </c>
      <c r="X6" s="19">
        <v>0.03</v>
      </c>
      <c r="Y6" s="19">
        <v>0.746</v>
      </c>
      <c r="Z6" s="20">
        <v>8.4700000000000006</v>
      </c>
      <c r="AA6" s="150">
        <f t="shared" ref="AA6:AA11" si="6">(AG6/SUM(AG$6:AG$25))*0.98</f>
        <v>8.8199999999999987E-2</v>
      </c>
      <c r="AB6" s="7">
        <v>4.0719766176599795E-2</v>
      </c>
      <c r="AC6" s="150">
        <f t="shared" ref="AC6:AC11" si="7">(AH6/SUM(AH$6:AH$25))*0.98</f>
        <v>6.1712846347607056E-2</v>
      </c>
      <c r="AE6" s="168"/>
      <c r="AF6" s="19">
        <v>0.4</v>
      </c>
      <c r="AG6" s="19">
        <v>0.09</v>
      </c>
      <c r="AH6" s="19">
        <v>0.05</v>
      </c>
    </row>
    <row r="7" spans="1:34" x14ac:dyDescent="0.2">
      <c r="A7" s="176" t="s">
        <v>586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3"/>
        <v>13.412985600000001</v>
      </c>
      <c r="J7" s="146">
        <f>I7*V7</f>
        <v>57.675838079999998</v>
      </c>
      <c r="K7" s="146">
        <f>I7*X7</f>
        <v>0.40238956800000003</v>
      </c>
      <c r="L7" s="146">
        <f>((D$2+D$3+D$4)*AA7)</f>
        <v>6.0738047999999987</v>
      </c>
      <c r="M7" s="146">
        <f t="shared" si="4"/>
        <v>4.2516633599999984</v>
      </c>
      <c r="N7" s="146">
        <f t="shared" si="4"/>
        <v>39.072786278399981</v>
      </c>
      <c r="O7" s="146">
        <f t="shared" ref="O7:O11" si="8">M7*AH7</f>
        <v>0.17006653439999994</v>
      </c>
      <c r="Q7" s="13"/>
      <c r="R7" s="139"/>
      <c r="S7" s="138"/>
      <c r="T7" s="139"/>
      <c r="U7" s="139"/>
      <c r="V7" s="107">
        <v>4.3</v>
      </c>
      <c r="W7" s="150">
        <f t="shared" si="5"/>
        <v>2.9399999999999999E-2</v>
      </c>
      <c r="X7" s="19">
        <v>0.03</v>
      </c>
      <c r="Y7" s="19">
        <v>0.7</v>
      </c>
      <c r="Z7" s="20">
        <v>9.19</v>
      </c>
      <c r="AA7" s="150">
        <f t="shared" si="6"/>
        <v>9.7999999999999979E-3</v>
      </c>
      <c r="AB7" s="7">
        <v>7.153442652174713E-2</v>
      </c>
      <c r="AC7" s="150">
        <f t="shared" si="7"/>
        <v>4.9370277078085639E-2</v>
      </c>
      <c r="AE7" s="168"/>
      <c r="AF7" s="19">
        <v>0.03</v>
      </c>
      <c r="AG7" s="19">
        <v>0.01</v>
      </c>
      <c r="AH7" s="19">
        <v>0.04</v>
      </c>
    </row>
    <row r="8" spans="1:34" x14ac:dyDescent="0.2">
      <c r="A8" s="176" t="s">
        <v>643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3"/>
        <v>120.71687040000002</v>
      </c>
      <c r="J8" s="146">
        <f>I8*V8</f>
        <v>514.253867904</v>
      </c>
      <c r="K8" s="146">
        <f>I8*X8</f>
        <v>3.8629398528000007</v>
      </c>
      <c r="L8" s="146">
        <f>((D$2+D$3+D$4)*AA8)</f>
        <v>18.221414399999993</v>
      </c>
      <c r="M8" s="146">
        <f t="shared" si="4"/>
        <v>13.319853926399995</v>
      </c>
      <c r="N8" s="146">
        <f t="shared" si="4"/>
        <v>109.62239781427196</v>
      </c>
      <c r="O8" s="146">
        <f t="shared" si="8"/>
        <v>0.53279415705599986</v>
      </c>
      <c r="Q8" s="13"/>
      <c r="R8" s="139"/>
      <c r="S8" s="138"/>
      <c r="T8" s="139"/>
      <c r="U8" s="139"/>
      <c r="V8" s="107">
        <v>4.26</v>
      </c>
      <c r="W8" s="150">
        <f t="shared" si="5"/>
        <v>0.2646</v>
      </c>
      <c r="X8" s="19">
        <v>3.2000000000000001E-2</v>
      </c>
      <c r="Y8" s="19">
        <v>0.73099999999999998</v>
      </c>
      <c r="Z8" s="20">
        <v>8.23</v>
      </c>
      <c r="AA8" s="150">
        <f t="shared" si="6"/>
        <v>2.9399999999999992E-2</v>
      </c>
      <c r="AB8" s="7">
        <v>2.4087473260946013E-2</v>
      </c>
      <c r="AC8" s="150">
        <f t="shared" si="7"/>
        <v>4.9370277078085639E-2</v>
      </c>
      <c r="AE8" s="168"/>
      <c r="AF8" s="19">
        <v>0.27</v>
      </c>
      <c r="AG8" s="19">
        <v>0.03</v>
      </c>
      <c r="AH8" s="19">
        <v>0.04</v>
      </c>
    </row>
    <row r="9" spans="1:34" x14ac:dyDescent="0.2">
      <c r="A9" s="172"/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6.393753860495624E-4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/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2">D$35*W13</f>
        <v>13.412985600000001</v>
      </c>
      <c r="J13" s="146">
        <f t="shared" ref="J13:J20" si="13">I13*V13</f>
        <v>72.430122240000003</v>
      </c>
      <c r="K13" s="146">
        <f t="shared" ref="K13:K20" si="14">I13*X13</f>
        <v>0.73771420800000009</v>
      </c>
      <c r="L13" s="146">
        <f t="shared" ref="L13:L20" si="15">((D$2+D$3+D$4)*AA13)</f>
        <v>115.40229119999996</v>
      </c>
      <c r="M13" s="146">
        <f t="shared" ref="M13:N20" si="16">L13*Y13</f>
        <v>76.16551219199998</v>
      </c>
      <c r="N13" s="146">
        <f t="shared" si="16"/>
        <v>845.43718533119977</v>
      </c>
      <c r="O13" s="146">
        <f t="shared" ref="O13:O20" si="17">M13*AH13</f>
        <v>5.5600823900159986</v>
      </c>
      <c r="Q13" s="13"/>
      <c r="R13" s="139"/>
      <c r="S13" s="138"/>
      <c r="T13" s="139"/>
      <c r="U13" s="139"/>
      <c r="V13" s="107">
        <v>5.4</v>
      </c>
      <c r="W13" s="150">
        <f t="shared" ref="W13:W20" si="18">(AF13/SUM(AF$2:AF$20))*0.98</f>
        <v>2.9399999999999999E-2</v>
      </c>
      <c r="X13" s="19">
        <v>5.5E-2</v>
      </c>
      <c r="Y13" s="19">
        <v>0.66</v>
      </c>
      <c r="Z13" s="20">
        <v>11.1</v>
      </c>
      <c r="AA13" s="150">
        <f t="shared" ref="AA13:AA20" si="19">(AG13/SUM(AG$6:AG$25))*0.98</f>
        <v>0.18619999999999995</v>
      </c>
      <c r="AB13" s="7">
        <v>0.23784569067102512</v>
      </c>
      <c r="AC13" s="150">
        <f t="shared" ref="AC13:AC20" si="20">(AH13/SUM(AH$6:AH$25))*0.98</f>
        <v>9.0100755667506291E-2</v>
      </c>
      <c r="AE13" s="168"/>
      <c r="AF13" s="19">
        <v>0.03</v>
      </c>
      <c r="AG13" s="19">
        <v>0.19</v>
      </c>
      <c r="AH13" s="19">
        <v>7.2999999999999995E-2</v>
      </c>
    </row>
    <row r="14" spans="1:34" x14ac:dyDescent="0.2">
      <c r="A14" s="17" t="s">
        <v>632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121.47609599999996</v>
      </c>
      <c r="M14" s="146">
        <f t="shared" si="16"/>
        <v>73.250085887999973</v>
      </c>
      <c r="N14" s="146">
        <f t="shared" si="16"/>
        <v>922.21858132991963</v>
      </c>
      <c r="O14" s="146">
        <f t="shared" si="17"/>
        <v>6.2995073863679973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0.60299999999999998</v>
      </c>
      <c r="Z14" s="20">
        <v>12.59</v>
      </c>
      <c r="AA14" s="150">
        <f t="shared" si="19"/>
        <v>0.19599999999999995</v>
      </c>
      <c r="AB14" s="7">
        <v>0.15343363682460368</v>
      </c>
      <c r="AC14" s="150">
        <f t="shared" si="20"/>
        <v>0.10614609571788412</v>
      </c>
      <c r="AE14" s="168"/>
      <c r="AF14" s="19">
        <v>0</v>
      </c>
      <c r="AG14" s="19">
        <v>0.2</v>
      </c>
      <c r="AH14" s="19">
        <v>8.5999999999999993E-2</v>
      </c>
    </row>
    <row r="15" spans="1:34" x14ac:dyDescent="0.2">
      <c r="A15" s="17" t="s">
        <v>425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ref="I15:I18" si="21">D$35*W15</f>
        <v>4.4709951999999999</v>
      </c>
      <c r="J15" s="146">
        <f t="shared" ref="J15:J18" si="22">I15*V15</f>
        <v>22.444395903999997</v>
      </c>
      <c r="K15" s="146">
        <f t="shared" ref="K15:K18" si="23">I15*X15</f>
        <v>6.7064927999999996E-2</v>
      </c>
      <c r="L15" s="146">
        <f t="shared" ref="L15:L18" si="24">((D$2+D$3+D$4)*AA15)</f>
        <v>94.143974399999976</v>
      </c>
      <c r="M15" s="146">
        <f t="shared" ref="M15:M18" si="25">L15*Y15</f>
        <v>61.85259118079999</v>
      </c>
      <c r="N15" s="146">
        <f t="shared" ref="N15:N18" si="26">M15*Z15</f>
        <v>812.12452220390389</v>
      </c>
      <c r="O15" s="146">
        <f t="shared" ref="O15:O18" si="27">M15*AH15</f>
        <v>4.3296813826560001</v>
      </c>
      <c r="Q15" s="13"/>
      <c r="R15" s="139"/>
      <c r="S15" s="138"/>
      <c r="T15" s="139"/>
      <c r="U15" s="139"/>
      <c r="V15" s="107">
        <v>5.0199999999999996</v>
      </c>
      <c r="W15" s="150">
        <f t="shared" ref="W15:W18" si="28">(AF15/SUM(AF$2:AF$20))*0.98</f>
        <v>9.7999999999999997E-3</v>
      </c>
      <c r="X15" s="19">
        <v>1.4999999999999999E-2</v>
      </c>
      <c r="Y15" s="19">
        <v>0.65700000000000003</v>
      </c>
      <c r="Z15" s="20">
        <v>13.13</v>
      </c>
      <c r="AA15" s="150">
        <f t="shared" ref="AA15:AA18" si="29">(AG15/SUM(AG$6:AG$25))*0.98</f>
        <v>0.15189999999999998</v>
      </c>
      <c r="AB15" s="7">
        <v>0.15343363682460368</v>
      </c>
      <c r="AC15" s="150">
        <f t="shared" ref="AC15:AC18" si="30">(AH15/SUM(AH$6:AH$25))*0.98</f>
        <v>8.6397984886649876E-2</v>
      </c>
      <c r="AE15" s="168"/>
      <c r="AF15" s="19">
        <v>0.01</v>
      </c>
      <c r="AG15" s="19">
        <v>0.155</v>
      </c>
      <c r="AH15" s="19">
        <v>7.0000000000000007E-2</v>
      </c>
    </row>
    <row r="16" spans="1:34" x14ac:dyDescent="0.2">
      <c r="A16" s="17" t="s">
        <v>402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si="21"/>
        <v>0</v>
      </c>
      <c r="J16" s="146">
        <f t="shared" si="22"/>
        <v>0</v>
      </c>
      <c r="K16" s="146">
        <f t="shared" si="23"/>
        <v>0</v>
      </c>
      <c r="L16" s="146">
        <f t="shared" si="24"/>
        <v>24.295219199999995</v>
      </c>
      <c r="M16" s="146">
        <f t="shared" si="25"/>
        <v>14.528541081599997</v>
      </c>
      <c r="N16" s="146">
        <f t="shared" si="26"/>
        <v>187.41817995263997</v>
      </c>
      <c r="O16" s="146">
        <f t="shared" si="27"/>
        <v>1.0896405811199996</v>
      </c>
      <c r="Q16" s="13"/>
      <c r="R16" s="139"/>
      <c r="S16" s="138"/>
      <c r="T16" s="139"/>
      <c r="U16" s="139"/>
      <c r="V16" s="107">
        <v>5.0199999999999996</v>
      </c>
      <c r="W16" s="150">
        <f t="shared" si="28"/>
        <v>0</v>
      </c>
      <c r="X16" s="19">
        <v>1.4999999999999999E-2</v>
      </c>
      <c r="Y16" s="19">
        <v>0.59799999999999998</v>
      </c>
      <c r="Z16" s="20">
        <v>12.9</v>
      </c>
      <c r="AA16" s="150">
        <f t="shared" si="29"/>
        <v>3.9199999999999992E-2</v>
      </c>
      <c r="AB16" s="7">
        <v>9.9804973821368603E-2</v>
      </c>
      <c r="AC16" s="150">
        <f t="shared" si="30"/>
        <v>9.2569269521410563E-2</v>
      </c>
      <c r="AE16" s="168"/>
      <c r="AF16" s="19">
        <v>0</v>
      </c>
      <c r="AG16" s="19">
        <v>0.04</v>
      </c>
      <c r="AH16" s="19">
        <v>7.4999999999999997E-2</v>
      </c>
    </row>
    <row r="17" spans="1:34" x14ac:dyDescent="0.2">
      <c r="A17" s="17" t="s">
        <v>587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9.1107071999999967</v>
      </c>
      <c r="M17" s="146">
        <f t="shared" si="25"/>
        <v>5.1019960319999988</v>
      </c>
      <c r="N17" s="146">
        <f t="shared" si="26"/>
        <v>58.672954367999985</v>
      </c>
      <c r="O17" s="146">
        <f t="shared" si="27"/>
        <v>0.3061197619199999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1.4999999999999999E-2</v>
      </c>
      <c r="Y17" s="19">
        <v>0.56000000000000005</v>
      </c>
      <c r="Z17" s="20">
        <v>11.5</v>
      </c>
      <c r="AA17" s="150">
        <f t="shared" si="29"/>
        <v>1.4699999999999996E-2</v>
      </c>
      <c r="AB17" s="7">
        <v>0.11251939817047332</v>
      </c>
      <c r="AC17" s="150">
        <f t="shared" si="30"/>
        <v>7.4055415617128459E-2</v>
      </c>
      <c r="AE17" s="168"/>
      <c r="AF17" s="19">
        <v>0</v>
      </c>
      <c r="AG17" s="19">
        <v>1.4999999999999999E-2</v>
      </c>
      <c r="AH17" s="19">
        <v>0.06</v>
      </c>
    </row>
    <row r="18" spans="1:34" x14ac:dyDescent="0.2">
      <c r="A18" s="17" t="s">
        <v>504</v>
      </c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21"/>
        <v>0</v>
      </c>
      <c r="J18" s="146">
        <f t="shared" si="22"/>
        <v>0</v>
      </c>
      <c r="K18" s="146">
        <f t="shared" si="23"/>
        <v>0</v>
      </c>
      <c r="L18" s="146">
        <f t="shared" si="24"/>
        <v>9.1107071999999967</v>
      </c>
      <c r="M18" s="146">
        <f t="shared" si="25"/>
        <v>5.466424319999998</v>
      </c>
      <c r="N18" s="146">
        <f t="shared" si="26"/>
        <v>57.397455359999981</v>
      </c>
      <c r="O18" s="146">
        <f t="shared" si="27"/>
        <v>0.27332121599999992</v>
      </c>
      <c r="Q18" s="13"/>
      <c r="R18" s="139"/>
      <c r="S18" s="138"/>
      <c r="T18" s="139"/>
      <c r="U18" s="139"/>
      <c r="V18" s="107">
        <v>5.0199999999999996</v>
      </c>
      <c r="W18" s="150">
        <f t="shared" si="28"/>
        <v>0</v>
      </c>
      <c r="X18" s="19">
        <v>1.4999999999999999E-2</v>
      </c>
      <c r="Y18" s="19">
        <v>0.6</v>
      </c>
      <c r="Z18" s="20">
        <v>10.5</v>
      </c>
      <c r="AA18" s="150">
        <f t="shared" si="29"/>
        <v>1.4699999999999996E-2</v>
      </c>
      <c r="AB18" s="7">
        <v>4.3915097041795893E-2</v>
      </c>
      <c r="AC18" s="150">
        <f t="shared" si="30"/>
        <v>6.1712846347607056E-2</v>
      </c>
      <c r="AE18" s="168"/>
      <c r="AF18" s="19">
        <v>0</v>
      </c>
      <c r="AG18" s="19">
        <v>1.4999999999999999E-2</v>
      </c>
      <c r="AH18" s="19">
        <v>0.05</v>
      </c>
    </row>
    <row r="19" spans="1:34" x14ac:dyDescent="0.2"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1.1137513520659007E-2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505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106.29158399999997</v>
      </c>
      <c r="M22" s="146">
        <f t="shared" ref="M22:N25" si="31">L22*Y22</f>
        <v>74.722983551999974</v>
      </c>
      <c r="N22" s="146">
        <f t="shared" si="31"/>
        <v>774.13010959871974</v>
      </c>
      <c r="O22" s="146">
        <f t="shared" ref="O22:O25" si="32">M22*AH22</f>
        <v>6.7250685196799971</v>
      </c>
      <c r="Q22" s="13"/>
      <c r="R22" s="139"/>
      <c r="S22" s="138"/>
      <c r="T22" s="139"/>
      <c r="U22" s="139"/>
      <c r="V22" s="140"/>
      <c r="W22" s="154"/>
      <c r="X22" s="139"/>
      <c r="Y22" s="19">
        <v>0.70299999999999996</v>
      </c>
      <c r="Z22" s="20">
        <v>10.36</v>
      </c>
      <c r="AA22" s="150">
        <f>(AG22/SUM(AG$6:AG$25))*0.98</f>
        <v>0.17149999999999996</v>
      </c>
      <c r="AB22" s="7">
        <v>8.5577980808139081E-2</v>
      </c>
      <c r="AC22" s="150">
        <f>(AH22/SUM(AH$6:AH$25))*0.98</f>
        <v>0.1110831234256927</v>
      </c>
      <c r="AE22" s="168"/>
      <c r="AF22" s="168"/>
      <c r="AG22" s="19">
        <v>0.17499999999999999</v>
      </c>
      <c r="AH22" s="19">
        <v>0.09</v>
      </c>
    </row>
    <row r="23" spans="1:34" x14ac:dyDescent="0.2">
      <c r="A23" s="17" t="s">
        <v>24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42.516633599999992</v>
      </c>
      <c r="M23" s="146">
        <f t="shared" si="31"/>
        <v>26.785479167999995</v>
      </c>
      <c r="N23" s="146">
        <f t="shared" si="31"/>
        <v>289.01532022271994</v>
      </c>
      <c r="O23" s="146">
        <f t="shared" si="32"/>
        <v>2.6785479167999995</v>
      </c>
      <c r="Q23" s="13"/>
      <c r="R23" s="139"/>
      <c r="S23" s="138"/>
      <c r="T23" s="139"/>
      <c r="U23" s="139"/>
      <c r="V23" s="140"/>
      <c r="W23" s="154"/>
      <c r="X23" s="139"/>
      <c r="Y23" s="19">
        <v>0.63</v>
      </c>
      <c r="Z23" s="20">
        <v>10.79</v>
      </c>
      <c r="AA23" s="150">
        <f>(AG23/SUM(AG$6:AG$25))*0.98</f>
        <v>6.8599999999999994E-2</v>
      </c>
      <c r="AB23" s="7">
        <v>4.3608632576712804E-2</v>
      </c>
      <c r="AC23" s="150">
        <f>(AH23/SUM(AH$6:AH$25))*0.98</f>
        <v>0.12342569269521411</v>
      </c>
      <c r="AE23" s="168"/>
      <c r="AF23" s="168"/>
      <c r="AG23" s="19">
        <v>7.0000000000000007E-2</v>
      </c>
      <c r="AH23" s="19">
        <v>0.1</v>
      </c>
    </row>
    <row r="24" spans="1:34" x14ac:dyDescent="0.2">
      <c r="A24" s="17" t="s">
        <v>487</v>
      </c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6.0738047999999987</v>
      </c>
      <c r="M24" s="146">
        <f t="shared" si="31"/>
        <v>3.7050209279999993</v>
      </c>
      <c r="N24" s="146">
        <f t="shared" si="31"/>
        <v>33.345188351999994</v>
      </c>
      <c r="O24" s="146">
        <f t="shared" si="32"/>
        <v>0.22230125567999995</v>
      </c>
      <c r="Q24" s="13"/>
      <c r="R24" s="139"/>
      <c r="S24" s="138"/>
      <c r="T24" s="139"/>
      <c r="U24" s="139"/>
      <c r="V24" s="140"/>
      <c r="W24" s="154"/>
      <c r="X24" s="139"/>
      <c r="Y24" s="19">
        <v>0.61</v>
      </c>
      <c r="Z24" s="20">
        <v>9</v>
      </c>
      <c r="AA24" s="150">
        <f>(AG24/SUM(AG$6:AG$25))*0.98</f>
        <v>9.7999999999999979E-3</v>
      </c>
      <c r="AB24" s="7">
        <v>9.40814247606051E-3</v>
      </c>
      <c r="AC24" s="150">
        <f>(AH24/SUM(AH$6:AH$25))*0.98</f>
        <v>7.4055415617128459E-2</v>
      </c>
      <c r="AE24" s="168"/>
      <c r="AF24" s="168"/>
      <c r="AG24" s="19">
        <v>0.01</v>
      </c>
      <c r="AH24" s="19">
        <v>0.06</v>
      </c>
    </row>
    <row r="25" spans="1:34" x14ac:dyDescent="0.2">
      <c r="A25" s="42"/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1.810115537436472E-2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1.1057668994551491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1076</v>
      </c>
      <c r="E29" s="47">
        <v>0.57599999999999996</v>
      </c>
      <c r="F29" s="2">
        <f>1-E29</f>
        <v>0.42400000000000004</v>
      </c>
      <c r="G29" s="106">
        <v>4.55</v>
      </c>
      <c r="H29" s="126">
        <v>0.04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619.77599999999995</v>
      </c>
      <c r="E32" s="156">
        <f>SUM(E2:E4)</f>
        <v>400.16457215999998</v>
      </c>
      <c r="F32" s="156">
        <f>SUM(F2:F4)</f>
        <v>4476.1536645119995</v>
      </c>
      <c r="G32" s="156">
        <f>SUM(G2:G4)</f>
        <v>30.276057599999998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456.22400000000005</v>
      </c>
      <c r="E35" s="156">
        <f>D35*G29</f>
        <v>2075.8191999999999</v>
      </c>
      <c r="F35" s="156">
        <f>D35*H29</f>
        <v>18.248960000000004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447.0995200000001</v>
      </c>
      <c r="E38" s="157">
        <f>SUM(J2:J4,J6:J11,J13:J20)</f>
        <v>2071.4120761600002</v>
      </c>
      <c r="F38" s="157">
        <f>SUM(K2:K4,K6:K11,K13:K20)</f>
        <v>18.223776435200005</v>
      </c>
      <c r="G38" s="157">
        <f>SUM(L6:L11,L13:L20,L22:L25)</f>
        <v>607.38047999999981</v>
      </c>
      <c r="H38" s="157">
        <f>SUM(M6:M11,M13:M20,M22:M25)</f>
        <v>399.92967705599989</v>
      </c>
      <c r="I38" s="157">
        <f>SUM(N6:N11,N13:N20,N22:N25)</f>
        <v>4473.8572611801592</v>
      </c>
      <c r="J38" s="157">
        <f>SUM(O6:O11,O13:O20,O22:O25)</f>
        <v>30.226107373055996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9.1244799999999486</v>
      </c>
      <c r="E39" s="158">
        <f>E35-E38</f>
        <v>4.4071238399997128</v>
      </c>
      <c r="F39" s="158">
        <f>F35-F38</f>
        <v>2.5183564799998948E-2</v>
      </c>
      <c r="G39" s="158">
        <f>SUM(D2:D4)-G38</f>
        <v>12.395520000000147</v>
      </c>
      <c r="H39" s="158">
        <f>E32-H38</f>
        <v>0.23489510400008839</v>
      </c>
      <c r="I39" s="158">
        <f>F32-I38</f>
        <v>2.2964033318403381</v>
      </c>
      <c r="J39" s="158">
        <f>G32-J38</f>
        <v>4.9950226944002196E-2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86" priority="1" operator="lessThan">
      <formula>0</formula>
    </cfRule>
  </conditionalFormatting>
  <conditionalFormatting sqref="W28">
    <cfRule type="cellIs" dxfId="85" priority="2" operator="greaterThan">
      <formula>1</formula>
    </cfRule>
  </conditionalFormatting>
  <conditionalFormatting sqref="AA28:AG28">
    <cfRule type="cellIs" dxfId="8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CCFF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5" width="8.796875" style="23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506</v>
      </c>
      <c r="B2" s="18" t="s">
        <v>9</v>
      </c>
      <c r="C2" s="18">
        <v>7</v>
      </c>
      <c r="D2" s="146">
        <f>D$32*Q2</f>
        <v>561.44049999999993</v>
      </c>
      <c r="E2" s="146">
        <f>D2*R2</f>
        <v>352.58463399999994</v>
      </c>
      <c r="F2" s="146">
        <f>E2*S2</f>
        <v>3860.8017422999992</v>
      </c>
      <c r="G2" s="146">
        <f>D2*T2</f>
        <v>21.334738999999995</v>
      </c>
      <c r="H2" s="146">
        <f>E2*U2</f>
        <v>7.0516926799999986</v>
      </c>
      <c r="I2" s="146">
        <f>D$35*W2</f>
        <v>55.738725000000002</v>
      </c>
      <c r="J2" s="146">
        <f>I2*V2</f>
        <v>325.51415400000002</v>
      </c>
      <c r="K2" s="146">
        <f>I2*X2</f>
        <v>2.0623328249999999</v>
      </c>
      <c r="L2" s="147"/>
      <c r="M2" s="147"/>
      <c r="N2" s="147"/>
      <c r="O2" s="147"/>
      <c r="Q2" s="150">
        <f>(AE2/SUM(AE$2:AE$25))</f>
        <v>0.95</v>
      </c>
      <c r="R2" s="19">
        <v>0.628</v>
      </c>
      <c r="S2" s="107">
        <v>10.95</v>
      </c>
      <c r="T2" s="19">
        <v>3.7999999999999999E-2</v>
      </c>
      <c r="U2" s="19">
        <v>0.02</v>
      </c>
      <c r="V2" s="107">
        <v>5.84</v>
      </c>
      <c r="W2" s="150">
        <f>(AF2/SUM(AF$2:AF$20))*0.98</f>
        <v>0.1225</v>
      </c>
      <c r="X2" s="19">
        <v>3.6999999999999998E-2</v>
      </c>
      <c r="Y2" s="21"/>
      <c r="Z2" s="22"/>
      <c r="AA2" s="1"/>
      <c r="AB2" s="1"/>
      <c r="AC2" s="1"/>
      <c r="AE2" s="19">
        <v>0.95</v>
      </c>
      <c r="AF2" s="19">
        <v>0.125</v>
      </c>
      <c r="AG2" s="168"/>
      <c r="AH2" s="168"/>
    </row>
    <row r="3" spans="1:34" x14ac:dyDescent="0.2">
      <c r="A3" s="17" t="s">
        <v>31</v>
      </c>
      <c r="B3" s="18" t="s">
        <v>9</v>
      </c>
      <c r="C3" s="18">
        <v>7</v>
      </c>
      <c r="D3" s="146">
        <f>D$32*Q3</f>
        <v>29.549499999999995</v>
      </c>
      <c r="E3" s="146">
        <f t="shared" ref="E3:F4" si="0">D3*R3</f>
        <v>19.207174999999996</v>
      </c>
      <c r="F3" s="146">
        <f t="shared" si="0"/>
        <v>192.84003699999994</v>
      </c>
      <c r="G3" s="146">
        <f t="shared" ref="G3:G4" si="1">D3*T3</f>
        <v>1.004683</v>
      </c>
      <c r="H3" s="146">
        <f t="shared" ref="H3:H4" si="2">E3*U3</f>
        <v>0.11524304999999997</v>
      </c>
      <c r="I3" s="146">
        <f>D$35*W3</f>
        <v>2.229549</v>
      </c>
      <c r="J3" s="146">
        <f>I3*V3</f>
        <v>2.6754587999999999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0.65</v>
      </c>
      <c r="S3" s="107">
        <v>10.039999999999999</v>
      </c>
      <c r="T3" s="19">
        <v>3.4000000000000002E-2</v>
      </c>
      <c r="U3" s="19">
        <v>6.0000000000000001E-3</v>
      </c>
      <c r="V3" s="107">
        <v>1.2</v>
      </c>
      <c r="W3" s="150">
        <f>(AF3/SUM(AF$2:AF$20))*0.98</f>
        <v>4.8999999999999998E-3</v>
      </c>
      <c r="X3" s="19">
        <v>0</v>
      </c>
      <c r="Y3" s="21"/>
      <c r="Z3" s="22"/>
      <c r="AA3" s="1"/>
      <c r="AB3" s="1"/>
      <c r="AC3" s="1"/>
      <c r="AE3" s="19">
        <v>0.05</v>
      </c>
      <c r="AF3" s="19">
        <v>5.0000000000000001E-3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194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3">D$35*W6</f>
        <v>178.36392000000004</v>
      </c>
      <c r="J6" s="146">
        <f>I6*V6</f>
        <v>734.85935040000015</v>
      </c>
      <c r="K6" s="146">
        <f>I6*X6</f>
        <v>5.3509176000000007</v>
      </c>
      <c r="L6" s="146">
        <f>((D$2+D$3+D$4)*AA6)</f>
        <v>46.333615999999992</v>
      </c>
      <c r="M6" s="146">
        <f t="shared" ref="M6:N11" si="4">L6*Y6</f>
        <v>35.445216239999993</v>
      </c>
      <c r="N6" s="146">
        <f t="shared" si="4"/>
        <v>257.33226990239996</v>
      </c>
      <c r="O6" s="146">
        <f>M6*AH6</f>
        <v>1.0633564871999999</v>
      </c>
      <c r="Q6" s="13"/>
      <c r="R6" s="139"/>
      <c r="S6" s="138"/>
      <c r="T6" s="139"/>
      <c r="U6" s="139"/>
      <c r="V6" s="107">
        <v>4.12</v>
      </c>
      <c r="W6" s="150">
        <f t="shared" ref="W6:W11" si="5">(AF6/SUM(AF$2:AF$20))*0.98</f>
        <v>0.39200000000000002</v>
      </c>
      <c r="X6" s="19">
        <v>0.03</v>
      </c>
      <c r="Y6" s="19">
        <v>0.76500000000000001</v>
      </c>
      <c r="Z6" s="20">
        <v>7.26</v>
      </c>
      <c r="AA6" s="150">
        <f t="shared" ref="AA6:AA11" si="6">(AG6/SUM(AG$6:AG$25))*0.98</f>
        <v>7.8399999999999997E-2</v>
      </c>
      <c r="AB6" s="7">
        <v>0.19523954163326915</v>
      </c>
      <c r="AC6" s="150">
        <f t="shared" ref="AC6:AC11" si="7">(AH6/SUM(AH$6:AH$25))*0.98</f>
        <v>4.3620178041543022E-2</v>
      </c>
      <c r="AE6" s="168"/>
      <c r="AF6" s="19">
        <v>0.4</v>
      </c>
      <c r="AG6" s="19">
        <v>0.08</v>
      </c>
      <c r="AH6" s="19">
        <v>0.03</v>
      </c>
    </row>
    <row r="7" spans="1:34" x14ac:dyDescent="0.2">
      <c r="A7" s="176" t="s">
        <v>635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3"/>
        <v>133.77294000000001</v>
      </c>
      <c r="J7" s="146">
        <f>I7*V7</f>
        <v>583.25001840000004</v>
      </c>
      <c r="K7" s="146">
        <f>I7*X7</f>
        <v>4.6820529000000004</v>
      </c>
      <c r="L7" s="146">
        <f>((D$2+D$3+D$4)*AA7)</f>
        <v>23.166807999999996</v>
      </c>
      <c r="M7" s="146">
        <f t="shared" si="4"/>
        <v>17.027603879999997</v>
      </c>
      <c r="N7" s="146">
        <f t="shared" si="4"/>
        <v>129.58006552679998</v>
      </c>
      <c r="O7" s="146">
        <f t="shared" ref="O7:O11" si="8">M7*AH7</f>
        <v>0.54488332415999996</v>
      </c>
      <c r="Q7" s="13"/>
      <c r="R7" s="139"/>
      <c r="S7" s="138"/>
      <c r="T7" s="139"/>
      <c r="U7" s="139"/>
      <c r="V7" s="107">
        <v>4.3600000000000003</v>
      </c>
      <c r="W7" s="150">
        <f t="shared" si="5"/>
        <v>0.29399999999999998</v>
      </c>
      <c r="X7" s="19">
        <v>3.5000000000000003E-2</v>
      </c>
      <c r="Y7" s="19">
        <v>0.73499999999999999</v>
      </c>
      <c r="Z7" s="20">
        <v>7.61</v>
      </c>
      <c r="AA7" s="150">
        <f t="shared" si="6"/>
        <v>3.9199999999999999E-2</v>
      </c>
      <c r="AB7" s="7">
        <v>2.8601058003566718E-2</v>
      </c>
      <c r="AC7" s="150">
        <f t="shared" si="7"/>
        <v>4.652818991097922E-2</v>
      </c>
      <c r="AE7" s="168"/>
      <c r="AF7" s="19">
        <v>0.3</v>
      </c>
      <c r="AG7" s="19">
        <v>0.04</v>
      </c>
      <c r="AH7" s="19">
        <v>3.2000000000000001E-2</v>
      </c>
    </row>
    <row r="8" spans="1:34" x14ac:dyDescent="0.2">
      <c r="A8" s="176" t="s">
        <v>71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ref="I8:I9" si="9">D$35*W8</f>
        <v>49.050077999999999</v>
      </c>
      <c r="J8" s="146">
        <f>I8*V8</f>
        <v>195.21931043999999</v>
      </c>
      <c r="K8" s="146">
        <f>I8*X8</f>
        <v>1.22625195</v>
      </c>
      <c r="L8" s="146">
        <f>((D$2+D$3+D$4)*AA8)</f>
        <v>11.583403999999998</v>
      </c>
      <c r="M8" s="146">
        <f t="shared" ref="M8:M9" si="10">L8*Y8</f>
        <v>7.7840474879999988</v>
      </c>
      <c r="N8" s="146">
        <f t="shared" ref="N8:N9" si="11">M8*Z8</f>
        <v>53.78776814207999</v>
      </c>
      <c r="O8" s="146">
        <f t="shared" ref="O8:O9" si="12">M8*AH8</f>
        <v>0.15568094975999999</v>
      </c>
      <c r="Q8" s="13"/>
      <c r="R8" s="139"/>
      <c r="S8" s="138"/>
      <c r="T8" s="139"/>
      <c r="U8" s="139"/>
      <c r="V8" s="107">
        <v>3.98</v>
      </c>
      <c r="W8" s="150">
        <f t="shared" ref="W8:W9" si="13">(AF8/SUM(AF$2:AF$20))*0.98</f>
        <v>0.10779999999999999</v>
      </c>
      <c r="X8" s="19">
        <v>2.5000000000000001E-2</v>
      </c>
      <c r="Y8" s="19">
        <v>0.67200000000000004</v>
      </c>
      <c r="Z8" s="20">
        <v>6.91</v>
      </c>
      <c r="AA8" s="150">
        <f t="shared" ref="AA8:AA9" si="14">(AG8/SUM(AG$6:AG$25))*0.98</f>
        <v>1.9599999999999999E-2</v>
      </c>
      <c r="AB8" s="7">
        <v>2.8601058003566718E-2</v>
      </c>
      <c r="AC8" s="150">
        <f t="shared" ref="AC8:AC9" si="15">(AH8/SUM(AH$6:AH$25))*0.98</f>
        <v>2.9080118694362014E-2</v>
      </c>
      <c r="AE8" s="168"/>
      <c r="AF8" s="19">
        <v>0.11</v>
      </c>
      <c r="AG8" s="19">
        <v>0.02</v>
      </c>
      <c r="AH8" s="19">
        <v>0.02</v>
      </c>
    </row>
    <row r="9" spans="1:34" x14ac:dyDescent="0.2">
      <c r="A9" s="17" t="s">
        <v>492</v>
      </c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9"/>
        <v>22.295490000000004</v>
      </c>
      <c r="J9" s="146">
        <f>I9*V9</f>
        <v>87.621275700000027</v>
      </c>
      <c r="K9" s="146">
        <f>I9*X9</f>
        <v>0.55738725000000011</v>
      </c>
      <c r="L9" s="146">
        <f>((D$2+D$3+D$4)*AA9)</f>
        <v>5.791701999999999</v>
      </c>
      <c r="M9" s="146">
        <f t="shared" si="10"/>
        <v>4.1005250159999989</v>
      </c>
      <c r="N9" s="146">
        <f t="shared" si="11"/>
        <v>31.656053123519989</v>
      </c>
      <c r="O9" s="146">
        <f t="shared" si="12"/>
        <v>0.10251312539999997</v>
      </c>
      <c r="Q9" s="13"/>
      <c r="R9" s="139"/>
      <c r="S9" s="138"/>
      <c r="T9" s="139"/>
      <c r="U9" s="139"/>
      <c r="V9" s="107">
        <v>3.93</v>
      </c>
      <c r="W9" s="150">
        <f t="shared" si="13"/>
        <v>4.9000000000000002E-2</v>
      </c>
      <c r="X9" s="19">
        <v>2.5000000000000001E-2</v>
      </c>
      <c r="Y9" s="19">
        <v>0.70799999999999996</v>
      </c>
      <c r="Z9" s="20">
        <v>7.72</v>
      </c>
      <c r="AA9" s="150">
        <f t="shared" si="14"/>
        <v>9.7999999999999997E-3</v>
      </c>
      <c r="AB9" s="7">
        <v>7.811405791954551E-3</v>
      </c>
      <c r="AC9" s="150">
        <f t="shared" si="15"/>
        <v>3.6350148367952521E-2</v>
      </c>
      <c r="AE9" s="168"/>
      <c r="AF9" s="19">
        <v>0.05</v>
      </c>
      <c r="AG9" s="19">
        <v>0.01</v>
      </c>
      <c r="AH9" s="19">
        <v>2.5000000000000001E-2</v>
      </c>
    </row>
    <row r="10" spans="1:34" x14ac:dyDescent="0.2">
      <c r="A10" s="42"/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ref="J10:J11" si="16">I10*V10</f>
        <v>0</v>
      </c>
      <c r="K10" s="146">
        <f t="shared" ref="K10:K11" si="17">I10*X10</f>
        <v>0</v>
      </c>
      <c r="L10" s="146">
        <f t="shared" ref="L10:L11" si="18">((D$2+D$3+D$4)*AA10)</f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1.14793355909557E-2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16"/>
        <v>0</v>
      </c>
      <c r="K11" s="146">
        <f t="shared" si="17"/>
        <v>0</v>
      </c>
      <c r="L11" s="146">
        <f t="shared" si="18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139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9">D$35*W13</f>
        <v>0</v>
      </c>
      <c r="J13" s="146">
        <f t="shared" ref="J13:J20" si="20">I13*V13</f>
        <v>0</v>
      </c>
      <c r="K13" s="146">
        <f t="shared" ref="K13:K20" si="21">I13*X13</f>
        <v>0</v>
      </c>
      <c r="L13" s="146">
        <f t="shared" ref="L13:L20" si="22">((D$2+D$3+D$4)*AA13)</f>
        <v>121.62574199999997</v>
      </c>
      <c r="M13" s="146">
        <f t="shared" ref="M13:N20" si="23">L13*Y13</f>
        <v>73.340322425999986</v>
      </c>
      <c r="N13" s="146">
        <f t="shared" si="23"/>
        <v>905.01957873683978</v>
      </c>
      <c r="O13" s="146">
        <f t="shared" ref="O13:O20" si="24">M13*AH13</f>
        <v>4.9871419249679994</v>
      </c>
      <c r="Q13" s="13"/>
      <c r="R13" s="139"/>
      <c r="S13" s="138"/>
      <c r="T13" s="139"/>
      <c r="U13" s="139"/>
      <c r="V13" s="107">
        <v>5.34</v>
      </c>
      <c r="W13" s="150">
        <f t="shared" ref="W13:W20" si="25">(AF13/SUM(AF$2:AF$20))*0.98</f>
        <v>0</v>
      </c>
      <c r="X13" s="19">
        <v>2.4E-2</v>
      </c>
      <c r="Y13" s="19">
        <v>0.60299999999999998</v>
      </c>
      <c r="Z13" s="20">
        <v>12.34</v>
      </c>
      <c r="AA13" s="150">
        <f t="shared" ref="AA13:AA20" si="26">(AG13/SUM(AG$6:AG$25))*0.98</f>
        <v>0.20579999999999998</v>
      </c>
      <c r="AB13" s="7">
        <v>0.18002907075064498</v>
      </c>
      <c r="AC13" s="150">
        <f t="shared" ref="AC13:AC20" si="27">(AH13/SUM(AH$6:AH$25))*0.98</f>
        <v>9.8872403560830865E-2</v>
      </c>
      <c r="AE13" s="168"/>
      <c r="AF13" s="19">
        <v>0</v>
      </c>
      <c r="AG13" s="19">
        <v>0.21</v>
      </c>
      <c r="AH13" s="19">
        <v>6.8000000000000005E-2</v>
      </c>
    </row>
    <row r="14" spans="1:34" x14ac:dyDescent="0.2">
      <c r="A14" s="17" t="s">
        <v>631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9"/>
        <v>4.459098</v>
      </c>
      <c r="J14" s="146">
        <f t="shared" si="20"/>
        <v>26.754587999999998</v>
      </c>
      <c r="K14" s="146">
        <f t="shared" si="21"/>
        <v>0.22295490000000001</v>
      </c>
      <c r="L14" s="146">
        <f t="shared" si="22"/>
        <v>112.93818899999998</v>
      </c>
      <c r="M14" s="146">
        <f t="shared" si="23"/>
        <v>70.360491746999983</v>
      </c>
      <c r="N14" s="146">
        <f t="shared" si="23"/>
        <v>935.79454023509982</v>
      </c>
      <c r="O14" s="146">
        <f t="shared" si="24"/>
        <v>5.0659554057839982</v>
      </c>
      <c r="Q14" s="13"/>
      <c r="R14" s="139"/>
      <c r="S14" s="138"/>
      <c r="T14" s="139"/>
      <c r="U14" s="139"/>
      <c r="V14" s="107">
        <v>6</v>
      </c>
      <c r="W14" s="150">
        <f t="shared" si="25"/>
        <v>9.7999999999999997E-3</v>
      </c>
      <c r="X14" s="19">
        <v>0.05</v>
      </c>
      <c r="Y14" s="19">
        <v>0.623</v>
      </c>
      <c r="Z14" s="20">
        <v>13.3</v>
      </c>
      <c r="AA14" s="150">
        <f t="shared" si="26"/>
        <v>0.19109999999999999</v>
      </c>
      <c r="AB14" s="7">
        <v>0.18309885137357515</v>
      </c>
      <c r="AC14" s="150">
        <f t="shared" si="27"/>
        <v>0.10468842729970325</v>
      </c>
      <c r="AE14" s="168"/>
      <c r="AF14" s="19">
        <v>0.01</v>
      </c>
      <c r="AG14" s="19">
        <v>0.19500000000000001</v>
      </c>
      <c r="AH14" s="19">
        <v>7.1999999999999995E-2</v>
      </c>
    </row>
    <row r="15" spans="1:34" x14ac:dyDescent="0.2">
      <c r="A15" s="17" t="s">
        <v>87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ref="I15:I18" si="28">D$35*W15</f>
        <v>0</v>
      </c>
      <c r="J15" s="146">
        <f t="shared" ref="J15:J18" si="29">I15*V15</f>
        <v>0</v>
      </c>
      <c r="K15" s="146">
        <f t="shared" ref="K15:K18" si="30">I15*X15</f>
        <v>0</v>
      </c>
      <c r="L15" s="146">
        <f t="shared" ref="L15:L18" si="31">((D$2+D$3+D$4)*AA15)</f>
        <v>95.563082999999992</v>
      </c>
      <c r="M15" s="146">
        <f t="shared" ref="M15:M18" si="32">L15*Y15</f>
        <v>62.211567032999994</v>
      </c>
      <c r="N15" s="146">
        <f t="shared" ref="N15:N18" si="33">M15*Z15</f>
        <v>628.33682703329987</v>
      </c>
      <c r="O15" s="146">
        <f t="shared" ref="O15:O18" si="34">M15*AH15</f>
        <v>3.9815402901119996</v>
      </c>
      <c r="Q15" s="13"/>
      <c r="R15" s="139"/>
      <c r="S15" s="138"/>
      <c r="T15" s="139"/>
      <c r="U15" s="139"/>
      <c r="V15" s="107">
        <v>5.0199999999999996</v>
      </c>
      <c r="W15" s="150">
        <f t="shared" ref="W15:W18" si="35">(AF15/SUM(AF$2:AF$20))*0.98</f>
        <v>0</v>
      </c>
      <c r="X15" s="19">
        <v>1.4999999999999999E-2</v>
      </c>
      <c r="Y15" s="19">
        <v>0.65100000000000002</v>
      </c>
      <c r="Z15" s="20">
        <v>10.1</v>
      </c>
      <c r="AA15" s="150">
        <f t="shared" ref="AA15:AA18" si="36">(AG15/SUM(AG$6:AG$25))*0.98</f>
        <v>0.16170000000000001</v>
      </c>
      <c r="AB15" s="7">
        <v>0.18309885137357515</v>
      </c>
      <c r="AC15" s="150">
        <f t="shared" ref="AC15:AC18" si="37">(AH15/SUM(AH$6:AH$25))*0.98</f>
        <v>9.305637982195844E-2</v>
      </c>
      <c r="AE15" s="168"/>
      <c r="AF15" s="19">
        <v>0</v>
      </c>
      <c r="AG15" s="19">
        <v>0.16500000000000001</v>
      </c>
      <c r="AH15" s="19">
        <v>6.4000000000000001E-2</v>
      </c>
    </row>
    <row r="16" spans="1:34" x14ac:dyDescent="0.2">
      <c r="A16" s="172" t="s">
        <v>507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si="28"/>
        <v>0</v>
      </c>
      <c r="J16" s="146">
        <f t="shared" si="29"/>
        <v>0</v>
      </c>
      <c r="K16" s="146">
        <f t="shared" si="30"/>
        <v>0</v>
      </c>
      <c r="L16" s="146">
        <f t="shared" si="31"/>
        <v>23.166807999999996</v>
      </c>
      <c r="M16" s="146">
        <f t="shared" si="32"/>
        <v>13.251414175999997</v>
      </c>
      <c r="N16" s="146">
        <f t="shared" si="33"/>
        <v>186.31488331455998</v>
      </c>
      <c r="O16" s="146">
        <f t="shared" si="34"/>
        <v>0.7288277796799999</v>
      </c>
      <c r="Q16" s="13"/>
      <c r="R16" s="139"/>
      <c r="S16" s="138"/>
      <c r="T16" s="139"/>
      <c r="U16" s="139"/>
      <c r="V16" s="107">
        <v>5.0199999999999996</v>
      </c>
      <c r="W16" s="150">
        <f t="shared" si="35"/>
        <v>0</v>
      </c>
      <c r="X16" s="19">
        <v>1.4999999999999999E-2</v>
      </c>
      <c r="Y16" s="19">
        <v>0.57199999999999995</v>
      </c>
      <c r="Z16" s="20">
        <v>14.06</v>
      </c>
      <c r="AA16" s="150">
        <f t="shared" si="36"/>
        <v>3.9199999999999999E-2</v>
      </c>
      <c r="AB16" s="7">
        <v>0.10033620703176584</v>
      </c>
      <c r="AC16" s="150">
        <f t="shared" si="37"/>
        <v>7.9970326409495543E-2</v>
      </c>
      <c r="AE16" s="168"/>
      <c r="AF16" s="19">
        <v>0</v>
      </c>
      <c r="AG16" s="19">
        <v>0.04</v>
      </c>
      <c r="AH16" s="19">
        <v>5.5E-2</v>
      </c>
    </row>
    <row r="17" spans="1:34" x14ac:dyDescent="0.2">
      <c r="A17" s="17" t="s">
        <v>469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28"/>
        <v>0</v>
      </c>
      <c r="J17" s="146">
        <f t="shared" si="29"/>
        <v>0</v>
      </c>
      <c r="K17" s="146">
        <f t="shared" si="30"/>
        <v>0</v>
      </c>
      <c r="L17" s="146">
        <f t="shared" si="31"/>
        <v>23.166807999999996</v>
      </c>
      <c r="M17" s="146">
        <f t="shared" si="32"/>
        <v>13.737917143999997</v>
      </c>
      <c r="N17" s="146">
        <f t="shared" si="33"/>
        <v>176.66961447183996</v>
      </c>
      <c r="O17" s="146">
        <f t="shared" si="34"/>
        <v>0.74184752577599988</v>
      </c>
      <c r="Q17" s="13"/>
      <c r="R17" s="139"/>
      <c r="S17" s="138"/>
      <c r="T17" s="139"/>
      <c r="U17" s="139"/>
      <c r="V17" s="107">
        <v>5.0199999999999996</v>
      </c>
      <c r="W17" s="150">
        <f t="shared" si="35"/>
        <v>0</v>
      </c>
      <c r="X17" s="19">
        <v>1.4999999999999999E-2</v>
      </c>
      <c r="Y17" s="19">
        <v>0.59299999999999997</v>
      </c>
      <c r="Z17" s="20">
        <v>12.86</v>
      </c>
      <c r="AA17" s="150">
        <f t="shared" si="36"/>
        <v>3.9199999999999999E-2</v>
      </c>
      <c r="AB17" s="7">
        <v>6.295807984469376E-2</v>
      </c>
      <c r="AC17" s="150">
        <f t="shared" si="37"/>
        <v>7.851632047477744E-2</v>
      </c>
      <c r="AE17" s="168"/>
      <c r="AF17" s="19">
        <v>0</v>
      </c>
      <c r="AG17" s="19">
        <v>0.04</v>
      </c>
      <c r="AH17" s="19">
        <v>5.3999999999999999E-2</v>
      </c>
    </row>
    <row r="18" spans="1:34" x14ac:dyDescent="0.2">
      <c r="A18" s="17" t="s">
        <v>588</v>
      </c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28"/>
        <v>0</v>
      </c>
      <c r="J18" s="146">
        <f t="shared" si="29"/>
        <v>0</v>
      </c>
      <c r="K18" s="146">
        <f t="shared" si="30"/>
        <v>0</v>
      </c>
      <c r="L18" s="146">
        <f t="shared" si="31"/>
        <v>11.583403999999998</v>
      </c>
      <c r="M18" s="146">
        <f t="shared" si="32"/>
        <v>6.7183743199999988</v>
      </c>
      <c r="N18" s="146">
        <f t="shared" si="33"/>
        <v>74.57395495199998</v>
      </c>
      <c r="O18" s="146">
        <f t="shared" si="34"/>
        <v>0.33591871599999995</v>
      </c>
      <c r="Q18" s="13"/>
      <c r="R18" s="139"/>
      <c r="S18" s="138"/>
      <c r="T18" s="139"/>
      <c r="U18" s="139"/>
      <c r="V18" s="107">
        <v>5.0199999999999996</v>
      </c>
      <c r="W18" s="150">
        <f t="shared" si="35"/>
        <v>0</v>
      </c>
      <c r="X18" s="19">
        <v>1.4999999999999999E-2</v>
      </c>
      <c r="Y18" s="19">
        <v>0.57999999999999996</v>
      </c>
      <c r="Z18" s="20">
        <v>11.1</v>
      </c>
      <c r="AA18" s="150">
        <f t="shared" si="36"/>
        <v>1.9599999999999999E-2</v>
      </c>
      <c r="AB18" s="7">
        <v>4.6208358846457104E-2</v>
      </c>
      <c r="AC18" s="150">
        <f t="shared" si="37"/>
        <v>7.2700296735905043E-2</v>
      </c>
      <c r="AE18" s="168"/>
      <c r="AF18" s="19">
        <v>0</v>
      </c>
      <c r="AG18" s="19">
        <v>0.02</v>
      </c>
      <c r="AH18" s="19">
        <v>0.05</v>
      </c>
    </row>
    <row r="19" spans="1:34" x14ac:dyDescent="0.2"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19"/>
        <v>0</v>
      </c>
      <c r="J19" s="146">
        <f t="shared" si="20"/>
        <v>0</v>
      </c>
      <c r="K19" s="146">
        <f t="shared" si="21"/>
        <v>0</v>
      </c>
      <c r="L19" s="146">
        <f t="shared" si="22"/>
        <v>0</v>
      </c>
      <c r="M19" s="146">
        <f t="shared" si="23"/>
        <v>0</v>
      </c>
      <c r="N19" s="146">
        <f t="shared" si="23"/>
        <v>0</v>
      </c>
      <c r="O19" s="146">
        <f t="shared" si="24"/>
        <v>0</v>
      </c>
      <c r="Q19" s="13"/>
      <c r="R19" s="139"/>
      <c r="S19" s="138"/>
      <c r="T19" s="139"/>
      <c r="U19" s="139"/>
      <c r="V19" s="107">
        <v>0</v>
      </c>
      <c r="W19" s="150">
        <f t="shared" si="25"/>
        <v>0</v>
      </c>
      <c r="X19" s="19">
        <v>0</v>
      </c>
      <c r="Y19" s="19">
        <v>0</v>
      </c>
      <c r="Z19" s="20">
        <v>0</v>
      </c>
      <c r="AA19" s="150">
        <f t="shared" si="26"/>
        <v>0</v>
      </c>
      <c r="AB19" s="7">
        <v>1.9288069684743152E-3</v>
      </c>
      <c r="AC19" s="150">
        <f t="shared" si="27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9"/>
        <v>0</v>
      </c>
      <c r="J20" s="146">
        <f t="shared" si="20"/>
        <v>0</v>
      </c>
      <c r="K20" s="146">
        <f t="shared" si="21"/>
        <v>0</v>
      </c>
      <c r="L20" s="146">
        <f t="shared" si="22"/>
        <v>0</v>
      </c>
      <c r="M20" s="146">
        <f t="shared" si="23"/>
        <v>0</v>
      </c>
      <c r="N20" s="146">
        <f t="shared" si="23"/>
        <v>0</v>
      </c>
      <c r="O20" s="146">
        <f t="shared" si="24"/>
        <v>0</v>
      </c>
      <c r="Q20" s="13"/>
      <c r="R20" s="139"/>
      <c r="S20" s="138"/>
      <c r="T20" s="139"/>
      <c r="U20" s="139"/>
      <c r="V20" s="107">
        <v>0</v>
      </c>
      <c r="W20" s="150">
        <f t="shared" si="25"/>
        <v>0</v>
      </c>
      <c r="X20" s="19">
        <v>0</v>
      </c>
      <c r="Y20" s="19">
        <v>0</v>
      </c>
      <c r="Z20" s="20">
        <v>0</v>
      </c>
      <c r="AA20" s="150">
        <f t="shared" si="26"/>
        <v>0</v>
      </c>
      <c r="AB20" s="7"/>
      <c r="AC20" s="150">
        <f t="shared" si="27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188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46.333615999999992</v>
      </c>
      <c r="M22" s="146">
        <f t="shared" ref="M22:N25" si="38">L22*Y22</f>
        <v>29.097510847999995</v>
      </c>
      <c r="N22" s="146">
        <f t="shared" si="38"/>
        <v>282.24585522559994</v>
      </c>
      <c r="O22" s="146">
        <f t="shared" ref="O22:O25" si="39">M22*AH22</f>
        <v>2.0368257593599997</v>
      </c>
      <c r="Q22" s="13"/>
      <c r="R22" s="139"/>
      <c r="S22" s="138"/>
      <c r="T22" s="139"/>
      <c r="U22" s="139"/>
      <c r="V22" s="140"/>
      <c r="W22" s="154"/>
      <c r="X22" s="139"/>
      <c r="Y22" s="19">
        <v>0.628</v>
      </c>
      <c r="Z22" s="20">
        <v>9.6999999999999993</v>
      </c>
      <c r="AA22" s="150">
        <f>(AG22/SUM(AG$6:AG$25))*0.98</f>
        <v>7.8399999999999997E-2</v>
      </c>
      <c r="AB22" s="7">
        <v>6.969921651998548E-2</v>
      </c>
      <c r="AC22" s="150">
        <f>(AH22/SUM(AH$6:AH$25))*0.98</f>
        <v>0.10178041543026707</v>
      </c>
      <c r="AE22" s="168"/>
      <c r="AF22" s="168"/>
      <c r="AG22" s="19">
        <v>0.08</v>
      </c>
      <c r="AH22" s="19">
        <v>7.0000000000000007E-2</v>
      </c>
    </row>
    <row r="23" spans="1:34" x14ac:dyDescent="0.2">
      <c r="A23" s="17" t="s">
        <v>7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11.583403999999998</v>
      </c>
      <c r="M23" s="146">
        <f t="shared" si="38"/>
        <v>6.9847926119999988</v>
      </c>
      <c r="N23" s="146">
        <f t="shared" si="38"/>
        <v>70.197165750599993</v>
      </c>
      <c r="O23" s="146">
        <f t="shared" si="39"/>
        <v>0.41908755671999992</v>
      </c>
      <c r="Q23" s="13"/>
      <c r="R23" s="139"/>
      <c r="S23" s="138"/>
      <c r="T23" s="139"/>
      <c r="U23" s="139"/>
      <c r="V23" s="140"/>
      <c r="W23" s="154"/>
      <c r="X23" s="139"/>
      <c r="Y23" s="19">
        <v>0.60299999999999998</v>
      </c>
      <c r="Z23" s="20">
        <v>10.050000000000001</v>
      </c>
      <c r="AA23" s="150">
        <f>(AG23/SUM(AG$6:AG$25))*0.98</f>
        <v>1.9599999999999999E-2</v>
      </c>
      <c r="AB23" s="7">
        <v>4.3820774496873237E-2</v>
      </c>
      <c r="AC23" s="150">
        <f>(AH23/SUM(AH$6:AH$25))*0.98</f>
        <v>8.7240356083086043E-2</v>
      </c>
      <c r="AE23" s="168"/>
      <c r="AF23" s="168"/>
      <c r="AG23" s="19">
        <v>0.02</v>
      </c>
      <c r="AH23" s="19">
        <v>0.06</v>
      </c>
    </row>
    <row r="24" spans="1:34" x14ac:dyDescent="0.2">
      <c r="A24" s="17" t="s">
        <v>644</v>
      </c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46.333615999999992</v>
      </c>
      <c r="M24" s="146">
        <f t="shared" si="38"/>
        <v>29.329178927999994</v>
      </c>
      <c r="N24" s="146">
        <f t="shared" si="38"/>
        <v>313.82221452959993</v>
      </c>
      <c r="O24" s="146">
        <f t="shared" si="39"/>
        <v>2.1703592406719996</v>
      </c>
      <c r="Q24" s="13"/>
      <c r="R24" s="139"/>
      <c r="S24" s="138"/>
      <c r="T24" s="139"/>
      <c r="U24" s="139"/>
      <c r="V24" s="140"/>
      <c r="W24" s="154"/>
      <c r="X24" s="139"/>
      <c r="Y24" s="19">
        <v>0.63300000000000001</v>
      </c>
      <c r="Z24" s="20">
        <v>10.7</v>
      </c>
      <c r="AA24" s="150">
        <f>(AG24/SUM(AG$6:AG$25))*0.98</f>
        <v>7.8399999999999997E-2</v>
      </c>
      <c r="AB24" s="7">
        <v>3.3391912367309158E-2</v>
      </c>
      <c r="AC24" s="150">
        <f>(AH24/SUM(AH$6:AH$25))*0.98</f>
        <v>0.10759643916913945</v>
      </c>
      <c r="AE24" s="168"/>
      <c r="AF24" s="168"/>
      <c r="AG24" s="19">
        <v>0.08</v>
      </c>
      <c r="AH24" s="19">
        <v>7.3999999999999996E-2</v>
      </c>
    </row>
    <row r="25" spans="1:34" x14ac:dyDescent="0.2"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8"/>
        <v>0</v>
      </c>
      <c r="N25" s="146">
        <f t="shared" si="38"/>
        <v>0</v>
      </c>
      <c r="O25" s="146">
        <f t="shared" si="39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1.1763025285966671</v>
      </c>
      <c r="AC28" s="150">
        <f>SUM(AC6:AC25)</f>
        <v>0.97999999999999976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1046</v>
      </c>
      <c r="E29" s="47">
        <v>0.56499999999999995</v>
      </c>
      <c r="F29" s="2">
        <f>1-E29</f>
        <v>0.43500000000000005</v>
      </c>
      <c r="G29" s="106">
        <v>4.3499999999999996</v>
      </c>
      <c r="H29" s="126">
        <v>3.1E-2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590.9899999999999</v>
      </c>
      <c r="E32" s="156">
        <f>SUM(E2:E4)</f>
        <v>371.79180899999994</v>
      </c>
      <c r="F32" s="156">
        <f>SUM(F2:F4)</f>
        <v>4053.6417792999991</v>
      </c>
      <c r="G32" s="156">
        <f>SUM(G2:G4)</f>
        <v>22.339421999999995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455.01000000000005</v>
      </c>
      <c r="E35" s="156">
        <f>D35*G29</f>
        <v>1979.2935</v>
      </c>
      <c r="F35" s="156">
        <f>D35*H29</f>
        <v>14.105310000000001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0" t="s">
        <v>288</v>
      </c>
      <c r="E37" s="161" t="s">
        <v>289</v>
      </c>
      <c r="F37" s="10" t="s">
        <v>290</v>
      </c>
      <c r="G37" s="10" t="s">
        <v>286</v>
      </c>
      <c r="H37" s="161" t="s">
        <v>287</v>
      </c>
      <c r="I37" s="10" t="s">
        <v>291</v>
      </c>
      <c r="J37" s="160" t="s">
        <v>292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5" thickBot="1" x14ac:dyDescent="0.25">
      <c r="D38" s="157">
        <f>SUM(I2:I20)</f>
        <v>445.90980000000002</v>
      </c>
      <c r="E38" s="157">
        <f>SUM(J2:J4,J6:J11,J13:J20)</f>
        <v>1955.8941557400003</v>
      </c>
      <c r="F38" s="157">
        <f>SUM(K2:K4,K6:K11,K13:K20)</f>
        <v>14.101897425000001</v>
      </c>
      <c r="G38" s="157">
        <f>SUM(L6:L11,L13:L20,L22:L25)</f>
        <v>579.17019999999991</v>
      </c>
      <c r="H38" s="157">
        <f>SUM(M6:M11,M13:M20,M22:M25)</f>
        <v>369.38896185799996</v>
      </c>
      <c r="I38" s="157">
        <f>SUM(N6:N11,N13:N20,N22:N25)</f>
        <v>4045.3307909442392</v>
      </c>
      <c r="J38" s="157">
        <f>SUM(O6:O11,O13:O20,O22:O25)</f>
        <v>22.333938085591996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5" thickTop="1" x14ac:dyDescent="0.2">
      <c r="D39" s="158">
        <f>D35-D38</f>
        <v>9.1002000000000294</v>
      </c>
      <c r="E39" s="158">
        <f>E35-E38</f>
        <v>23.39934425999968</v>
      </c>
      <c r="F39" s="158">
        <f>F35-F38</f>
        <v>3.4125750000004729E-3</v>
      </c>
      <c r="G39" s="158">
        <f>SUM(D2:D4)-G38</f>
        <v>11.819799999999987</v>
      </c>
      <c r="H39" s="158">
        <f>E32-H38</f>
        <v>2.4028471419999846</v>
      </c>
      <c r="I39" s="158">
        <f>F32-I38</f>
        <v>8.310988355759946</v>
      </c>
      <c r="J39" s="158">
        <f>G32-J38</f>
        <v>5.4839144079998903E-3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I40" s="26"/>
      <c r="J40" s="25"/>
      <c r="K40" s="26"/>
      <c r="L40" s="26"/>
      <c r="M40" s="25"/>
      <c r="N40" s="26"/>
      <c r="O40" s="18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I41" s="26"/>
      <c r="J41" s="25"/>
      <c r="K41" s="26"/>
      <c r="L41" s="26"/>
      <c r="M41" s="25"/>
      <c r="N41" s="26"/>
      <c r="O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I42" s="26"/>
      <c r="J42" s="25"/>
      <c r="K42" s="26"/>
      <c r="L42" s="26"/>
      <c r="M42" s="25"/>
      <c r="N42" s="26"/>
      <c r="O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83" priority="1" operator="lessThan">
      <formula>0</formula>
    </cfRule>
  </conditionalFormatting>
  <conditionalFormatting sqref="W28">
    <cfRule type="cellIs" dxfId="82" priority="2" operator="greaterThan">
      <formula>1</formula>
    </cfRule>
  </conditionalFormatting>
  <conditionalFormatting sqref="AA28:AG28">
    <cfRule type="cellIs" dxfId="8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33CC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589</v>
      </c>
      <c r="B2" s="18" t="s">
        <v>9</v>
      </c>
      <c r="C2" s="18">
        <v>13</v>
      </c>
      <c r="D2" s="146">
        <f>D$32*Q2</f>
        <v>566.80848000000003</v>
      </c>
      <c r="E2" s="146">
        <f>D2*R2</f>
        <v>360.49019328000003</v>
      </c>
      <c r="F2" s="146">
        <f>E2*S2</f>
        <v>4062.7244782656003</v>
      </c>
      <c r="G2" s="146">
        <f>D2*T2</f>
        <v>26.07319008</v>
      </c>
      <c r="H2" s="146">
        <f>E2*U2</f>
        <v>7.2098038656000005</v>
      </c>
      <c r="I2" s="146">
        <f>D$35*W2</f>
        <v>68.446727999999993</v>
      </c>
      <c r="J2" s="146">
        <f>I2*V2</f>
        <v>348.39384551999996</v>
      </c>
      <c r="K2" s="146">
        <f>I2*X2</f>
        <v>3.9699102239999999</v>
      </c>
      <c r="L2" s="147"/>
      <c r="M2" s="147"/>
      <c r="N2" s="147"/>
      <c r="O2" s="147"/>
      <c r="Q2" s="150">
        <f>(AE2/SUM(AE$2:AE$25))</f>
        <v>0.98</v>
      </c>
      <c r="R2" s="19">
        <v>0.63600000000000001</v>
      </c>
      <c r="S2" s="107">
        <v>11.27</v>
      </c>
      <c r="T2" s="19">
        <v>4.5999999999999999E-2</v>
      </c>
      <c r="U2" s="19">
        <v>0.02</v>
      </c>
      <c r="V2" s="107">
        <v>5.09</v>
      </c>
      <c r="W2" s="150">
        <f>(AF2/SUM(AF$2:AF$20))*0.98</f>
        <v>0.14699999999999999</v>
      </c>
      <c r="X2" s="19">
        <v>5.8000000000000003E-2</v>
      </c>
      <c r="Y2" s="21"/>
      <c r="Z2" s="22"/>
      <c r="AA2" s="1"/>
      <c r="AB2" s="1"/>
      <c r="AC2" s="1"/>
      <c r="AE2" s="19">
        <v>0.98</v>
      </c>
      <c r="AF2" s="19">
        <v>0.15</v>
      </c>
      <c r="AG2" s="168"/>
      <c r="AH2" s="168"/>
    </row>
    <row r="3" spans="1:34" x14ac:dyDescent="0.2">
      <c r="A3" s="17" t="s">
        <v>572</v>
      </c>
      <c r="B3" s="18" t="s">
        <v>9</v>
      </c>
      <c r="C3" s="18">
        <v>13</v>
      </c>
      <c r="D3" s="146">
        <f>D$32*Q3</f>
        <v>11.567520000000002</v>
      </c>
      <c r="E3" s="146">
        <f t="shared" ref="E3:F4" si="0">D3*R3</f>
        <v>7.0214846400000006</v>
      </c>
      <c r="F3" s="146">
        <f t="shared" si="0"/>
        <v>70.565920632000015</v>
      </c>
      <c r="G3" s="146">
        <f t="shared" ref="G3:G4" si="1">D3*T3</f>
        <v>0.39329568000000009</v>
      </c>
      <c r="H3" s="146">
        <f t="shared" ref="H3:H4" si="2">E3*U3</f>
        <v>0.14042969280000001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0.02</v>
      </c>
      <c r="R3" s="19">
        <v>0.60699999999999998</v>
      </c>
      <c r="S3" s="107">
        <v>10.050000000000001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0.02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13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171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3">D$35*W6</f>
        <v>200.77706879999997</v>
      </c>
      <c r="J6" s="146">
        <f>I6*V6</f>
        <v>877.39579065599992</v>
      </c>
      <c r="K6" s="146">
        <f>I6*X6</f>
        <v>7.0271974079999993</v>
      </c>
      <c r="L6" s="146">
        <f>((D$2+D$3+D$4)*AA6)</f>
        <v>45.344678399999985</v>
      </c>
      <c r="M6" s="146">
        <f t="shared" ref="M6:N11" si="4">L6*Y6</f>
        <v>34.008508799999987</v>
      </c>
      <c r="N6" s="146">
        <f t="shared" si="4"/>
        <v>258.46466687999987</v>
      </c>
      <c r="O6" s="146">
        <f>M6*AH6</f>
        <v>1.5303828959999994</v>
      </c>
      <c r="Q6" s="13"/>
      <c r="R6" s="139"/>
      <c r="S6" s="138"/>
      <c r="T6" s="139"/>
      <c r="U6" s="139"/>
      <c r="V6" s="107">
        <v>4.37</v>
      </c>
      <c r="W6" s="150">
        <f t="shared" ref="W6:W11" si="5">(AF6/SUM(AF$2:AF$20))*0.98</f>
        <v>0.43119999999999997</v>
      </c>
      <c r="X6" s="19">
        <v>3.5000000000000003E-2</v>
      </c>
      <c r="Y6" s="19">
        <v>0.75</v>
      </c>
      <c r="Z6" s="20">
        <v>7.6</v>
      </c>
      <c r="AA6" s="150">
        <f t="shared" ref="AA6:AA11" si="6">(AG6/SUM(AG$6:AG$25))*0.98</f>
        <v>7.8399999999999984E-2</v>
      </c>
      <c r="AB6" s="7">
        <v>7.2668193894709771E-2</v>
      </c>
      <c r="AC6" s="150">
        <f t="shared" ref="AC6:AC11" si="7">(AH6/SUM(AH$6:AH$25))*0.98</f>
        <v>6.5820895522388054E-2</v>
      </c>
      <c r="AE6" s="168"/>
      <c r="AF6" s="19">
        <v>0.44</v>
      </c>
      <c r="AG6" s="19">
        <v>0.08</v>
      </c>
      <c r="AH6" s="19">
        <v>4.4999999999999998E-2</v>
      </c>
    </row>
    <row r="7" spans="1:34" x14ac:dyDescent="0.2">
      <c r="A7" s="17" t="s">
        <v>195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3"/>
        <v>100.38853439999998</v>
      </c>
      <c r="J7" s="146">
        <f>I7*V7</f>
        <v>463.79502892799991</v>
      </c>
      <c r="K7" s="146">
        <f>I7*X7</f>
        <v>3.0116560319999994</v>
      </c>
      <c r="L7" s="146">
        <f>((D$2+D$3+D$4)*AA7)</f>
        <v>11.336169599999996</v>
      </c>
      <c r="M7" s="146">
        <f t="shared" si="4"/>
        <v>7.9919995679999971</v>
      </c>
      <c r="N7" s="146">
        <f t="shared" si="4"/>
        <v>56.743196932799975</v>
      </c>
      <c r="O7" s="146">
        <f t="shared" ref="O7:O11" si="8">M7*AH7</f>
        <v>0.31967998271999987</v>
      </c>
      <c r="Q7" s="13"/>
      <c r="R7" s="139"/>
      <c r="S7" s="138"/>
      <c r="T7" s="139"/>
      <c r="U7" s="139"/>
      <c r="V7" s="107">
        <v>4.62</v>
      </c>
      <c r="W7" s="150">
        <f t="shared" si="5"/>
        <v>0.21559999999999999</v>
      </c>
      <c r="X7" s="19">
        <v>0.03</v>
      </c>
      <c r="Y7" s="19">
        <v>0.70499999999999996</v>
      </c>
      <c r="Z7" s="20">
        <v>7.1</v>
      </c>
      <c r="AA7" s="150">
        <f t="shared" si="6"/>
        <v>1.9599999999999996E-2</v>
      </c>
      <c r="AB7" s="7">
        <v>8.885193964057371E-2</v>
      </c>
      <c r="AC7" s="150">
        <f t="shared" si="7"/>
        <v>5.8507462686567167E-2</v>
      </c>
      <c r="AE7" s="168"/>
      <c r="AF7" s="19">
        <v>0.22</v>
      </c>
      <c r="AG7" s="19">
        <v>0.02</v>
      </c>
      <c r="AH7" s="19">
        <v>0.04</v>
      </c>
    </row>
    <row r="8" spans="1:34" x14ac:dyDescent="0.2">
      <c r="A8" s="17" t="s">
        <v>552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3"/>
        <v>82.136073599999989</v>
      </c>
      <c r="J8" s="146">
        <f>I8*V8</f>
        <v>350.72103427199994</v>
      </c>
      <c r="K8" s="146">
        <f>I8*X8</f>
        <v>2.9568986495999994</v>
      </c>
      <c r="L8" s="146">
        <f>((D$2+D$3+D$4)*AA8)</f>
        <v>34.008508799999987</v>
      </c>
      <c r="M8" s="146">
        <f t="shared" si="4"/>
        <v>25.166296511999992</v>
      </c>
      <c r="N8" s="146">
        <f t="shared" si="4"/>
        <v>183.71396453759994</v>
      </c>
      <c r="O8" s="146">
        <f t="shared" si="8"/>
        <v>1.1324833430399996</v>
      </c>
      <c r="Q8" s="13"/>
      <c r="R8" s="139"/>
      <c r="S8" s="138"/>
      <c r="T8" s="139"/>
      <c r="U8" s="139"/>
      <c r="V8" s="107">
        <v>4.2699999999999996</v>
      </c>
      <c r="W8" s="150">
        <f t="shared" si="5"/>
        <v>0.1764</v>
      </c>
      <c r="X8" s="19">
        <v>3.5999999999999997E-2</v>
      </c>
      <c r="Y8" s="19">
        <v>0.74</v>
      </c>
      <c r="Z8" s="20">
        <v>7.3</v>
      </c>
      <c r="AA8" s="150">
        <f t="shared" si="6"/>
        <v>5.8799999999999984E-2</v>
      </c>
      <c r="AB8" s="7">
        <v>3.6086874636924879E-2</v>
      </c>
      <c r="AC8" s="150">
        <f t="shared" si="7"/>
        <v>6.5820895522388054E-2</v>
      </c>
      <c r="AE8" s="168"/>
      <c r="AF8" s="19">
        <v>0.18</v>
      </c>
      <c r="AG8" s="19">
        <v>0.06</v>
      </c>
      <c r="AH8" s="19">
        <v>4.4999999999999998E-2</v>
      </c>
    </row>
    <row r="9" spans="1:34" x14ac:dyDescent="0.2"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5.9169428450324786E-3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4.0214480433331101E-3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205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2">D$35*W13</f>
        <v>4.5631151999999995</v>
      </c>
      <c r="J13" s="146">
        <f t="shared" ref="J13:J20" si="13">I13*V13</f>
        <v>22.906838303999997</v>
      </c>
      <c r="K13" s="146">
        <f t="shared" ref="K13:K20" si="14">I13*X13</f>
        <v>0.22815575999999999</v>
      </c>
      <c r="L13" s="146">
        <f t="shared" ref="L13:L20" si="15">((D$2+D$3+D$4)*AA13)</f>
        <v>130.36595039999997</v>
      </c>
      <c r="M13" s="146">
        <f t="shared" ref="M13:N20" si="16">L13*Y13</f>
        <v>78.871399991999979</v>
      </c>
      <c r="N13" s="146">
        <f t="shared" si="16"/>
        <v>1100.2560298883996</v>
      </c>
      <c r="O13" s="146">
        <f t="shared" ref="O13:O20" si="17">M13*AH13</f>
        <v>6.3097119993599984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9.7999999999999997E-3</v>
      </c>
      <c r="X13" s="19">
        <v>0.05</v>
      </c>
      <c r="Y13" s="19">
        <v>0.60499999999999998</v>
      </c>
      <c r="Z13" s="20">
        <v>13.95</v>
      </c>
      <c r="AA13" s="150">
        <f t="shared" ref="AA13:AA20" si="19">(AG13/SUM(AG$6:AG$25))*0.98</f>
        <v>0.22539999999999996</v>
      </c>
      <c r="AB13" s="7">
        <v>0.1993113419107847</v>
      </c>
      <c r="AC13" s="150">
        <f t="shared" ref="AC13:AC20" si="20">(AH13/SUM(AH$6:AH$25))*0.98</f>
        <v>0.11701492537313433</v>
      </c>
      <c r="AE13" s="168"/>
      <c r="AF13" s="19">
        <v>0.01</v>
      </c>
      <c r="AG13" s="19">
        <v>0.23</v>
      </c>
      <c r="AH13" s="19">
        <v>0.08</v>
      </c>
    </row>
    <row r="14" spans="1:34" x14ac:dyDescent="0.2">
      <c r="A14" s="17" t="s">
        <v>15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113.36169599999997</v>
      </c>
      <c r="M14" s="146">
        <f t="shared" si="16"/>
        <v>73.685102399999977</v>
      </c>
      <c r="N14" s="146">
        <f t="shared" si="16"/>
        <v>832.64165711999976</v>
      </c>
      <c r="O14" s="146">
        <f t="shared" si="17"/>
        <v>5.1579571679999985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0.65</v>
      </c>
      <c r="Z14" s="20">
        <v>11.3</v>
      </c>
      <c r="AA14" s="150">
        <f t="shared" si="19"/>
        <v>0.19599999999999995</v>
      </c>
      <c r="AB14" s="7">
        <v>0.12380296082197549</v>
      </c>
      <c r="AC14" s="150">
        <f t="shared" si="20"/>
        <v>0.10238805970149256</v>
      </c>
      <c r="AE14" s="168"/>
      <c r="AF14" s="19">
        <v>0</v>
      </c>
      <c r="AG14" s="19">
        <v>0.2</v>
      </c>
      <c r="AH14" s="19">
        <v>7.0000000000000007E-2</v>
      </c>
    </row>
    <row r="15" spans="1:34" x14ac:dyDescent="0.2">
      <c r="A15" s="176" t="s">
        <v>619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96.357441599999973</v>
      </c>
      <c r="M15" s="146">
        <f t="shared" si="16"/>
        <v>58.778039375999981</v>
      </c>
      <c r="N15" s="146">
        <f t="shared" si="16"/>
        <v>758.23670795039982</v>
      </c>
      <c r="O15" s="146">
        <f t="shared" si="17"/>
        <v>4.9961333469599989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0.61</v>
      </c>
      <c r="Z15" s="20">
        <v>12.9</v>
      </c>
      <c r="AA15" s="150">
        <f t="shared" si="19"/>
        <v>0.16659999999999997</v>
      </c>
      <c r="AB15" s="7">
        <v>9.0701916920885875E-2</v>
      </c>
      <c r="AC15" s="150">
        <f t="shared" si="20"/>
        <v>0.12432835820895526</v>
      </c>
      <c r="AE15" s="168"/>
      <c r="AF15" s="19">
        <v>0</v>
      </c>
      <c r="AG15" s="19">
        <v>0.17</v>
      </c>
      <c r="AH15" s="19">
        <v>8.5000000000000006E-2</v>
      </c>
    </row>
    <row r="16" spans="1:34" x14ac:dyDescent="0.2">
      <c r="A16" s="176" t="s">
        <v>508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ref="I16:I17" si="21">D$35*W16</f>
        <v>0</v>
      </c>
      <c r="J16" s="146">
        <f t="shared" ref="J16:J17" si="22">I16*V16</f>
        <v>0</v>
      </c>
      <c r="K16" s="146">
        <f t="shared" ref="K16:K17" si="23">I16*X16</f>
        <v>0</v>
      </c>
      <c r="L16" s="146">
        <f t="shared" ref="L16:L17" si="24">((D$2+D$3+D$4)*AA16)</f>
        <v>17.004254399999994</v>
      </c>
      <c r="M16" s="146">
        <f t="shared" ref="M16:M17" si="25">L16*Y16</f>
        <v>10.032510095999996</v>
      </c>
      <c r="N16" s="146">
        <f t="shared" ref="N16:N17" si="26">M16*Z16</f>
        <v>123.39987418079996</v>
      </c>
      <c r="O16" s="146">
        <f t="shared" ref="O16:O17" si="27">M16*AH16</f>
        <v>0.65211315623999977</v>
      </c>
      <c r="Q16" s="13"/>
      <c r="R16" s="139"/>
      <c r="S16" s="138"/>
      <c r="T16" s="139"/>
      <c r="U16" s="139"/>
      <c r="V16" s="107">
        <v>5.01</v>
      </c>
      <c r="W16" s="150">
        <f t="shared" ref="W16:W17" si="28">(AF16/SUM(AF$2:AF$20))*0.98</f>
        <v>0</v>
      </c>
      <c r="X16" s="19">
        <v>2.4E-2</v>
      </c>
      <c r="Y16" s="19">
        <v>0.59</v>
      </c>
      <c r="Z16" s="20">
        <v>12.3</v>
      </c>
      <c r="AA16" s="150">
        <f t="shared" ref="AA16:AA17" si="29">(AG16/SUM(AG$6:AG$25))*0.98</f>
        <v>2.9399999999999992E-2</v>
      </c>
      <c r="AB16" s="7">
        <v>9.0701916920885875E-2</v>
      </c>
      <c r="AC16" s="150">
        <f t="shared" ref="AC16:AC17" si="30">(AH16/SUM(AH$6:AH$25))*0.98</f>
        <v>9.5074626865671655E-2</v>
      </c>
      <c r="AE16" s="168"/>
      <c r="AF16" s="19">
        <v>0</v>
      </c>
      <c r="AG16" s="19">
        <v>0.03</v>
      </c>
      <c r="AH16" s="19">
        <v>6.5000000000000002E-2</v>
      </c>
    </row>
    <row r="17" spans="1:34" x14ac:dyDescent="0.2">
      <c r="A17" s="172" t="s">
        <v>451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11.336169599999996</v>
      </c>
      <c r="M17" s="146">
        <f t="shared" si="25"/>
        <v>6.5749783679999974</v>
      </c>
      <c r="N17" s="146">
        <f t="shared" si="26"/>
        <v>82.844727436799971</v>
      </c>
      <c r="O17" s="146">
        <f t="shared" si="27"/>
        <v>0.46024848575999988</v>
      </c>
      <c r="Q17" s="13"/>
      <c r="R17" s="139"/>
      <c r="S17" s="138"/>
      <c r="T17" s="139"/>
      <c r="U17" s="139"/>
      <c r="V17" s="107">
        <v>5.76</v>
      </c>
      <c r="W17" s="150">
        <f t="shared" si="28"/>
        <v>0</v>
      </c>
      <c r="X17" s="19">
        <v>3.3000000000000002E-2</v>
      </c>
      <c r="Y17" s="19">
        <v>0.57999999999999996</v>
      </c>
      <c r="Z17" s="20">
        <v>12.6</v>
      </c>
      <c r="AA17" s="150">
        <f t="shared" si="29"/>
        <v>1.9599999999999996E-2</v>
      </c>
      <c r="AB17" s="7">
        <v>7.2569469037278622E-2</v>
      </c>
      <c r="AC17" s="150">
        <f t="shared" si="30"/>
        <v>0.10238805970149256</v>
      </c>
      <c r="AE17" s="168"/>
      <c r="AF17" s="19">
        <v>0</v>
      </c>
      <c r="AG17" s="19">
        <v>0.02</v>
      </c>
      <c r="AH17" s="19">
        <v>7.0000000000000007E-2</v>
      </c>
    </row>
    <row r="18" spans="1:34" x14ac:dyDescent="0.2">
      <c r="A18" s="172"/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1.2913762741130704E-2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A19" s="172"/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1.2514351805374456E-2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A20" s="172"/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1.6496008854847991E-2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147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85.021271999999982</v>
      </c>
      <c r="M22" s="146">
        <f t="shared" ref="M22:N25" si="31">L22*Y22</f>
        <v>56.964252239999993</v>
      </c>
      <c r="N22" s="146">
        <f t="shared" si="31"/>
        <v>575.33894762399996</v>
      </c>
      <c r="O22" s="146">
        <f t="shared" ref="O22:O25" si="32">M22*AH22</f>
        <v>4.5571401791999993</v>
      </c>
      <c r="Q22" s="13"/>
      <c r="R22" s="139"/>
      <c r="S22" s="138"/>
      <c r="T22" s="139"/>
      <c r="U22" s="139"/>
      <c r="V22" s="140"/>
      <c r="W22" s="154"/>
      <c r="X22" s="139"/>
      <c r="Y22" s="19">
        <v>0.67</v>
      </c>
      <c r="Z22" s="20">
        <v>10.1</v>
      </c>
      <c r="AA22" s="150">
        <f>(AG22/SUM(AG$6:AG$25))*0.98</f>
        <v>0.14699999999999996</v>
      </c>
      <c r="AB22" s="7">
        <v>9.5820640034972884E-2</v>
      </c>
      <c r="AC22" s="150">
        <f>(AH22/SUM(AH$6:AH$25))*0.98</f>
        <v>0.11701492537313433</v>
      </c>
      <c r="AE22" s="168"/>
      <c r="AF22" s="168"/>
      <c r="AG22" s="19">
        <v>0.15</v>
      </c>
      <c r="AH22" s="19">
        <v>0.08</v>
      </c>
    </row>
    <row r="23" spans="1:34" x14ac:dyDescent="0.2">
      <c r="A23" s="17" t="s">
        <v>51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22.672339199999993</v>
      </c>
      <c r="M23" s="146">
        <f t="shared" si="31"/>
        <v>14.737020479999996</v>
      </c>
      <c r="N23" s="146">
        <f t="shared" si="31"/>
        <v>157.68611913599995</v>
      </c>
      <c r="O23" s="146">
        <f t="shared" si="32"/>
        <v>1.3263318431999995</v>
      </c>
      <c r="Q23" s="13"/>
      <c r="R23" s="139"/>
      <c r="S23" s="138"/>
      <c r="T23" s="139"/>
      <c r="U23" s="139"/>
      <c r="V23" s="140"/>
      <c r="W23" s="154"/>
      <c r="X23" s="139"/>
      <c r="Y23" s="19">
        <v>0.65</v>
      </c>
      <c r="Z23" s="20">
        <v>10.7</v>
      </c>
      <c r="AA23" s="150">
        <f>(AG23/SUM(AG$6:AG$25))*0.98</f>
        <v>3.9199999999999992E-2</v>
      </c>
      <c r="AB23" s="7">
        <v>7.3361355804633321E-2</v>
      </c>
      <c r="AC23" s="150">
        <f>(AH23/SUM(AH$6:AH$25))*0.98</f>
        <v>0.13164179104477611</v>
      </c>
      <c r="AE23" s="168"/>
      <c r="AF23" s="168"/>
      <c r="AG23" s="19">
        <v>0.04</v>
      </c>
      <c r="AH23" s="19">
        <v>0.09</v>
      </c>
    </row>
    <row r="24" spans="1:34" x14ac:dyDescent="0.2"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3.0878556620216914E-2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1.3381234990084118E-2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0.97999999999999965</v>
      </c>
      <c r="AB28" s="150">
        <f>SUM(AB2:AB4,AB6:AB11,AB13:AB20,AB22:AB25)</f>
        <v>1.0399989155236451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1044</v>
      </c>
      <c r="E29" s="47">
        <v>0.55400000000000005</v>
      </c>
      <c r="F29" s="2">
        <f>1-E29</f>
        <v>0.44599999999999995</v>
      </c>
      <c r="G29" s="106">
        <v>4.45</v>
      </c>
      <c r="H29" s="126">
        <v>3.6999999999999998E-2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578.37600000000009</v>
      </c>
      <c r="E32" s="156">
        <f>SUM(E2:E4)</f>
        <v>367.51167792000001</v>
      </c>
      <c r="F32" s="156">
        <f>SUM(F2:F4)</f>
        <v>4133.2903988976004</v>
      </c>
      <c r="G32" s="156">
        <f>SUM(G2:G4)</f>
        <v>26.466485760000001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465.62399999999997</v>
      </c>
      <c r="E35" s="156">
        <f>D35*G29</f>
        <v>2072.0268000000001</v>
      </c>
      <c r="F35" s="156">
        <f>D35*H29</f>
        <v>17.228088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54" t="s">
        <v>294</v>
      </c>
      <c r="B37" s="40"/>
      <c r="C37" s="40"/>
      <c r="D37" s="10" t="s">
        <v>288</v>
      </c>
      <c r="E37" s="161" t="s">
        <v>289</v>
      </c>
      <c r="F37" s="10" t="s">
        <v>290</v>
      </c>
      <c r="G37" s="10" t="s">
        <v>286</v>
      </c>
      <c r="H37" s="161" t="s">
        <v>287</v>
      </c>
      <c r="I37" s="10" t="s">
        <v>291</v>
      </c>
      <c r="J37" s="160" t="s">
        <v>292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5" thickBot="1" x14ac:dyDescent="0.25">
      <c r="A38" s="52"/>
      <c r="B38" s="23"/>
      <c r="C38" s="23"/>
      <c r="D38" s="157">
        <f>SUM(I2:I20)</f>
        <v>456.31151999999992</v>
      </c>
      <c r="E38" s="157">
        <f>SUM(J2:J4,J6:J11,J13:J20)</f>
        <v>2063.21253768</v>
      </c>
      <c r="F38" s="157">
        <f>SUM(K2:K4,K6:K11,K13:K20)</f>
        <v>17.193818073599999</v>
      </c>
      <c r="G38" s="157">
        <f>SUM(L6:L11,L13:L20,L22:L25)</f>
        <v>566.80847999999992</v>
      </c>
      <c r="H38" s="157">
        <f>SUM(M6:M11,M13:M20,M22:M25)</f>
        <v>366.81010783199991</v>
      </c>
      <c r="I38" s="157">
        <f>SUM(N6:N11,N13:N20,N22:N25)</f>
        <v>4129.325891686799</v>
      </c>
      <c r="J38" s="157">
        <f>SUM(O6:O11,O13:O20,O22:O25)</f>
        <v>26.442182400479997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5" thickTop="1" x14ac:dyDescent="0.2">
      <c r="A39" s="52"/>
      <c r="B39" s="23"/>
      <c r="C39" s="23"/>
      <c r="D39" s="158">
        <f>D35-D38</f>
        <v>9.3124800000000505</v>
      </c>
      <c r="E39" s="158">
        <f>E35-E38</f>
        <v>8.8142623200001253</v>
      </c>
      <c r="F39" s="158">
        <f>F35-F38</f>
        <v>3.4269926400000372E-2</v>
      </c>
      <c r="G39" s="158">
        <f>SUM(D2:D4)-G38</f>
        <v>11.567520000000059</v>
      </c>
      <c r="H39" s="158">
        <f>E32-H38</f>
        <v>0.70157008800009635</v>
      </c>
      <c r="I39" s="158">
        <f>F32-I38</f>
        <v>3.9645072108014574</v>
      </c>
      <c r="J39" s="158">
        <f>G32-J38</f>
        <v>2.4303359520004619E-2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A40" s="52"/>
      <c r="B40" s="23"/>
      <c r="C40" s="23"/>
      <c r="D40" s="18"/>
      <c r="E40" s="18"/>
      <c r="F40" s="18"/>
      <c r="G40" s="26"/>
      <c r="I40" s="26"/>
      <c r="J40" s="25"/>
      <c r="K40" s="26"/>
      <c r="L40" s="26"/>
      <c r="M40" s="25"/>
      <c r="N40" s="26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A41" s="52"/>
      <c r="B41" s="23"/>
      <c r="C41" s="23"/>
      <c r="D41" s="18"/>
      <c r="E41" s="18"/>
      <c r="F41" s="18"/>
      <c r="G41" s="26"/>
      <c r="I41" s="26"/>
      <c r="J41" s="25"/>
      <c r="K41" s="26"/>
      <c r="L41" s="26"/>
      <c r="M41" s="25"/>
      <c r="N41" s="26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2"/>
      <c r="B42" s="23"/>
      <c r="C42" s="23"/>
      <c r="D42" s="18"/>
      <c r="E42" s="18"/>
      <c r="F42" s="18"/>
      <c r="G42" s="26"/>
      <c r="I42" s="26"/>
      <c r="J42" s="25"/>
      <c r="K42" s="26"/>
      <c r="L42" s="26"/>
      <c r="M42" s="25"/>
      <c r="N42" s="26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2"/>
      <c r="B43" s="23"/>
      <c r="C43" s="23"/>
      <c r="D43" s="18"/>
      <c r="E43" s="18"/>
      <c r="F43" s="18"/>
      <c r="G43" s="26"/>
      <c r="I43" s="26"/>
      <c r="J43" s="25"/>
      <c r="K43" s="26"/>
      <c r="L43" s="26"/>
      <c r="M43" s="25"/>
      <c r="N43" s="26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A44" s="52"/>
      <c r="B44" s="23"/>
      <c r="C44" s="23"/>
      <c r="D44" s="18"/>
      <c r="E44" s="18"/>
      <c r="F44" s="18"/>
      <c r="G44" s="26"/>
      <c r="I44" s="26"/>
      <c r="J44" s="25"/>
      <c r="K44" s="26"/>
      <c r="L44" s="26"/>
      <c r="M44" s="25"/>
      <c r="N44" s="26"/>
      <c r="Q44" s="18"/>
      <c r="R44" s="18"/>
      <c r="S44" s="18"/>
      <c r="T44" s="18"/>
      <c r="U44" s="18"/>
      <c r="V44" s="181"/>
      <c r="W44" s="18"/>
      <c r="X44" s="30"/>
      <c r="Y44" s="30"/>
      <c r="Z44" s="181"/>
      <c r="AC44" s="18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80" priority="1" operator="lessThan">
      <formula>0</formula>
    </cfRule>
  </conditionalFormatting>
  <conditionalFormatting sqref="W28">
    <cfRule type="cellIs" dxfId="79" priority="2" operator="greaterThan">
      <formula>1</formula>
    </cfRule>
  </conditionalFormatting>
  <conditionalFormatting sqref="AA28:AG28">
    <cfRule type="cellIs" dxfId="7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66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148</v>
      </c>
      <c r="B2" s="18" t="s">
        <v>9</v>
      </c>
      <c r="C2" s="18">
        <v>7</v>
      </c>
      <c r="D2" s="146">
        <f>D$32*Q2</f>
        <v>604.47929999999997</v>
      </c>
      <c r="E2" s="146">
        <f>D2*R2</f>
        <v>408.62800679999998</v>
      </c>
      <c r="F2" s="146">
        <f>E2*S2</f>
        <v>4529.6414553780005</v>
      </c>
      <c r="G2" s="146">
        <f>D2*T2</f>
        <v>31.432923599999995</v>
      </c>
      <c r="H2" s="146">
        <f>E2*U2</f>
        <v>8.1725601359999995</v>
      </c>
      <c r="I2" s="146">
        <f>D$35*W2</f>
        <v>55.114063199999997</v>
      </c>
      <c r="J2" s="146">
        <f>I2*V2</f>
        <v>193.45036183199997</v>
      </c>
      <c r="K2" s="146">
        <f>I2*X2</f>
        <v>2.2045625279999999</v>
      </c>
      <c r="L2" s="147"/>
      <c r="M2" s="147"/>
      <c r="N2" s="147"/>
      <c r="O2" s="147"/>
      <c r="Q2" s="150">
        <f>(AE2/SUM(AE$2:AE$25))</f>
        <v>0.95</v>
      </c>
      <c r="R2" s="19">
        <v>0.67600000000000005</v>
      </c>
      <c r="S2" s="107">
        <v>11.085000000000001</v>
      </c>
      <c r="T2" s="19">
        <v>5.1999999999999998E-2</v>
      </c>
      <c r="U2" s="19">
        <v>0.02</v>
      </c>
      <c r="V2" s="107">
        <v>3.51</v>
      </c>
      <c r="W2" s="150">
        <f>(AF2/SUM(AF$2:AF$20))*0.98</f>
        <v>0.13719999999999999</v>
      </c>
      <c r="X2" s="19">
        <v>0.04</v>
      </c>
      <c r="Y2" s="21"/>
      <c r="Z2" s="22"/>
      <c r="AA2" s="1"/>
      <c r="AB2" s="1"/>
      <c r="AC2" s="1"/>
      <c r="AE2" s="19">
        <v>0.95</v>
      </c>
      <c r="AF2" s="19">
        <v>0.14000000000000001</v>
      </c>
      <c r="AG2" s="168"/>
      <c r="AH2" s="168"/>
    </row>
    <row r="3" spans="1:34" x14ac:dyDescent="0.2">
      <c r="A3" s="17" t="s">
        <v>580</v>
      </c>
      <c r="B3" s="18" t="s">
        <v>9</v>
      </c>
      <c r="C3" s="18">
        <v>7</v>
      </c>
      <c r="D3" s="146">
        <f>D$32*Q3</f>
        <v>31.814700000000027</v>
      </c>
      <c r="E3" s="146">
        <f t="shared" ref="E3:F4" si="0">D3*R3</f>
        <v>19.311522900000014</v>
      </c>
      <c r="F3" s="146">
        <f t="shared" si="0"/>
        <v>209.53002346500014</v>
      </c>
      <c r="G3" s="146">
        <f t="shared" ref="G3:G4" si="1">D3*T3</f>
        <v>1.0816998000000011</v>
      </c>
      <c r="H3" s="146">
        <f t="shared" ref="H3:H4" si="2">E3*U3</f>
        <v>0.38623045800000028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5.0000000000000044E-2</v>
      </c>
      <c r="R3" s="19">
        <v>0.60699999999999998</v>
      </c>
      <c r="S3" s="107">
        <v>10.85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5.0000000000000044E-2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571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3">D$35*W6</f>
        <v>181.08906479999999</v>
      </c>
      <c r="J6" s="146">
        <f>I6*V6</f>
        <v>724.35625919999995</v>
      </c>
      <c r="K6" s="146">
        <f>I6*X6</f>
        <v>6.8813844623999998</v>
      </c>
      <c r="L6" s="146">
        <f>((D$2+D$3+D$4)*AA6)</f>
        <v>43.649768400000006</v>
      </c>
      <c r="M6" s="146">
        <f t="shared" ref="M6:N11" si="4">L6*Y6</f>
        <v>34.570616572800006</v>
      </c>
      <c r="N6" s="146">
        <f t="shared" si="4"/>
        <v>231.62313103776003</v>
      </c>
      <c r="O6" s="146">
        <f>M6*AH6</f>
        <v>1.2099715800480004</v>
      </c>
      <c r="Q6" s="13"/>
      <c r="R6" s="139"/>
      <c r="S6" s="138"/>
      <c r="T6" s="139"/>
      <c r="U6" s="139"/>
      <c r="V6" s="107">
        <v>4</v>
      </c>
      <c r="W6" s="150">
        <f t="shared" ref="W6:W11" si="5">(AF6/SUM(AF$2:AF$20))*0.98</f>
        <v>0.45079999999999992</v>
      </c>
      <c r="X6" s="19">
        <v>3.7999999999999999E-2</v>
      </c>
      <c r="Y6" s="19">
        <v>0.79200000000000004</v>
      </c>
      <c r="Z6" s="20">
        <v>6.7</v>
      </c>
      <c r="AA6" s="150">
        <f t="shared" ref="AA6:AA11" si="6">(AG6/SUM(AG$6:AG$25))*0.98</f>
        <v>6.8600000000000008E-2</v>
      </c>
      <c r="AB6" s="7">
        <v>0.11019295035647354</v>
      </c>
      <c r="AC6" s="150">
        <f t="shared" ref="AC6:AC11" si="7">(AH6/SUM(AH$6:AH$25))*0.98</f>
        <v>4.1575757575757571E-2</v>
      </c>
      <c r="AE6" s="168"/>
      <c r="AF6" s="19">
        <v>0.46</v>
      </c>
      <c r="AG6" s="19">
        <v>7.0000000000000007E-2</v>
      </c>
      <c r="AH6" s="19">
        <v>3.5000000000000003E-2</v>
      </c>
    </row>
    <row r="7" spans="1:34" x14ac:dyDescent="0.2">
      <c r="A7" s="176" t="s">
        <v>509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3"/>
        <v>129.91172039999998</v>
      </c>
      <c r="J7" s="146">
        <f>I7*V7</f>
        <v>567.71421814799987</v>
      </c>
      <c r="K7" s="146">
        <f>I7*X7</f>
        <v>4.6768219343999986</v>
      </c>
      <c r="L7" s="146">
        <f>((D$2+D$3+D$4)*AA7)</f>
        <v>24.942724799999997</v>
      </c>
      <c r="M7" s="146">
        <f t="shared" si="4"/>
        <v>19.629924417599998</v>
      </c>
      <c r="N7" s="146">
        <f t="shared" si="4"/>
        <v>141.33545580671998</v>
      </c>
      <c r="O7" s="146">
        <f t="shared" ref="O7:O11" si="8">M7*AH7</f>
        <v>0.68704735461599997</v>
      </c>
      <c r="Q7" s="13"/>
      <c r="R7" s="139"/>
      <c r="S7" s="138"/>
      <c r="T7" s="139"/>
      <c r="U7" s="139"/>
      <c r="V7" s="107">
        <v>4.37</v>
      </c>
      <c r="W7" s="150">
        <f t="shared" si="5"/>
        <v>0.32339999999999997</v>
      </c>
      <c r="X7" s="19">
        <v>3.5999999999999997E-2</v>
      </c>
      <c r="Y7" s="19">
        <v>0.78700000000000003</v>
      </c>
      <c r="Z7" s="20">
        <v>7.2</v>
      </c>
      <c r="AA7" s="150">
        <f t="shared" si="6"/>
        <v>3.9199999999999999E-2</v>
      </c>
      <c r="AB7" s="7">
        <v>3.0610151942138949E-2</v>
      </c>
      <c r="AC7" s="150">
        <f t="shared" si="7"/>
        <v>4.1575757575757571E-2</v>
      </c>
      <c r="AE7" s="168"/>
      <c r="AF7" s="19">
        <v>0.33</v>
      </c>
      <c r="AG7" s="19">
        <v>0.04</v>
      </c>
      <c r="AH7" s="19">
        <v>3.5000000000000003E-2</v>
      </c>
    </row>
    <row r="8" spans="1:34" x14ac:dyDescent="0.2">
      <c r="A8" s="17" t="s">
        <v>560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si="3"/>
        <v>15.746875199999998</v>
      </c>
      <c r="J8" s="146">
        <f>I8*V8</f>
        <v>62.987500799999992</v>
      </c>
      <c r="K8" s="146">
        <f>I8*X8</f>
        <v>0.39367187999999997</v>
      </c>
      <c r="L8" s="146">
        <f>((D$2+D$3+D$4)*AA8)</f>
        <v>6.2356811999999993</v>
      </c>
      <c r="M8" s="146">
        <f t="shared" si="4"/>
        <v>4.3649768399999989</v>
      </c>
      <c r="N8" s="146">
        <f t="shared" si="4"/>
        <v>27.062856407999995</v>
      </c>
      <c r="O8" s="146">
        <f t="shared" si="8"/>
        <v>8.729953679999998E-2</v>
      </c>
      <c r="Q8" s="13"/>
      <c r="R8" s="139"/>
      <c r="S8" s="138"/>
      <c r="T8" s="139"/>
      <c r="U8" s="139"/>
      <c r="V8" s="107">
        <v>4</v>
      </c>
      <c r="W8" s="150">
        <f t="shared" si="5"/>
        <v>3.9199999999999992E-2</v>
      </c>
      <c r="X8" s="19">
        <v>2.5000000000000001E-2</v>
      </c>
      <c r="Y8" s="19">
        <v>0.7</v>
      </c>
      <c r="Z8" s="20">
        <v>6.2</v>
      </c>
      <c r="AA8" s="150">
        <f t="shared" si="6"/>
        <v>9.7999999999999997E-3</v>
      </c>
      <c r="AB8" s="7">
        <v>2.4073819007893484E-2</v>
      </c>
      <c r="AC8" s="150">
        <f t="shared" si="7"/>
        <v>2.3757575757575755E-2</v>
      </c>
      <c r="AE8" s="168"/>
      <c r="AF8" s="19">
        <v>0.04</v>
      </c>
      <c r="AG8" s="19">
        <v>0.01</v>
      </c>
      <c r="AH8" s="19">
        <v>0.02</v>
      </c>
    </row>
    <row r="9" spans="1:34" x14ac:dyDescent="0.2">
      <c r="A9" s="176" t="s">
        <v>197</v>
      </c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3"/>
        <v>11.810156399999997</v>
      </c>
      <c r="J9" s="146">
        <f t="shared" ref="J9:J11" si="9">I9*V9</f>
        <v>49.720758443999983</v>
      </c>
      <c r="K9" s="146">
        <f t="shared" ref="K9:K11" si="10">I9*X9</f>
        <v>0.37792500479999991</v>
      </c>
      <c r="L9" s="146">
        <f t="shared" ref="L9:L11" si="11">((D$2+D$3+D$4)*AA9)</f>
        <v>12.471362399999999</v>
      </c>
      <c r="M9" s="146">
        <f t="shared" si="4"/>
        <v>10.0519180944</v>
      </c>
      <c r="N9" s="146">
        <f t="shared" si="4"/>
        <v>68.353043041919989</v>
      </c>
      <c r="O9" s="146">
        <f t="shared" si="8"/>
        <v>0.351817133304</v>
      </c>
      <c r="Q9" s="13"/>
      <c r="R9" s="139"/>
      <c r="S9" s="138"/>
      <c r="T9" s="139"/>
      <c r="U9" s="139"/>
      <c r="V9" s="107">
        <v>4.21</v>
      </c>
      <c r="W9" s="150">
        <f t="shared" si="5"/>
        <v>2.9399999999999992E-2</v>
      </c>
      <c r="X9" s="19">
        <v>3.2000000000000001E-2</v>
      </c>
      <c r="Y9" s="19">
        <v>0.80600000000000005</v>
      </c>
      <c r="Z9" s="20">
        <v>6.8</v>
      </c>
      <c r="AA9" s="150">
        <f t="shared" si="6"/>
        <v>1.9599999999999999E-2</v>
      </c>
      <c r="AB9" s="7">
        <v>1.5647423061763123E-2</v>
      </c>
      <c r="AC9" s="150">
        <f t="shared" si="7"/>
        <v>4.1575757575757571E-2</v>
      </c>
      <c r="AE9" s="168"/>
      <c r="AF9" s="19">
        <v>0.03</v>
      </c>
      <c r="AG9" s="19">
        <v>0.02</v>
      </c>
      <c r="AH9" s="19">
        <v>3.5000000000000003E-2</v>
      </c>
    </row>
    <row r="10" spans="1:34" x14ac:dyDescent="0.2">
      <c r="A10" s="172"/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4.7228101233942645E-3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207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>((D$2+D$3+D$4)*AA13)</f>
        <v>155.89203000000001</v>
      </c>
      <c r="M13" s="146">
        <f t="shared" ref="M13:N20" si="15">L13*Y13</f>
        <v>105.85068837000001</v>
      </c>
      <c r="N13" s="146">
        <f t="shared" si="15"/>
        <v>1291.378398114</v>
      </c>
      <c r="O13" s="146">
        <f t="shared" ref="O13:O20" si="16">M13*AH13</f>
        <v>9.5265619533000017</v>
      </c>
      <c r="Q13" s="13"/>
      <c r="R13" s="139"/>
      <c r="S13" s="138"/>
      <c r="T13" s="139"/>
      <c r="U13" s="139"/>
      <c r="V13" s="107">
        <v>5.26</v>
      </c>
      <c r="W13" s="150">
        <f t="shared" ref="W13:W20" si="17">(AF13/SUM(AF$2:AF$20))*0.98</f>
        <v>0</v>
      </c>
      <c r="X13" s="19">
        <v>8.0000000000000002E-3</v>
      </c>
      <c r="Y13" s="19">
        <v>0.67900000000000005</v>
      </c>
      <c r="Z13" s="20">
        <v>12.2</v>
      </c>
      <c r="AA13" s="150">
        <f t="shared" ref="AA13:AA20" si="18">(AG13/SUM(AG$6:AG$25))*0.98</f>
        <v>0.245</v>
      </c>
      <c r="AB13" s="7">
        <v>0.17413459905904427</v>
      </c>
      <c r="AC13" s="150">
        <f t="shared" ref="AC13:AC20" si="19">(AH13/SUM(AH$6:AH$25))*0.98</f>
        <v>0.10690909090909087</v>
      </c>
      <c r="AE13" s="168"/>
      <c r="AF13" s="19">
        <v>0</v>
      </c>
      <c r="AG13" s="19">
        <v>0.25</v>
      </c>
      <c r="AH13" s="19">
        <v>0.09</v>
      </c>
    </row>
    <row r="14" spans="1:34" x14ac:dyDescent="0.2">
      <c r="A14" s="17" t="s">
        <v>149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>((D$2+D$3+D$4)*AA14)</f>
        <v>130.9493052</v>
      </c>
      <c r="M14" s="146">
        <f t="shared" si="15"/>
        <v>84.069453938400002</v>
      </c>
      <c r="N14" s="146">
        <f t="shared" si="15"/>
        <v>1134.9376281684001</v>
      </c>
      <c r="O14" s="146">
        <f t="shared" si="16"/>
        <v>7.5662508544560003</v>
      </c>
      <c r="Q14" s="13"/>
      <c r="R14" s="139"/>
      <c r="S14" s="138"/>
      <c r="T14" s="139"/>
      <c r="U14" s="139"/>
      <c r="V14" s="107">
        <v>5.0199999999999996</v>
      </c>
      <c r="W14" s="150">
        <f t="shared" si="17"/>
        <v>0</v>
      </c>
      <c r="X14" s="19">
        <v>1.4999999999999999E-2</v>
      </c>
      <c r="Y14" s="19">
        <v>0.64200000000000002</v>
      </c>
      <c r="Z14" s="20">
        <v>13.5</v>
      </c>
      <c r="AA14" s="150">
        <f t="shared" si="18"/>
        <v>0.20579999999999998</v>
      </c>
      <c r="AB14" s="7">
        <v>0.17701615556825709</v>
      </c>
      <c r="AC14" s="150">
        <f t="shared" si="19"/>
        <v>0.10690909090909087</v>
      </c>
      <c r="AE14" s="168"/>
      <c r="AF14" s="19">
        <v>0</v>
      </c>
      <c r="AG14" s="19">
        <v>0.21</v>
      </c>
      <c r="AH14" s="19">
        <v>0.09</v>
      </c>
    </row>
    <row r="15" spans="1:34" x14ac:dyDescent="0.2">
      <c r="A15" s="17" t="s">
        <v>573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>((D$2+D$3+D$4)*AA15)</f>
        <v>62.356811999999998</v>
      </c>
      <c r="M15" s="146">
        <f t="shared" si="15"/>
        <v>39.347148371999999</v>
      </c>
      <c r="N15" s="146">
        <f t="shared" si="15"/>
        <v>452.49220627799997</v>
      </c>
      <c r="O15" s="146">
        <f t="shared" si="16"/>
        <v>3.1477718697600001</v>
      </c>
      <c r="Q15" s="13"/>
      <c r="R15" s="139"/>
      <c r="S15" s="138"/>
      <c r="T15" s="139"/>
      <c r="U15" s="139"/>
      <c r="V15" s="107">
        <v>5.0199999999999996</v>
      </c>
      <c r="W15" s="150">
        <f t="shared" si="17"/>
        <v>0</v>
      </c>
      <c r="X15" s="19">
        <v>1.4999999999999999E-2</v>
      </c>
      <c r="Y15" s="19">
        <v>0.63100000000000001</v>
      </c>
      <c r="Z15" s="20">
        <v>11.5</v>
      </c>
      <c r="AA15" s="150">
        <f t="shared" si="18"/>
        <v>9.8000000000000004E-2</v>
      </c>
      <c r="AB15" s="7">
        <v>0.18602938435109759</v>
      </c>
      <c r="AC15" s="150">
        <f t="shared" si="19"/>
        <v>9.5030303030303021E-2</v>
      </c>
      <c r="AE15" s="168"/>
      <c r="AF15" s="19">
        <v>0</v>
      </c>
      <c r="AG15" s="19">
        <v>0.1</v>
      </c>
      <c r="AH15" s="19">
        <v>0.08</v>
      </c>
    </row>
    <row r="16" spans="1:34" x14ac:dyDescent="0.2">
      <c r="A16" s="17" t="s">
        <v>510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>((D$2+D$3+D$4)*AA16)</f>
        <v>18.707043599999999</v>
      </c>
      <c r="M16" s="146">
        <f t="shared" si="15"/>
        <v>12.589840342800001</v>
      </c>
      <c r="N16" s="146">
        <f t="shared" si="15"/>
        <v>137.22925973652002</v>
      </c>
      <c r="O16" s="146">
        <f t="shared" si="16"/>
        <v>0.94423802571000004</v>
      </c>
      <c r="Q16" s="13"/>
      <c r="R16" s="139"/>
      <c r="S16" s="138"/>
      <c r="T16" s="139"/>
      <c r="U16" s="139"/>
      <c r="V16" s="107">
        <v>5.0199999999999996</v>
      </c>
      <c r="W16" s="150">
        <f t="shared" si="17"/>
        <v>0</v>
      </c>
      <c r="X16" s="19">
        <v>1.4999999999999999E-2</v>
      </c>
      <c r="Y16" s="19">
        <v>0.67300000000000004</v>
      </c>
      <c r="Z16" s="20">
        <v>10.9</v>
      </c>
      <c r="AA16" s="150">
        <f t="shared" si="18"/>
        <v>2.9399999999999999E-2</v>
      </c>
      <c r="AB16" s="7">
        <v>6.1298574977772351E-2</v>
      </c>
      <c r="AC16" s="150">
        <f t="shared" si="19"/>
        <v>8.9090909090909068E-2</v>
      </c>
      <c r="AE16" s="168"/>
      <c r="AF16" s="19">
        <v>0</v>
      </c>
      <c r="AG16" s="19">
        <v>0.03</v>
      </c>
      <c r="AH16" s="19">
        <v>7.4999999999999997E-2</v>
      </c>
    </row>
    <row r="17" spans="1:34" x14ac:dyDescent="0.2">
      <c r="A17" s="17" t="s">
        <v>645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>((D$2+D$3+D$4)*AA17)</f>
        <v>81.063855600000011</v>
      </c>
      <c r="M17" s="146">
        <f t="shared" si="15"/>
        <v>52.772569995600008</v>
      </c>
      <c r="N17" s="146">
        <f t="shared" si="15"/>
        <v>654.37986794544008</v>
      </c>
      <c r="O17" s="146">
        <f t="shared" si="16"/>
        <v>4.4856684496260009</v>
      </c>
      <c r="Q17" s="13"/>
      <c r="R17" s="139"/>
      <c r="S17" s="138"/>
      <c r="T17" s="139"/>
      <c r="U17" s="139"/>
      <c r="V17" s="107">
        <v>5.0199999999999996</v>
      </c>
      <c r="W17" s="150">
        <f t="shared" si="17"/>
        <v>0</v>
      </c>
      <c r="X17" s="19">
        <v>1.4999999999999999E-2</v>
      </c>
      <c r="Y17" s="19">
        <v>0.65100000000000002</v>
      </c>
      <c r="Z17" s="20">
        <v>12.4</v>
      </c>
      <c r="AA17" s="150">
        <f t="shared" si="18"/>
        <v>0.12740000000000001</v>
      </c>
      <c r="AB17" s="7">
        <v>3.0066480365919933E-2</v>
      </c>
      <c r="AC17" s="150">
        <f t="shared" si="19"/>
        <v>0.10096969696969695</v>
      </c>
      <c r="AE17" s="168"/>
      <c r="AF17" s="19">
        <v>0</v>
      </c>
      <c r="AG17" s="19">
        <v>0.13</v>
      </c>
      <c r="AH17" s="19">
        <v>8.5000000000000006E-2</v>
      </c>
    </row>
    <row r="18" spans="1:34" x14ac:dyDescent="0.2"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ref="L18:L20" si="20">((D$2+D$3+D$4)*AA18)</f>
        <v>0</v>
      </c>
      <c r="M18" s="146">
        <f t="shared" si="15"/>
        <v>0</v>
      </c>
      <c r="N18" s="146">
        <f t="shared" si="15"/>
        <v>0</v>
      </c>
      <c r="O18" s="146">
        <f t="shared" si="16"/>
        <v>0</v>
      </c>
      <c r="Q18" s="13"/>
      <c r="R18" s="139"/>
      <c r="S18" s="138"/>
      <c r="T18" s="139"/>
      <c r="U18" s="139"/>
      <c r="V18" s="107">
        <v>0</v>
      </c>
      <c r="W18" s="150">
        <f t="shared" si="17"/>
        <v>0</v>
      </c>
      <c r="X18" s="19">
        <v>0</v>
      </c>
      <c r="Y18" s="19">
        <v>0</v>
      </c>
      <c r="Z18" s="20">
        <v>0</v>
      </c>
      <c r="AA18" s="150">
        <f t="shared" si="18"/>
        <v>0</v>
      </c>
      <c r="AB18" s="7"/>
      <c r="AC18" s="150">
        <f t="shared" si="19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20"/>
        <v>0</v>
      </c>
      <c r="M19" s="146">
        <f t="shared" si="15"/>
        <v>0</v>
      </c>
      <c r="N19" s="146">
        <f t="shared" si="15"/>
        <v>0</v>
      </c>
      <c r="O19" s="146">
        <f t="shared" si="16"/>
        <v>0</v>
      </c>
      <c r="Q19" s="13"/>
      <c r="R19" s="139"/>
      <c r="S19" s="138"/>
      <c r="T19" s="139"/>
      <c r="U19" s="139"/>
      <c r="V19" s="107">
        <v>0</v>
      </c>
      <c r="W19" s="150">
        <f t="shared" si="17"/>
        <v>0</v>
      </c>
      <c r="X19" s="19">
        <v>0</v>
      </c>
      <c r="Y19" s="19">
        <v>0</v>
      </c>
      <c r="Z19" s="20">
        <v>0</v>
      </c>
      <c r="AA19" s="150">
        <f t="shared" si="18"/>
        <v>0</v>
      </c>
      <c r="AB19" s="7"/>
      <c r="AC19" s="150">
        <f t="shared" si="19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20"/>
        <v>0</v>
      </c>
      <c r="M20" s="146">
        <f t="shared" si="15"/>
        <v>0</v>
      </c>
      <c r="N20" s="146">
        <f t="shared" si="15"/>
        <v>0</v>
      </c>
      <c r="O20" s="146">
        <f t="shared" si="16"/>
        <v>0</v>
      </c>
      <c r="Q20" s="13"/>
      <c r="R20" s="139"/>
      <c r="S20" s="138"/>
      <c r="T20" s="139"/>
      <c r="U20" s="139"/>
      <c r="V20" s="107">
        <v>0</v>
      </c>
      <c r="W20" s="150">
        <f t="shared" si="17"/>
        <v>0</v>
      </c>
      <c r="X20" s="19">
        <v>0</v>
      </c>
      <c r="Y20" s="19">
        <v>0</v>
      </c>
      <c r="Z20" s="20">
        <v>0</v>
      </c>
      <c r="AA20" s="150">
        <f t="shared" si="18"/>
        <v>0</v>
      </c>
      <c r="AB20" s="7"/>
      <c r="AC20" s="150">
        <f t="shared" si="19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59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49.885449599999994</v>
      </c>
      <c r="M22" s="146">
        <f t="shared" ref="M22:N25" si="21">L22*Y22</f>
        <v>35.219127417599992</v>
      </c>
      <c r="N22" s="146">
        <f t="shared" si="21"/>
        <v>345.14744869247994</v>
      </c>
      <c r="O22" s="146">
        <f t="shared" ref="O22:O25" si="22">M22*AH22</f>
        <v>2.6414345563199992</v>
      </c>
      <c r="Q22" s="13"/>
      <c r="R22" s="139"/>
      <c r="S22" s="138"/>
      <c r="T22" s="139"/>
      <c r="U22" s="139"/>
      <c r="V22" s="140"/>
      <c r="W22" s="154"/>
      <c r="X22" s="139"/>
      <c r="Y22" s="19">
        <v>0.70599999999999996</v>
      </c>
      <c r="Z22" s="20">
        <v>9.8000000000000007</v>
      </c>
      <c r="AA22" s="150">
        <f>(AG22/SUM(AG$6:AG$25))*0.98</f>
        <v>7.8399999999999997E-2</v>
      </c>
      <c r="AB22" s="7">
        <v>8.0561620434466574E-2</v>
      </c>
      <c r="AC22" s="150">
        <f>(AH22/SUM(AH$6:AH$25))*0.98</f>
        <v>8.9090909090909068E-2</v>
      </c>
      <c r="AE22" s="168"/>
      <c r="AF22" s="168"/>
      <c r="AG22" s="19">
        <v>0.08</v>
      </c>
      <c r="AH22" s="19">
        <v>7.4999999999999997E-2</v>
      </c>
    </row>
    <row r="23" spans="1:34" x14ac:dyDescent="0.2">
      <c r="A23" s="17" t="s">
        <v>590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12.471362399999999</v>
      </c>
      <c r="M23" s="146">
        <f t="shared" si="21"/>
        <v>9.1664513639999985</v>
      </c>
      <c r="N23" s="146">
        <f t="shared" si="21"/>
        <v>82.956384844199988</v>
      </c>
      <c r="O23" s="146">
        <f t="shared" si="22"/>
        <v>0.59581933865999992</v>
      </c>
      <c r="Q23" s="13"/>
      <c r="R23" s="139"/>
      <c r="S23" s="138"/>
      <c r="T23" s="139"/>
      <c r="U23" s="139"/>
      <c r="V23" s="140"/>
      <c r="W23" s="154"/>
      <c r="X23" s="139"/>
      <c r="Y23" s="19">
        <v>0.73499999999999999</v>
      </c>
      <c r="Z23" s="20">
        <v>9.0500000000000007</v>
      </c>
      <c r="AA23" s="150">
        <f>(AG23/SUM(AG$6:AG$25))*0.98</f>
        <v>1.9599999999999999E-2</v>
      </c>
      <c r="AB23" s="7">
        <v>5.1475813957129843E-2</v>
      </c>
      <c r="AC23" s="150">
        <f>(AH23/SUM(AH$6:AH$25))*0.98</f>
        <v>7.721212121212119E-2</v>
      </c>
      <c r="AE23" s="168"/>
      <c r="AF23" s="168"/>
      <c r="AG23" s="19">
        <v>0.02</v>
      </c>
      <c r="AH23" s="19">
        <v>6.5000000000000002E-2</v>
      </c>
    </row>
    <row r="24" spans="1:34" x14ac:dyDescent="0.2">
      <c r="A24" s="17" t="s">
        <v>646</v>
      </c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12.471362399999999</v>
      </c>
      <c r="M24" s="146">
        <f t="shared" si="21"/>
        <v>8.5179405191999997</v>
      </c>
      <c r="N24" s="146">
        <f t="shared" si="21"/>
        <v>82.62402303623999</v>
      </c>
      <c r="O24" s="146">
        <f t="shared" si="22"/>
        <v>0.59625583634400003</v>
      </c>
      <c r="Q24" s="13"/>
      <c r="R24" s="139"/>
      <c r="S24" s="138"/>
      <c r="T24" s="139"/>
      <c r="U24" s="139"/>
      <c r="V24" s="140"/>
      <c r="W24" s="154"/>
      <c r="X24" s="139"/>
      <c r="Y24" s="19">
        <v>0.68300000000000005</v>
      </c>
      <c r="Z24" s="20">
        <v>9.6999999999999993</v>
      </c>
      <c r="AA24" s="150">
        <f>(AG24/SUM(AG$6:AG$25))*0.98</f>
        <v>1.9599999999999999E-2</v>
      </c>
      <c r="AB24" s="7">
        <v>2.9170216794649029E-2</v>
      </c>
      <c r="AC24" s="150">
        <f>(AH24/SUM(AH$6:AH$25))*0.98</f>
        <v>8.3151515151515143E-2</v>
      </c>
      <c r="AE24" s="168"/>
      <c r="AF24" s="168"/>
      <c r="AG24" s="19">
        <v>0.02</v>
      </c>
      <c r="AH24" s="19">
        <v>7.0000000000000007E-2</v>
      </c>
    </row>
    <row r="25" spans="1:34" x14ac:dyDescent="0.2">
      <c r="A25" s="17" t="s">
        <v>647</v>
      </c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12.471362399999999</v>
      </c>
      <c r="M25" s="146">
        <f t="shared" si="21"/>
        <v>8.9419668407999993</v>
      </c>
      <c r="N25" s="146">
        <f t="shared" si="21"/>
        <v>84.948684987599989</v>
      </c>
      <c r="O25" s="146">
        <f t="shared" si="22"/>
        <v>0.62593767885600005</v>
      </c>
      <c r="Q25" s="13"/>
      <c r="R25" s="139"/>
      <c r="S25" s="138"/>
      <c r="T25" s="139"/>
      <c r="U25" s="139"/>
      <c r="V25" s="140"/>
      <c r="W25" s="154"/>
      <c r="X25" s="139"/>
      <c r="Y25" s="19">
        <v>0.71699999999999997</v>
      </c>
      <c r="Z25" s="20">
        <v>9.5</v>
      </c>
      <c r="AA25" s="150">
        <f>(AG25/SUM(AG$6:AG$25))*0.98</f>
        <v>1.9599999999999999E-2</v>
      </c>
      <c r="AB25" s="7"/>
      <c r="AC25" s="150">
        <f>(AH25/SUM(AH$6:AH$25))*0.98</f>
        <v>8.3151515151515143E-2</v>
      </c>
      <c r="AE25" s="168"/>
      <c r="AF25" s="168"/>
      <c r="AG25" s="19">
        <v>0.02</v>
      </c>
      <c r="AH25" s="19">
        <v>7.0000000000000007E-2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0.97999999999999976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0.97500000000000009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1.0000000000000002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1038</v>
      </c>
      <c r="E29" s="47">
        <v>0.61299999999999999</v>
      </c>
      <c r="F29" s="2">
        <f>1-E29</f>
        <v>0.38700000000000001</v>
      </c>
      <c r="G29" s="106">
        <v>4.0999999999999996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636.29399999999998</v>
      </c>
      <c r="E32" s="156">
        <f>SUM(E2:E4)</f>
        <v>427.93952969999998</v>
      </c>
      <c r="F32" s="156">
        <f>SUM(F2:F4)</f>
        <v>4739.1714788430008</v>
      </c>
      <c r="G32" s="156">
        <f>SUM(G2:G4)</f>
        <v>32.514623399999998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401.70600000000002</v>
      </c>
      <c r="E35" s="156">
        <f>D35*G29</f>
        <v>1646.9946</v>
      </c>
      <c r="F35" s="156">
        <f>D35*H29</f>
        <v>14.662269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393.67187999999993</v>
      </c>
      <c r="E38" s="157">
        <f>SUM(J2:J4,J6:J11,J13:J20)</f>
        <v>1598.2290984239996</v>
      </c>
      <c r="F38" s="157">
        <f>SUM(K2:K4,K6:K11,K13:K20)</f>
        <v>14.534365809599999</v>
      </c>
      <c r="G38" s="157">
        <f>SUM(L6:L11,L13:L20,L22:L25)</f>
        <v>623.56812000000002</v>
      </c>
      <c r="H38" s="157">
        <f>SUM(M6:M11,M13:M20,M22:M25)</f>
        <v>425.09262308520005</v>
      </c>
      <c r="I38" s="157">
        <f>SUM(N6:N11,N13:N20,N22:N25)</f>
        <v>4734.4683880972807</v>
      </c>
      <c r="J38" s="157">
        <f>SUM(O6:O11,O13:O20,O22:O25)</f>
        <v>32.466074167800002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8.0341200000000867</v>
      </c>
      <c r="E39" s="158">
        <f>E35-E38</f>
        <v>48.765501576000361</v>
      </c>
      <c r="F39" s="158">
        <f>F35-F38</f>
        <v>0.12790319040000142</v>
      </c>
      <c r="G39" s="158">
        <f>SUM(D2:D4)-G38</f>
        <v>12.725879999999961</v>
      </c>
      <c r="H39" s="158">
        <f>E32-H38</f>
        <v>2.8469066147999342</v>
      </c>
      <c r="I39" s="158">
        <f>F32-I38</f>
        <v>4.7030907457201465</v>
      </c>
      <c r="J39" s="158">
        <f>G32-J38</f>
        <v>4.8549232199995629E-2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77" priority="1" operator="lessThan">
      <formula>0</formula>
    </cfRule>
  </conditionalFormatting>
  <conditionalFormatting sqref="W28">
    <cfRule type="cellIs" dxfId="76" priority="2" operator="greaterThan">
      <formula>1</formula>
    </cfRule>
  </conditionalFormatting>
  <conditionalFormatting sqref="AA28:AG28">
    <cfRule type="cellIs" dxfId="7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E65D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46</v>
      </c>
      <c r="B2" s="18" t="s">
        <v>9</v>
      </c>
      <c r="C2" s="18">
        <v>5</v>
      </c>
      <c r="D2" s="146">
        <f>D$32*Q2</f>
        <v>537.65250000000003</v>
      </c>
      <c r="E2" s="146">
        <f>D2*R2</f>
        <v>339.79638</v>
      </c>
      <c r="F2" s="146">
        <f>E2*S2</f>
        <v>3810.1368089399998</v>
      </c>
      <c r="G2" s="146">
        <f>D2*T2</f>
        <v>23.1190575</v>
      </c>
      <c r="H2" s="146">
        <f>E2*U2</f>
        <v>7.47552036</v>
      </c>
      <c r="I2" s="146">
        <f>D$35*W2</f>
        <v>82.696074999999993</v>
      </c>
      <c r="J2" s="146">
        <f>I2*V2</f>
        <v>426.711747</v>
      </c>
      <c r="K2" s="146">
        <f>I2*X2</f>
        <v>2.1500979499999997</v>
      </c>
      <c r="L2" s="147"/>
      <c r="M2" s="147"/>
      <c r="N2" s="147"/>
      <c r="O2" s="147"/>
      <c r="Q2" s="150">
        <f>(AE2/SUM(AE$2:AE$25))</f>
        <v>0.98</v>
      </c>
      <c r="R2" s="19">
        <v>0.63200000000000001</v>
      </c>
      <c r="S2" s="107">
        <v>11.212999999999999</v>
      </c>
      <c r="T2" s="19">
        <v>4.2999999999999997E-2</v>
      </c>
      <c r="U2" s="19">
        <v>2.1999999999999999E-2</v>
      </c>
      <c r="V2" s="107">
        <v>5.16</v>
      </c>
      <c r="W2" s="150">
        <f>(AF2/SUM(AF$2:AF$20))*0.98</f>
        <v>0.1666</v>
      </c>
      <c r="X2" s="19">
        <v>2.5999999999999999E-2</v>
      </c>
      <c r="Y2" s="21"/>
      <c r="Z2" s="22"/>
      <c r="AA2" s="1"/>
      <c r="AB2" s="1"/>
      <c r="AC2" s="1"/>
      <c r="AE2" s="19">
        <v>0.98</v>
      </c>
      <c r="AF2" s="19">
        <v>0.17</v>
      </c>
      <c r="AG2" s="168"/>
      <c r="AH2" s="168"/>
    </row>
    <row r="3" spans="1:34" x14ac:dyDescent="0.2">
      <c r="A3" s="17" t="s">
        <v>184</v>
      </c>
      <c r="B3" s="18" t="s">
        <v>9</v>
      </c>
      <c r="C3" s="18">
        <v>5</v>
      </c>
      <c r="D3" s="146">
        <f>D$32*Q3</f>
        <v>10.972500000000009</v>
      </c>
      <c r="E3" s="146">
        <f t="shared" ref="E3:F4" si="0">D3*R3</f>
        <v>6.6493350000000051</v>
      </c>
      <c r="F3" s="146">
        <f t="shared" si="0"/>
        <v>79.652383965000055</v>
      </c>
      <c r="G3" s="146">
        <f t="shared" ref="G3:G4" si="1">D3*T3</f>
        <v>0.48279000000000039</v>
      </c>
      <c r="H3" s="146">
        <f t="shared" ref="H3:H4" si="2">E3*U3</f>
        <v>0.19283071500000015</v>
      </c>
      <c r="I3" s="146">
        <f>D$35*W3</f>
        <v>4.8644749999999997</v>
      </c>
      <c r="J3" s="146">
        <f>I3*V3</f>
        <v>16.782438750000001</v>
      </c>
      <c r="K3" s="146">
        <f>I3*X3</f>
        <v>8.7560549999999987E-2</v>
      </c>
      <c r="L3" s="147"/>
      <c r="M3" s="147"/>
      <c r="N3" s="147"/>
      <c r="O3" s="147"/>
      <c r="Q3" s="150">
        <f>(AE3/SUM(AE$2:AE$25))</f>
        <v>2.0000000000000018E-2</v>
      </c>
      <c r="R3" s="19">
        <v>0.60599999999999998</v>
      </c>
      <c r="S3" s="107">
        <v>11.978999999999999</v>
      </c>
      <c r="T3" s="19">
        <v>4.3999999999999997E-2</v>
      </c>
      <c r="U3" s="19">
        <v>2.9000000000000001E-2</v>
      </c>
      <c r="V3" s="107">
        <v>3.45</v>
      </c>
      <c r="W3" s="150">
        <f>(AF3/SUM(AF$2:AF$20))*0.98</f>
        <v>9.7999999999999997E-3</v>
      </c>
      <c r="X3" s="19">
        <v>1.7999999999999999E-2</v>
      </c>
      <c r="Y3" s="21"/>
      <c r="Z3" s="22"/>
      <c r="AA3" s="1"/>
      <c r="AB3" s="1"/>
      <c r="AC3" s="1"/>
      <c r="AE3" s="19">
        <v>2.0000000000000018E-2</v>
      </c>
      <c r="AF3" s="19">
        <v>0.01</v>
      </c>
      <c r="AG3" s="168"/>
      <c r="AH3" s="168"/>
    </row>
    <row r="4" spans="1:34" x14ac:dyDescent="0.2">
      <c r="B4" s="18" t="s">
        <v>9</v>
      </c>
      <c r="C4" s="18"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32</v>
      </c>
      <c r="B6" s="18" t="s">
        <v>222</v>
      </c>
      <c r="C6" s="18">
        <v>5</v>
      </c>
      <c r="D6" s="147"/>
      <c r="E6" s="147"/>
      <c r="F6" s="147"/>
      <c r="G6" s="147"/>
      <c r="H6" s="147"/>
      <c r="I6" s="146">
        <f t="shared" ref="I6:I11" si="3">D$35*W6</f>
        <v>194.57900000000001</v>
      </c>
      <c r="J6" s="146">
        <f>I6*V6</f>
        <v>912.57551000000012</v>
      </c>
      <c r="K6" s="146">
        <f>I6*X6</f>
        <v>8.7560549999999999</v>
      </c>
      <c r="L6" s="146">
        <f>((D$2+D$3+D$4)*AA6)</f>
        <v>37.635675000000006</v>
      </c>
      <c r="M6" s="146">
        <f t="shared" ref="M6:N11" si="4">L6*Y6</f>
        <v>29.242919475000004</v>
      </c>
      <c r="N6" s="146">
        <f t="shared" si="4"/>
        <v>210.54902022000005</v>
      </c>
      <c r="O6" s="146">
        <f>M6*AH6</f>
        <v>1.1697167790000003</v>
      </c>
      <c r="Q6" s="13"/>
      <c r="R6" s="139"/>
      <c r="S6" s="138"/>
      <c r="T6" s="139"/>
      <c r="U6" s="139"/>
      <c r="V6" s="107">
        <v>4.6900000000000004</v>
      </c>
      <c r="W6" s="150">
        <f t="shared" ref="W6:W11" si="5">(AF6/SUM(AF$2:AF$20))*0.98</f>
        <v>0.39200000000000002</v>
      </c>
      <c r="X6" s="19">
        <v>4.4999999999999998E-2</v>
      </c>
      <c r="Y6" s="19">
        <v>0.77700000000000002</v>
      </c>
      <c r="Z6" s="20">
        <v>7.2</v>
      </c>
      <c r="AA6" s="150">
        <f t="shared" ref="AA6:AA11" si="6">(AG6/SUM(AG$6:AG$25))*0.98</f>
        <v>6.8600000000000008E-2</v>
      </c>
      <c r="AB6" s="7">
        <v>5.5325685623115413E-2</v>
      </c>
      <c r="AC6" s="150">
        <f t="shared" ref="AC6:AC11" si="7">(AH6/SUM(AH$6:AH$25))*0.98</f>
        <v>6.0307692307692319E-2</v>
      </c>
      <c r="AE6" s="168"/>
      <c r="AF6" s="19">
        <v>0.4</v>
      </c>
      <c r="AG6" s="19">
        <v>7.0000000000000007E-2</v>
      </c>
      <c r="AH6" s="19">
        <v>0.04</v>
      </c>
    </row>
    <row r="7" spans="1:34" x14ac:dyDescent="0.2">
      <c r="A7" s="172" t="s">
        <v>426</v>
      </c>
      <c r="B7" s="18" t="s">
        <v>222</v>
      </c>
      <c r="C7" s="18">
        <v>5</v>
      </c>
      <c r="D7" s="147"/>
      <c r="E7" s="147"/>
      <c r="F7" s="147"/>
      <c r="G7" s="147"/>
      <c r="H7" s="147"/>
      <c r="I7" s="146">
        <f t="shared" si="3"/>
        <v>145.93424999999999</v>
      </c>
      <c r="J7" s="146">
        <f>I7*V7</f>
        <v>608.54582249999999</v>
      </c>
      <c r="K7" s="146">
        <f>I7*X7</f>
        <v>5.8373699999999999</v>
      </c>
      <c r="L7" s="146">
        <f>((D$2+D$3+D$4)*AA7)</f>
        <v>16.129574999999999</v>
      </c>
      <c r="M7" s="146">
        <f t="shared" si="4"/>
        <v>11.693941874999998</v>
      </c>
      <c r="N7" s="146">
        <f t="shared" si="4"/>
        <v>81.857593124999994</v>
      </c>
      <c r="O7" s="146">
        <f t="shared" ref="O7:O11" si="8">M7*AH7</f>
        <v>0.46775767499999993</v>
      </c>
      <c r="Q7" s="13"/>
      <c r="R7" s="139"/>
      <c r="S7" s="138"/>
      <c r="T7" s="139"/>
      <c r="U7" s="139"/>
      <c r="V7" s="107">
        <v>4.17</v>
      </c>
      <c r="W7" s="150">
        <f t="shared" si="5"/>
        <v>0.29399999999999998</v>
      </c>
      <c r="X7" s="19">
        <v>0.04</v>
      </c>
      <c r="Y7" s="19">
        <v>0.72499999999999998</v>
      </c>
      <c r="Z7" s="20">
        <v>7</v>
      </c>
      <c r="AA7" s="150">
        <f t="shared" si="6"/>
        <v>2.9399999999999999E-2</v>
      </c>
      <c r="AB7" s="7">
        <v>8.6025680728689546E-2</v>
      </c>
      <c r="AC7" s="150">
        <f t="shared" si="7"/>
        <v>6.0307692307692319E-2</v>
      </c>
      <c r="AE7" s="168"/>
      <c r="AF7" s="19">
        <v>0.3</v>
      </c>
      <c r="AG7" s="19">
        <v>0.03</v>
      </c>
      <c r="AH7" s="19">
        <v>0.04</v>
      </c>
    </row>
    <row r="8" spans="1:34" x14ac:dyDescent="0.2">
      <c r="A8" s="176" t="s">
        <v>406</v>
      </c>
      <c r="B8" s="18" t="s">
        <v>222</v>
      </c>
      <c r="C8" s="18">
        <v>5</v>
      </c>
      <c r="D8" s="147"/>
      <c r="E8" s="147"/>
      <c r="F8" s="147"/>
      <c r="G8" s="147"/>
      <c r="H8" s="147"/>
      <c r="I8" s="146">
        <f t="shared" si="3"/>
        <v>58.373699999999999</v>
      </c>
      <c r="J8" s="146">
        <f>I8*V8</f>
        <v>249.83943600000001</v>
      </c>
      <c r="K8" s="146">
        <f>I8*X8</f>
        <v>2.3349480000000002</v>
      </c>
      <c r="L8" s="146">
        <f>((D$2+D$3+D$4)*AA8)</f>
        <v>10.75305</v>
      </c>
      <c r="M8" s="146">
        <f t="shared" si="4"/>
        <v>7.7421959999999999</v>
      </c>
      <c r="N8" s="146">
        <f t="shared" si="4"/>
        <v>54.195371999999999</v>
      </c>
      <c r="O8" s="146">
        <f t="shared" si="8"/>
        <v>0.23226587999999998</v>
      </c>
      <c r="Q8" s="13"/>
      <c r="R8" s="139"/>
      <c r="S8" s="138"/>
      <c r="T8" s="139"/>
      <c r="U8" s="139"/>
      <c r="V8" s="107">
        <v>4.28</v>
      </c>
      <c r="W8" s="150">
        <f t="shared" si="5"/>
        <v>0.1176</v>
      </c>
      <c r="X8" s="19">
        <v>0.04</v>
      </c>
      <c r="Y8" s="19">
        <v>0.72</v>
      </c>
      <c r="Z8" s="20">
        <v>7</v>
      </c>
      <c r="AA8" s="150">
        <f t="shared" si="6"/>
        <v>1.9599999999999999E-2</v>
      </c>
      <c r="AB8" s="7">
        <v>1.7632052311916925E-2</v>
      </c>
      <c r="AC8" s="150">
        <f t="shared" si="7"/>
        <v>4.5230769230769234E-2</v>
      </c>
      <c r="AE8" s="168"/>
      <c r="AF8" s="19">
        <v>0.12</v>
      </c>
      <c r="AG8" s="19">
        <v>0.02</v>
      </c>
      <c r="AH8" s="19">
        <v>0.03</v>
      </c>
    </row>
    <row r="9" spans="1:34" x14ac:dyDescent="0.2">
      <c r="A9" s="172"/>
      <c r="B9" s="18" t="s">
        <v>222</v>
      </c>
      <c r="C9" s="18">
        <v>5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9.2169728902344508E-3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1.2013480832522988E-2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34</v>
      </c>
      <c r="B13" s="18" t="s">
        <v>223</v>
      </c>
      <c r="C13" s="18"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129.03659999999999</v>
      </c>
      <c r="M13" s="146">
        <f t="shared" ref="M13:N20" si="16">L13*Y13</f>
        <v>77.680033199999997</v>
      </c>
      <c r="N13" s="146">
        <f t="shared" si="16"/>
        <v>1095.2884681199998</v>
      </c>
      <c r="O13" s="146">
        <f t="shared" ref="O13:O20" si="17">M13*AH13</f>
        <v>6.2144026559999999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0.60199999999999998</v>
      </c>
      <c r="Z13" s="20">
        <v>14.1</v>
      </c>
      <c r="AA13" s="150">
        <f t="shared" ref="AA13:AA20" si="19">(AG13/SUM(AG$6:AG$25))*0.98</f>
        <v>0.23519999999999999</v>
      </c>
      <c r="AB13" s="7">
        <v>0.1552631323112294</v>
      </c>
      <c r="AC13" s="150">
        <f t="shared" ref="AC13:AC20" si="20">(AH13/SUM(AH$6:AH$25))*0.98</f>
        <v>0.12061538461538464</v>
      </c>
      <c r="AE13" s="168"/>
      <c r="AF13" s="19">
        <v>0</v>
      </c>
      <c r="AG13" s="19">
        <v>0.24</v>
      </c>
      <c r="AH13" s="19">
        <v>0.08</v>
      </c>
    </row>
    <row r="14" spans="1:34" x14ac:dyDescent="0.2">
      <c r="A14" s="17" t="s">
        <v>152</v>
      </c>
      <c r="B14" s="18" t="s">
        <v>223</v>
      </c>
      <c r="C14" s="18">
        <v>5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94.089187499999994</v>
      </c>
      <c r="M14" s="146">
        <f t="shared" si="16"/>
        <v>59.7466340625</v>
      </c>
      <c r="N14" s="146">
        <f t="shared" si="16"/>
        <v>734.88359896874999</v>
      </c>
      <c r="O14" s="146">
        <f t="shared" si="17"/>
        <v>4.1822643843750003</v>
      </c>
      <c r="Q14" s="13"/>
      <c r="R14" s="139"/>
      <c r="S14" s="138"/>
      <c r="T14" s="139"/>
      <c r="U14" s="139"/>
      <c r="V14" s="107">
        <v>6.51</v>
      </c>
      <c r="W14" s="150">
        <f t="shared" si="18"/>
        <v>0</v>
      </c>
      <c r="X14" s="19">
        <v>5.8000000000000003E-2</v>
      </c>
      <c r="Y14" s="19">
        <v>0.63500000000000001</v>
      </c>
      <c r="Z14" s="20">
        <v>12.3</v>
      </c>
      <c r="AA14" s="150">
        <f t="shared" si="19"/>
        <v>0.17149999999999999</v>
      </c>
      <c r="AB14" s="7">
        <v>0.18009043977311381</v>
      </c>
      <c r="AC14" s="150">
        <f t="shared" si="20"/>
        <v>0.10553846153846155</v>
      </c>
      <c r="AE14" s="168"/>
      <c r="AF14" s="19">
        <v>0</v>
      </c>
      <c r="AG14" s="19">
        <v>0.17499999999999999</v>
      </c>
      <c r="AH14" s="19">
        <v>7.0000000000000007E-2</v>
      </c>
    </row>
    <row r="15" spans="1:34" x14ac:dyDescent="0.2">
      <c r="A15" s="17" t="s">
        <v>215</v>
      </c>
      <c r="B15" s="18" t="s">
        <v>223</v>
      </c>
      <c r="C15" s="18">
        <v>5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72.583087500000005</v>
      </c>
      <c r="M15" s="146">
        <f t="shared" si="16"/>
        <v>43.404686325</v>
      </c>
      <c r="N15" s="146">
        <f t="shared" si="16"/>
        <v>473.1110809425</v>
      </c>
      <c r="O15" s="146">
        <f t="shared" si="17"/>
        <v>2.6042811795</v>
      </c>
      <c r="Q15" s="13"/>
      <c r="R15" s="139"/>
      <c r="S15" s="138"/>
      <c r="T15" s="139"/>
      <c r="U15" s="139"/>
      <c r="V15" s="107">
        <v>4.38</v>
      </c>
      <c r="W15" s="150">
        <f t="shared" si="18"/>
        <v>0</v>
      </c>
      <c r="X15" s="19">
        <v>3.3000000000000002E-2</v>
      </c>
      <c r="Y15" s="19">
        <v>0.59799999999999998</v>
      </c>
      <c r="Z15" s="20">
        <v>10.9</v>
      </c>
      <c r="AA15" s="150">
        <f t="shared" si="19"/>
        <v>0.1323</v>
      </c>
      <c r="AB15" s="7">
        <v>7.7639242991379379E-2</v>
      </c>
      <c r="AC15" s="150">
        <f t="shared" si="20"/>
        <v>9.0461538461538468E-2</v>
      </c>
      <c r="AE15" s="168"/>
      <c r="AF15" s="19">
        <v>0</v>
      </c>
      <c r="AG15" s="19">
        <v>0.13500000000000001</v>
      </c>
      <c r="AH15" s="19">
        <v>0.06</v>
      </c>
    </row>
    <row r="16" spans="1:34" x14ac:dyDescent="0.2">
      <c r="A16" s="17" t="s">
        <v>511</v>
      </c>
      <c r="B16" s="18" t="s">
        <v>223</v>
      </c>
      <c r="C16" s="18">
        <v>5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32.259149999999998</v>
      </c>
      <c r="M16" s="146">
        <f t="shared" si="16"/>
        <v>18.065124000000001</v>
      </c>
      <c r="N16" s="146">
        <f t="shared" si="16"/>
        <v>224.00753760000001</v>
      </c>
      <c r="O16" s="146">
        <f t="shared" si="17"/>
        <v>1.4452099200000001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0.56000000000000005</v>
      </c>
      <c r="Z16" s="20">
        <v>12.4</v>
      </c>
      <c r="AA16" s="150">
        <f t="shared" si="19"/>
        <v>5.8799999999999998E-2</v>
      </c>
      <c r="AB16" s="7">
        <v>5.6345140854276228E-2</v>
      </c>
      <c r="AC16" s="150">
        <f t="shared" si="20"/>
        <v>0.12061538461538464</v>
      </c>
      <c r="AE16" s="168"/>
      <c r="AF16" s="19">
        <v>0</v>
      </c>
      <c r="AG16" s="19">
        <v>0.06</v>
      </c>
      <c r="AH16" s="19">
        <v>0.08</v>
      </c>
    </row>
    <row r="17" spans="1:34" x14ac:dyDescent="0.2">
      <c r="A17" s="17" t="s">
        <v>450</v>
      </c>
      <c r="B17" s="18" t="s">
        <v>223</v>
      </c>
      <c r="C17" s="18">
        <v>5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5.376525</v>
      </c>
      <c r="M17" s="146">
        <f t="shared" si="16"/>
        <v>3.6130248000000003</v>
      </c>
      <c r="N17" s="146">
        <f t="shared" si="16"/>
        <v>36.130248000000002</v>
      </c>
      <c r="O17" s="146">
        <f t="shared" si="17"/>
        <v>0.18065124000000002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0.67200000000000004</v>
      </c>
      <c r="Z17" s="20">
        <v>10</v>
      </c>
      <c r="AA17" s="150">
        <f t="shared" si="19"/>
        <v>9.7999999999999997E-3</v>
      </c>
      <c r="AB17" s="7">
        <v>6.7741016058129294E-2</v>
      </c>
      <c r="AC17" s="150">
        <f t="shared" si="20"/>
        <v>7.5384615384615397E-2</v>
      </c>
      <c r="AE17" s="168"/>
      <c r="AF17" s="19">
        <v>0</v>
      </c>
      <c r="AG17" s="19">
        <v>0.01</v>
      </c>
      <c r="AH17" s="19">
        <v>0.05</v>
      </c>
    </row>
    <row r="18" spans="1:34" x14ac:dyDescent="0.2">
      <c r="A18" s="17" t="s">
        <v>648</v>
      </c>
      <c r="B18" s="18" t="s">
        <v>223</v>
      </c>
      <c r="C18" s="18"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16.129574999999999</v>
      </c>
      <c r="M18" s="146">
        <f t="shared" si="16"/>
        <v>10.032595649999999</v>
      </c>
      <c r="N18" s="146">
        <f t="shared" si="16"/>
        <v>117.18071719199999</v>
      </c>
      <c r="O18" s="146">
        <f t="shared" si="17"/>
        <v>0.60195573899999999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0.622</v>
      </c>
      <c r="Z18" s="20">
        <v>11.68</v>
      </c>
      <c r="AA18" s="150">
        <f t="shared" si="19"/>
        <v>2.9399999999999999E-2</v>
      </c>
      <c r="AB18" s="7">
        <v>1.3683142804749313E-2</v>
      </c>
      <c r="AC18" s="150">
        <f t="shared" si="20"/>
        <v>9.0461538461538468E-2</v>
      </c>
      <c r="AE18" s="168"/>
      <c r="AF18" s="19">
        <v>0</v>
      </c>
      <c r="AG18" s="19">
        <v>0.03</v>
      </c>
      <c r="AH18" s="19">
        <v>0.06</v>
      </c>
    </row>
    <row r="19" spans="1:34" x14ac:dyDescent="0.2">
      <c r="B19" s="18" t="s">
        <v>223</v>
      </c>
      <c r="C19" s="18"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65"/>
      <c r="M21" s="165"/>
      <c r="N21" s="165"/>
      <c r="O21" s="165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33</v>
      </c>
      <c r="B22" s="18" t="s">
        <v>10</v>
      </c>
      <c r="C22" s="18"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107.5305</v>
      </c>
      <c r="M22" s="146">
        <f t="shared" ref="M22:N25" si="21">L22*Y22</f>
        <v>72.798148500000011</v>
      </c>
      <c r="N22" s="146">
        <f t="shared" si="21"/>
        <v>749.82092955000019</v>
      </c>
      <c r="O22" s="146">
        <f t="shared" ref="O22:O25" si="22">M22*AH22</f>
        <v>5.8238518800000012</v>
      </c>
      <c r="Q22" s="13"/>
      <c r="R22" s="139"/>
      <c r="S22" s="138"/>
      <c r="T22" s="139"/>
      <c r="U22" s="139"/>
      <c r="V22" s="140"/>
      <c r="W22" s="154"/>
      <c r="X22" s="139"/>
      <c r="Y22" s="19">
        <v>0.67700000000000005</v>
      </c>
      <c r="Z22" s="20">
        <v>10.3</v>
      </c>
      <c r="AA22" s="150">
        <f>(AG22/SUM(AG$6:AG$25))*0.98</f>
        <v>0.19600000000000001</v>
      </c>
      <c r="AB22" s="7">
        <v>0.12691514210755367</v>
      </c>
      <c r="AC22" s="150">
        <f>(AH22/SUM(AH$6:AH$25))*0.98</f>
        <v>0.12061538461538464</v>
      </c>
      <c r="AE22" s="168"/>
      <c r="AF22" s="168"/>
      <c r="AG22" s="19">
        <v>0.2</v>
      </c>
      <c r="AH22" s="19">
        <v>0.08</v>
      </c>
    </row>
    <row r="23" spans="1:34" x14ac:dyDescent="0.2">
      <c r="A23" s="17" t="s">
        <v>155</v>
      </c>
      <c r="B23" s="18" t="s">
        <v>10</v>
      </c>
      <c r="C23" s="18"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16.129574999999999</v>
      </c>
      <c r="M23" s="146">
        <f t="shared" si="21"/>
        <v>10.887463125</v>
      </c>
      <c r="N23" s="146">
        <f t="shared" si="21"/>
        <v>103.97527284375001</v>
      </c>
      <c r="O23" s="146">
        <f t="shared" si="22"/>
        <v>0.65324778750000001</v>
      </c>
      <c r="Q23" s="13"/>
      <c r="R23" s="139"/>
      <c r="S23" s="138"/>
      <c r="T23" s="139"/>
      <c r="U23" s="139"/>
      <c r="V23" s="140"/>
      <c r="W23" s="154"/>
      <c r="X23" s="139"/>
      <c r="Y23" s="19">
        <v>0.67500000000000004</v>
      </c>
      <c r="Z23" s="20">
        <v>9.5500000000000007</v>
      </c>
      <c r="AA23" s="150">
        <f>(AG23/SUM(AG$6:AG$25))*0.98</f>
        <v>2.9399999999999999E-2</v>
      </c>
      <c r="AB23" s="7">
        <v>5.7662481630238557E-2</v>
      </c>
      <c r="AC23" s="150">
        <f>(AH23/SUM(AH$6:AH$25))*0.98</f>
        <v>9.0461538461538468E-2</v>
      </c>
      <c r="AE23" s="168"/>
      <c r="AF23" s="168"/>
      <c r="AG23" s="19">
        <v>0.03</v>
      </c>
      <c r="AH23" s="19">
        <v>0.06</v>
      </c>
    </row>
    <row r="24" spans="1:34" x14ac:dyDescent="0.2">
      <c r="B24" s="18" t="s">
        <v>10</v>
      </c>
      <c r="C24" s="18"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5.944638908285093E-2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0.97499999999999998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1045</v>
      </c>
      <c r="E29" s="47">
        <v>0.52500000000000002</v>
      </c>
      <c r="F29" s="2">
        <f>1-E29</f>
        <v>0.47499999999999998</v>
      </c>
      <c r="G29" s="106">
        <v>4.5</v>
      </c>
      <c r="H29" s="126">
        <v>3.9E-2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548.625</v>
      </c>
      <c r="E32" s="156">
        <f>SUM(E2:E4)</f>
        <v>346.44571500000001</v>
      </c>
      <c r="F32" s="156">
        <f>SUM(F2:F4)</f>
        <v>3889.7891929049997</v>
      </c>
      <c r="G32" s="156">
        <f>SUM(G2:G4)</f>
        <v>23.601847500000002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496.375</v>
      </c>
      <c r="E35" s="156">
        <f>D35*G29</f>
        <v>2233.6875</v>
      </c>
      <c r="F35" s="156">
        <f>D35*H29</f>
        <v>19.358625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486.44749999999999</v>
      </c>
      <c r="E38" s="157">
        <f>SUM(J2:J4,J6:J11,J13:J20)</f>
        <v>2214.4549542500004</v>
      </c>
      <c r="F38" s="157">
        <f>SUM(K2:K4,K6:K11,K13:K20)</f>
        <v>19.166031499999999</v>
      </c>
      <c r="G38" s="157">
        <f>SUM(L6:L11,L13:L20,L22:L25)</f>
        <v>537.65250000000003</v>
      </c>
      <c r="H38" s="157">
        <f>SUM(M6:M11,M13:M20,M22:M25)</f>
        <v>344.90676701250004</v>
      </c>
      <c r="I38" s="157">
        <f>SUM(N6:N11,N13:N20,N22:N25)</f>
        <v>3880.9998385619997</v>
      </c>
      <c r="J38" s="157">
        <f>SUM(O6:O11,O13:O20,O22:O25)</f>
        <v>23.575605120375002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9.9275000000000091</v>
      </c>
      <c r="E39" s="158">
        <f>E35-E38</f>
        <v>19.232545749999645</v>
      </c>
      <c r="F39" s="158">
        <f>F35-F38</f>
        <v>0.19259350000000097</v>
      </c>
      <c r="G39" s="158">
        <f>SUM(D2:D4)-G38</f>
        <v>10.972499999999968</v>
      </c>
      <c r="H39" s="158">
        <f>E32-H38</f>
        <v>1.5389479874999665</v>
      </c>
      <c r="I39" s="158">
        <f>F32-I38</f>
        <v>8.7893543430000136</v>
      </c>
      <c r="J39" s="158">
        <f>G32-J38</f>
        <v>2.6242379624999757E-2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74" priority="1" operator="lessThan">
      <formula>0</formula>
    </cfRule>
  </conditionalFormatting>
  <conditionalFormatting sqref="W28">
    <cfRule type="cellIs" dxfId="73" priority="2" operator="greaterThan">
      <formula>1</formula>
    </cfRule>
  </conditionalFormatting>
  <conditionalFormatting sqref="AA28:AG28">
    <cfRule type="cellIs" dxfId="7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2CB8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38</v>
      </c>
      <c r="B2" s="18" t="s">
        <v>9</v>
      </c>
      <c r="C2" s="18">
        <v>7</v>
      </c>
      <c r="D2" s="146">
        <f>D$32*Q2</f>
        <v>609.83243999999991</v>
      </c>
      <c r="E2" s="146">
        <f t="shared" ref="E2:F4" si="0">D2*R2</f>
        <v>412.85656187999996</v>
      </c>
      <c r="F2" s="146">
        <f t="shared" si="0"/>
        <v>4582.7078368679995</v>
      </c>
      <c r="G2" s="146">
        <f>D2*T2</f>
        <v>32.321119319999994</v>
      </c>
      <c r="H2" s="146">
        <f>E2*U2</f>
        <v>7.8442746757199986</v>
      </c>
      <c r="I2" s="146">
        <f>D$35*W2</f>
        <v>45.444756000000005</v>
      </c>
      <c r="J2" s="146">
        <f>I2*V2</f>
        <v>210.86366784000001</v>
      </c>
      <c r="K2" s="146">
        <f>I2*X2</f>
        <v>1.4087874360000001</v>
      </c>
      <c r="L2" s="147"/>
      <c r="M2" s="147"/>
      <c r="N2" s="147"/>
      <c r="O2" s="147"/>
      <c r="Q2" s="150">
        <f>(AE2/SUM(AE$2:AE$25))</f>
        <v>0.98</v>
      </c>
      <c r="R2" s="19">
        <v>0.67700000000000005</v>
      </c>
      <c r="S2" s="107">
        <v>11.1</v>
      </c>
      <c r="T2" s="19">
        <v>5.2999999999999999E-2</v>
      </c>
      <c r="U2" s="19">
        <v>1.9E-2</v>
      </c>
      <c r="V2" s="107">
        <v>4.6399999999999997</v>
      </c>
      <c r="W2" s="150">
        <f>(AF2/SUM(AF$2:AF$20))*0.98</f>
        <v>9.8000000000000004E-2</v>
      </c>
      <c r="X2" s="19">
        <v>3.1E-2</v>
      </c>
      <c r="Y2" s="21"/>
      <c r="Z2" s="22"/>
      <c r="AA2" s="1"/>
      <c r="AB2" s="1"/>
      <c r="AC2" s="1"/>
      <c r="AE2" s="19">
        <v>0.98</v>
      </c>
      <c r="AF2" s="19">
        <v>0.1</v>
      </c>
      <c r="AG2" s="168"/>
      <c r="AH2" s="168"/>
    </row>
    <row r="3" spans="1:34" x14ac:dyDescent="0.2">
      <c r="A3" s="17" t="s">
        <v>574</v>
      </c>
      <c r="B3" s="18" t="s">
        <v>9</v>
      </c>
      <c r="C3" s="18">
        <v>7</v>
      </c>
      <c r="D3" s="146">
        <f>D$32*Q3</f>
        <v>12.445560000000009</v>
      </c>
      <c r="E3" s="146">
        <f t="shared" si="0"/>
        <v>7.4797815600000055</v>
      </c>
      <c r="F3" s="146">
        <f t="shared" si="0"/>
        <v>81.15562992600006</v>
      </c>
      <c r="G3" s="146">
        <f t="shared" ref="G3:G4" si="1">D3*T3</f>
        <v>0.4480401600000003</v>
      </c>
      <c r="H3" s="146">
        <f>E3*U3</f>
        <v>0.17951475744000014</v>
      </c>
      <c r="I3" s="146">
        <f>D$35*W3</f>
        <v>2.2722378000000001</v>
      </c>
      <c r="J3" s="146">
        <f>I3*V3</f>
        <v>5.6578721220000006</v>
      </c>
      <c r="K3" s="146">
        <f>I3*X3</f>
        <v>4.5444756000000003E-2</v>
      </c>
      <c r="L3" s="147"/>
      <c r="M3" s="147"/>
      <c r="N3" s="147"/>
      <c r="O3" s="147"/>
      <c r="Q3" s="150">
        <f>(AE3/SUM(AE$2:AE$25))</f>
        <v>2.0000000000000018E-2</v>
      </c>
      <c r="R3" s="19">
        <v>0.60099999999999998</v>
      </c>
      <c r="S3" s="107">
        <v>10.85</v>
      </c>
      <c r="T3" s="19">
        <v>3.5999999999999997E-2</v>
      </c>
      <c r="U3" s="19">
        <v>2.4E-2</v>
      </c>
      <c r="V3" s="107">
        <v>2.4900000000000002</v>
      </c>
      <c r="W3" s="150">
        <f>(AF3/SUM(AF$2:AF$20))*0.98</f>
        <v>4.8999999999999998E-3</v>
      </c>
      <c r="X3" s="19">
        <v>0.02</v>
      </c>
      <c r="Y3" s="21"/>
      <c r="Z3" s="22"/>
      <c r="AA3" s="1"/>
      <c r="AB3" s="1"/>
      <c r="AC3" s="1"/>
      <c r="AE3" s="19">
        <v>2.0000000000000018E-2</v>
      </c>
      <c r="AF3" s="19">
        <v>5.0000000000000001E-3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>E4*U4</f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36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2">D$35*W6</f>
        <v>209.04587760000004</v>
      </c>
      <c r="J6" s="146">
        <f t="shared" ref="J6:J11" si="3">I6*V6</f>
        <v>861.26901571200017</v>
      </c>
      <c r="K6" s="146">
        <f t="shared" ref="K6:K11" si="4">I6*X6</f>
        <v>8.3618351040000025</v>
      </c>
      <c r="L6" s="146">
        <f t="shared" ref="L6:L11" si="5">((D$2+D$3+D$4)*AA6)</f>
        <v>42.688270799999991</v>
      </c>
      <c r="M6" s="146">
        <f t="shared" ref="M6:N11" si="6">L6*Y6</f>
        <v>32.229644453999995</v>
      </c>
      <c r="N6" s="146">
        <f t="shared" si="6"/>
        <v>235.27640451419995</v>
      </c>
      <c r="O6" s="146">
        <f t="shared" ref="O6:O11" si="7">M6*AH6</f>
        <v>1.12803755589</v>
      </c>
      <c r="Q6" s="13"/>
      <c r="R6" s="139"/>
      <c r="S6" s="138"/>
      <c r="T6" s="139"/>
      <c r="U6" s="139"/>
      <c r="V6" s="107">
        <v>4.12</v>
      </c>
      <c r="W6" s="150">
        <f t="shared" ref="W6:W11" si="8">(AF6/SUM(AF$2:AF$20))*0.98</f>
        <v>0.45080000000000003</v>
      </c>
      <c r="X6" s="19">
        <v>0.04</v>
      </c>
      <c r="Y6" s="19">
        <v>0.755</v>
      </c>
      <c r="Z6" s="20">
        <v>7.3</v>
      </c>
      <c r="AA6" s="150">
        <f t="shared" ref="AA6:AA11" si="9">(AG6/SUM(AG$6:AG$25))*0.98</f>
        <v>6.8599999999999994E-2</v>
      </c>
      <c r="AB6" s="7">
        <v>7.8154687715691583E-3</v>
      </c>
      <c r="AC6" s="150">
        <f t="shared" ref="AC6:AC11" si="10">(AH6/SUM(AH$6:AH$25))*0.98</f>
        <v>3.8068812430632634E-2</v>
      </c>
      <c r="AE6" s="168"/>
      <c r="AF6" s="19">
        <v>0.46</v>
      </c>
      <c r="AG6" s="19">
        <v>7.0000000000000007E-2</v>
      </c>
      <c r="AH6" s="19">
        <v>3.5000000000000003E-2</v>
      </c>
    </row>
    <row r="7" spans="1:34" x14ac:dyDescent="0.2">
      <c r="A7" s="17" t="s">
        <v>563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2"/>
        <v>149.96769480000003</v>
      </c>
      <c r="J7" s="146">
        <f t="shared" si="3"/>
        <v>632.86367205600015</v>
      </c>
      <c r="K7" s="146">
        <f t="shared" si="4"/>
        <v>5.2488693180000014</v>
      </c>
      <c r="L7" s="146">
        <f t="shared" si="5"/>
        <v>24.39329759999999</v>
      </c>
      <c r="M7" s="146">
        <f t="shared" si="6"/>
        <v>17.929073735999992</v>
      </c>
      <c r="N7" s="146">
        <f t="shared" si="6"/>
        <v>145.58407873631992</v>
      </c>
      <c r="O7" s="146">
        <f t="shared" si="7"/>
        <v>0.7171629494399997</v>
      </c>
      <c r="Q7" s="13"/>
      <c r="R7" s="139"/>
      <c r="S7" s="138"/>
      <c r="T7" s="139"/>
      <c r="U7" s="139"/>
      <c r="V7" s="107">
        <v>4.22</v>
      </c>
      <c r="W7" s="150">
        <f t="shared" si="8"/>
        <v>0.32340000000000002</v>
      </c>
      <c r="X7" s="19">
        <v>3.5000000000000003E-2</v>
      </c>
      <c r="Y7" s="19">
        <v>0.73499999999999999</v>
      </c>
      <c r="Z7" s="20">
        <v>8.1199999999999992</v>
      </c>
      <c r="AA7" s="150">
        <f t="shared" si="9"/>
        <v>3.9199999999999992E-2</v>
      </c>
      <c r="AB7" s="7">
        <v>0.10971117726803035</v>
      </c>
      <c r="AC7" s="150">
        <f t="shared" si="10"/>
        <v>4.35072142064373E-2</v>
      </c>
      <c r="AE7" s="168"/>
      <c r="AF7" s="19">
        <v>0.33</v>
      </c>
      <c r="AG7" s="19">
        <v>0.04</v>
      </c>
      <c r="AH7" s="19">
        <v>0.04</v>
      </c>
    </row>
    <row r="8" spans="1:34" x14ac:dyDescent="0.2">
      <c r="A8" s="17" t="s">
        <v>612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si="2"/>
        <v>24.994615800000002</v>
      </c>
      <c r="J8" s="146">
        <f t="shared" si="3"/>
        <v>104.22754788600001</v>
      </c>
      <c r="K8" s="146">
        <f t="shared" si="4"/>
        <v>0.87481155300000013</v>
      </c>
      <c r="L8" s="146">
        <f t="shared" si="5"/>
        <v>6.0983243999999974</v>
      </c>
      <c r="M8" s="146">
        <f t="shared" si="6"/>
        <v>4.5737432999999985</v>
      </c>
      <c r="N8" s="146">
        <f t="shared" si="6"/>
        <v>32.382102563999993</v>
      </c>
      <c r="O8" s="146">
        <f t="shared" si="7"/>
        <v>0.13721229899999995</v>
      </c>
      <c r="Q8" s="13"/>
      <c r="R8" s="139"/>
      <c r="S8" s="138"/>
      <c r="T8" s="139"/>
      <c r="U8" s="139"/>
      <c r="V8" s="107">
        <v>4.17</v>
      </c>
      <c r="W8" s="150">
        <f t="shared" si="8"/>
        <v>5.3899999999999997E-2</v>
      </c>
      <c r="X8" s="19">
        <v>3.5000000000000003E-2</v>
      </c>
      <c r="Y8" s="19">
        <v>0.75</v>
      </c>
      <c r="Z8" s="20">
        <v>7.08</v>
      </c>
      <c r="AA8" s="150">
        <f t="shared" si="9"/>
        <v>9.7999999999999979E-3</v>
      </c>
      <c r="AB8" s="7">
        <v>0</v>
      </c>
      <c r="AC8" s="150">
        <f t="shared" si="10"/>
        <v>3.2630410654827968E-2</v>
      </c>
      <c r="AE8" s="168"/>
      <c r="AF8" s="19">
        <v>5.5E-2</v>
      </c>
      <c r="AG8" s="19">
        <v>0.01</v>
      </c>
      <c r="AH8" s="19">
        <v>0.03</v>
      </c>
    </row>
    <row r="9" spans="1:34" x14ac:dyDescent="0.2">
      <c r="A9" s="176" t="s">
        <v>512</v>
      </c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2"/>
        <v>13.633426800000001</v>
      </c>
      <c r="J9" s="146">
        <f t="shared" si="3"/>
        <v>55.488047076000008</v>
      </c>
      <c r="K9" s="146">
        <f t="shared" si="4"/>
        <v>0.34083567000000003</v>
      </c>
      <c r="L9" s="146">
        <f t="shared" si="5"/>
        <v>30.491621999999989</v>
      </c>
      <c r="M9" s="146">
        <f t="shared" si="6"/>
        <v>25.12509652799999</v>
      </c>
      <c r="N9" s="146">
        <f t="shared" si="6"/>
        <v>193.9657451961599</v>
      </c>
      <c r="O9" s="146">
        <f t="shared" si="7"/>
        <v>1.0050038611199996</v>
      </c>
      <c r="Q9" s="13"/>
      <c r="R9" s="139"/>
      <c r="S9" s="138"/>
      <c r="T9" s="139"/>
      <c r="U9" s="139"/>
      <c r="V9" s="107">
        <v>4.07</v>
      </c>
      <c r="W9" s="150">
        <f t="shared" si="8"/>
        <v>2.9399999999999999E-2</v>
      </c>
      <c r="X9" s="19">
        <v>2.5000000000000001E-2</v>
      </c>
      <c r="Y9" s="19">
        <v>0.82399999999999995</v>
      </c>
      <c r="Z9" s="20">
        <v>7.72</v>
      </c>
      <c r="AA9" s="150">
        <f t="shared" si="9"/>
        <v>4.8999999999999988E-2</v>
      </c>
      <c r="AB9" s="7">
        <v>5.7342375667335743E-2</v>
      </c>
      <c r="AC9" s="150">
        <f t="shared" si="10"/>
        <v>4.35072142064373E-2</v>
      </c>
      <c r="AE9" s="168"/>
      <c r="AF9" s="19">
        <v>0.03</v>
      </c>
      <c r="AG9" s="19">
        <v>0.05</v>
      </c>
      <c r="AH9" s="19">
        <v>0.04</v>
      </c>
    </row>
    <row r="10" spans="1:34" x14ac:dyDescent="0.2"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2"/>
        <v>0</v>
      </c>
      <c r="J10" s="146">
        <f t="shared" si="3"/>
        <v>0</v>
      </c>
      <c r="K10" s="146">
        <f t="shared" si="4"/>
        <v>0</v>
      </c>
      <c r="L10" s="146">
        <f t="shared" si="5"/>
        <v>0</v>
      </c>
      <c r="M10" s="146">
        <f t="shared" si="6"/>
        <v>0</v>
      </c>
      <c r="N10" s="146">
        <f t="shared" si="6"/>
        <v>0</v>
      </c>
      <c r="O10" s="146">
        <f t="shared" si="7"/>
        <v>0</v>
      </c>
      <c r="Q10" s="13"/>
      <c r="R10" s="139"/>
      <c r="S10" s="138"/>
      <c r="T10" s="139"/>
      <c r="U10" s="139"/>
      <c r="V10" s="107">
        <v>0</v>
      </c>
      <c r="W10" s="150">
        <f t="shared" si="8"/>
        <v>0</v>
      </c>
      <c r="X10" s="19">
        <v>0</v>
      </c>
      <c r="Y10" s="19">
        <v>0</v>
      </c>
      <c r="Z10" s="20">
        <v>0</v>
      </c>
      <c r="AA10" s="150">
        <f t="shared" si="9"/>
        <v>0</v>
      </c>
      <c r="AB10" s="7">
        <v>0</v>
      </c>
      <c r="AC10" s="150">
        <f t="shared" si="10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2"/>
        <v>0</v>
      </c>
      <c r="J11" s="146">
        <f t="shared" si="3"/>
        <v>0</v>
      </c>
      <c r="K11" s="146">
        <f t="shared" si="4"/>
        <v>0</v>
      </c>
      <c r="L11" s="146">
        <f t="shared" si="5"/>
        <v>0</v>
      </c>
      <c r="M11" s="146">
        <f t="shared" si="6"/>
        <v>0</v>
      </c>
      <c r="N11" s="146">
        <f t="shared" si="6"/>
        <v>0</v>
      </c>
      <c r="O11" s="146">
        <f t="shared" si="7"/>
        <v>0</v>
      </c>
      <c r="Q11" s="13"/>
      <c r="R11" s="139"/>
      <c r="S11" s="138"/>
      <c r="T11" s="139"/>
      <c r="U11" s="139"/>
      <c r="V11" s="107">
        <v>0</v>
      </c>
      <c r="W11" s="150">
        <f t="shared" si="8"/>
        <v>0</v>
      </c>
      <c r="X11" s="19">
        <v>0</v>
      </c>
      <c r="Y11" s="19">
        <v>0</v>
      </c>
      <c r="Z11" s="20">
        <v>0</v>
      </c>
      <c r="AA11" s="150">
        <f t="shared" si="9"/>
        <v>0</v>
      </c>
      <c r="AB11" s="7">
        <v>0</v>
      </c>
      <c r="AC11" s="150">
        <f t="shared" si="10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150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1">D$35*W13</f>
        <v>9.0889512000000003</v>
      </c>
      <c r="J13" s="146">
        <f t="shared" ref="J13:J20" si="12">I13*V13</f>
        <v>78.801206903999997</v>
      </c>
      <c r="K13" s="146">
        <f t="shared" ref="K13:K20" si="13">I13*X13</f>
        <v>0.73620504720000002</v>
      </c>
      <c r="L13" s="146">
        <f t="shared" ref="L13:L20" si="14">((D$2+D$3+D$4)*AA13)</f>
        <v>146.35978559999995</v>
      </c>
      <c r="M13" s="146">
        <f t="shared" ref="M13:N20" si="15">L13*Y13</f>
        <v>101.72005099199995</v>
      </c>
      <c r="N13" s="146">
        <f t="shared" si="15"/>
        <v>1315.2402593265595</v>
      </c>
      <c r="O13" s="146">
        <f t="shared" ref="O13:O20" si="16">M13*AH13</f>
        <v>9.6634048442399951</v>
      </c>
      <c r="Q13" s="13"/>
      <c r="R13" s="139"/>
      <c r="S13" s="138"/>
      <c r="T13" s="139"/>
      <c r="U13" s="139"/>
      <c r="V13" s="107">
        <v>8.67</v>
      </c>
      <c r="W13" s="150">
        <f t="shared" ref="W13:W20" si="17">(AF13/SUM(AF$2:AF$20))*0.98</f>
        <v>1.9599999999999999E-2</v>
      </c>
      <c r="X13" s="19">
        <v>8.1000000000000003E-2</v>
      </c>
      <c r="Y13" s="19">
        <v>0.69499999999999995</v>
      </c>
      <c r="Z13" s="20">
        <v>12.93</v>
      </c>
      <c r="AA13" s="150">
        <f t="shared" ref="AA13:AA20" si="18">(AG13/SUM(AG$6:AG$25))*0.98</f>
        <v>0.23519999999999994</v>
      </c>
      <c r="AB13" s="7">
        <v>0.19706501903396839</v>
      </c>
      <c r="AC13" s="150">
        <f t="shared" ref="AC13:AC20" si="19">(AH13/SUM(AH$6:AH$25))*0.98</f>
        <v>0.10332963374028857</v>
      </c>
      <c r="AE13" s="168"/>
      <c r="AF13" s="19">
        <v>0.02</v>
      </c>
      <c r="AG13" s="19">
        <v>0.24</v>
      </c>
      <c r="AH13" s="19">
        <v>9.5000000000000001E-2</v>
      </c>
    </row>
    <row r="14" spans="1:34" x14ac:dyDescent="0.2">
      <c r="A14" s="17" t="s">
        <v>53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1"/>
        <v>0</v>
      </c>
      <c r="J14" s="146">
        <f t="shared" si="12"/>
        <v>0</v>
      </c>
      <c r="K14" s="146">
        <f t="shared" si="13"/>
        <v>0</v>
      </c>
      <c r="L14" s="146">
        <f t="shared" si="14"/>
        <v>109.76983919999996</v>
      </c>
      <c r="M14" s="146">
        <f t="shared" si="15"/>
        <v>72.009014515199979</v>
      </c>
      <c r="N14" s="146">
        <f t="shared" si="15"/>
        <v>871.30907563391975</v>
      </c>
      <c r="O14" s="146">
        <f t="shared" si="16"/>
        <v>6.1207662337919988</v>
      </c>
      <c r="Q14" s="13"/>
      <c r="R14" s="139"/>
      <c r="S14" s="138"/>
      <c r="T14" s="139"/>
      <c r="U14" s="139"/>
      <c r="V14" s="107">
        <v>5.18</v>
      </c>
      <c r="W14" s="150">
        <f t="shared" si="17"/>
        <v>0</v>
      </c>
      <c r="X14" s="19">
        <v>2.4E-2</v>
      </c>
      <c r="Y14" s="19">
        <v>0.65600000000000003</v>
      </c>
      <c r="Z14" s="20">
        <v>12.1</v>
      </c>
      <c r="AA14" s="150">
        <f t="shared" si="18"/>
        <v>0.17639999999999997</v>
      </c>
      <c r="AB14" s="7">
        <v>0.19101895662388133</v>
      </c>
      <c r="AC14" s="150">
        <f t="shared" si="19"/>
        <v>9.2452830188679266E-2</v>
      </c>
      <c r="AE14" s="168"/>
      <c r="AF14" s="19">
        <v>0</v>
      </c>
      <c r="AG14" s="19">
        <v>0.18</v>
      </c>
      <c r="AH14" s="19">
        <v>8.5000000000000006E-2</v>
      </c>
    </row>
    <row r="15" spans="1:34" x14ac:dyDescent="0.2">
      <c r="A15" s="17" t="s">
        <v>449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si="11"/>
        <v>0</v>
      </c>
      <c r="J15" s="146">
        <f t="shared" si="12"/>
        <v>0</v>
      </c>
      <c r="K15" s="146">
        <f t="shared" si="13"/>
        <v>0</v>
      </c>
      <c r="L15" s="146">
        <f t="shared" si="14"/>
        <v>60.983243999999978</v>
      </c>
      <c r="M15" s="146">
        <f t="shared" si="15"/>
        <v>37.260762083999985</v>
      </c>
      <c r="N15" s="146">
        <f t="shared" si="15"/>
        <v>486.99816043787985</v>
      </c>
      <c r="O15" s="146">
        <f t="shared" si="16"/>
        <v>2.7945571562999989</v>
      </c>
      <c r="Q15" s="13"/>
      <c r="R15" s="139"/>
      <c r="S15" s="138"/>
      <c r="T15" s="139"/>
      <c r="U15" s="139"/>
      <c r="V15" s="107">
        <v>5.0199999999999996</v>
      </c>
      <c r="W15" s="150">
        <f t="shared" si="17"/>
        <v>0</v>
      </c>
      <c r="X15" s="19">
        <v>1.4999999999999999E-2</v>
      </c>
      <c r="Y15" s="19">
        <v>0.61099999999999999</v>
      </c>
      <c r="Z15" s="20">
        <v>13.07</v>
      </c>
      <c r="AA15" s="150">
        <f t="shared" si="18"/>
        <v>9.7999999999999976E-2</v>
      </c>
      <c r="AB15" s="7">
        <v>0.13390050001312528</v>
      </c>
      <c r="AC15" s="150">
        <f t="shared" si="19"/>
        <v>8.1576026637069921E-2</v>
      </c>
      <c r="AE15" s="168"/>
      <c r="AF15" s="19">
        <v>0</v>
      </c>
      <c r="AG15" s="19">
        <v>0.1</v>
      </c>
      <c r="AH15" s="19">
        <v>7.4999999999999997E-2</v>
      </c>
    </row>
    <row r="16" spans="1:34" x14ac:dyDescent="0.2">
      <c r="A16" s="17" t="s">
        <v>591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si="11"/>
        <v>0</v>
      </c>
      <c r="J16" s="146">
        <f t="shared" si="12"/>
        <v>0</v>
      </c>
      <c r="K16" s="146">
        <f t="shared" si="13"/>
        <v>0</v>
      </c>
      <c r="L16" s="146">
        <f t="shared" si="14"/>
        <v>18.294973199999994</v>
      </c>
      <c r="M16" s="146">
        <f t="shared" si="15"/>
        <v>11.159933651999996</v>
      </c>
      <c r="N16" s="146">
        <f t="shared" si="15"/>
        <v>111.59933651999995</v>
      </c>
      <c r="O16" s="146">
        <f t="shared" si="16"/>
        <v>0.78119535563999976</v>
      </c>
      <c r="Q16" s="13"/>
      <c r="R16" s="139"/>
      <c r="S16" s="138"/>
      <c r="T16" s="139"/>
      <c r="U16" s="139"/>
      <c r="V16" s="107">
        <v>5.0199999999999996</v>
      </c>
      <c r="W16" s="150">
        <f t="shared" si="17"/>
        <v>0</v>
      </c>
      <c r="X16" s="19">
        <v>1.4999999999999999E-2</v>
      </c>
      <c r="Y16" s="19">
        <v>0.61</v>
      </c>
      <c r="Z16" s="20">
        <v>10</v>
      </c>
      <c r="AA16" s="150">
        <f t="shared" si="18"/>
        <v>2.9399999999999992E-2</v>
      </c>
      <c r="AB16" s="7">
        <v>3.458244539730021E-2</v>
      </c>
      <c r="AC16" s="150">
        <f t="shared" si="19"/>
        <v>7.6137624861265268E-2</v>
      </c>
      <c r="AE16" s="168"/>
      <c r="AF16" s="19">
        <v>0</v>
      </c>
      <c r="AG16" s="19">
        <v>0.03</v>
      </c>
      <c r="AH16" s="19">
        <v>7.0000000000000007E-2</v>
      </c>
    </row>
    <row r="17" spans="1:34" x14ac:dyDescent="0.2">
      <c r="A17" s="17" t="s">
        <v>499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11"/>
        <v>0</v>
      </c>
      <c r="J17" s="146">
        <f t="shared" si="12"/>
        <v>0</v>
      </c>
      <c r="K17" s="146">
        <f t="shared" si="13"/>
        <v>0</v>
      </c>
      <c r="L17" s="146">
        <f t="shared" si="14"/>
        <v>24.39329759999999</v>
      </c>
      <c r="M17" s="146">
        <f t="shared" si="15"/>
        <v>15.294597595199994</v>
      </c>
      <c r="N17" s="146">
        <f t="shared" si="15"/>
        <v>177.57027808027192</v>
      </c>
      <c r="O17" s="146">
        <f t="shared" si="16"/>
        <v>1.3765137835679995</v>
      </c>
      <c r="Q17" s="13"/>
      <c r="R17" s="139"/>
      <c r="S17" s="138"/>
      <c r="T17" s="139"/>
      <c r="U17" s="139"/>
      <c r="V17" s="107">
        <v>6.41</v>
      </c>
      <c r="W17" s="150">
        <f t="shared" si="17"/>
        <v>0</v>
      </c>
      <c r="X17" s="19">
        <v>3.7999999999999999E-2</v>
      </c>
      <c r="Y17" s="19">
        <v>0.627</v>
      </c>
      <c r="Z17" s="20">
        <v>11.61</v>
      </c>
      <c r="AA17" s="150">
        <f t="shared" si="18"/>
        <v>3.9199999999999992E-2</v>
      </c>
      <c r="AB17" s="7">
        <v>2.6997234152718364E-2</v>
      </c>
      <c r="AC17" s="150">
        <f t="shared" si="19"/>
        <v>9.7891231964483905E-2</v>
      </c>
      <c r="AE17" s="168"/>
      <c r="AF17" s="19">
        <v>0</v>
      </c>
      <c r="AG17" s="19">
        <v>0.04</v>
      </c>
      <c r="AH17" s="19">
        <v>0.09</v>
      </c>
    </row>
    <row r="18" spans="1:34" x14ac:dyDescent="0.2">
      <c r="A18" s="17" t="s">
        <v>649</v>
      </c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11"/>
        <v>0</v>
      </c>
      <c r="J18" s="146">
        <f t="shared" si="12"/>
        <v>0</v>
      </c>
      <c r="K18" s="146">
        <f t="shared" si="13"/>
        <v>0</v>
      </c>
      <c r="L18" s="146">
        <f t="shared" si="14"/>
        <v>18.294973199999994</v>
      </c>
      <c r="M18" s="146">
        <f t="shared" si="15"/>
        <v>11.306293437599995</v>
      </c>
      <c r="N18" s="146">
        <f t="shared" si="15"/>
        <v>145.39893360753592</v>
      </c>
      <c r="O18" s="146">
        <f t="shared" si="16"/>
        <v>0.96103494219599972</v>
      </c>
      <c r="Q18" s="13"/>
      <c r="R18" s="139"/>
      <c r="S18" s="138"/>
      <c r="T18" s="139"/>
      <c r="U18" s="139"/>
      <c r="V18" s="107">
        <v>5.0199999999999996</v>
      </c>
      <c r="W18" s="150">
        <f t="shared" si="17"/>
        <v>0</v>
      </c>
      <c r="X18" s="19">
        <v>1.4999999999999999E-2</v>
      </c>
      <c r="Y18" s="19">
        <v>0.61799999999999999</v>
      </c>
      <c r="Z18" s="20">
        <v>12.86</v>
      </c>
      <c r="AA18" s="150">
        <f t="shared" si="18"/>
        <v>2.9399999999999992E-2</v>
      </c>
      <c r="AB18" s="7">
        <v>1.7104335421759966E-2</v>
      </c>
      <c r="AC18" s="150">
        <f t="shared" si="19"/>
        <v>9.2452830188679266E-2</v>
      </c>
      <c r="AE18" s="168"/>
      <c r="AF18" s="19">
        <v>0</v>
      </c>
      <c r="AG18" s="19">
        <v>0.03</v>
      </c>
      <c r="AH18" s="19">
        <v>8.5000000000000006E-2</v>
      </c>
    </row>
    <row r="19" spans="1:34" x14ac:dyDescent="0.2"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11"/>
        <v>0</v>
      </c>
      <c r="J19" s="146">
        <f t="shared" si="12"/>
        <v>0</v>
      </c>
      <c r="K19" s="146">
        <f t="shared" si="13"/>
        <v>0</v>
      </c>
      <c r="L19" s="146">
        <f t="shared" si="14"/>
        <v>0</v>
      </c>
      <c r="M19" s="146">
        <f t="shared" si="15"/>
        <v>0</v>
      </c>
      <c r="N19" s="146">
        <f t="shared" si="15"/>
        <v>0</v>
      </c>
      <c r="O19" s="146">
        <f t="shared" si="16"/>
        <v>0</v>
      </c>
      <c r="Q19" s="13"/>
      <c r="R19" s="139"/>
      <c r="S19" s="138"/>
      <c r="T19" s="139"/>
      <c r="U19" s="139"/>
      <c r="V19" s="107">
        <v>0</v>
      </c>
      <c r="W19" s="150">
        <f t="shared" si="17"/>
        <v>0</v>
      </c>
      <c r="X19" s="19">
        <v>0</v>
      </c>
      <c r="Y19" s="19">
        <v>0</v>
      </c>
      <c r="Z19" s="20">
        <v>0</v>
      </c>
      <c r="AA19" s="150">
        <f t="shared" si="18"/>
        <v>0</v>
      </c>
      <c r="AB19" s="7">
        <v>0</v>
      </c>
      <c r="AC19" s="150">
        <f t="shared" si="19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1"/>
        <v>0</v>
      </c>
      <c r="J20" s="146">
        <f t="shared" si="12"/>
        <v>0</v>
      </c>
      <c r="K20" s="146">
        <f t="shared" si="13"/>
        <v>0</v>
      </c>
      <c r="L20" s="146">
        <f t="shared" si="14"/>
        <v>0</v>
      </c>
      <c r="M20" s="146">
        <f t="shared" si="15"/>
        <v>0</v>
      </c>
      <c r="N20" s="146">
        <f t="shared" si="15"/>
        <v>0</v>
      </c>
      <c r="O20" s="146">
        <f t="shared" si="16"/>
        <v>0</v>
      </c>
      <c r="Q20" s="13"/>
      <c r="R20" s="139"/>
      <c r="S20" s="138"/>
      <c r="T20" s="139"/>
      <c r="U20" s="139"/>
      <c r="V20" s="107">
        <v>0</v>
      </c>
      <c r="W20" s="150">
        <f t="shared" si="17"/>
        <v>0</v>
      </c>
      <c r="X20" s="19">
        <v>0</v>
      </c>
      <c r="Y20" s="19">
        <v>0</v>
      </c>
      <c r="Z20" s="20">
        <v>0</v>
      </c>
      <c r="AA20" s="150">
        <f t="shared" si="18"/>
        <v>0</v>
      </c>
      <c r="AB20" s="7">
        <v>0</v>
      </c>
      <c r="AC20" s="150">
        <f t="shared" si="19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427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97.573190399999959</v>
      </c>
      <c r="M22" s="146">
        <f t="shared" ref="M22:N25" si="20">L22*Y22</f>
        <v>69.472111564799974</v>
      </c>
      <c r="N22" s="146">
        <f t="shared" si="20"/>
        <v>736.40438258687971</v>
      </c>
      <c r="O22" s="146">
        <f>M22*AH22</f>
        <v>6.2524900408319972</v>
      </c>
      <c r="Q22" s="13"/>
      <c r="R22" s="139"/>
      <c r="S22" s="138"/>
      <c r="T22" s="139"/>
      <c r="U22" s="139"/>
      <c r="V22" s="140"/>
      <c r="W22" s="154"/>
      <c r="X22" s="139"/>
      <c r="Y22" s="19">
        <v>0.71199999999999997</v>
      </c>
      <c r="Z22" s="20">
        <v>10.6</v>
      </c>
      <c r="AA22" s="150">
        <f>(AG22/SUM(AG$6:AG$25))*0.98</f>
        <v>0.15679999999999997</v>
      </c>
      <c r="AB22" s="7">
        <v>0.1173594878512651</v>
      </c>
      <c r="AC22" s="150">
        <f>(AH22/SUM(AH$6:AH$25))*0.98</f>
        <v>9.7891231964483905E-2</v>
      </c>
      <c r="AE22" s="168"/>
      <c r="AF22" s="168"/>
      <c r="AG22" s="19">
        <v>0.16</v>
      </c>
      <c r="AH22" s="19">
        <v>0.09</v>
      </c>
    </row>
    <row r="23" spans="1:34" x14ac:dyDescent="0.2">
      <c r="A23" s="17" t="s">
        <v>488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18.294973199999994</v>
      </c>
      <c r="M23" s="146">
        <f t="shared" si="20"/>
        <v>12.202747124399997</v>
      </c>
      <c r="N23" s="146">
        <f t="shared" si="20"/>
        <v>110.31283400457596</v>
      </c>
      <c r="O23" s="146">
        <f>M23*AH23</f>
        <v>1.0128280113251997</v>
      </c>
      <c r="Q23" s="13"/>
      <c r="R23" s="139"/>
      <c r="S23" s="138"/>
      <c r="T23" s="139"/>
      <c r="U23" s="139"/>
      <c r="V23" s="140"/>
      <c r="W23" s="154"/>
      <c r="X23" s="139"/>
      <c r="Y23" s="19">
        <v>0.66700000000000004</v>
      </c>
      <c r="Z23" s="20">
        <v>9.0399999999999991</v>
      </c>
      <c r="AA23" s="150">
        <f>(AG23/SUM(AG$6:AG$25))*0.98</f>
        <v>2.9399999999999992E-2</v>
      </c>
      <c r="AB23" s="7">
        <v>6.6566878931794998E-2</v>
      </c>
      <c r="AC23" s="150">
        <f>(AH23/SUM(AH$6:AH$25))*0.98</f>
        <v>9.0277469478357394E-2</v>
      </c>
      <c r="AE23" s="168"/>
      <c r="AF23" s="168"/>
      <c r="AG23" s="19">
        <v>0.03</v>
      </c>
      <c r="AH23" s="19">
        <v>8.3000000000000004E-2</v>
      </c>
    </row>
    <row r="24" spans="1:34" x14ac:dyDescent="0.2">
      <c r="A24" s="42" t="s">
        <v>513</v>
      </c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12.196648799999995</v>
      </c>
      <c r="M24" s="146">
        <f t="shared" si="20"/>
        <v>8.1351647495999977</v>
      </c>
      <c r="N24" s="146">
        <f t="shared" si="20"/>
        <v>80.700834316031973</v>
      </c>
      <c r="O24" s="146">
        <f>M24*AH24</f>
        <v>0.67521867421679982</v>
      </c>
      <c r="Q24" s="13"/>
      <c r="R24" s="139"/>
      <c r="S24" s="138"/>
      <c r="T24" s="139"/>
      <c r="U24" s="139"/>
      <c r="V24" s="140"/>
      <c r="W24" s="154"/>
      <c r="X24" s="139"/>
      <c r="Y24" s="19">
        <v>0.66700000000000004</v>
      </c>
      <c r="Z24" s="20">
        <v>9.92</v>
      </c>
      <c r="AA24" s="150">
        <f>(AG24/SUM(AG$6:AG$25))*0.98</f>
        <v>1.9599999999999996E-2</v>
      </c>
      <c r="AB24" s="7">
        <v>1.5536120867251138E-2</v>
      </c>
      <c r="AC24" s="150">
        <f>(AH24/SUM(AH$6:AH$25))*0.98</f>
        <v>9.0277469478357394E-2</v>
      </c>
      <c r="AE24" s="168"/>
      <c r="AF24" s="168"/>
      <c r="AG24" s="19">
        <v>0.02</v>
      </c>
      <c r="AH24" s="19">
        <v>8.3000000000000004E-2</v>
      </c>
    </row>
    <row r="25" spans="1:34" x14ac:dyDescent="0.2">
      <c r="A25" s="42"/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0"/>
        <v>0</v>
      </c>
      <c r="N25" s="146">
        <f t="shared" si="20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P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9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0.97499999999999987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1086</v>
      </c>
      <c r="E29" s="47">
        <v>0.57299999999999995</v>
      </c>
      <c r="F29" s="2">
        <f>1-E29</f>
        <v>0.42700000000000005</v>
      </c>
      <c r="G29" s="106">
        <v>4.25</v>
      </c>
      <c r="H29" s="126">
        <v>3.6999999999999998E-2</v>
      </c>
      <c r="I29" s="30"/>
      <c r="J29" s="29"/>
      <c r="K29" s="29"/>
      <c r="L29" s="29"/>
      <c r="M29" s="29"/>
      <c r="N29" s="29"/>
      <c r="O29" s="29"/>
      <c r="P29" s="29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622.27799999999991</v>
      </c>
      <c r="E32" s="156">
        <f>SUM(E2:E4)</f>
        <v>420.33634343999995</v>
      </c>
      <c r="F32" s="156">
        <f>SUM(F2:F4)</f>
        <v>4663.8634667939996</v>
      </c>
      <c r="G32" s="156">
        <f>SUM(G2:G4)</f>
        <v>32.769159479999992</v>
      </c>
      <c r="H32" s="29"/>
      <c r="I32" s="29"/>
      <c r="J32" s="29"/>
      <c r="K32" s="29"/>
      <c r="L32" s="29"/>
      <c r="M32" s="29"/>
      <c r="N32" s="29"/>
      <c r="O32" s="29"/>
      <c r="P32" s="29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463.72200000000004</v>
      </c>
      <c r="E35" s="156">
        <f>D35*G29</f>
        <v>1970.8185000000001</v>
      </c>
      <c r="F35" s="156">
        <f>D35*H29</f>
        <v>17.157714000000002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454.44756000000012</v>
      </c>
      <c r="E38" s="157">
        <f>SUM(J2:J4,J6:J11,J13:J20)</f>
        <v>1949.1710295960004</v>
      </c>
      <c r="F38" s="157">
        <f>SUM(K2:K4,K6:K11,K13:K20)</f>
        <v>17.016788884200004</v>
      </c>
      <c r="G38" s="157">
        <f>SUM(L6:L11,L13:L20,L22:L25)</f>
        <v>609.83243999999979</v>
      </c>
      <c r="H38" s="157">
        <f>SUM(M6:M11,M13:M20,M22:M25)</f>
        <v>418.41823373279982</v>
      </c>
      <c r="I38" s="157">
        <f>SUM(N6:N11,N13:N20,N22:N25)</f>
        <v>4642.742425524335</v>
      </c>
      <c r="J38" s="157">
        <f>SUM(O6:O11,O13:O20,O22:O25)</f>
        <v>32.625425707559991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9.2744399999999132</v>
      </c>
      <c r="E39" s="158">
        <f>E35-E38</f>
        <v>21.647470403999705</v>
      </c>
      <c r="F39" s="158">
        <f>F35-F38</f>
        <v>0.14092511579999822</v>
      </c>
      <c r="G39" s="158">
        <f>SUM(D2:D4)-G38</f>
        <v>12.445560000000114</v>
      </c>
      <c r="H39" s="158">
        <f>E32-H38</f>
        <v>1.9181097072001307</v>
      </c>
      <c r="I39" s="158">
        <f>F32-I38</f>
        <v>21.121041269664602</v>
      </c>
      <c r="J39" s="158">
        <f>G32-J38</f>
        <v>0.14373377244000096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71" priority="1" operator="lessThan">
      <formula>0</formula>
    </cfRule>
  </conditionalFormatting>
  <conditionalFormatting sqref="W28">
    <cfRule type="cellIs" dxfId="70" priority="2" operator="greaterThan">
      <formula>1</formula>
    </cfRule>
  </conditionalFormatting>
  <conditionalFormatting sqref="AA28:AG28">
    <cfRule type="cellIs" dxfId="6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00FF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625</v>
      </c>
      <c r="B2" s="18" t="s">
        <v>9</v>
      </c>
      <c r="C2" s="18">
        <v>9</v>
      </c>
      <c r="D2" s="146">
        <f>D$32*Q2</f>
        <v>436.88625000000002</v>
      </c>
      <c r="E2" s="146">
        <f>D2*R2</f>
        <v>273.05390625000001</v>
      </c>
      <c r="F2" s="146">
        <f>E2*S2</f>
        <v>2968.0959609375</v>
      </c>
      <c r="G2" s="146">
        <f>D2*T2</f>
        <v>17.475450000000002</v>
      </c>
      <c r="H2" s="146">
        <f>E2*U2</f>
        <v>5.4610781250000002</v>
      </c>
      <c r="I2" s="146">
        <f>D$35*W2</f>
        <v>30.766071000000007</v>
      </c>
      <c r="J2" s="146">
        <f>I2*V2</f>
        <v>123.37194471000002</v>
      </c>
      <c r="K2" s="146">
        <f>I2*X2</f>
        <v>0.92298213000000018</v>
      </c>
      <c r="L2" s="147"/>
      <c r="M2" s="147"/>
      <c r="N2" s="147"/>
      <c r="O2" s="147"/>
      <c r="Q2" s="150">
        <f>(AE2/SUM(AE$2:AE$25))</f>
        <v>0.75</v>
      </c>
      <c r="R2" s="19">
        <v>0.625</v>
      </c>
      <c r="S2" s="107">
        <v>10.87</v>
      </c>
      <c r="T2" s="19">
        <v>0.04</v>
      </c>
      <c r="U2" s="19">
        <v>0.02</v>
      </c>
      <c r="V2" s="107">
        <v>4.01</v>
      </c>
      <c r="W2" s="150">
        <f>(AF2/SUM(AF$2:AF$20))*0.98</f>
        <v>6.8600000000000008E-2</v>
      </c>
      <c r="X2" s="19">
        <v>0.03</v>
      </c>
      <c r="Y2" s="21"/>
      <c r="Z2" s="22"/>
      <c r="AA2" s="1"/>
      <c r="AB2" s="1"/>
      <c r="AC2" s="1"/>
      <c r="AE2" s="19">
        <v>0.75</v>
      </c>
      <c r="AF2" s="19">
        <v>7.0000000000000007E-2</v>
      </c>
      <c r="AG2" s="168"/>
      <c r="AH2" s="168"/>
    </row>
    <row r="3" spans="1:34" x14ac:dyDescent="0.2">
      <c r="A3" s="17" t="s">
        <v>626</v>
      </c>
      <c r="B3" s="18" t="s">
        <v>9</v>
      </c>
      <c r="C3" s="18">
        <v>9</v>
      </c>
      <c r="D3" s="146">
        <f>D$32*Q3</f>
        <v>87.377249999999989</v>
      </c>
      <c r="E3" s="146">
        <f t="shared" ref="E3:F3" si="0">D3*R3</f>
        <v>51.72733199999999</v>
      </c>
      <c r="F3" s="146">
        <f t="shared" si="0"/>
        <v>555.55154567999989</v>
      </c>
      <c r="G3" s="146">
        <f t="shared" ref="G3:G4" si="1">D3*T3</f>
        <v>3.1455809999999995</v>
      </c>
      <c r="H3" s="146">
        <f t="shared" ref="H3" si="2">E3*U3</f>
        <v>1.2931832999999999</v>
      </c>
      <c r="I3" s="146">
        <f>D$35*W3</f>
        <v>4.3951530000000005</v>
      </c>
      <c r="J3" s="146">
        <f>I3*V3</f>
        <v>19.558430850000004</v>
      </c>
      <c r="K3" s="146">
        <f>I3*X3</f>
        <v>0.12306428400000002</v>
      </c>
      <c r="L3" s="147"/>
      <c r="M3" s="147"/>
      <c r="N3" s="147"/>
      <c r="O3" s="147"/>
      <c r="Q3" s="150">
        <f>(AE3/SUM(AE$2:AE$25))</f>
        <v>0.15</v>
      </c>
      <c r="R3" s="19">
        <v>0.59199999999999997</v>
      </c>
      <c r="S3" s="107">
        <v>10.74</v>
      </c>
      <c r="T3" s="19">
        <v>3.5999999999999997E-2</v>
      </c>
      <c r="U3" s="19">
        <v>2.5000000000000001E-2</v>
      </c>
      <c r="V3" s="107">
        <v>4.45</v>
      </c>
      <c r="W3" s="150">
        <f>(AF3/SUM(AF$2:AF$20))*0.98</f>
        <v>9.7999999999999997E-3</v>
      </c>
      <c r="X3" s="19">
        <v>2.8000000000000001E-2</v>
      </c>
      <c r="Y3" s="21"/>
      <c r="Z3" s="22"/>
      <c r="AA3" s="1"/>
      <c r="AB3" s="1"/>
      <c r="AC3" s="1"/>
      <c r="AE3" s="19">
        <v>0.15</v>
      </c>
      <c r="AF3" s="19">
        <v>0.01</v>
      </c>
      <c r="AG3" s="168"/>
      <c r="AH3" s="168"/>
    </row>
    <row r="4" spans="1:34" x14ac:dyDescent="0.2">
      <c r="A4" s="17" t="s">
        <v>459</v>
      </c>
      <c r="B4" s="18" t="s">
        <v>9</v>
      </c>
      <c r="C4" s="18">
        <v>9</v>
      </c>
      <c r="D4" s="146">
        <f>D$32*Q4</f>
        <v>58.2515</v>
      </c>
      <c r="E4" s="146">
        <f>D4*R4</f>
        <v>34.251881999999995</v>
      </c>
      <c r="F4" s="146">
        <f>E4*S4</f>
        <v>349.71171521999997</v>
      </c>
      <c r="G4" s="146">
        <f t="shared" si="1"/>
        <v>1.7475449999999999</v>
      </c>
      <c r="H4" s="146">
        <f>E4*U4</f>
        <v>0.99330457799999994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0.1</v>
      </c>
      <c r="R4" s="19">
        <v>0.58799999999999997</v>
      </c>
      <c r="S4" s="107">
        <v>10.210000000000001</v>
      </c>
      <c r="T4" s="19">
        <v>0.03</v>
      </c>
      <c r="U4" s="19">
        <v>2.9000000000000001E-2</v>
      </c>
      <c r="V4" s="107">
        <v>2.8</v>
      </c>
      <c r="W4" s="150">
        <f>(AF4/SUM(AF$2:AF$20))*0.98</f>
        <v>0</v>
      </c>
      <c r="X4" s="19">
        <v>0.02</v>
      </c>
      <c r="Y4" s="21"/>
      <c r="Z4" s="22"/>
      <c r="AA4" s="1"/>
      <c r="AB4" s="1"/>
      <c r="AC4" s="1"/>
      <c r="AE4" s="19">
        <v>0.1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198</v>
      </c>
      <c r="B6" s="18" t="s">
        <v>222</v>
      </c>
      <c r="C6" s="18">
        <v>9</v>
      </c>
      <c r="D6" s="147"/>
      <c r="E6" s="147"/>
      <c r="F6" s="147"/>
      <c r="G6" s="147"/>
      <c r="H6" s="147"/>
      <c r="I6" s="146">
        <f t="shared" ref="I6:I11" si="3">D$35*W6</f>
        <v>184.59642600000001</v>
      </c>
      <c r="J6" s="146">
        <f t="shared" ref="J6:J11" si="4">I6*V6</f>
        <v>762.38323937999996</v>
      </c>
      <c r="K6" s="146">
        <f t="shared" ref="K6:K11" si="5">I6*X6</f>
        <v>6.0916820580000008</v>
      </c>
      <c r="L6" s="146">
        <f t="shared" ref="L6:L11" si="6">((D$2+D$3+D$4)*AA6)</f>
        <v>34.251881999999995</v>
      </c>
      <c r="M6" s="146">
        <f t="shared" ref="M6:N11" si="7">L6*Y6</f>
        <v>25.757415263999995</v>
      </c>
      <c r="N6" s="146">
        <f t="shared" si="7"/>
        <v>156.60508480511999</v>
      </c>
      <c r="O6" s="146">
        <f t="shared" ref="O6:O11" si="8">M6*AH6</f>
        <v>0.90150953423999991</v>
      </c>
      <c r="Q6" s="13"/>
      <c r="R6" s="139"/>
      <c r="S6" s="138"/>
      <c r="T6" s="139"/>
      <c r="U6" s="139"/>
      <c r="V6" s="107">
        <v>4.13</v>
      </c>
      <c r="W6" s="150">
        <f t="shared" ref="W6:W11" si="9">(AF6/SUM(AF$2:AF$20))*0.98</f>
        <v>0.41159999999999997</v>
      </c>
      <c r="X6" s="19">
        <v>3.3000000000000002E-2</v>
      </c>
      <c r="Y6" s="19">
        <v>0.752</v>
      </c>
      <c r="Z6" s="20">
        <v>6.08</v>
      </c>
      <c r="AA6" s="150">
        <f t="shared" ref="AA6:AA11" si="10">(AG6/SUM(AG$6:AG$25))*0.98</f>
        <v>5.8799999999999998E-2</v>
      </c>
      <c r="AB6" s="7">
        <v>6.8073917432316638E-2</v>
      </c>
      <c r="AC6" s="150">
        <f t="shared" ref="AC6:AC11" si="11">(AH6/SUM(AH$6:AH$25))*0.98</f>
        <v>5.4444444444444441E-2</v>
      </c>
      <c r="AE6" s="168"/>
      <c r="AF6" s="19">
        <v>0.42</v>
      </c>
      <c r="AG6" s="19">
        <v>0.06</v>
      </c>
      <c r="AH6" s="19">
        <v>3.5000000000000003E-2</v>
      </c>
    </row>
    <row r="7" spans="1:34" x14ac:dyDescent="0.2">
      <c r="A7" s="17" t="s">
        <v>651</v>
      </c>
      <c r="B7" s="18" t="s">
        <v>222</v>
      </c>
      <c r="C7" s="18">
        <v>9</v>
      </c>
      <c r="D7" s="147"/>
      <c r="E7" s="147"/>
      <c r="F7" s="147"/>
      <c r="G7" s="147"/>
      <c r="H7" s="147"/>
      <c r="I7" s="146">
        <f t="shared" si="3"/>
        <v>114.27397800000003</v>
      </c>
      <c r="J7" s="146">
        <f t="shared" si="4"/>
        <v>494.80632474000015</v>
      </c>
      <c r="K7" s="146">
        <f t="shared" si="5"/>
        <v>3.6567672960000008</v>
      </c>
      <c r="L7" s="146">
        <f t="shared" si="6"/>
        <v>11.417294</v>
      </c>
      <c r="M7" s="146">
        <f t="shared" si="7"/>
        <v>8.3346246199999996</v>
      </c>
      <c r="N7" s="146">
        <f t="shared" si="7"/>
        <v>52.091403874999997</v>
      </c>
      <c r="O7" s="146">
        <f t="shared" si="8"/>
        <v>0.1666924924</v>
      </c>
      <c r="Q7" s="13"/>
      <c r="R7" s="139"/>
      <c r="S7" s="138"/>
      <c r="T7" s="139"/>
      <c r="U7" s="139"/>
      <c r="V7" s="107">
        <v>4.33</v>
      </c>
      <c r="W7" s="150">
        <f t="shared" si="9"/>
        <v>0.25480000000000003</v>
      </c>
      <c r="X7" s="19">
        <v>3.2000000000000001E-2</v>
      </c>
      <c r="Y7" s="19">
        <v>0.73</v>
      </c>
      <c r="Z7" s="20">
        <v>6.25</v>
      </c>
      <c r="AA7" s="150">
        <f t="shared" si="10"/>
        <v>1.9599999999999999E-2</v>
      </c>
      <c r="AB7" s="7">
        <v>7.1621042610960422E-3</v>
      </c>
      <c r="AC7" s="150">
        <f t="shared" si="11"/>
        <v>3.111111111111111E-2</v>
      </c>
      <c r="AE7" s="168"/>
      <c r="AF7" s="19">
        <v>0.26</v>
      </c>
      <c r="AG7" s="19">
        <v>0.02</v>
      </c>
      <c r="AH7" s="19">
        <v>0.02</v>
      </c>
    </row>
    <row r="8" spans="1:34" x14ac:dyDescent="0.2">
      <c r="A8" s="172" t="s">
        <v>196</v>
      </c>
      <c r="B8" s="18" t="s">
        <v>222</v>
      </c>
      <c r="C8" s="18">
        <v>9</v>
      </c>
      <c r="D8" s="147"/>
      <c r="E8" s="147"/>
      <c r="F8" s="147"/>
      <c r="G8" s="147"/>
      <c r="H8" s="147"/>
      <c r="I8" s="146">
        <f t="shared" si="3"/>
        <v>87.903060000000011</v>
      </c>
      <c r="J8" s="146">
        <f t="shared" si="4"/>
        <v>374.46703560000003</v>
      </c>
      <c r="K8" s="146">
        <f t="shared" si="5"/>
        <v>2.5491887400000004</v>
      </c>
      <c r="L8" s="146">
        <f t="shared" si="6"/>
        <v>39.960529000000001</v>
      </c>
      <c r="M8" s="146">
        <f t="shared" si="7"/>
        <v>30.849528388000003</v>
      </c>
      <c r="N8" s="146">
        <f t="shared" si="7"/>
        <v>223.04209024524005</v>
      </c>
      <c r="O8" s="146">
        <f t="shared" si="8"/>
        <v>0.77123820970000012</v>
      </c>
      <c r="Q8" s="13"/>
      <c r="R8" s="139"/>
      <c r="S8" s="138"/>
      <c r="T8" s="139"/>
      <c r="U8" s="139"/>
      <c r="V8" s="107">
        <v>4.26</v>
      </c>
      <c r="W8" s="150">
        <f t="shared" si="9"/>
        <v>0.19600000000000001</v>
      </c>
      <c r="X8" s="19">
        <v>2.9000000000000001E-2</v>
      </c>
      <c r="Y8" s="19">
        <v>0.77200000000000002</v>
      </c>
      <c r="Z8" s="20">
        <v>7.23</v>
      </c>
      <c r="AA8" s="150">
        <f t="shared" si="10"/>
        <v>6.8600000000000008E-2</v>
      </c>
      <c r="AB8" s="7">
        <v>6.9752696430286074E-2</v>
      </c>
      <c r="AC8" s="150">
        <f t="shared" si="11"/>
        <v>3.8888888888888883E-2</v>
      </c>
      <c r="AE8" s="168"/>
      <c r="AF8" s="19">
        <v>0.2</v>
      </c>
      <c r="AG8" s="19">
        <v>7.0000000000000007E-2</v>
      </c>
      <c r="AH8" s="19">
        <v>2.5000000000000001E-2</v>
      </c>
    </row>
    <row r="9" spans="1:34" x14ac:dyDescent="0.2">
      <c r="A9" s="17" t="s">
        <v>568</v>
      </c>
      <c r="B9" s="18" t="s">
        <v>222</v>
      </c>
      <c r="C9" s="18">
        <v>9</v>
      </c>
      <c r="D9" s="147"/>
      <c r="E9" s="147"/>
      <c r="F9" s="147"/>
      <c r="G9" s="147"/>
      <c r="H9" s="147"/>
      <c r="I9" s="146">
        <f t="shared" si="3"/>
        <v>17.580612000000002</v>
      </c>
      <c r="J9" s="146">
        <f t="shared" si="4"/>
        <v>81.574039679999998</v>
      </c>
      <c r="K9" s="146">
        <f t="shared" si="5"/>
        <v>0.4922571360000001</v>
      </c>
      <c r="L9" s="146">
        <f t="shared" si="6"/>
        <v>11.417294</v>
      </c>
      <c r="M9" s="146">
        <f t="shared" si="7"/>
        <v>8.7913163799999996</v>
      </c>
      <c r="N9" s="146">
        <f t="shared" si="7"/>
        <v>55.473206357799995</v>
      </c>
      <c r="O9" s="146">
        <f t="shared" si="8"/>
        <v>0.21978290950000001</v>
      </c>
      <c r="Q9" s="13"/>
      <c r="R9" s="139"/>
      <c r="S9" s="138"/>
      <c r="T9" s="139"/>
      <c r="U9" s="139"/>
      <c r="V9" s="107">
        <v>4.6399999999999997</v>
      </c>
      <c r="W9" s="150">
        <f t="shared" si="9"/>
        <v>3.9199999999999999E-2</v>
      </c>
      <c r="X9" s="19">
        <v>2.8000000000000001E-2</v>
      </c>
      <c r="Y9" s="19">
        <v>0.77</v>
      </c>
      <c r="Z9" s="20">
        <v>6.31</v>
      </c>
      <c r="AA9" s="150">
        <f t="shared" si="10"/>
        <v>1.9599999999999999E-2</v>
      </c>
      <c r="AB9" s="7">
        <v>1.1650317612260847E-2</v>
      </c>
      <c r="AC9" s="150">
        <f t="shared" si="11"/>
        <v>3.8888888888888883E-2</v>
      </c>
      <c r="AE9" s="168"/>
      <c r="AF9" s="19">
        <v>0.04</v>
      </c>
      <c r="AG9" s="19">
        <v>0.02</v>
      </c>
      <c r="AH9" s="19">
        <v>2.5000000000000001E-2</v>
      </c>
    </row>
    <row r="10" spans="1:34" x14ac:dyDescent="0.2">
      <c r="B10" s="18" t="s">
        <v>222</v>
      </c>
      <c r="C10" s="18"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0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39</v>
      </c>
      <c r="B13" s="18" t="s">
        <v>223</v>
      </c>
      <c r="C13" s="18">
        <v>9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131.29888099999999</v>
      </c>
      <c r="M13" s="146">
        <f t="shared" ref="M13:N20" si="16">L13*Y13</f>
        <v>79.435823004999989</v>
      </c>
      <c r="N13" s="146">
        <f t="shared" si="16"/>
        <v>957.99602544029995</v>
      </c>
      <c r="O13" s="146">
        <f t="shared" ref="O13:O20" si="17">M13*AH13</f>
        <v>6.7520449554249993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0.60499999999999998</v>
      </c>
      <c r="Z13" s="20">
        <v>12.06</v>
      </c>
      <c r="AA13" s="150">
        <f t="shared" ref="AA13:AA20" si="19">(AG13/SUM(AG$6:AG$25))*0.98</f>
        <v>0.22540000000000002</v>
      </c>
      <c r="AB13" s="7">
        <v>0.17296040692049197</v>
      </c>
      <c r="AC13" s="150">
        <f t="shared" ref="AC13:AC20" si="20">(AH13/SUM(AH$6:AH$25))*0.98</f>
        <v>0.13222222222222221</v>
      </c>
      <c r="AE13" s="168"/>
      <c r="AF13" s="19">
        <v>0</v>
      </c>
      <c r="AG13" s="19">
        <v>0.23</v>
      </c>
      <c r="AH13" s="19">
        <v>8.5000000000000006E-2</v>
      </c>
    </row>
    <row r="14" spans="1:34" x14ac:dyDescent="0.2">
      <c r="A14" s="17" t="s">
        <v>514</v>
      </c>
      <c r="B14" s="18" t="s">
        <v>223</v>
      </c>
      <c r="C14" s="18">
        <v>9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79.921058000000002</v>
      </c>
      <c r="M14" s="146">
        <f t="shared" si="16"/>
        <v>47.952634799999998</v>
      </c>
      <c r="N14" s="146">
        <f t="shared" si="16"/>
        <v>616.67088352799999</v>
      </c>
      <c r="O14" s="146">
        <f t="shared" si="17"/>
        <v>3.116921262</v>
      </c>
      <c r="Q14" s="13"/>
      <c r="R14" s="139"/>
      <c r="S14" s="138"/>
      <c r="T14" s="139"/>
      <c r="U14" s="139"/>
      <c r="V14" s="107">
        <v>4.68</v>
      </c>
      <c r="W14" s="150">
        <f t="shared" si="18"/>
        <v>0</v>
      </c>
      <c r="X14" s="19">
        <v>2.4E-2</v>
      </c>
      <c r="Y14" s="19">
        <v>0.6</v>
      </c>
      <c r="Z14" s="20">
        <v>12.86</v>
      </c>
      <c r="AA14" s="150">
        <f t="shared" si="19"/>
        <v>0.13720000000000002</v>
      </c>
      <c r="AB14" s="7">
        <v>9.6930999688846331E-2</v>
      </c>
      <c r="AC14" s="150">
        <f t="shared" si="20"/>
        <v>0.1011111111111111</v>
      </c>
      <c r="AE14" s="168"/>
      <c r="AF14" s="19">
        <v>0</v>
      </c>
      <c r="AG14" s="19">
        <v>0.14000000000000001</v>
      </c>
      <c r="AH14" s="19">
        <v>6.5000000000000002E-2</v>
      </c>
    </row>
    <row r="15" spans="1:34" x14ac:dyDescent="0.2">
      <c r="A15" s="17" t="s">
        <v>56</v>
      </c>
      <c r="B15" s="18" t="s">
        <v>223</v>
      </c>
      <c r="C15" s="18">
        <v>9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85.629704999999987</v>
      </c>
      <c r="M15" s="146">
        <f t="shared" si="16"/>
        <v>50.77841506499999</v>
      </c>
      <c r="N15" s="146">
        <f t="shared" si="16"/>
        <v>601.21643436959982</v>
      </c>
      <c r="O15" s="146">
        <f t="shared" si="17"/>
        <v>3.3005969792249994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0.59299999999999997</v>
      </c>
      <c r="Z15" s="20">
        <v>11.84</v>
      </c>
      <c r="AA15" s="150">
        <f t="shared" si="19"/>
        <v>0.14699999999999999</v>
      </c>
      <c r="AB15" s="7">
        <v>0.16914700718371889</v>
      </c>
      <c r="AC15" s="150">
        <f t="shared" si="20"/>
        <v>0.1011111111111111</v>
      </c>
      <c r="AE15" s="168"/>
      <c r="AF15" s="19">
        <v>0</v>
      </c>
      <c r="AG15" s="19">
        <v>0.15</v>
      </c>
      <c r="AH15" s="19">
        <v>6.5000000000000002E-2</v>
      </c>
    </row>
    <row r="16" spans="1:34" x14ac:dyDescent="0.2">
      <c r="A16" s="17" t="s">
        <v>650</v>
      </c>
      <c r="B16" s="18" t="s">
        <v>223</v>
      </c>
      <c r="C16" s="18">
        <v>9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68.50376399999999</v>
      </c>
      <c r="M16" s="146">
        <f t="shared" si="16"/>
        <v>40.759739579999994</v>
      </c>
      <c r="N16" s="146">
        <f t="shared" si="16"/>
        <v>513.98031610379985</v>
      </c>
      <c r="O16" s="146">
        <f t="shared" si="17"/>
        <v>3.0569804684999995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0.59499999999999997</v>
      </c>
      <c r="Z16" s="20">
        <v>12.61</v>
      </c>
      <c r="AA16" s="150">
        <f t="shared" si="19"/>
        <v>0.1176</v>
      </c>
      <c r="AB16" s="7">
        <v>4.0220732546576553E-3</v>
      </c>
      <c r="AC16" s="150">
        <f t="shared" si="20"/>
        <v>0.11666666666666664</v>
      </c>
      <c r="AE16" s="168"/>
      <c r="AF16" s="19">
        <v>0</v>
      </c>
      <c r="AG16" s="19">
        <v>0.12</v>
      </c>
      <c r="AH16" s="19">
        <v>7.4999999999999997E-2</v>
      </c>
    </row>
    <row r="17" spans="1:34" x14ac:dyDescent="0.2">
      <c r="A17" s="17" t="s">
        <v>592</v>
      </c>
      <c r="B17" s="18" t="s">
        <v>223</v>
      </c>
      <c r="C17" s="18">
        <v>9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22.834588</v>
      </c>
      <c r="M17" s="146">
        <f t="shared" si="16"/>
        <v>13.472406919999999</v>
      </c>
      <c r="N17" s="146">
        <f t="shared" si="16"/>
        <v>155.47157585679997</v>
      </c>
      <c r="O17" s="146">
        <f t="shared" si="17"/>
        <v>0.94306848440000002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0.59</v>
      </c>
      <c r="Z17" s="20">
        <v>11.54</v>
      </c>
      <c r="AA17" s="150">
        <f t="shared" si="19"/>
        <v>3.9199999999999999E-2</v>
      </c>
      <c r="AB17" s="7">
        <v>1.7228678004791002E-2</v>
      </c>
      <c r="AC17" s="150">
        <f t="shared" si="20"/>
        <v>0.10888888888888888</v>
      </c>
      <c r="AE17" s="168"/>
      <c r="AF17" s="19">
        <v>0</v>
      </c>
      <c r="AG17" s="19">
        <v>0.04</v>
      </c>
      <c r="AH17" s="19">
        <v>7.0000000000000007E-2</v>
      </c>
    </row>
    <row r="18" spans="1:34" x14ac:dyDescent="0.2">
      <c r="A18" s="17" t="s">
        <v>577</v>
      </c>
      <c r="B18" s="18" t="s">
        <v>223</v>
      </c>
      <c r="C18" s="18">
        <v>9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11.417294</v>
      </c>
      <c r="M18" s="146">
        <f t="shared" si="16"/>
        <v>6.3365981700000003</v>
      </c>
      <c r="N18" s="146">
        <f t="shared" si="16"/>
        <v>81.742116393000003</v>
      </c>
      <c r="O18" s="146">
        <f t="shared" si="17"/>
        <v>0.31682990850000003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0.55500000000000005</v>
      </c>
      <c r="Z18" s="20">
        <v>12.9</v>
      </c>
      <c r="AA18" s="150">
        <f t="shared" si="19"/>
        <v>1.9599999999999999E-2</v>
      </c>
      <c r="AB18" s="7">
        <v>0.10907946740763651</v>
      </c>
      <c r="AC18" s="150">
        <f t="shared" si="20"/>
        <v>7.7777777777777765E-2</v>
      </c>
      <c r="AE18" s="168"/>
      <c r="AF18" s="19">
        <v>0</v>
      </c>
      <c r="AG18" s="19">
        <v>0.02</v>
      </c>
      <c r="AH18" s="19">
        <v>0.05</v>
      </c>
    </row>
    <row r="19" spans="1:34" x14ac:dyDescent="0.2">
      <c r="B19" s="18" t="s">
        <v>223</v>
      </c>
      <c r="C19" s="18">
        <v>9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9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448</v>
      </c>
      <c r="B22" s="18" t="s">
        <v>10</v>
      </c>
      <c r="C22" s="18"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45.669176</v>
      </c>
      <c r="M22" s="146">
        <f t="shared" ref="M22:N25" si="21">L22*Y22</f>
        <v>28.451896648000002</v>
      </c>
      <c r="N22" s="146">
        <f t="shared" si="21"/>
        <v>290.49386477608004</v>
      </c>
      <c r="O22" s="146">
        <f t="shared" ref="O22:O25" si="22">M22*AH22</f>
        <v>1.5648543156400001</v>
      </c>
      <c r="Q22" s="13"/>
      <c r="R22" s="139"/>
      <c r="S22" s="138"/>
      <c r="T22" s="139"/>
      <c r="U22" s="139"/>
      <c r="V22" s="140"/>
      <c r="W22" s="154"/>
      <c r="X22" s="139"/>
      <c r="Y22" s="19">
        <v>0.623</v>
      </c>
      <c r="Z22" s="20">
        <v>10.210000000000001</v>
      </c>
      <c r="AA22" s="150">
        <f>(AG22/SUM(AG$6:AG$25))*0.98</f>
        <v>7.8399999999999997E-2</v>
      </c>
      <c r="AB22" s="7">
        <v>0.16917769963646839</v>
      </c>
      <c r="AC22" s="150">
        <f>(AH22/SUM(AH$6:AH$25))*0.98</f>
        <v>8.5555555555555537E-2</v>
      </c>
      <c r="AE22" s="168"/>
      <c r="AF22" s="168"/>
      <c r="AG22" s="19">
        <v>0.08</v>
      </c>
      <c r="AH22" s="19">
        <v>5.5E-2</v>
      </c>
    </row>
    <row r="23" spans="1:34" x14ac:dyDescent="0.2">
      <c r="A23" s="17" t="s">
        <v>163</v>
      </c>
      <c r="B23" s="18" t="s">
        <v>10</v>
      </c>
      <c r="C23" s="18"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28.543234999999999</v>
      </c>
      <c r="M23" s="146">
        <f t="shared" si="21"/>
        <v>17.582632759999999</v>
      </c>
      <c r="N23" s="146">
        <f t="shared" si="21"/>
        <v>167.03501122</v>
      </c>
      <c r="O23" s="146">
        <f t="shared" si="22"/>
        <v>1.0549579655999999</v>
      </c>
      <c r="Q23" s="13"/>
      <c r="R23" s="139"/>
      <c r="S23" s="138"/>
      <c r="T23" s="139"/>
      <c r="U23" s="139"/>
      <c r="V23" s="140"/>
      <c r="W23" s="154"/>
      <c r="X23" s="139"/>
      <c r="Y23" s="19">
        <v>0.61599999999999999</v>
      </c>
      <c r="Z23" s="20">
        <v>9.5</v>
      </c>
      <c r="AA23" s="150">
        <f>(AG23/SUM(AG$6:AG$25))*0.98</f>
        <v>4.9000000000000002E-2</v>
      </c>
      <c r="AB23" s="7">
        <v>5.5579734095602698E-2</v>
      </c>
      <c r="AC23" s="150">
        <f>(AH23/SUM(AH$6:AH$25))*0.98</f>
        <v>9.333333333333331E-2</v>
      </c>
      <c r="AE23" s="168"/>
      <c r="AF23" s="168"/>
      <c r="AG23" s="19">
        <v>0.05</v>
      </c>
      <c r="AH23" s="19">
        <v>0.06</v>
      </c>
    </row>
    <row r="24" spans="1:34" x14ac:dyDescent="0.2">
      <c r="B24" s="18" t="s">
        <v>10</v>
      </c>
      <c r="C24" s="18"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1.574709966879094E-2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8.4877984030362497E-3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0.9750000000000002</v>
      </c>
      <c r="AC28" s="150">
        <f>SUM(AC6:AC25)</f>
        <v>0.97999999999999976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1031</v>
      </c>
      <c r="E29" s="47">
        <v>0.56499999999999995</v>
      </c>
      <c r="F29" s="2">
        <f>1-E29</f>
        <v>0.43500000000000005</v>
      </c>
      <c r="G29" s="106">
        <v>4.1500000000000004</v>
      </c>
      <c r="H29" s="126">
        <v>3.1E-2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582.51499999999999</v>
      </c>
      <c r="E32" s="156">
        <f>SUM(E2:E4)</f>
        <v>359.03312025000002</v>
      </c>
      <c r="F32" s="156">
        <f>SUM(F2:F4)</f>
        <v>3873.3592218374997</v>
      </c>
      <c r="G32" s="156">
        <f>SUM(G2:G4)</f>
        <v>22.368576000000001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448.48500000000007</v>
      </c>
      <c r="E35" s="156">
        <f>D35*G29</f>
        <v>1861.2127500000004</v>
      </c>
      <c r="F35" s="156">
        <f>D35*H29</f>
        <v>13.903035000000003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439.51530000000002</v>
      </c>
      <c r="E38" s="157">
        <f>SUM(J2:J4,J6:J11,J13:J20)</f>
        <v>1856.1610149600003</v>
      </c>
      <c r="F38" s="157">
        <f>SUM(K2:K4,K6:K11,K13:K20)</f>
        <v>13.835941644000002</v>
      </c>
      <c r="G38" s="157">
        <f>SUM(L6:L11,L13:L20,L22:L25)</f>
        <v>570.86469999999997</v>
      </c>
      <c r="H38" s="157">
        <f>SUM(M6:M11,M13:M20,M22:M25)</f>
        <v>358.50303159999999</v>
      </c>
      <c r="I38" s="157">
        <f>SUM(N6:N11,N13:N20,N22:N25)</f>
        <v>3871.8180129707393</v>
      </c>
      <c r="J38" s="157">
        <f>SUM(O6:O11,O13:O20,O22:O25)</f>
        <v>22.165477485130005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8.9697000000000457</v>
      </c>
      <c r="E39" s="158">
        <f>E35-E38</f>
        <v>5.0517350400000396</v>
      </c>
      <c r="F39" s="158">
        <f>F35-F38</f>
        <v>6.7093356000000881E-2</v>
      </c>
      <c r="G39" s="158">
        <f>SUM(D2:D4)-G38</f>
        <v>11.650300000000016</v>
      </c>
      <c r="H39" s="158">
        <f>E32-H38</f>
        <v>0.5300886500000388</v>
      </c>
      <c r="I39" s="158">
        <f>F32-I38</f>
        <v>1.5412088667603712</v>
      </c>
      <c r="J39" s="158">
        <f>G32-J38</f>
        <v>0.20309851486999619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D42" s="5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68" priority="1" operator="lessThan">
      <formula>0</formula>
    </cfRule>
  </conditionalFormatting>
  <conditionalFormatting sqref="W28">
    <cfRule type="cellIs" dxfId="67" priority="2" operator="greaterThan">
      <formula>1</formula>
    </cfRule>
  </conditionalFormatting>
  <conditionalFormatting sqref="AA28:AG28">
    <cfRule type="cellIs" dxfId="66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71A0FF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57</v>
      </c>
      <c r="B2" s="18" t="s">
        <v>9</v>
      </c>
      <c r="C2" s="18">
        <v>9</v>
      </c>
      <c r="D2" s="146">
        <f>D$32*Q2</f>
        <v>592.67459999999994</v>
      </c>
      <c r="E2" s="146">
        <f>D2*R2</f>
        <v>399.46268040000001</v>
      </c>
      <c r="F2" s="146">
        <f>E2*S2</f>
        <v>4505.9390349119994</v>
      </c>
      <c r="G2" s="146">
        <f>D2*T2</f>
        <v>30.226404599999995</v>
      </c>
      <c r="H2" s="146">
        <f>E2*U2</f>
        <v>6.7908655668000009</v>
      </c>
      <c r="I2" s="146">
        <f>D$35*W2</f>
        <v>31.297378000000009</v>
      </c>
      <c r="J2" s="146">
        <f>I2*V2</f>
        <v>56.961227960000016</v>
      </c>
      <c r="K2" s="146">
        <f>I2*X2</f>
        <v>1.0328134740000003</v>
      </c>
      <c r="L2" s="147"/>
      <c r="M2" s="147"/>
      <c r="N2" s="147"/>
      <c r="O2" s="147"/>
      <c r="Q2" s="150">
        <f>(AE2/SUM(AE$2:AE$25))</f>
        <v>0.98</v>
      </c>
      <c r="R2" s="19">
        <v>0.67400000000000004</v>
      </c>
      <c r="S2" s="107">
        <v>11.28</v>
      </c>
      <c r="T2" s="19">
        <v>5.0999999999999997E-2</v>
      </c>
      <c r="U2" s="19">
        <v>1.7000000000000001E-2</v>
      </c>
      <c r="V2" s="107">
        <v>1.82</v>
      </c>
      <c r="W2" s="150">
        <f>(AF2/SUM(AF$2:AF$20))*0.98</f>
        <v>6.8600000000000008E-2</v>
      </c>
      <c r="X2" s="19">
        <v>3.3000000000000002E-2</v>
      </c>
      <c r="Y2" s="21"/>
      <c r="Z2" s="22"/>
      <c r="AA2" s="1"/>
      <c r="AB2" s="1"/>
      <c r="AC2" s="1"/>
      <c r="AE2" s="19">
        <v>0.98</v>
      </c>
      <c r="AF2" s="19">
        <v>7.0000000000000007E-2</v>
      </c>
      <c r="AG2" s="168"/>
      <c r="AH2" s="168"/>
    </row>
    <row r="3" spans="1:34" x14ac:dyDescent="0.2">
      <c r="A3" s="17" t="s">
        <v>593</v>
      </c>
      <c r="B3" s="18" t="s">
        <v>9</v>
      </c>
      <c r="C3" s="18">
        <v>9</v>
      </c>
      <c r="D3" s="146">
        <f>D$32*Q3</f>
        <v>12.09540000000001</v>
      </c>
      <c r="E3" s="146">
        <f t="shared" ref="E3:F4" si="0">D3*R3</f>
        <v>7.4870526000000064</v>
      </c>
      <c r="F3" s="146">
        <f t="shared" si="0"/>
        <v>85.082865746400074</v>
      </c>
      <c r="G3" s="146">
        <f t="shared" ref="G3:G4" si="1">D3*T3</f>
        <v>0.50800680000000042</v>
      </c>
      <c r="H3" s="146">
        <f t="shared" ref="H3:H4" si="2">E3*U3</f>
        <v>0.11230578900000009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2.0000000000000018E-2</v>
      </c>
      <c r="R3" s="19">
        <v>0.61899999999999999</v>
      </c>
      <c r="S3" s="107">
        <v>11.364000000000001</v>
      </c>
      <c r="T3" s="19">
        <v>4.2000000000000003E-2</v>
      </c>
      <c r="U3" s="19">
        <v>1.4999999999999999E-2</v>
      </c>
      <c r="V3" s="107">
        <v>3.89</v>
      </c>
      <c r="W3" s="150">
        <f>(AF3/SUM(AF$2:AF$20))*0.98</f>
        <v>0</v>
      </c>
      <c r="X3" s="19">
        <v>2.9000000000000001E-2</v>
      </c>
      <c r="Y3" s="21"/>
      <c r="Z3" s="22"/>
      <c r="AA3" s="1"/>
      <c r="AB3" s="1"/>
      <c r="AC3" s="1"/>
      <c r="AE3" s="19">
        <v>2.0000000000000018E-2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9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515</v>
      </c>
      <c r="B6" s="18" t="s">
        <v>222</v>
      </c>
      <c r="C6" s="18">
        <v>9</v>
      </c>
      <c r="D6" s="147"/>
      <c r="E6" s="147"/>
      <c r="F6" s="147"/>
      <c r="G6" s="147"/>
      <c r="H6" s="147"/>
      <c r="I6" s="146">
        <f t="shared" ref="I6:I11" si="3">D$35*W6</f>
        <v>187.78426800000003</v>
      </c>
      <c r="J6" s="146">
        <f>I6*V6</f>
        <v>905.12017176000018</v>
      </c>
      <c r="K6" s="146">
        <f>I6*X6</f>
        <v>8.262507792000001</v>
      </c>
      <c r="L6" s="146">
        <f>((D$2+D$3+D$4)*AA6)</f>
        <v>71.120951999999974</v>
      </c>
      <c r="M6" s="146">
        <f t="shared" ref="M6:N11" si="4">L6*Y6</f>
        <v>53.340713999999977</v>
      </c>
      <c r="N6" s="146">
        <f t="shared" si="4"/>
        <v>394.72128359999982</v>
      </c>
      <c r="O6" s="146">
        <f>M6*AH6</f>
        <v>2.4003321299999989</v>
      </c>
      <c r="Q6" s="13"/>
      <c r="R6" s="139"/>
      <c r="S6" s="138"/>
      <c r="T6" s="139"/>
      <c r="U6" s="139"/>
      <c r="V6" s="107">
        <v>4.82</v>
      </c>
      <c r="W6" s="150">
        <f t="shared" ref="W6:W11" si="5">(AF6/SUM(AF$2:AF$20))*0.98</f>
        <v>0.41159999999999997</v>
      </c>
      <c r="X6" s="19">
        <v>4.3999999999999997E-2</v>
      </c>
      <c r="Y6" s="19">
        <v>0.75</v>
      </c>
      <c r="Z6" s="20">
        <v>7.4</v>
      </c>
      <c r="AA6" s="150">
        <f t="shared" ref="AA6:AA11" si="6">(AG6/SUM(AG$6:AG$25))*0.98</f>
        <v>0.11759999999999997</v>
      </c>
      <c r="AB6" s="7">
        <v>0.13511926653164189</v>
      </c>
      <c r="AC6" s="150">
        <f t="shared" ref="AC6:AC11" si="7">(AH6/SUM(AH$6:AH$25))*0.98</f>
        <v>6.3090128755364808E-2</v>
      </c>
      <c r="AE6" s="168"/>
      <c r="AF6" s="19">
        <v>0.42</v>
      </c>
      <c r="AG6" s="19">
        <v>0.12</v>
      </c>
      <c r="AH6" s="19">
        <v>4.4999999999999998E-2</v>
      </c>
    </row>
    <row r="7" spans="1:34" x14ac:dyDescent="0.2">
      <c r="A7" s="172" t="s">
        <v>27</v>
      </c>
      <c r="B7" s="18" t="s">
        <v>222</v>
      </c>
      <c r="C7" s="18">
        <v>9</v>
      </c>
      <c r="D7" s="147"/>
      <c r="E7" s="147"/>
      <c r="F7" s="147"/>
      <c r="G7" s="147"/>
      <c r="H7" s="147"/>
      <c r="I7" s="146">
        <f t="shared" si="3"/>
        <v>192.25532200000004</v>
      </c>
      <c r="J7" s="146">
        <f>I7*V7</f>
        <v>861.30384256000025</v>
      </c>
      <c r="K7" s="146">
        <f>I7*X7</f>
        <v>9.8050214220000012</v>
      </c>
      <c r="L7" s="146">
        <f>((D$2+D$3+D$4)*AA7)</f>
        <v>23.706983999999995</v>
      </c>
      <c r="M7" s="146">
        <f t="shared" si="4"/>
        <v>17.377219271999994</v>
      </c>
      <c r="N7" s="146">
        <f t="shared" si="4"/>
        <v>123.89957340935996</v>
      </c>
      <c r="O7" s="146">
        <f t="shared" ref="O7:O11" si="8">M7*AH7</f>
        <v>0.52131657815999977</v>
      </c>
      <c r="Q7" s="13"/>
      <c r="R7" s="139"/>
      <c r="S7" s="138"/>
      <c r="T7" s="139"/>
      <c r="U7" s="139"/>
      <c r="V7" s="107">
        <v>4.4800000000000004</v>
      </c>
      <c r="W7" s="150">
        <f t="shared" si="5"/>
        <v>0.4214</v>
      </c>
      <c r="X7" s="19">
        <v>5.0999999999999997E-2</v>
      </c>
      <c r="Y7" s="19">
        <v>0.73299999999999998</v>
      </c>
      <c r="Z7" s="20">
        <v>7.13</v>
      </c>
      <c r="AA7" s="150">
        <f t="shared" si="6"/>
        <v>3.9199999999999992E-2</v>
      </c>
      <c r="AB7" s="7">
        <v>7.7498000103855033E-2</v>
      </c>
      <c r="AC7" s="150">
        <f t="shared" si="7"/>
        <v>4.2060085836909865E-2</v>
      </c>
      <c r="AE7" s="168"/>
      <c r="AF7" s="19">
        <v>0.43</v>
      </c>
      <c r="AG7" s="19">
        <v>0.04</v>
      </c>
      <c r="AH7" s="19">
        <v>0.03</v>
      </c>
    </row>
    <row r="8" spans="1:34" x14ac:dyDescent="0.2">
      <c r="A8" s="176" t="s">
        <v>582</v>
      </c>
      <c r="B8" s="18" t="s">
        <v>222</v>
      </c>
      <c r="C8" s="18">
        <v>9</v>
      </c>
      <c r="D8" s="147"/>
      <c r="E8" s="147"/>
      <c r="F8" s="147"/>
      <c r="G8" s="147"/>
      <c r="H8" s="147"/>
      <c r="I8" s="146">
        <f t="shared" si="3"/>
        <v>22.355270000000004</v>
      </c>
      <c r="J8" s="146">
        <f>I8*V8</f>
        <v>89.421080000000018</v>
      </c>
      <c r="K8" s="146">
        <f>I8*X8</f>
        <v>0.80478972000000015</v>
      </c>
      <c r="L8" s="146">
        <f>((D$2+D$3+D$4)*AA8)</f>
        <v>5.9267459999999987</v>
      </c>
      <c r="M8" s="146">
        <f t="shared" si="4"/>
        <v>4.148722199999999</v>
      </c>
      <c r="N8" s="146">
        <f t="shared" si="4"/>
        <v>29.041055399999994</v>
      </c>
      <c r="O8" s="146">
        <f t="shared" si="8"/>
        <v>8.2974443999999981E-2</v>
      </c>
      <c r="Q8" s="13"/>
      <c r="R8" s="139"/>
      <c r="S8" s="138"/>
      <c r="T8" s="139"/>
      <c r="U8" s="139"/>
      <c r="V8" s="107">
        <v>4</v>
      </c>
      <c r="W8" s="150">
        <f t="shared" si="5"/>
        <v>4.9000000000000002E-2</v>
      </c>
      <c r="X8" s="19">
        <v>3.5999999999999997E-2</v>
      </c>
      <c r="Y8" s="19">
        <v>0.7</v>
      </c>
      <c r="Z8" s="20">
        <v>7</v>
      </c>
      <c r="AA8" s="150">
        <f t="shared" si="6"/>
        <v>9.7999999999999979E-3</v>
      </c>
      <c r="AB8" s="7">
        <v>1.9718285357934563E-2</v>
      </c>
      <c r="AC8" s="150">
        <f t="shared" si="7"/>
        <v>2.8040057224606577E-2</v>
      </c>
      <c r="AE8" s="168"/>
      <c r="AF8" s="19">
        <v>0.05</v>
      </c>
      <c r="AG8" s="19">
        <v>0.01</v>
      </c>
      <c r="AH8" s="19">
        <v>0.02</v>
      </c>
    </row>
    <row r="9" spans="1:34" x14ac:dyDescent="0.2">
      <c r="A9" s="172"/>
      <c r="B9" s="18" t="s">
        <v>222</v>
      </c>
      <c r="C9" s="18">
        <v>9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5.7100796700318892E-3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209</v>
      </c>
      <c r="B13" s="18" t="s">
        <v>223</v>
      </c>
      <c r="C13" s="18">
        <v>9</v>
      </c>
      <c r="D13" s="147"/>
      <c r="E13" s="147"/>
      <c r="F13" s="147"/>
      <c r="G13" s="147"/>
      <c r="H13" s="147"/>
      <c r="I13" s="146">
        <f t="shared" ref="I13:I20" si="12">D$35*W13</f>
        <v>13.413162000000002</v>
      </c>
      <c r="J13" s="146">
        <f t="shared" ref="J13:J20" si="13">I13*V13</f>
        <v>123.26695878000001</v>
      </c>
      <c r="K13" s="146">
        <f t="shared" ref="K13:K20" si="14">I13*X13</f>
        <v>0.34874221200000005</v>
      </c>
      <c r="L13" s="146">
        <f t="shared" ref="L13:L20" si="15">((D$2+D$3+D$4)*AA13)</f>
        <v>151.13202299999998</v>
      </c>
      <c r="M13" s="146">
        <f t="shared" ref="M13:N20" si="16">L13*Y13</f>
        <v>107.75713239899997</v>
      </c>
      <c r="N13" s="146">
        <f t="shared" si="16"/>
        <v>1339.4211557195697</v>
      </c>
      <c r="O13" s="146">
        <f t="shared" ref="O13:O20" si="17">M13*AH13</f>
        <v>8.0817849299249982</v>
      </c>
      <c r="Q13" s="13"/>
      <c r="R13" s="139"/>
      <c r="S13" s="138"/>
      <c r="T13" s="139"/>
      <c r="U13" s="139"/>
      <c r="V13" s="107">
        <v>9.19</v>
      </c>
      <c r="W13" s="150">
        <f t="shared" ref="W13:W20" si="18">(AF13/SUM(AF$2:AF$20))*0.98</f>
        <v>2.9399999999999999E-2</v>
      </c>
      <c r="X13" s="19">
        <v>2.5999999999999999E-2</v>
      </c>
      <c r="Y13" s="19">
        <v>0.71299999999999997</v>
      </c>
      <c r="Z13" s="20">
        <v>12.43</v>
      </c>
      <c r="AA13" s="150">
        <f t="shared" ref="AA13:AA20" si="19">(AG13/SUM(AG$6:AG$25))*0.98</f>
        <v>0.24989999999999996</v>
      </c>
      <c r="AB13" s="7">
        <v>0.10385551060617884</v>
      </c>
      <c r="AC13" s="150">
        <f t="shared" ref="AC13:AC20" si="20">(AH13/SUM(AH$6:AH$25))*0.98</f>
        <v>0.10515021459227467</v>
      </c>
      <c r="AE13" s="168"/>
      <c r="AF13" s="19">
        <v>0.03</v>
      </c>
      <c r="AG13" s="19">
        <v>0.255</v>
      </c>
      <c r="AH13" s="19">
        <v>7.4999999999999997E-2</v>
      </c>
    </row>
    <row r="14" spans="1:34" x14ac:dyDescent="0.2">
      <c r="A14" s="17" t="s">
        <v>408</v>
      </c>
      <c r="B14" s="18" t="s">
        <v>223</v>
      </c>
      <c r="C14" s="18">
        <v>9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109.64480099999997</v>
      </c>
      <c r="M14" s="146">
        <f t="shared" si="16"/>
        <v>65.567590997999986</v>
      </c>
      <c r="N14" s="146">
        <f t="shared" si="16"/>
        <v>981.54683724005986</v>
      </c>
      <c r="O14" s="146">
        <f t="shared" si="17"/>
        <v>6.6223266907979994</v>
      </c>
      <c r="Q14" s="13"/>
      <c r="R14" s="139"/>
      <c r="S14" s="138"/>
      <c r="T14" s="139"/>
      <c r="U14" s="139"/>
      <c r="V14" s="107">
        <v>6.88</v>
      </c>
      <c r="W14" s="150">
        <f t="shared" si="18"/>
        <v>0</v>
      </c>
      <c r="X14" s="19">
        <v>4.4999999999999998E-2</v>
      </c>
      <c r="Y14" s="19">
        <v>0.59799999999999998</v>
      </c>
      <c r="Z14" s="20">
        <v>14.97</v>
      </c>
      <c r="AA14" s="150">
        <f t="shared" si="19"/>
        <v>0.18129999999999996</v>
      </c>
      <c r="AB14" s="7">
        <v>0.11731601383141904</v>
      </c>
      <c r="AC14" s="150">
        <f t="shared" si="20"/>
        <v>0.14160228898426322</v>
      </c>
      <c r="AE14" s="168"/>
      <c r="AF14" s="19">
        <v>0</v>
      </c>
      <c r="AG14" s="19">
        <v>0.185</v>
      </c>
      <c r="AH14" s="19">
        <v>0.10100000000000001</v>
      </c>
    </row>
    <row r="15" spans="1:34" x14ac:dyDescent="0.2">
      <c r="A15" s="17" t="s">
        <v>594</v>
      </c>
      <c r="B15" s="18" t="s">
        <v>223</v>
      </c>
      <c r="C15" s="18">
        <v>9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41.487221999999996</v>
      </c>
      <c r="M15" s="146">
        <f t="shared" si="16"/>
        <v>29.207004287999997</v>
      </c>
      <c r="N15" s="146">
        <f t="shared" si="16"/>
        <v>351.36026158463994</v>
      </c>
      <c r="O15" s="146">
        <f t="shared" si="17"/>
        <v>1.7524202572799998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0.70399999999999996</v>
      </c>
      <c r="Z15" s="20">
        <v>12.03</v>
      </c>
      <c r="AA15" s="150">
        <f t="shared" si="19"/>
        <v>6.8599999999999994E-2</v>
      </c>
      <c r="AB15" s="7">
        <v>0.10912152969861337</v>
      </c>
      <c r="AC15" s="150">
        <f t="shared" si="20"/>
        <v>8.412017167381973E-2</v>
      </c>
      <c r="AE15" s="168"/>
      <c r="AF15" s="19">
        <v>0</v>
      </c>
      <c r="AG15" s="19">
        <v>7.0000000000000007E-2</v>
      </c>
      <c r="AH15" s="19">
        <v>0.06</v>
      </c>
    </row>
    <row r="16" spans="1:34" x14ac:dyDescent="0.2">
      <c r="A16" s="17" t="s">
        <v>167</v>
      </c>
      <c r="B16" s="18" t="s">
        <v>223</v>
      </c>
      <c r="C16" s="18">
        <v>9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23.706983999999995</v>
      </c>
      <c r="M16" s="146">
        <f t="shared" si="16"/>
        <v>13.323325007999998</v>
      </c>
      <c r="N16" s="146">
        <f t="shared" si="16"/>
        <v>184.79451786095996</v>
      </c>
      <c r="O16" s="146">
        <f t="shared" si="17"/>
        <v>0.93263275055999995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0.56200000000000006</v>
      </c>
      <c r="Z16" s="20">
        <v>13.87</v>
      </c>
      <c r="AA16" s="150">
        <f t="shared" si="19"/>
        <v>3.9199999999999992E-2</v>
      </c>
      <c r="AB16" s="7">
        <v>9.3358826712061221E-2</v>
      </c>
      <c r="AC16" s="150">
        <f t="shared" si="20"/>
        <v>9.8140200286123039E-2</v>
      </c>
      <c r="AE16" s="168"/>
      <c r="AF16" s="19">
        <v>0</v>
      </c>
      <c r="AG16" s="19">
        <v>0.04</v>
      </c>
      <c r="AH16" s="19">
        <v>7.0000000000000007E-2</v>
      </c>
    </row>
    <row r="17" spans="1:34" x14ac:dyDescent="0.2">
      <c r="A17" s="17" t="s">
        <v>516</v>
      </c>
      <c r="B17" s="18" t="s">
        <v>223</v>
      </c>
      <c r="C17" s="18">
        <v>9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17.780237999999994</v>
      </c>
      <c r="M17" s="146">
        <f t="shared" si="16"/>
        <v>10.134735659999995</v>
      </c>
      <c r="N17" s="146">
        <f t="shared" si="16"/>
        <v>128.71114288199993</v>
      </c>
      <c r="O17" s="146">
        <f t="shared" si="17"/>
        <v>0.60808413959999974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0.56999999999999995</v>
      </c>
      <c r="Z17" s="20">
        <v>12.7</v>
      </c>
      <c r="AA17" s="150">
        <f t="shared" si="19"/>
        <v>2.9399999999999992E-2</v>
      </c>
      <c r="AB17" s="7">
        <v>1.6548511759957404E-2</v>
      </c>
      <c r="AC17" s="150">
        <f t="shared" si="20"/>
        <v>8.412017167381973E-2</v>
      </c>
      <c r="AE17" s="168"/>
      <c r="AF17" s="19">
        <v>0</v>
      </c>
      <c r="AG17" s="19">
        <v>0.03</v>
      </c>
      <c r="AH17" s="19">
        <v>0.06</v>
      </c>
    </row>
    <row r="18" spans="1:34" x14ac:dyDescent="0.2">
      <c r="B18" s="18" t="s">
        <v>223</v>
      </c>
      <c r="C18" s="18">
        <v>9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4.2483770187550354E-2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9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9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517</v>
      </c>
      <c r="B22" s="18" t="s">
        <v>10</v>
      </c>
      <c r="C22" s="18"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121.49829299999996</v>
      </c>
      <c r="M22" s="146">
        <f t="shared" ref="M22:N25" si="21">L22*Y22</f>
        <v>86.263788029999972</v>
      </c>
      <c r="N22" s="146">
        <f t="shared" si="21"/>
        <v>898.00603339229974</v>
      </c>
      <c r="O22" s="146">
        <f t="shared" ref="O22:O25" si="22">M22*AH22</f>
        <v>8.4538512269399977</v>
      </c>
      <c r="Q22" s="13"/>
      <c r="R22" s="139"/>
      <c r="S22" s="138"/>
      <c r="T22" s="139"/>
      <c r="U22" s="139"/>
      <c r="V22" s="140"/>
      <c r="W22" s="154"/>
      <c r="X22" s="139"/>
      <c r="Y22" s="19">
        <v>0.71</v>
      </c>
      <c r="Z22" s="20">
        <v>10.41</v>
      </c>
      <c r="AA22" s="150">
        <f>(AG22/SUM(AG$6:AG$25))*0.98</f>
        <v>0.20089999999999994</v>
      </c>
      <c r="AB22" s="7">
        <v>0.17730790229672241</v>
      </c>
      <c r="AC22" s="150">
        <f>(AH22/SUM(AH$6:AH$25))*0.98</f>
        <v>0.13739628040057222</v>
      </c>
      <c r="AE22" s="168"/>
      <c r="AF22" s="168"/>
      <c r="AG22" s="19">
        <v>0.20499999999999999</v>
      </c>
      <c r="AH22" s="19">
        <v>9.8000000000000004E-2</v>
      </c>
    </row>
    <row r="23" spans="1:34" x14ac:dyDescent="0.2">
      <c r="A23" s="17" t="s">
        <v>475</v>
      </c>
      <c r="B23" s="18" t="s">
        <v>10</v>
      </c>
      <c r="C23" s="18"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14.816864999999996</v>
      </c>
      <c r="M23" s="146">
        <f t="shared" si="21"/>
        <v>9.7346803049999977</v>
      </c>
      <c r="N23" s="146">
        <f t="shared" si="21"/>
        <v>87.612122744999979</v>
      </c>
      <c r="O23" s="146">
        <f t="shared" si="22"/>
        <v>0.6814276213499999</v>
      </c>
      <c r="Q23" s="13"/>
      <c r="R23" s="139"/>
      <c r="S23" s="138"/>
      <c r="T23" s="139"/>
      <c r="U23" s="139"/>
      <c r="V23" s="140"/>
      <c r="W23" s="154"/>
      <c r="X23" s="139"/>
      <c r="Y23" s="19">
        <v>0.65700000000000003</v>
      </c>
      <c r="Z23" s="20">
        <v>9</v>
      </c>
      <c r="AA23" s="150">
        <f>(AG23/SUM(AG$6:AG$25))*0.98</f>
        <v>2.4499999999999994E-2</v>
      </c>
      <c r="AB23" s="7">
        <v>4.5164638446128905E-2</v>
      </c>
      <c r="AC23" s="150">
        <f>(AH23/SUM(AH$6:AH$25))*0.98</f>
        <v>9.8140200286123039E-2</v>
      </c>
      <c r="AE23" s="168"/>
      <c r="AF23" s="168"/>
      <c r="AG23" s="19">
        <v>2.5000000000000001E-2</v>
      </c>
      <c r="AH23" s="19">
        <v>7.0000000000000007E-2</v>
      </c>
    </row>
    <row r="24" spans="1:34" x14ac:dyDescent="0.2">
      <c r="A24" s="17" t="s">
        <v>409</v>
      </c>
      <c r="B24" s="18" t="s">
        <v>10</v>
      </c>
      <c r="C24" s="18"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11.853491999999997</v>
      </c>
      <c r="M24" s="146">
        <f t="shared" si="21"/>
        <v>7.8470117039999989</v>
      </c>
      <c r="N24" s="146">
        <f t="shared" si="21"/>
        <v>71.643216857520002</v>
      </c>
      <c r="O24" s="146">
        <f t="shared" si="22"/>
        <v>0.54929081928000001</v>
      </c>
      <c r="Q24" s="13"/>
      <c r="R24" s="139"/>
      <c r="S24" s="138"/>
      <c r="T24" s="139"/>
      <c r="U24" s="139"/>
      <c r="V24" s="140"/>
      <c r="W24" s="154"/>
      <c r="X24" s="139"/>
      <c r="Y24" s="19">
        <v>0.66200000000000003</v>
      </c>
      <c r="Z24" s="20">
        <v>9.1300000000000008</v>
      </c>
      <c r="AA24" s="150">
        <f>(AG24/SUM(AG$6:AG$25))*0.98</f>
        <v>1.9599999999999996E-2</v>
      </c>
      <c r="AB24" s="7">
        <v>1.6379247292112945E-2</v>
      </c>
      <c r="AC24" s="150">
        <f>(AH24/SUM(AH$6:AH$25))*0.98</f>
        <v>9.8140200286123039E-2</v>
      </c>
      <c r="AE24" s="168"/>
      <c r="AF24" s="168"/>
      <c r="AG24" s="19">
        <v>0.02</v>
      </c>
      <c r="AH24" s="19">
        <v>7.0000000000000007E-2</v>
      </c>
    </row>
    <row r="25" spans="1:34" x14ac:dyDescent="0.2">
      <c r="B25" s="18" t="s">
        <v>10</v>
      </c>
      <c r="C25" s="18"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1.5418417505792198E-2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0.97500000000000009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1061</v>
      </c>
      <c r="E29" s="47">
        <v>0.56999999999999995</v>
      </c>
      <c r="F29" s="2">
        <f>1-E29</f>
        <v>0.43000000000000005</v>
      </c>
      <c r="G29" s="106">
        <v>4.5</v>
      </c>
      <c r="H29" s="126">
        <v>4.4499999999999998E-2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604.77</v>
      </c>
      <c r="E32" s="156">
        <f>SUM(E2:E4)</f>
        <v>406.94973300000004</v>
      </c>
      <c r="F32" s="156">
        <f>SUM(F2:F4)</f>
        <v>4591.0219006583993</v>
      </c>
      <c r="G32" s="156">
        <f>SUM(G2:G4)</f>
        <v>30.734411399999995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456.23000000000008</v>
      </c>
      <c r="E35" s="156">
        <f>D35*G29</f>
        <v>2053.0350000000003</v>
      </c>
      <c r="F35" s="156">
        <f>D35*H29</f>
        <v>20.302235000000003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40"/>
      <c r="Q37" s="40"/>
      <c r="R37" s="40"/>
      <c r="S37" s="39"/>
      <c r="T37" s="41"/>
      <c r="U37" s="41"/>
      <c r="V37" s="181"/>
      <c r="W37" s="39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5" thickBot="1" x14ac:dyDescent="0.25">
      <c r="D38" s="157">
        <f>SUM(I2:I20)</f>
        <v>447.10540000000009</v>
      </c>
      <c r="E38" s="157">
        <f>SUM(J2:J4,J6:J11,J13:J20)</f>
        <v>2036.0732810600007</v>
      </c>
      <c r="F38" s="157">
        <f>SUM(K2:K4,K6:K11,K13:K20)</f>
        <v>20.253874620000005</v>
      </c>
      <c r="G38" s="157">
        <f>SUM(L6:L11,L13:L20,L22:L25)</f>
        <v>592.67459999999983</v>
      </c>
      <c r="H38" s="157">
        <f>SUM(M6:M11,M13:M20,M22:M25)</f>
        <v>404.70192386399981</v>
      </c>
      <c r="I38" s="157">
        <f>SUM(N6:N11,N13:N20,N22:N25)</f>
        <v>4590.7572006914088</v>
      </c>
      <c r="J38" s="157">
        <f>SUM(O6:O11,O13:O20,O22:O25)</f>
        <v>30.686441587892993</v>
      </c>
      <c r="P38" s="23"/>
      <c r="Q38" s="23"/>
      <c r="R38" s="23"/>
      <c r="S38" s="26"/>
      <c r="T38" s="25"/>
      <c r="U38" s="25"/>
      <c r="V38" s="181"/>
      <c r="W38" s="26"/>
      <c r="X38" s="30"/>
      <c r="Y38" s="30"/>
      <c r="Z38" s="181"/>
      <c r="AC38" s="18"/>
      <c r="AH38" s="30"/>
    </row>
    <row r="39" spans="1:34" ht="15" thickTop="1" x14ac:dyDescent="0.2">
      <c r="D39" s="158">
        <f>D35-D38</f>
        <v>9.1245999999999867</v>
      </c>
      <c r="E39" s="158">
        <f>E35-E38</f>
        <v>16.961718939999628</v>
      </c>
      <c r="F39" s="158">
        <f>F35-F38</f>
        <v>4.8360379999998315E-2</v>
      </c>
      <c r="G39" s="158">
        <f>SUM(D2:D4)-G38</f>
        <v>12.095400000000154</v>
      </c>
      <c r="H39" s="158">
        <f>E32-H38</f>
        <v>2.2478091360002281</v>
      </c>
      <c r="I39" s="158">
        <f>F32-I38</f>
        <v>0.2646999669905199</v>
      </c>
      <c r="J39" s="158">
        <f>G32-J38</f>
        <v>4.7969812107002241E-2</v>
      </c>
      <c r="P39" s="23"/>
      <c r="Q39" s="23"/>
      <c r="R39" s="23"/>
      <c r="S39" s="26"/>
      <c r="T39" s="25"/>
      <c r="U39" s="25"/>
      <c r="V39" s="181"/>
      <c r="W39" s="26"/>
      <c r="X39" s="30"/>
      <c r="Y39" s="30"/>
      <c r="Z39" s="181"/>
      <c r="AC39" s="18"/>
      <c r="AH39" s="30"/>
    </row>
    <row r="40" spans="1:34" x14ac:dyDescent="0.2">
      <c r="N40" s="23"/>
      <c r="O40" s="23"/>
      <c r="P40" s="23"/>
      <c r="Q40" s="23"/>
      <c r="R40" s="23"/>
      <c r="T40" s="23"/>
      <c r="U40" s="23"/>
      <c r="V40" s="181"/>
      <c r="W40" s="23"/>
      <c r="X40" s="30"/>
      <c r="Y40" s="30"/>
      <c r="Z40" s="181"/>
      <c r="AH40" s="30"/>
    </row>
    <row r="41" spans="1:34" x14ac:dyDescent="0.2">
      <c r="N41" s="23"/>
      <c r="O41" s="23"/>
      <c r="P41" s="23"/>
      <c r="Q41" s="23"/>
      <c r="R41" s="23"/>
      <c r="T41" s="23"/>
      <c r="U41" s="23"/>
      <c r="V41" s="181"/>
      <c r="W41" s="23"/>
      <c r="X41" s="30"/>
      <c r="Y41" s="30"/>
      <c r="Z41" s="181"/>
      <c r="AH41" s="30"/>
    </row>
    <row r="42" spans="1:34" x14ac:dyDescent="0.2">
      <c r="N42" s="23"/>
      <c r="O42" s="23"/>
      <c r="P42" s="23"/>
      <c r="Q42" s="23"/>
      <c r="R42" s="23"/>
      <c r="T42" s="23"/>
      <c r="U42" s="23"/>
      <c r="V42" s="181"/>
      <c r="W42" s="23"/>
      <c r="X42" s="30"/>
      <c r="Y42" s="30"/>
      <c r="Z42" s="181"/>
      <c r="AH42" s="30"/>
    </row>
    <row r="43" spans="1:34" x14ac:dyDescent="0.2">
      <c r="N43" s="23"/>
      <c r="O43" s="23"/>
      <c r="P43" s="23"/>
      <c r="Q43" s="23"/>
      <c r="R43" s="23"/>
      <c r="T43" s="23"/>
      <c r="U43" s="23"/>
      <c r="V43" s="181"/>
      <c r="W43" s="23"/>
      <c r="X43" s="30"/>
      <c r="Y43" s="30"/>
      <c r="Z43" s="181"/>
      <c r="AH43" s="30"/>
    </row>
    <row r="44" spans="1:34" x14ac:dyDescent="0.2">
      <c r="N44" s="23"/>
      <c r="O44" s="23"/>
      <c r="P44" s="23"/>
      <c r="Q44" s="23"/>
      <c r="R44" s="23"/>
      <c r="T44" s="23"/>
      <c r="U44" s="23"/>
      <c r="V44" s="181"/>
      <c r="W44" s="23"/>
      <c r="X44" s="30"/>
      <c r="Y44" s="30"/>
      <c r="Z44" s="181"/>
      <c r="AH44" s="30"/>
    </row>
    <row r="45" spans="1:34" x14ac:dyDescent="0.2">
      <c r="N45" s="23"/>
      <c r="O45" s="23"/>
      <c r="P45" s="23"/>
      <c r="Q45" s="23"/>
      <c r="R45" s="23"/>
      <c r="T45" s="23"/>
      <c r="U45" s="23"/>
      <c r="V45" s="181"/>
      <c r="W45" s="23"/>
      <c r="X45" s="30"/>
      <c r="Y45" s="30"/>
      <c r="Z45" s="181"/>
      <c r="AH45" s="30"/>
    </row>
    <row r="46" spans="1:34" x14ac:dyDescent="0.2">
      <c r="N46" s="23"/>
      <c r="O46" s="23"/>
      <c r="P46" s="23"/>
      <c r="Q46" s="23"/>
      <c r="R46" s="23"/>
      <c r="T46" s="23"/>
      <c r="U46" s="23"/>
      <c r="V46" s="181"/>
      <c r="W46" s="23"/>
      <c r="X46" s="30"/>
      <c r="Y46" s="30"/>
      <c r="Z46" s="181"/>
      <c r="AH46" s="30"/>
    </row>
    <row r="47" spans="1:34" x14ac:dyDescent="0.2">
      <c r="N47" s="23"/>
      <c r="O47" s="23"/>
      <c r="P47" s="23"/>
      <c r="Q47" s="23"/>
      <c r="R47" s="23"/>
      <c r="T47" s="23"/>
      <c r="U47" s="23"/>
      <c r="V47" s="181"/>
      <c r="W47" s="23"/>
      <c r="X47" s="30"/>
      <c r="Y47" s="30"/>
      <c r="Z47" s="181"/>
      <c r="AH47" s="30"/>
    </row>
    <row r="48" spans="1:34" x14ac:dyDescent="0.2">
      <c r="N48" s="23"/>
      <c r="O48" s="23"/>
      <c r="P48" s="23"/>
      <c r="Q48" s="23"/>
      <c r="R48" s="23"/>
      <c r="T48" s="23"/>
      <c r="U48" s="23"/>
      <c r="V48" s="181"/>
      <c r="W48" s="23"/>
      <c r="X48" s="30"/>
      <c r="Y48" s="30"/>
      <c r="Z48" s="181"/>
      <c r="AH48" s="30"/>
    </row>
    <row r="49" spans="14:34" x14ac:dyDescent="0.2">
      <c r="N49" s="23"/>
      <c r="O49" s="23"/>
      <c r="P49" s="23"/>
      <c r="Q49" s="23"/>
      <c r="R49" s="23"/>
      <c r="T49" s="23"/>
      <c r="U49" s="23"/>
      <c r="V49" s="181"/>
      <c r="W49" s="23"/>
      <c r="X49" s="30"/>
      <c r="Y49" s="30"/>
      <c r="Z49" s="181"/>
      <c r="AH49" s="30"/>
    </row>
    <row r="50" spans="14:34" x14ac:dyDescent="0.2">
      <c r="N50" s="23"/>
      <c r="O50" s="23"/>
      <c r="P50" s="23"/>
      <c r="Q50" s="23"/>
      <c r="R50" s="23"/>
      <c r="T50" s="23"/>
      <c r="U50" s="23"/>
      <c r="V50" s="181"/>
      <c r="W50" s="23"/>
      <c r="X50" s="30"/>
      <c r="Y50" s="30"/>
      <c r="Z50" s="181"/>
      <c r="AH50" s="30"/>
    </row>
    <row r="51" spans="14:34" x14ac:dyDescent="0.2">
      <c r="N51" s="23"/>
      <c r="O51" s="23"/>
      <c r="P51" s="23"/>
      <c r="Q51" s="23"/>
      <c r="R51" s="23"/>
      <c r="T51" s="23"/>
      <c r="U51" s="23"/>
      <c r="W51" s="23"/>
      <c r="X51" s="25"/>
      <c r="Y51" s="30"/>
      <c r="Z51" s="181"/>
      <c r="AH51" s="30"/>
    </row>
    <row r="52" spans="14:34" x14ac:dyDescent="0.2">
      <c r="N52" s="23"/>
      <c r="O52" s="23"/>
      <c r="P52" s="23"/>
      <c r="Q52" s="23"/>
      <c r="R52" s="23"/>
      <c r="T52" s="23"/>
      <c r="U52" s="23"/>
      <c r="W52" s="23"/>
      <c r="X52" s="25"/>
      <c r="Y52" s="30"/>
      <c r="Z52" s="181"/>
      <c r="AH52" s="30"/>
    </row>
    <row r="53" spans="14:34" x14ac:dyDescent="0.2">
      <c r="N53" s="23"/>
      <c r="O53" s="23"/>
      <c r="P53" s="23"/>
      <c r="Q53" s="23"/>
      <c r="R53" s="23"/>
      <c r="T53" s="23"/>
      <c r="U53" s="23"/>
      <c r="W53" s="23"/>
      <c r="X53" s="25"/>
      <c r="Y53" s="30"/>
      <c r="Z53" s="181"/>
      <c r="AH53" s="30"/>
    </row>
    <row r="54" spans="14:34" x14ac:dyDescent="0.2">
      <c r="N54" s="23"/>
      <c r="O54" s="23"/>
      <c r="P54" s="23"/>
      <c r="Q54" s="23"/>
      <c r="R54" s="23"/>
      <c r="T54" s="23"/>
      <c r="U54" s="23"/>
      <c r="W54" s="23"/>
      <c r="X54" s="25"/>
      <c r="Y54" s="30"/>
      <c r="Z54" s="181"/>
      <c r="AH54" s="30"/>
    </row>
    <row r="55" spans="14:34" x14ac:dyDescent="0.2">
      <c r="N55" s="23"/>
      <c r="O55" s="23"/>
      <c r="P55" s="23"/>
      <c r="Q55" s="23"/>
      <c r="R55" s="23"/>
      <c r="T55" s="23"/>
      <c r="U55" s="23"/>
      <c r="W55" s="23"/>
      <c r="X55" s="25"/>
      <c r="Y55" s="30"/>
      <c r="Z55" s="181"/>
      <c r="AH55" s="30"/>
    </row>
    <row r="56" spans="14:34" x14ac:dyDescent="0.2">
      <c r="N56" s="23"/>
      <c r="O56" s="23"/>
      <c r="P56" s="23"/>
      <c r="Q56" s="23"/>
      <c r="R56" s="23"/>
      <c r="T56" s="23"/>
      <c r="U56" s="23"/>
      <c r="W56" s="23"/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conditionalFormatting sqref="D39:J39">
    <cfRule type="cellIs" dxfId="65" priority="1" operator="lessThan">
      <formula>0</formula>
    </cfRule>
  </conditionalFormatting>
  <conditionalFormatting sqref="W28">
    <cfRule type="cellIs" dxfId="64" priority="2" operator="greaterThan">
      <formula>1</formula>
    </cfRule>
  </conditionalFormatting>
  <conditionalFormatting sqref="AA28:AG28">
    <cfRule type="cellIs" dxfId="6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154</v>
      </c>
      <c r="B2" s="18" t="s">
        <v>9</v>
      </c>
      <c r="C2" s="18">
        <v>6</v>
      </c>
      <c r="D2" s="146">
        <f>D$32*Q2</f>
        <v>576.02160000000003</v>
      </c>
      <c r="E2" s="146">
        <f>D2*R2</f>
        <v>380.75027760000006</v>
      </c>
      <c r="F2" s="146">
        <f>E2*S2</f>
        <v>4351.9756729680003</v>
      </c>
      <c r="G2" s="146">
        <f>D2*T2</f>
        <v>32.257209600000003</v>
      </c>
      <c r="H2" s="146">
        <f>E2*U2</f>
        <v>7.6150055520000013</v>
      </c>
      <c r="I2" s="146">
        <f>D$35*W2</f>
        <v>49.281847999999997</v>
      </c>
      <c r="J2" s="146">
        <f>I2*V2</f>
        <v>219.79704207999998</v>
      </c>
      <c r="K2" s="146">
        <f>I2*X2</f>
        <v>1.5770191359999999</v>
      </c>
      <c r="L2" s="147"/>
      <c r="M2" s="147"/>
      <c r="N2" s="147"/>
      <c r="O2" s="147"/>
      <c r="Q2" s="150">
        <f>(AE2/SUM(AE$2:AE$25))</f>
        <v>0.99</v>
      </c>
      <c r="R2" s="19">
        <v>0.66100000000000003</v>
      </c>
      <c r="S2" s="107">
        <v>11.43</v>
      </c>
      <c r="T2" s="19">
        <v>5.6000000000000001E-2</v>
      </c>
      <c r="U2" s="19">
        <v>0.02</v>
      </c>
      <c r="V2" s="107">
        <v>4.46</v>
      </c>
      <c r="W2" s="150">
        <f>(AF2/SUM(AF$2:AF$20))*0.98</f>
        <v>0.10779999999999999</v>
      </c>
      <c r="X2" s="19">
        <v>3.2000000000000001E-2</v>
      </c>
      <c r="Y2" s="21"/>
      <c r="Z2" s="22"/>
      <c r="AA2" s="1"/>
      <c r="AB2" s="1"/>
      <c r="AC2" s="1"/>
      <c r="AE2" s="19">
        <v>0.99</v>
      </c>
      <c r="AF2" s="19">
        <v>0.11</v>
      </c>
      <c r="AG2" s="168"/>
      <c r="AH2" s="168"/>
    </row>
    <row r="3" spans="1:34" x14ac:dyDescent="0.2">
      <c r="A3" s="17" t="s">
        <v>518</v>
      </c>
      <c r="B3" s="18" t="s">
        <v>9</v>
      </c>
      <c r="C3" s="18">
        <v>6</v>
      </c>
      <c r="D3" s="146">
        <f>D$32*Q3</f>
        <v>5.8184000000000058</v>
      </c>
      <c r="E3" s="146">
        <f t="shared" ref="E3:F4" si="0">D3*R3</f>
        <v>3.4910400000000035</v>
      </c>
      <c r="F3" s="146">
        <f t="shared" si="0"/>
        <v>36.655920000000037</v>
      </c>
      <c r="G3" s="146">
        <f t="shared" ref="G3:G4" si="1">D3*T3</f>
        <v>0.19782560000000021</v>
      </c>
      <c r="H3" s="146">
        <f t="shared" ref="H3:H4" si="2">E3*U3</f>
        <v>8.3784960000000089E-2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</v>
      </c>
      <c r="S3" s="107">
        <v>10.5</v>
      </c>
      <c r="T3" s="19">
        <v>3.4000000000000002E-2</v>
      </c>
      <c r="U3" s="19">
        <v>2.4E-2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6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77</v>
      </c>
      <c r="B6" s="18" t="s">
        <v>222</v>
      </c>
      <c r="C6" s="18">
        <v>6</v>
      </c>
      <c r="D6" s="147"/>
      <c r="E6" s="147"/>
      <c r="F6" s="147"/>
      <c r="G6" s="147"/>
      <c r="H6" s="147"/>
      <c r="I6" s="146">
        <f t="shared" ref="I6:I11" si="3">D$35*W6</f>
        <v>224.00839999999997</v>
      </c>
      <c r="J6" s="146">
        <f>I6*V6</f>
        <v>920.67452399999991</v>
      </c>
      <c r="K6" s="146">
        <f>I6*X6</f>
        <v>7.6162855999999994</v>
      </c>
      <c r="L6" s="146">
        <f>((D$2+D$3+D$4)*AA6)</f>
        <v>51.318288000000003</v>
      </c>
      <c r="M6" s="146">
        <f t="shared" ref="M6:N11" si="4">L6*Y6</f>
        <v>39.155853744000005</v>
      </c>
      <c r="N6" s="146">
        <f t="shared" si="4"/>
        <v>289.36175916816001</v>
      </c>
      <c r="O6" s="146">
        <f>M6*AH6</f>
        <v>1.5662341497600003</v>
      </c>
      <c r="Q6" s="13"/>
      <c r="R6" s="139"/>
      <c r="S6" s="138"/>
      <c r="T6" s="139"/>
      <c r="U6" s="139"/>
      <c r="V6" s="107">
        <v>4.1100000000000003</v>
      </c>
      <c r="W6" s="150">
        <f t="shared" ref="W6:W11" si="5">(AF6/SUM(AF$2:AF$20))*0.98</f>
        <v>0.49</v>
      </c>
      <c r="X6" s="19">
        <v>3.4000000000000002E-2</v>
      </c>
      <c r="Y6" s="19">
        <v>0.76300000000000001</v>
      </c>
      <c r="Z6" s="20">
        <v>7.39</v>
      </c>
      <c r="AA6" s="150">
        <f t="shared" ref="AA6:AA11" si="6">(AG6/SUM(AG$6:AG$25))*0.98</f>
        <v>8.8200000000000001E-2</v>
      </c>
      <c r="AB6" s="7">
        <v>0.11515131498282011</v>
      </c>
      <c r="AC6" s="150">
        <f t="shared" ref="AC6:AC11" si="7">(AH6/SUM(AH$6:AH$25))*0.98</f>
        <v>5.1920529801324507E-2</v>
      </c>
      <c r="AE6" s="168"/>
      <c r="AF6" s="19">
        <v>0.5</v>
      </c>
      <c r="AG6" s="19">
        <v>0.09</v>
      </c>
      <c r="AH6" s="19">
        <v>0.04</v>
      </c>
    </row>
    <row r="7" spans="1:34" x14ac:dyDescent="0.2">
      <c r="A7" s="173" t="s">
        <v>482</v>
      </c>
      <c r="B7" s="18" t="s">
        <v>222</v>
      </c>
      <c r="C7" s="18">
        <v>6</v>
      </c>
      <c r="D7" s="147"/>
      <c r="E7" s="147"/>
      <c r="F7" s="147"/>
      <c r="G7" s="147"/>
      <c r="H7" s="147"/>
      <c r="I7" s="146">
        <f t="shared" si="3"/>
        <v>58.242184000000002</v>
      </c>
      <c r="J7" s="146">
        <f>I7*V7</f>
        <v>235.88084520000001</v>
      </c>
      <c r="K7" s="146">
        <f>I7*X7</f>
        <v>1.74726552</v>
      </c>
      <c r="L7" s="146">
        <f>((D$2+D$3+D$4)*AA7)</f>
        <v>11.404064</v>
      </c>
      <c r="M7" s="146">
        <f t="shared" si="4"/>
        <v>8.9179780480000002</v>
      </c>
      <c r="N7" s="146">
        <f t="shared" si="4"/>
        <v>68.311711847680002</v>
      </c>
      <c r="O7" s="146">
        <f t="shared" ref="O7:O11" si="8">M7*AH7</f>
        <v>0.22294945120000001</v>
      </c>
      <c r="Q7" s="13"/>
      <c r="R7" s="139"/>
      <c r="S7" s="138"/>
      <c r="T7" s="139"/>
      <c r="U7" s="139"/>
      <c r="V7" s="107">
        <v>4.05</v>
      </c>
      <c r="W7" s="150">
        <f t="shared" si="5"/>
        <v>0.12740000000000001</v>
      </c>
      <c r="X7" s="19">
        <v>0.03</v>
      </c>
      <c r="Y7" s="19">
        <v>0.78200000000000003</v>
      </c>
      <c r="Z7" s="20">
        <v>7.66</v>
      </c>
      <c r="AA7" s="150">
        <f t="shared" si="6"/>
        <v>1.9599999999999999E-2</v>
      </c>
      <c r="AB7" s="7">
        <v>3.4989224075568495E-2</v>
      </c>
      <c r="AC7" s="150">
        <f t="shared" si="7"/>
        <v>3.2450331125827826E-2</v>
      </c>
      <c r="AE7" s="168"/>
      <c r="AF7" s="19">
        <v>0.13</v>
      </c>
      <c r="AG7" s="19">
        <v>0.02</v>
      </c>
      <c r="AH7" s="19">
        <v>2.5000000000000001E-2</v>
      </c>
    </row>
    <row r="8" spans="1:34" x14ac:dyDescent="0.2">
      <c r="A8" s="17" t="s">
        <v>652</v>
      </c>
      <c r="B8" s="18" t="s">
        <v>222</v>
      </c>
      <c r="C8" s="18">
        <v>6</v>
      </c>
      <c r="D8" s="147"/>
      <c r="E8" s="147"/>
      <c r="F8" s="147"/>
      <c r="G8" s="147"/>
      <c r="H8" s="147"/>
      <c r="I8" s="146">
        <f t="shared" si="3"/>
        <v>98.563695999999993</v>
      </c>
      <c r="J8" s="146">
        <f>I8*V8</f>
        <v>422.83825583999999</v>
      </c>
      <c r="K8" s="146">
        <f>I8*X8</f>
        <v>3.1540382719999998</v>
      </c>
      <c r="L8" s="146">
        <f>((D$2+D$3+D$4)*AA8)</f>
        <v>28.510160000000003</v>
      </c>
      <c r="M8" s="146">
        <f t="shared" si="4"/>
        <v>20.18519328</v>
      </c>
      <c r="N8" s="146">
        <f t="shared" si="4"/>
        <v>166.52784456000001</v>
      </c>
      <c r="O8" s="146">
        <f t="shared" si="8"/>
        <v>0.70648176480000002</v>
      </c>
      <c r="Q8" s="13"/>
      <c r="R8" s="139"/>
      <c r="S8" s="138"/>
      <c r="T8" s="139"/>
      <c r="U8" s="139"/>
      <c r="V8" s="107">
        <v>4.29</v>
      </c>
      <c r="W8" s="150">
        <f t="shared" si="5"/>
        <v>0.21559999999999999</v>
      </c>
      <c r="X8" s="19">
        <v>3.2000000000000001E-2</v>
      </c>
      <c r="Y8" s="19">
        <v>0.70799999999999996</v>
      </c>
      <c r="Z8" s="20">
        <v>8.25</v>
      </c>
      <c r="AA8" s="150">
        <f t="shared" si="6"/>
        <v>4.9000000000000002E-2</v>
      </c>
      <c r="AB8" s="7">
        <v>4.8163610572365808E-3</v>
      </c>
      <c r="AC8" s="150">
        <f t="shared" si="7"/>
        <v>4.5430463576158944E-2</v>
      </c>
      <c r="AE8" s="168"/>
      <c r="AF8" s="19">
        <v>0.22</v>
      </c>
      <c r="AG8" s="19">
        <v>0.05</v>
      </c>
      <c r="AH8" s="19">
        <v>3.5000000000000003E-2</v>
      </c>
    </row>
    <row r="9" spans="1:34" x14ac:dyDescent="0.2">
      <c r="A9" s="172"/>
      <c r="B9" s="18" t="s">
        <v>222</v>
      </c>
      <c r="C9" s="18">
        <v>6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7.1663052743998279E-3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6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1.4894940866877114E-2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6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447</v>
      </c>
      <c r="B13" s="18" t="s">
        <v>223</v>
      </c>
      <c r="C13" s="18">
        <v>6</v>
      </c>
      <c r="D13" s="147"/>
      <c r="E13" s="147"/>
      <c r="F13" s="147"/>
      <c r="G13" s="147"/>
      <c r="H13" s="147"/>
      <c r="I13" s="146">
        <f t="shared" ref="I13:I20" si="12">D$35*W13</f>
        <v>4.4801679999999999</v>
      </c>
      <c r="J13" s="146">
        <f t="shared" ref="J13:J20" si="13">I13*V13</f>
        <v>29.210695359999999</v>
      </c>
      <c r="K13" s="146">
        <f t="shared" ref="K13:K20" si="14">I13*X13</f>
        <v>0.12544470399999999</v>
      </c>
      <c r="L13" s="146">
        <f t="shared" ref="L13:L20" si="15">((D$2+D$3+D$4)*AA13)</f>
        <v>102.63657600000001</v>
      </c>
      <c r="M13" s="146">
        <f t="shared" ref="M13:N20" si="16">L13*Y13</f>
        <v>59.837123808000001</v>
      </c>
      <c r="N13" s="146">
        <f t="shared" si="16"/>
        <v>892.76988721535997</v>
      </c>
      <c r="O13" s="146">
        <f t="shared" ref="O13:O20" si="17">M13*AH13</f>
        <v>7.18045485696</v>
      </c>
      <c r="Q13" s="13"/>
      <c r="R13" s="139"/>
      <c r="S13" s="138"/>
      <c r="T13" s="139"/>
      <c r="U13" s="139"/>
      <c r="V13" s="107">
        <v>6.52</v>
      </c>
      <c r="W13" s="150">
        <f t="shared" ref="W13:W20" si="18">(AF13/SUM(AF$2:AF$20))*0.98</f>
        <v>9.7999999999999997E-3</v>
      </c>
      <c r="X13" s="19">
        <v>2.8000000000000001E-2</v>
      </c>
      <c r="Y13" s="19">
        <v>0.58299999999999996</v>
      </c>
      <c r="Z13" s="20">
        <v>14.92</v>
      </c>
      <c r="AA13" s="150">
        <f t="shared" ref="AA13:AA20" si="19">(AG13/SUM(AG$6:AG$25))*0.98</f>
        <v>0.1764</v>
      </c>
      <c r="AB13" s="7">
        <v>0.25548478660812679</v>
      </c>
      <c r="AC13" s="150">
        <f t="shared" ref="AC13:AC20" si="20">(AH13/SUM(AH$6:AH$25))*0.98</f>
        <v>0.15576158940397353</v>
      </c>
      <c r="AE13" s="168"/>
      <c r="AF13" s="19">
        <v>0.01</v>
      </c>
      <c r="AG13" s="19">
        <v>0.18</v>
      </c>
      <c r="AH13" s="19">
        <v>0.12</v>
      </c>
    </row>
    <row r="14" spans="1:34" x14ac:dyDescent="0.2">
      <c r="A14" s="17" t="s">
        <v>428</v>
      </c>
      <c r="B14" s="18" t="s">
        <v>223</v>
      </c>
      <c r="C14" s="18">
        <v>6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96.934544000000002</v>
      </c>
      <c r="M14" s="146">
        <f t="shared" si="16"/>
        <v>60.777959088000003</v>
      </c>
      <c r="N14" s="146">
        <f t="shared" si="16"/>
        <v>718.39547642016009</v>
      </c>
      <c r="O14" s="146">
        <f t="shared" si="17"/>
        <v>5.7739061133600007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0.627</v>
      </c>
      <c r="Z14" s="20">
        <v>11.82</v>
      </c>
      <c r="AA14" s="150">
        <f t="shared" si="19"/>
        <v>0.1666</v>
      </c>
      <c r="AB14" s="7">
        <v>0.10098833470408203</v>
      </c>
      <c r="AC14" s="150">
        <f t="shared" si="20"/>
        <v>0.12331125827814572</v>
      </c>
      <c r="AE14" s="168"/>
      <c r="AF14" s="19">
        <v>0</v>
      </c>
      <c r="AG14" s="19">
        <v>0.17</v>
      </c>
      <c r="AH14" s="19">
        <v>9.5000000000000001E-2</v>
      </c>
    </row>
    <row r="15" spans="1:34" x14ac:dyDescent="0.2">
      <c r="A15" s="17" t="s">
        <v>519</v>
      </c>
      <c r="B15" s="18" t="s">
        <v>223</v>
      </c>
      <c r="C15" s="18">
        <v>6</v>
      </c>
      <c r="D15" s="147"/>
      <c r="E15" s="147"/>
      <c r="F15" s="147"/>
      <c r="G15" s="147"/>
      <c r="H15" s="147"/>
      <c r="I15" s="146">
        <f t="shared" si="12"/>
        <v>13.440503999999999</v>
      </c>
      <c r="J15" s="146">
        <f t="shared" si="13"/>
        <v>137.09314079999999</v>
      </c>
      <c r="K15" s="146">
        <f t="shared" si="14"/>
        <v>1.2365263679999998</v>
      </c>
      <c r="L15" s="146">
        <f t="shared" si="15"/>
        <v>108.33860800000001</v>
      </c>
      <c r="M15" s="146">
        <f t="shared" si="16"/>
        <v>72.478528752000003</v>
      </c>
      <c r="N15" s="146">
        <f t="shared" si="16"/>
        <v>909.60553583760009</v>
      </c>
      <c r="O15" s="146">
        <f t="shared" si="17"/>
        <v>7.2478528752000004</v>
      </c>
      <c r="Q15" s="13"/>
      <c r="R15" s="139"/>
      <c r="S15" s="138"/>
      <c r="T15" s="139"/>
      <c r="U15" s="139"/>
      <c r="V15" s="107">
        <v>10.199999999999999</v>
      </c>
      <c r="W15" s="150">
        <f t="shared" si="18"/>
        <v>2.9399999999999999E-2</v>
      </c>
      <c r="X15" s="19">
        <v>9.1999999999999998E-2</v>
      </c>
      <c r="Y15" s="19">
        <v>0.66900000000000004</v>
      </c>
      <c r="Z15" s="20">
        <v>12.55</v>
      </c>
      <c r="AA15" s="150">
        <f t="shared" si="19"/>
        <v>0.1862</v>
      </c>
      <c r="AB15" s="7">
        <v>8.4993689866582373E-2</v>
      </c>
      <c r="AC15" s="150">
        <f t="shared" si="20"/>
        <v>0.12980132450331131</v>
      </c>
      <c r="AE15" s="168"/>
      <c r="AF15" s="19">
        <v>0.03</v>
      </c>
      <c r="AG15" s="19">
        <v>0.19</v>
      </c>
      <c r="AH15" s="19">
        <v>0.1</v>
      </c>
    </row>
    <row r="16" spans="1:34" x14ac:dyDescent="0.2">
      <c r="A16" s="17" t="s">
        <v>595</v>
      </c>
      <c r="B16" s="18" t="s">
        <v>223</v>
      </c>
      <c r="C16" s="18">
        <v>6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39.914224000000004</v>
      </c>
      <c r="M16" s="146">
        <f t="shared" si="16"/>
        <v>25.385446464000005</v>
      </c>
      <c r="N16" s="146">
        <f t="shared" si="16"/>
        <v>325.44142366848007</v>
      </c>
      <c r="O16" s="146">
        <f t="shared" si="17"/>
        <v>2.4116174140800006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0.63600000000000001</v>
      </c>
      <c r="Z16" s="20">
        <v>12.82</v>
      </c>
      <c r="AA16" s="150">
        <f t="shared" si="19"/>
        <v>6.8600000000000008E-2</v>
      </c>
      <c r="AB16" s="7">
        <v>8.6851063600337328E-2</v>
      </c>
      <c r="AC16" s="150">
        <f t="shared" si="20"/>
        <v>0.12331125827814572</v>
      </c>
      <c r="AE16" s="168"/>
      <c r="AF16" s="19">
        <v>0</v>
      </c>
      <c r="AG16" s="19">
        <v>7.0000000000000007E-2</v>
      </c>
      <c r="AH16" s="19">
        <v>9.5000000000000001E-2</v>
      </c>
    </row>
    <row r="17" spans="1:34" x14ac:dyDescent="0.2">
      <c r="A17" s="17" t="s">
        <v>596</v>
      </c>
      <c r="B17" s="18" t="s">
        <v>223</v>
      </c>
      <c r="C17" s="18">
        <v>6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17.106096000000001</v>
      </c>
      <c r="M17" s="146">
        <f t="shared" si="16"/>
        <v>10.896583152000002</v>
      </c>
      <c r="N17" s="146">
        <f t="shared" si="16"/>
        <v>133.91900693808</v>
      </c>
      <c r="O17" s="146">
        <f t="shared" si="17"/>
        <v>0.98069248368000006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0.63700000000000001</v>
      </c>
      <c r="Z17" s="20">
        <v>12.29</v>
      </c>
      <c r="AA17" s="150">
        <f t="shared" si="19"/>
        <v>2.9399999999999999E-2</v>
      </c>
      <c r="AB17" s="7">
        <v>5.2675072579768667E-2</v>
      </c>
      <c r="AC17" s="150">
        <f t="shared" si="20"/>
        <v>0.11682119205298014</v>
      </c>
      <c r="AE17" s="168"/>
      <c r="AF17" s="19">
        <v>0</v>
      </c>
      <c r="AG17" s="19">
        <v>0.03</v>
      </c>
      <c r="AH17" s="19">
        <v>0.09</v>
      </c>
    </row>
    <row r="18" spans="1:34" x14ac:dyDescent="0.2">
      <c r="B18" s="18" t="s">
        <v>223</v>
      </c>
      <c r="C18" s="18">
        <v>6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2.2509684315908614E-2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6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1.8264449891116155E-3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6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520</v>
      </c>
      <c r="B22" s="18" t="s">
        <v>10</v>
      </c>
      <c r="C22" s="18"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68.424384000000003</v>
      </c>
      <c r="M22" s="146">
        <f t="shared" ref="M22:N25" si="21">L22*Y22</f>
        <v>48.718161408</v>
      </c>
      <c r="N22" s="146">
        <f t="shared" si="21"/>
        <v>536.87413871616002</v>
      </c>
      <c r="O22" s="146">
        <f t="shared" ref="O22:O25" si="22">M22*AH22</f>
        <v>3.6538621056</v>
      </c>
      <c r="Q22" s="13"/>
      <c r="R22" s="139"/>
      <c r="S22" s="138"/>
      <c r="T22" s="139"/>
      <c r="U22" s="139"/>
      <c r="V22" s="140"/>
      <c r="W22" s="154"/>
      <c r="X22" s="139"/>
      <c r="Y22" s="19">
        <v>0.71199999999999997</v>
      </c>
      <c r="Z22" s="20">
        <v>11.02</v>
      </c>
      <c r="AA22" s="150">
        <f>(AG22/SUM(AG$6:AG$25))*0.98</f>
        <v>0.1176</v>
      </c>
      <c r="AB22" s="7">
        <v>0.11728049214373987</v>
      </c>
      <c r="AC22" s="150">
        <f>(AH22/SUM(AH$6:AH$25))*0.98</f>
        <v>9.7350993377483444E-2</v>
      </c>
      <c r="AE22" s="168"/>
      <c r="AF22" s="168"/>
      <c r="AG22" s="19">
        <v>0.12</v>
      </c>
      <c r="AH22" s="19">
        <v>7.4999999999999997E-2</v>
      </c>
    </row>
    <row r="23" spans="1:34" x14ac:dyDescent="0.2">
      <c r="A23" s="17" t="s">
        <v>521</v>
      </c>
      <c r="B23" s="18" t="s">
        <v>10</v>
      </c>
      <c r="C23" s="18"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45.616256</v>
      </c>
      <c r="M23" s="146">
        <f t="shared" si="21"/>
        <v>33.345483135999999</v>
      </c>
      <c r="N23" s="146">
        <f t="shared" si="21"/>
        <v>343.79193113216002</v>
      </c>
      <c r="O23" s="146">
        <f t="shared" si="22"/>
        <v>2.6676386508799999</v>
      </c>
      <c r="Q23" s="13"/>
      <c r="R23" s="139"/>
      <c r="S23" s="138"/>
      <c r="T23" s="139"/>
      <c r="U23" s="139"/>
      <c r="V23" s="140"/>
      <c r="W23" s="154"/>
      <c r="X23" s="139"/>
      <c r="Y23" s="19">
        <v>0.73099999999999998</v>
      </c>
      <c r="Z23" s="20">
        <v>10.31</v>
      </c>
      <c r="AA23" s="150">
        <f>(AG23/SUM(AG$6:AG$25))*0.98</f>
        <v>7.8399999999999997E-2</v>
      </c>
      <c r="AB23" s="7">
        <v>4.611590903692217E-2</v>
      </c>
      <c r="AC23" s="150">
        <f>(AH23/SUM(AH$6:AH$25))*0.98</f>
        <v>0.10384105960264901</v>
      </c>
      <c r="AE23" s="168"/>
      <c r="AF23" s="168"/>
      <c r="AG23" s="19">
        <v>0.08</v>
      </c>
      <c r="AH23" s="19">
        <v>0.08</v>
      </c>
    </row>
    <row r="24" spans="1:34" x14ac:dyDescent="0.2">
      <c r="B24" s="18" t="s">
        <v>10</v>
      </c>
      <c r="C24" s="18"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2.9256375898518251E-2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0.97499999999999998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1039</v>
      </c>
      <c r="E29" s="47">
        <v>0.56000000000000005</v>
      </c>
      <c r="F29" s="2">
        <f>1-E29</f>
        <v>0.43999999999999995</v>
      </c>
      <c r="G29" s="106">
        <v>4.3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581.84</v>
      </c>
      <c r="E32" s="156">
        <f>SUM(E2:E4)</f>
        <v>384.24131760000006</v>
      </c>
      <c r="F32" s="156">
        <f>SUM(F2:F4)</f>
        <v>4388.6315929680004</v>
      </c>
      <c r="G32" s="156">
        <f>SUM(G2:G4)</f>
        <v>32.455035200000005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457.15999999999997</v>
      </c>
      <c r="E35" s="156">
        <f>D35*G29</f>
        <v>1965.7879999999998</v>
      </c>
      <c r="F35" s="156">
        <f>D35*H29</f>
        <v>15.54344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448.01679999999993</v>
      </c>
      <c r="E38" s="157">
        <f>SUM(J2:J4,J6:J11,J13:J20)</f>
        <v>1965.4945032799999</v>
      </c>
      <c r="F38" s="157">
        <f>SUM(K2:K4,K6:K11,K13:K20)</f>
        <v>15.4565796</v>
      </c>
      <c r="G38" s="157">
        <f>SUM(L6:L11,L13:L20,L22:L25)</f>
        <v>570.20320000000004</v>
      </c>
      <c r="H38" s="157">
        <f>SUM(M6:M11,M13:M20,M22:M25)</f>
        <v>379.69831088000001</v>
      </c>
      <c r="I38" s="157">
        <f>SUM(N6:N11,N13:N20,N22:N25)</f>
        <v>4384.9987155038407</v>
      </c>
      <c r="J38" s="157">
        <f>SUM(O6:O11,O13:O20,O22:O25)</f>
        <v>32.411689865520003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9.1432000000000357</v>
      </c>
      <c r="E39" s="158">
        <f>E35-E38</f>
        <v>0.29349671999989368</v>
      </c>
      <c r="F39" s="158">
        <f>F35-F38</f>
        <v>8.6860400000000837E-2</v>
      </c>
      <c r="G39" s="158">
        <f>SUM(D2:D4)-G38</f>
        <v>11.636799999999994</v>
      </c>
      <c r="H39" s="158">
        <f>E32-H38</f>
        <v>4.5430067200000508</v>
      </c>
      <c r="I39" s="158">
        <f>F32-I38</f>
        <v>3.6328774641597192</v>
      </c>
      <c r="J39" s="158">
        <f>G32-J38</f>
        <v>4.3345334480001441E-2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62" priority="1" operator="lessThan">
      <formula>0</formula>
    </cfRule>
  </conditionalFormatting>
  <conditionalFormatting sqref="W28">
    <cfRule type="cellIs" dxfId="61" priority="2" operator="greaterThan">
      <formula>1</formula>
    </cfRule>
  </conditionalFormatting>
  <conditionalFormatting sqref="AA28:AG28">
    <cfRule type="cellIs" dxfId="6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>
    <tabColor rgb="FFC8E6FA"/>
  </sheetPr>
  <dimension ref="A1:E28"/>
  <sheetViews>
    <sheetView showGridLines="0" zoomScaleNormal="100" workbookViewId="0">
      <selection activeCell="G17" sqref="G17"/>
    </sheetView>
  </sheetViews>
  <sheetFormatPr baseColWidth="10" defaultColWidth="9.19921875" defaultRowHeight="15" x14ac:dyDescent="0.2"/>
  <cols>
    <col min="1" max="1" width="20.796875" style="68" bestFit="1" customWidth="1"/>
    <col min="2" max="2" width="6.59765625" style="77" bestFit="1" customWidth="1"/>
    <col min="3" max="3" width="5.796875" style="68" customWidth="1"/>
    <col min="4" max="4" width="20.19921875" style="68" bestFit="1" customWidth="1"/>
    <col min="5" max="5" width="6.59765625" style="77" bestFit="1" customWidth="1"/>
    <col min="6" max="16384" width="9.19921875" style="68"/>
  </cols>
  <sheetData>
    <row r="1" spans="1:5" s="64" customFormat="1" x14ac:dyDescent="0.2">
      <c r="A1" s="62" t="s">
        <v>337</v>
      </c>
      <c r="B1" s="63" t="s">
        <v>338</v>
      </c>
      <c r="D1" s="65" t="s">
        <v>339</v>
      </c>
      <c r="E1" s="63" t="s">
        <v>380</v>
      </c>
    </row>
    <row r="2" spans="1:5" x14ac:dyDescent="0.2">
      <c r="A2" s="66" t="s">
        <v>227</v>
      </c>
      <c r="B2" s="67">
        <v>0</v>
      </c>
      <c r="D2" s="69" t="s">
        <v>302</v>
      </c>
      <c r="E2" s="70">
        <v>12</v>
      </c>
    </row>
    <row r="3" spans="1:5" x14ac:dyDescent="0.2">
      <c r="A3" s="66" t="s">
        <v>226</v>
      </c>
      <c r="B3" s="67">
        <v>0</v>
      </c>
      <c r="D3" s="69" t="s">
        <v>303</v>
      </c>
      <c r="E3" s="70">
        <v>1</v>
      </c>
    </row>
    <row r="4" spans="1:5" x14ac:dyDescent="0.2">
      <c r="A4" s="66" t="s">
        <v>228</v>
      </c>
      <c r="B4" s="67">
        <v>0.04</v>
      </c>
      <c r="D4" s="69" t="s">
        <v>304</v>
      </c>
      <c r="E4" s="70">
        <v>2</v>
      </c>
    </row>
    <row r="5" spans="1:5" x14ac:dyDescent="0.2">
      <c r="A5" s="66" t="s">
        <v>229</v>
      </c>
      <c r="B5" s="67">
        <v>4</v>
      </c>
      <c r="D5" s="69" t="s">
        <v>305</v>
      </c>
      <c r="E5" s="70">
        <v>3</v>
      </c>
    </row>
    <row r="6" spans="1:5" x14ac:dyDescent="0.2">
      <c r="A6" s="66" t="s">
        <v>230</v>
      </c>
      <c r="B6" s="67">
        <v>-1</v>
      </c>
      <c r="D6" s="69" t="s">
        <v>306</v>
      </c>
      <c r="E6" s="70">
        <v>1</v>
      </c>
    </row>
    <row r="7" spans="1:5" x14ac:dyDescent="0.2">
      <c r="A7" s="71" t="s">
        <v>231</v>
      </c>
      <c r="B7" s="72">
        <v>0</v>
      </c>
      <c r="D7" s="69" t="s">
        <v>307</v>
      </c>
      <c r="E7" s="70">
        <v>1</v>
      </c>
    </row>
    <row r="8" spans="1:5" x14ac:dyDescent="0.2">
      <c r="A8" s="71" t="s">
        <v>232</v>
      </c>
      <c r="B8" s="72">
        <v>0.1</v>
      </c>
      <c r="D8" s="69" t="s">
        <v>309</v>
      </c>
      <c r="E8" s="70">
        <v>0</v>
      </c>
    </row>
    <row r="9" spans="1:5" x14ac:dyDescent="0.2">
      <c r="A9" s="71" t="s">
        <v>233</v>
      </c>
      <c r="B9" s="72">
        <v>6</v>
      </c>
      <c r="D9" s="73" t="s">
        <v>308</v>
      </c>
      <c r="E9" s="74">
        <v>1</v>
      </c>
    </row>
    <row r="10" spans="1:5" x14ac:dyDescent="0.2">
      <c r="A10" s="75" t="s">
        <v>234</v>
      </c>
      <c r="B10" s="76">
        <v>0</v>
      </c>
      <c r="D10" s="73" t="s">
        <v>374</v>
      </c>
      <c r="E10" s="86">
        <v>200</v>
      </c>
    </row>
    <row r="11" spans="1:5" x14ac:dyDescent="0.2">
      <c r="A11" s="75" t="s">
        <v>235</v>
      </c>
      <c r="B11" s="76">
        <v>0.5</v>
      </c>
    </row>
    <row r="12" spans="1:5" x14ac:dyDescent="0.2">
      <c r="A12" s="75" t="s">
        <v>236</v>
      </c>
      <c r="B12" s="76">
        <v>0.5</v>
      </c>
    </row>
    <row r="13" spans="1:5" x14ac:dyDescent="0.2">
      <c r="A13" s="75" t="s">
        <v>237</v>
      </c>
      <c r="B13" s="76">
        <v>0.5</v>
      </c>
    </row>
    <row r="14" spans="1:5" x14ac:dyDescent="0.2">
      <c r="A14" s="75" t="s">
        <v>238</v>
      </c>
      <c r="B14" s="76">
        <v>0.1</v>
      </c>
    </row>
    <row r="15" spans="1:5" x14ac:dyDescent="0.2">
      <c r="A15" s="75" t="s">
        <v>239</v>
      </c>
      <c r="B15" s="76">
        <v>6</v>
      </c>
    </row>
    <row r="16" spans="1:5" x14ac:dyDescent="0.2">
      <c r="A16" s="78" t="s">
        <v>257</v>
      </c>
      <c r="B16" s="79">
        <v>1</v>
      </c>
    </row>
    <row r="17" spans="1:2" x14ac:dyDescent="0.2">
      <c r="A17" s="78" t="s">
        <v>258</v>
      </c>
      <c r="B17" s="79">
        <v>2</v>
      </c>
    </row>
    <row r="18" spans="1:2" x14ac:dyDescent="0.2">
      <c r="A18" s="78" t="s">
        <v>268</v>
      </c>
      <c r="B18" s="79">
        <v>1</v>
      </c>
    </row>
    <row r="19" spans="1:2" x14ac:dyDescent="0.2">
      <c r="A19" s="78" t="s">
        <v>267</v>
      </c>
      <c r="B19" s="79">
        <v>2</v>
      </c>
    </row>
    <row r="20" spans="1:2" x14ac:dyDescent="0.2">
      <c r="A20" s="78" t="s">
        <v>259</v>
      </c>
      <c r="B20" s="79">
        <v>2</v>
      </c>
    </row>
    <row r="21" spans="1:2" x14ac:dyDescent="0.2">
      <c r="A21" s="78" t="s">
        <v>260</v>
      </c>
      <c r="B21" s="79">
        <v>6</v>
      </c>
    </row>
    <row r="22" spans="1:2" x14ac:dyDescent="0.2">
      <c r="A22" s="78" t="s">
        <v>261</v>
      </c>
      <c r="B22" s="79">
        <v>10</v>
      </c>
    </row>
    <row r="23" spans="1:2" x14ac:dyDescent="0.2">
      <c r="A23" s="78" t="s">
        <v>262</v>
      </c>
      <c r="B23" s="79">
        <v>7</v>
      </c>
    </row>
    <row r="24" spans="1:2" x14ac:dyDescent="0.2">
      <c r="A24" s="78" t="s">
        <v>263</v>
      </c>
      <c r="B24" s="79">
        <v>4</v>
      </c>
    </row>
    <row r="25" spans="1:2" x14ac:dyDescent="0.2">
      <c r="A25" s="78" t="s">
        <v>264</v>
      </c>
      <c r="B25" s="79">
        <v>1</v>
      </c>
    </row>
    <row r="26" spans="1:2" x14ac:dyDescent="0.2">
      <c r="A26" s="78" t="s">
        <v>265</v>
      </c>
      <c r="B26" s="79">
        <v>0</v>
      </c>
    </row>
    <row r="27" spans="1:2" x14ac:dyDescent="0.2">
      <c r="A27" s="78" t="s">
        <v>266</v>
      </c>
      <c r="B27" s="79">
        <v>-1</v>
      </c>
    </row>
    <row r="28" spans="1:2" x14ac:dyDescent="0.2">
      <c r="A28" s="78" t="s">
        <v>269</v>
      </c>
      <c r="B28" s="79">
        <v>-4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2CB8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522</v>
      </c>
      <c r="B2" s="18" t="s">
        <v>9</v>
      </c>
      <c r="C2" s="18">
        <v>7</v>
      </c>
      <c r="D2" s="146">
        <f>D$32*Q2</f>
        <v>601.28639999999996</v>
      </c>
      <c r="E2" s="146">
        <f t="shared" ref="E2" si="0">D2*R2</f>
        <v>394.44387840000002</v>
      </c>
      <c r="F2" s="146">
        <f>E2*S2</f>
        <v>4654.4377651200002</v>
      </c>
      <c r="G2" s="146">
        <f>D2*T2</f>
        <v>31.266892799999997</v>
      </c>
      <c r="H2" s="146">
        <f t="shared" ref="H2" si="1">E2*U2</f>
        <v>5.9166581760000003</v>
      </c>
      <c r="I2" s="146">
        <f>D$35*W2</f>
        <v>38.937600000000003</v>
      </c>
      <c r="J2" s="146">
        <f>I2*V2</f>
        <v>161.59104000000002</v>
      </c>
      <c r="K2" s="146">
        <f>I2*X2</f>
        <v>1.5575040000000002</v>
      </c>
      <c r="L2" s="147"/>
      <c r="M2" s="147"/>
      <c r="N2" s="147"/>
      <c r="O2" s="147"/>
      <c r="Q2" s="150">
        <f>(AE2/SUM(AE$2:AE$25))</f>
        <v>0.99</v>
      </c>
      <c r="R2" s="19">
        <v>0.65600000000000003</v>
      </c>
      <c r="S2" s="107">
        <v>11.8</v>
      </c>
      <c r="T2" s="19">
        <v>5.1999999999999998E-2</v>
      </c>
      <c r="U2" s="19">
        <v>1.4999999999999999E-2</v>
      </c>
      <c r="V2" s="107">
        <v>4.1500000000000004</v>
      </c>
      <c r="W2" s="150">
        <f>(AF2/SUM(AF$2:AF$20))*0.98</f>
        <v>0.09</v>
      </c>
      <c r="X2" s="19">
        <v>0.04</v>
      </c>
      <c r="Y2" s="21"/>
      <c r="Z2" s="22"/>
      <c r="AA2" s="1"/>
      <c r="AB2" s="1"/>
      <c r="AC2" s="1"/>
      <c r="AE2" s="19">
        <v>0.99</v>
      </c>
      <c r="AF2" s="19">
        <v>0.09</v>
      </c>
      <c r="AG2" s="168"/>
      <c r="AH2" s="168"/>
    </row>
    <row r="3" spans="1:34" x14ac:dyDescent="0.2">
      <c r="A3" s="17" t="s">
        <v>653</v>
      </c>
      <c r="B3" s="18" t="s">
        <v>9</v>
      </c>
      <c r="C3" s="18">
        <v>7</v>
      </c>
      <c r="D3" s="146">
        <f>D$32*Q3</f>
        <v>6.0735999999999999</v>
      </c>
      <c r="E3" s="146">
        <f>D3*R3</f>
        <v>3.826368</v>
      </c>
      <c r="F3" s="146">
        <f>E3*S3</f>
        <v>42.090048000000003</v>
      </c>
      <c r="G3" s="146">
        <f t="shared" ref="G3:G4" si="2">D3*T3</f>
        <v>0.1153984</v>
      </c>
      <c r="H3" s="146">
        <f>E3*U3</f>
        <v>7.2700991999999992E-2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0.01</v>
      </c>
      <c r="R3" s="19">
        <v>0.63</v>
      </c>
      <c r="S3" s="107">
        <v>11</v>
      </c>
      <c r="T3" s="19">
        <v>1.9E-2</v>
      </c>
      <c r="U3" s="19">
        <v>1.9E-2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0.01</v>
      </c>
      <c r="AF3" s="19">
        <v>0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>D4*R4</f>
        <v>0</v>
      </c>
      <c r="F4" s="146">
        <f>E4*S4</f>
        <v>0</v>
      </c>
      <c r="G4" s="146">
        <f t="shared" si="2"/>
        <v>0</v>
      </c>
      <c r="H4" s="146">
        <f>E4*U4</f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30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3">D$35*W6</f>
        <v>259.584</v>
      </c>
      <c r="J6" s="146">
        <f>I6*V6</f>
        <v>1090.2528</v>
      </c>
      <c r="K6" s="146">
        <f>I6*X6</f>
        <v>9.6046079999999989</v>
      </c>
      <c r="L6" s="146">
        <f>((D$2+D$3+D$4)*AA6)</f>
        <v>46.426598399999996</v>
      </c>
      <c r="M6" s="146">
        <f t="shared" ref="M6:N11" si="4">L6*Y6</f>
        <v>35.794907366399997</v>
      </c>
      <c r="N6" s="146">
        <f t="shared" si="4"/>
        <v>253.78589322777597</v>
      </c>
      <c r="O6" s="146">
        <f>M6*AH6</f>
        <v>1.6107708314879998</v>
      </c>
      <c r="Q6" s="13"/>
      <c r="R6" s="139"/>
      <c r="S6" s="138"/>
      <c r="T6" s="139"/>
      <c r="U6" s="139"/>
      <c r="V6" s="107">
        <v>4.2</v>
      </c>
      <c r="W6" s="150">
        <f t="shared" ref="W6:W11" si="5">(AF6/SUM(AF$2:AF$20))*0.98</f>
        <v>0.6</v>
      </c>
      <c r="X6" s="19">
        <v>3.6999999999999998E-2</v>
      </c>
      <c r="Y6" s="19">
        <v>0.77100000000000002</v>
      </c>
      <c r="Z6" s="20">
        <v>7.09</v>
      </c>
      <c r="AA6" s="150">
        <f t="shared" ref="AA6:AA11" si="6">(AG6/SUM(AG$6:AG$25))*0.98</f>
        <v>7.6439999999999994E-2</v>
      </c>
      <c r="AB6" s="7">
        <v>8.6548073411343282E-2</v>
      </c>
      <c r="AC6" s="150">
        <f t="shared" ref="AC6:AC11" si="7">(AH6/SUM(AH$6:AH$25))*0.98</f>
        <v>4.9384098544232917E-2</v>
      </c>
      <c r="AE6" s="168"/>
      <c r="AF6" s="19">
        <v>0.6</v>
      </c>
      <c r="AG6" s="19">
        <v>7.8E-2</v>
      </c>
      <c r="AH6" s="19">
        <v>4.4999999999999998E-2</v>
      </c>
    </row>
    <row r="7" spans="1:34" x14ac:dyDescent="0.2">
      <c r="A7" s="176" t="s">
        <v>429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3"/>
        <v>64.896000000000001</v>
      </c>
      <c r="J7" s="146">
        <f>I7*V7</f>
        <v>255.69023999999999</v>
      </c>
      <c r="K7" s="146">
        <f>I7*X7</f>
        <v>1.6224000000000001</v>
      </c>
      <c r="L7" s="146">
        <f>((D$2+D$3+D$4)*AA7)</f>
        <v>10.1186176</v>
      </c>
      <c r="M7" s="146">
        <f t="shared" si="4"/>
        <v>7.2044557311999995</v>
      </c>
      <c r="N7" s="146">
        <f t="shared" si="4"/>
        <v>50.791412904959998</v>
      </c>
      <c r="O7" s="146">
        <f t="shared" ref="O7:O11" si="8">M7*AH7</f>
        <v>0.25215595059200002</v>
      </c>
      <c r="Q7" s="13"/>
      <c r="R7" s="139"/>
      <c r="S7" s="138"/>
      <c r="T7" s="139"/>
      <c r="U7" s="139"/>
      <c r="V7" s="107">
        <v>3.94</v>
      </c>
      <c r="W7" s="150">
        <f t="shared" si="5"/>
        <v>0.15</v>
      </c>
      <c r="X7" s="19">
        <v>2.5000000000000001E-2</v>
      </c>
      <c r="Y7" s="19">
        <v>0.71199999999999997</v>
      </c>
      <c r="Z7" s="20">
        <v>7.05</v>
      </c>
      <c r="AA7" s="150">
        <f t="shared" si="6"/>
        <v>1.6660000000000001E-2</v>
      </c>
      <c r="AB7" s="7">
        <v>4.092025767842479E-2</v>
      </c>
      <c r="AC7" s="150">
        <f t="shared" si="7"/>
        <v>3.840985442329227E-2</v>
      </c>
      <c r="AE7" s="168"/>
      <c r="AF7" s="19">
        <v>0.15</v>
      </c>
      <c r="AG7" s="19">
        <v>1.7000000000000001E-2</v>
      </c>
      <c r="AH7" s="19">
        <v>3.5000000000000003E-2</v>
      </c>
    </row>
    <row r="8" spans="1:34" x14ac:dyDescent="0.2">
      <c r="A8" s="176" t="s">
        <v>654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si="3"/>
        <v>43.26400000000001</v>
      </c>
      <c r="J8" s="146">
        <f>I8*V8</f>
        <v>178.24768000000006</v>
      </c>
      <c r="K8" s="146">
        <f>I8*X8</f>
        <v>1.2979200000000002</v>
      </c>
      <c r="L8" s="146">
        <f>((D$2+D$3+D$4)*AA8)</f>
        <v>35.712767999999997</v>
      </c>
      <c r="M8" s="146">
        <f t="shared" si="4"/>
        <v>27.677395199999999</v>
      </c>
      <c r="N8" s="146">
        <f t="shared" si="4"/>
        <v>200.66111519999998</v>
      </c>
      <c r="O8" s="146">
        <f t="shared" si="8"/>
        <v>1.107095808</v>
      </c>
      <c r="Q8" s="13"/>
      <c r="R8" s="139"/>
      <c r="S8" s="138"/>
      <c r="T8" s="139"/>
      <c r="U8" s="139"/>
      <c r="V8" s="107">
        <v>4.12</v>
      </c>
      <c r="W8" s="150">
        <f t="shared" si="5"/>
        <v>0.1</v>
      </c>
      <c r="X8" s="19">
        <v>0.03</v>
      </c>
      <c r="Y8" s="19">
        <v>0.77500000000000002</v>
      </c>
      <c r="Z8" s="20">
        <v>7.25</v>
      </c>
      <c r="AA8" s="150">
        <f t="shared" si="6"/>
        <v>5.8799999999999998E-2</v>
      </c>
      <c r="AB8" s="7">
        <v>6.0625889618527939E-2</v>
      </c>
      <c r="AC8" s="150">
        <f t="shared" si="7"/>
        <v>4.3896976483762597E-2</v>
      </c>
      <c r="AE8" s="168"/>
      <c r="AF8" s="19">
        <v>0.1</v>
      </c>
      <c r="AG8" s="19">
        <v>0.06</v>
      </c>
      <c r="AH8" s="19">
        <v>0.04</v>
      </c>
    </row>
    <row r="9" spans="1:34" x14ac:dyDescent="0.2">
      <c r="A9" s="172"/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2.100701999793686E-2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1.4721221052939397E-2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88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2">D$35*W13</f>
        <v>4.3264000000000005</v>
      </c>
      <c r="J13" s="146">
        <f t="shared" ref="J13:J20" si="13">I13*V13</f>
        <v>21.718527999999999</v>
      </c>
      <c r="K13" s="146">
        <f t="shared" ref="K13:K20" si="14">I13*X13</f>
        <v>6.4896000000000009E-2</v>
      </c>
      <c r="L13" s="146">
        <f t="shared" ref="L13:L20" si="15">((D$2+D$3+D$4)*AA13)</f>
        <v>122.018624</v>
      </c>
      <c r="M13" s="146">
        <f t="shared" ref="M13:N20" si="16">L13*Y13</f>
        <v>81.752478080000003</v>
      </c>
      <c r="N13" s="146">
        <f t="shared" si="16"/>
        <v>978.57716261760004</v>
      </c>
      <c r="O13" s="146">
        <f t="shared" ref="O13:O20" si="17">M13*AH13</f>
        <v>6.7037032025600007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0.01</v>
      </c>
      <c r="X13" s="19">
        <v>1.4999999999999999E-2</v>
      </c>
      <c r="Y13" s="19">
        <v>0.67</v>
      </c>
      <c r="Z13" s="20">
        <v>11.97</v>
      </c>
      <c r="AA13" s="150">
        <f t="shared" ref="AA13:AA19" si="19">(AG13/SUM(AG$6:AG$25))*0.98</f>
        <v>0.2009</v>
      </c>
      <c r="AB13" s="7">
        <v>0.17942503850764749</v>
      </c>
      <c r="AC13" s="150">
        <f t="shared" ref="AC13:AC19" si="20">(AH13/SUM(AH$6:AH$25))*0.98</f>
        <v>8.9988801791713327E-2</v>
      </c>
      <c r="AE13" s="168"/>
      <c r="AF13" s="19">
        <v>0.01</v>
      </c>
      <c r="AG13" s="19">
        <v>0.20499999999999999</v>
      </c>
      <c r="AH13" s="19">
        <v>8.2000000000000003E-2</v>
      </c>
    </row>
    <row r="14" spans="1:34" x14ac:dyDescent="0.2">
      <c r="A14" s="17" t="s">
        <v>210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123.2090496</v>
      </c>
      <c r="M14" s="146">
        <f t="shared" si="16"/>
        <v>79.839464140800004</v>
      </c>
      <c r="N14" s="146">
        <f t="shared" si="16"/>
        <v>1173.64012286976</v>
      </c>
      <c r="O14" s="146">
        <f t="shared" si="17"/>
        <v>7.9839464140800009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0.64800000000000002</v>
      </c>
      <c r="Z14" s="20">
        <v>14.7</v>
      </c>
      <c r="AA14" s="150">
        <f t="shared" si="19"/>
        <v>0.20285999999999998</v>
      </c>
      <c r="AB14" s="7">
        <v>0.10762371294118071</v>
      </c>
      <c r="AC14" s="150">
        <f t="shared" si="20"/>
        <v>0.1097424412094065</v>
      </c>
      <c r="AE14" s="168"/>
      <c r="AF14" s="19">
        <v>0</v>
      </c>
      <c r="AG14" s="19">
        <v>0.20699999999999999</v>
      </c>
      <c r="AH14" s="19">
        <v>0.1</v>
      </c>
    </row>
    <row r="15" spans="1:34" x14ac:dyDescent="0.2">
      <c r="A15" s="17" t="s">
        <v>554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si="12"/>
        <v>12.979200000000001</v>
      </c>
      <c r="J15" s="146">
        <f t="shared" si="13"/>
        <v>108.116736</v>
      </c>
      <c r="K15" s="146">
        <f t="shared" si="14"/>
        <v>0.97343999999999997</v>
      </c>
      <c r="L15" s="146">
        <f t="shared" si="15"/>
        <v>104.16224</v>
      </c>
      <c r="M15" s="146">
        <f t="shared" si="16"/>
        <v>64.059777600000004</v>
      </c>
      <c r="N15" s="146">
        <f t="shared" si="16"/>
        <v>914.133026352</v>
      </c>
      <c r="O15" s="146">
        <f t="shared" si="17"/>
        <v>6.2778582048000002</v>
      </c>
      <c r="Q15" s="13"/>
      <c r="R15" s="139"/>
      <c r="S15" s="138"/>
      <c r="T15" s="139"/>
      <c r="U15" s="139"/>
      <c r="V15" s="107">
        <v>8.33</v>
      </c>
      <c r="W15" s="150">
        <f t="shared" si="18"/>
        <v>0.03</v>
      </c>
      <c r="X15" s="19">
        <v>7.4999999999999997E-2</v>
      </c>
      <c r="Y15" s="19">
        <v>0.61499999999999999</v>
      </c>
      <c r="Z15" s="20">
        <v>14.27</v>
      </c>
      <c r="AA15" s="150">
        <f t="shared" si="19"/>
        <v>0.17149999999999999</v>
      </c>
      <c r="AB15" s="7">
        <v>6.0141004490805408E-2</v>
      </c>
      <c r="AC15" s="150">
        <f t="shared" si="20"/>
        <v>0.10754759238521837</v>
      </c>
      <c r="AE15" s="168"/>
      <c r="AF15" s="19">
        <v>0.03</v>
      </c>
      <c r="AG15" s="19">
        <v>0.17499999999999999</v>
      </c>
      <c r="AH15" s="19">
        <v>9.8000000000000004E-2</v>
      </c>
    </row>
    <row r="16" spans="1:34" x14ac:dyDescent="0.2">
      <c r="A16" s="17" t="s">
        <v>54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23.808512</v>
      </c>
      <c r="M16" s="146">
        <f t="shared" si="16"/>
        <v>14.666043392000001</v>
      </c>
      <c r="N16" s="146">
        <f t="shared" si="16"/>
        <v>156.63334342656</v>
      </c>
      <c r="O16" s="146">
        <f t="shared" si="17"/>
        <v>0.87996260352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0.61599999999999999</v>
      </c>
      <c r="Z16" s="20">
        <v>10.68</v>
      </c>
      <c r="AA16" s="150">
        <f t="shared" si="19"/>
        <v>3.9199999999999999E-2</v>
      </c>
      <c r="AB16" s="7">
        <v>7.2371601418819084E-2</v>
      </c>
      <c r="AC16" s="150">
        <f t="shared" si="20"/>
        <v>6.5845464725643899E-2</v>
      </c>
      <c r="AE16" s="168"/>
      <c r="AF16" s="19">
        <v>0</v>
      </c>
      <c r="AG16" s="19">
        <v>0.04</v>
      </c>
      <c r="AH16" s="19">
        <v>0.06</v>
      </c>
    </row>
    <row r="17" spans="1:34" x14ac:dyDescent="0.2">
      <c r="A17" s="17" t="s">
        <v>407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20.832448000000003</v>
      </c>
      <c r="M17" s="146">
        <f t="shared" si="16"/>
        <v>12.520301248000001</v>
      </c>
      <c r="N17" s="146">
        <f t="shared" si="16"/>
        <v>185.30045847040003</v>
      </c>
      <c r="O17" s="146">
        <f t="shared" si="17"/>
        <v>1.0016240998400001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0.60099999999999998</v>
      </c>
      <c r="Z17" s="20">
        <v>14.8</v>
      </c>
      <c r="AA17" s="150">
        <f t="shared" si="19"/>
        <v>3.4300000000000004E-2</v>
      </c>
      <c r="AB17" s="7">
        <v>2.0087981085509972E-2</v>
      </c>
      <c r="AC17" s="150">
        <f t="shared" si="20"/>
        <v>8.7793952967525193E-2</v>
      </c>
      <c r="AE17" s="168"/>
      <c r="AF17" s="19">
        <v>0</v>
      </c>
      <c r="AG17" s="19">
        <v>3.5000000000000003E-2</v>
      </c>
      <c r="AH17" s="19">
        <v>0.08</v>
      </c>
    </row>
    <row r="18" spans="1:34" x14ac:dyDescent="0.2">
      <c r="A18" s="17" t="s">
        <v>523</v>
      </c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11.904256</v>
      </c>
      <c r="M18" s="146">
        <f t="shared" si="16"/>
        <v>6.6187663360000011</v>
      </c>
      <c r="N18" s="146">
        <f t="shared" si="16"/>
        <v>82.734579200000013</v>
      </c>
      <c r="O18" s="146">
        <f t="shared" si="17"/>
        <v>0.43021981184000008</v>
      </c>
      <c r="Q18" s="13"/>
      <c r="R18" s="139"/>
      <c r="S18" s="138"/>
      <c r="T18" s="139"/>
      <c r="U18" s="139"/>
      <c r="V18" s="107">
        <v>4.51</v>
      </c>
      <c r="W18" s="150">
        <f t="shared" si="18"/>
        <v>0</v>
      </c>
      <c r="X18" s="19">
        <v>8.0000000000000002E-3</v>
      </c>
      <c r="Y18" s="19">
        <v>0.55600000000000005</v>
      </c>
      <c r="Z18" s="20">
        <v>12.5</v>
      </c>
      <c r="AA18" s="150">
        <f t="shared" si="19"/>
        <v>1.9599999999999999E-2</v>
      </c>
      <c r="AB18" s="7">
        <v>7.7912972139078204E-2</v>
      </c>
      <c r="AC18" s="150">
        <f t="shared" si="20"/>
        <v>7.1332586786114233E-2</v>
      </c>
      <c r="AE18" s="168"/>
      <c r="AF18" s="19">
        <v>0</v>
      </c>
      <c r="AG18" s="19">
        <v>0.02</v>
      </c>
      <c r="AH18" s="19">
        <v>6.5000000000000002E-2</v>
      </c>
    </row>
    <row r="19" spans="1:34" x14ac:dyDescent="0.2">
      <c r="A19" s="17" t="s">
        <v>446</v>
      </c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5.9521280000000001</v>
      </c>
      <c r="M19" s="146">
        <f t="shared" si="16"/>
        <v>3.6486544639999998</v>
      </c>
      <c r="N19" s="146">
        <f t="shared" si="16"/>
        <v>40.317631827200003</v>
      </c>
      <c r="O19" s="146">
        <f t="shared" si="17"/>
        <v>0.23716254015999999</v>
      </c>
      <c r="Q19" s="13"/>
      <c r="R19" s="139"/>
      <c r="S19" s="138"/>
      <c r="T19" s="139"/>
      <c r="U19" s="139"/>
      <c r="V19" s="107">
        <v>5.0199999999999996</v>
      </c>
      <c r="W19" s="150">
        <f t="shared" si="18"/>
        <v>0</v>
      </c>
      <c r="X19" s="19">
        <v>1.4999999999999999E-2</v>
      </c>
      <c r="Y19" s="19">
        <v>0.61299999999999999</v>
      </c>
      <c r="Z19" s="20">
        <v>11.05</v>
      </c>
      <c r="AA19" s="150">
        <f t="shared" si="19"/>
        <v>9.7999999999999997E-3</v>
      </c>
      <c r="AB19" s="7">
        <v>2.9270861327960175E-2</v>
      </c>
      <c r="AC19" s="150">
        <f t="shared" si="20"/>
        <v>7.1332586786114233E-2</v>
      </c>
      <c r="AE19" s="168"/>
      <c r="AF19" s="19">
        <v>0</v>
      </c>
      <c r="AG19" s="19">
        <v>0.01</v>
      </c>
      <c r="AH19" s="19">
        <v>6.5000000000000002E-2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v>0</v>
      </c>
      <c r="AB20" s="7">
        <v>1.9963981202266081E-2</v>
      </c>
      <c r="AC20" s="150"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141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61.306918399999994</v>
      </c>
      <c r="M22" s="146">
        <f t="shared" ref="M22:N25" si="21">L22*Y22</f>
        <v>41.8113183488</v>
      </c>
      <c r="N22" s="146">
        <f t="shared" si="21"/>
        <v>450.72601180006399</v>
      </c>
      <c r="O22" s="146">
        <f t="shared" ref="O22:O25" si="22">M22*AH22</f>
        <v>3.4703394229504001</v>
      </c>
      <c r="Q22" s="13"/>
      <c r="R22" s="139"/>
      <c r="S22" s="138"/>
      <c r="T22" s="139"/>
      <c r="U22" s="139"/>
      <c r="V22" s="140"/>
      <c r="W22" s="154"/>
      <c r="X22" s="139"/>
      <c r="Y22" s="19">
        <v>0.68200000000000005</v>
      </c>
      <c r="Z22" s="20">
        <v>10.78</v>
      </c>
      <c r="AA22" s="150">
        <f>(AG22/SUM(AG$6:AG$25))*0.98</f>
        <v>0.10093999999999999</v>
      </c>
      <c r="AB22" s="7">
        <v>8.9148774761302313E-2</v>
      </c>
      <c r="AC22" s="150">
        <f>(AH22/SUM(AH$6:AH$25))*0.98</f>
        <v>9.1086226203807394E-2</v>
      </c>
      <c r="AE22" s="168"/>
      <c r="AF22" s="168"/>
      <c r="AG22" s="19">
        <v>0.10299999999999999</v>
      </c>
      <c r="AH22" s="19">
        <v>8.3000000000000004E-2</v>
      </c>
    </row>
    <row r="23" spans="1:34" x14ac:dyDescent="0.2">
      <c r="A23" s="176" t="s">
        <v>655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17.856383999999998</v>
      </c>
      <c r="M23" s="146">
        <f t="shared" si="21"/>
        <v>12.017346432</v>
      </c>
      <c r="N23" s="146">
        <f t="shared" si="21"/>
        <v>124.9804028928</v>
      </c>
      <c r="O23" s="146">
        <f t="shared" si="22"/>
        <v>0.84121425024000007</v>
      </c>
      <c r="Q23" s="13"/>
      <c r="R23" s="139"/>
      <c r="S23" s="138"/>
      <c r="T23" s="139"/>
      <c r="U23" s="139"/>
      <c r="V23" s="140"/>
      <c r="W23" s="154"/>
      <c r="X23" s="139"/>
      <c r="Y23" s="19">
        <v>0.67300000000000004</v>
      </c>
      <c r="Z23" s="20">
        <v>10.4</v>
      </c>
      <c r="AA23" s="150">
        <f>(AG23/SUM(AG$6:AG$25))*0.98</f>
        <v>2.9399999999999999E-2</v>
      </c>
      <c r="AB23" s="7">
        <v>3.3310197927779797E-2</v>
      </c>
      <c r="AC23" s="150">
        <f>(AH23/SUM(AH$6:AH$25))*0.98</f>
        <v>7.6819708846584539E-2</v>
      </c>
      <c r="AE23" s="168"/>
      <c r="AF23" s="168"/>
      <c r="AG23" s="19">
        <v>0.03</v>
      </c>
      <c r="AH23" s="19">
        <v>7.0000000000000007E-2</v>
      </c>
    </row>
    <row r="24" spans="1:34" x14ac:dyDescent="0.2">
      <c r="A24" s="172" t="s">
        <v>189</v>
      </c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11.904256</v>
      </c>
      <c r="M24" s="146">
        <f t="shared" si="21"/>
        <v>8.1425111040000004</v>
      </c>
      <c r="N24" s="146">
        <f t="shared" si="21"/>
        <v>81.913661706240006</v>
      </c>
      <c r="O24" s="146">
        <f t="shared" si="22"/>
        <v>0.56997577728000004</v>
      </c>
      <c r="Q24" s="13"/>
      <c r="R24" s="139"/>
      <c r="S24" s="138"/>
      <c r="T24" s="139"/>
      <c r="U24" s="139"/>
      <c r="V24" s="140"/>
      <c r="W24" s="154"/>
      <c r="X24" s="139"/>
      <c r="Y24" s="19">
        <v>0.68400000000000005</v>
      </c>
      <c r="Z24" s="20">
        <v>10.06</v>
      </c>
      <c r="AA24" s="150">
        <f>(AG24/SUM(AG$6:AG$25))*0.98</f>
        <v>1.9599999999999999E-2</v>
      </c>
      <c r="AB24" s="7">
        <v>4.8459962150580752E-2</v>
      </c>
      <c r="AC24" s="150">
        <f>(AH24/SUM(AH$6:AH$25))*0.98</f>
        <v>7.6819708846584539E-2</v>
      </c>
      <c r="AE24" s="168"/>
      <c r="AF24" s="168"/>
      <c r="AG24" s="19">
        <v>0.02</v>
      </c>
      <c r="AH24" s="19">
        <v>7.0000000000000007E-2</v>
      </c>
    </row>
    <row r="25" spans="1:34" x14ac:dyDescent="0.2">
      <c r="A25" s="172"/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1.34614502878979E-2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5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0.9750000000000002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0.98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1040</v>
      </c>
      <c r="E29" s="47">
        <v>0.58399999999999996</v>
      </c>
      <c r="F29" s="2">
        <f>1-E29</f>
        <v>0.41600000000000004</v>
      </c>
      <c r="G29" s="106">
        <v>4.2</v>
      </c>
      <c r="H29" s="126">
        <v>3.5000000000000003E-2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607.36</v>
      </c>
      <c r="E32" s="156">
        <f>SUM(E2:E4)</f>
        <v>398.27024640000002</v>
      </c>
      <c r="F32" s="156">
        <f>SUM(F2:F4)</f>
        <v>4696.5278131200002</v>
      </c>
      <c r="G32" s="156">
        <f>SUM(G2:G4)</f>
        <v>31.382291199999997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432.64000000000004</v>
      </c>
      <c r="E35" s="156">
        <f>D35*G29</f>
        <v>1817.0880000000002</v>
      </c>
      <c r="F35" s="156">
        <f>D35*H29</f>
        <v>15.142400000000002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423.98720000000003</v>
      </c>
      <c r="E38" s="157">
        <f>SUM(J2:J4,J6:J11,J13:J20)</f>
        <v>1815.6170239999999</v>
      </c>
      <c r="F38" s="157">
        <f>SUM(K2:K4,K6:K11,K13:K20)</f>
        <v>15.120767999999998</v>
      </c>
      <c r="G38" s="157">
        <f>SUM(L6:L11,L13:L20,L22:L25)</f>
        <v>595.21280000000013</v>
      </c>
      <c r="H38" s="157">
        <f>SUM(M6:M11,M13:M20,M22:M25)</f>
        <v>395.75341944320007</v>
      </c>
      <c r="I38" s="157">
        <f>SUM(N6:N11,N13:N20,N22:N25)</f>
        <v>4694.1948224953603</v>
      </c>
      <c r="J38" s="157">
        <f>SUM(O6:O11,O13:O20,O22:O25)</f>
        <v>31.366028917350402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8.6528000000000134</v>
      </c>
      <c r="E39" s="158">
        <f>E35-E38</f>
        <v>1.4709760000002916</v>
      </c>
      <c r="F39" s="158">
        <f>F35-F38</f>
        <v>2.163200000000387E-2</v>
      </c>
      <c r="G39" s="158">
        <f>SUM(D2:D4)-G38</f>
        <v>12.147199999999884</v>
      </c>
      <c r="H39" s="158">
        <f>E32-H38</f>
        <v>2.5168269567999459</v>
      </c>
      <c r="I39" s="158">
        <f>F32-I38</f>
        <v>2.3329906246399332</v>
      </c>
      <c r="J39" s="158">
        <f>G32-J38</f>
        <v>1.6262282649595505E-2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14:34" x14ac:dyDescent="0.2">
      <c r="V49" s="181"/>
      <c r="X49" s="30"/>
      <c r="Y49" s="30"/>
      <c r="Z49" s="181"/>
      <c r="AH49" s="30"/>
    </row>
    <row r="50" spans="14:34" x14ac:dyDescent="0.2">
      <c r="N50" s="23"/>
      <c r="O50" s="23"/>
      <c r="V50" s="181"/>
      <c r="X50" s="30"/>
      <c r="Y50" s="30"/>
      <c r="Z50" s="181"/>
      <c r="AH50" s="30"/>
    </row>
    <row r="51" spans="14:34" x14ac:dyDescent="0.2">
      <c r="X51" s="25"/>
      <c r="Y51" s="30"/>
      <c r="Z51" s="181"/>
      <c r="AH51" s="30"/>
    </row>
    <row r="52" spans="14:34" x14ac:dyDescent="0.2">
      <c r="X52" s="25"/>
      <c r="Y52" s="30"/>
      <c r="Z52" s="181"/>
      <c r="AH52" s="30"/>
    </row>
    <row r="53" spans="14:34" x14ac:dyDescent="0.2">
      <c r="X53" s="25"/>
      <c r="Y53" s="30"/>
      <c r="Z53" s="181"/>
      <c r="AH53" s="30"/>
    </row>
    <row r="54" spans="14:34" x14ac:dyDescent="0.2">
      <c r="X54" s="25"/>
      <c r="Y54" s="30"/>
      <c r="Z54" s="181"/>
      <c r="AH54" s="30"/>
    </row>
    <row r="55" spans="14:34" x14ac:dyDescent="0.2">
      <c r="X55" s="25"/>
      <c r="Y55" s="30"/>
      <c r="Z55" s="181"/>
      <c r="AH55" s="30"/>
    </row>
    <row r="56" spans="14:34" x14ac:dyDescent="0.2"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conditionalFormatting sqref="D39:J39">
    <cfRule type="cellIs" dxfId="59" priority="1" operator="lessThan">
      <formula>0</formula>
    </cfRule>
  </conditionalFormatting>
  <conditionalFormatting sqref="W28">
    <cfRule type="cellIs" dxfId="58" priority="2" operator="greaterThan">
      <formula>1</formula>
    </cfRule>
  </conditionalFormatting>
  <conditionalFormatting sqref="AA28:AG28">
    <cfRule type="cellIs" dxfId="5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524</v>
      </c>
      <c r="B2" s="18" t="s">
        <v>9</v>
      </c>
      <c r="C2" s="18">
        <v>11</v>
      </c>
      <c r="D2" s="146">
        <f>D$32*Q2</f>
        <v>520.20100000000002</v>
      </c>
      <c r="E2" s="146">
        <f>D2*R2</f>
        <v>321.484218</v>
      </c>
      <c r="F2" s="146">
        <f>E2*S2</f>
        <v>3680.9942960999997</v>
      </c>
      <c r="G2" s="146">
        <f>D2*T2</f>
        <v>20.808040000000002</v>
      </c>
      <c r="H2" s="146">
        <f>E2*U2</f>
        <v>6.1082001419999994</v>
      </c>
      <c r="I2" s="146">
        <f>D$35*W2</f>
        <v>131.61733199999998</v>
      </c>
      <c r="J2" s="146">
        <f>I2*V2</f>
        <v>662.03517995999994</v>
      </c>
      <c r="K2" s="146">
        <f>I2*X2</f>
        <v>7.8970399199999983</v>
      </c>
      <c r="L2" s="147"/>
      <c r="M2" s="147"/>
      <c r="N2" s="147"/>
      <c r="O2" s="147"/>
      <c r="Q2" s="150">
        <f>(AE2/SUM(AE$2:AE$25))</f>
        <v>0.95</v>
      </c>
      <c r="R2" s="19">
        <v>0.61799999999999999</v>
      </c>
      <c r="S2" s="107">
        <v>11.45</v>
      </c>
      <c r="T2" s="19">
        <v>0.04</v>
      </c>
      <c r="U2" s="19">
        <v>1.9E-2</v>
      </c>
      <c r="V2" s="107">
        <v>5.03</v>
      </c>
      <c r="W2" s="150">
        <f>(AF2/SUM(AF$2:AF$20))*0.98</f>
        <v>0.2646</v>
      </c>
      <c r="X2" s="19">
        <v>0.06</v>
      </c>
      <c r="Y2" s="21"/>
      <c r="Z2" s="22"/>
      <c r="AA2" s="1"/>
      <c r="AB2" s="1"/>
      <c r="AC2" s="1"/>
      <c r="AE2" s="19">
        <v>0.95</v>
      </c>
      <c r="AF2" s="19">
        <v>0.27</v>
      </c>
      <c r="AG2" s="168"/>
      <c r="AH2" s="168"/>
    </row>
    <row r="3" spans="1:34" x14ac:dyDescent="0.2">
      <c r="A3" s="17" t="s">
        <v>597</v>
      </c>
      <c r="B3" s="18" t="s">
        <v>9</v>
      </c>
      <c r="C3" s="18">
        <v>11</v>
      </c>
      <c r="D3" s="146">
        <f>D$32*Q3</f>
        <v>27.379000000000026</v>
      </c>
      <c r="E3" s="146">
        <f t="shared" ref="E3:F4" si="0">D3*R3</f>
        <v>17.440423000000017</v>
      </c>
      <c r="F3" s="146">
        <f t="shared" si="0"/>
        <v>200.73926873000019</v>
      </c>
      <c r="G3" s="146">
        <f t="shared" ref="G3:G4" si="1">D3*T3</f>
        <v>1.095160000000001</v>
      </c>
      <c r="H3" s="146">
        <f t="shared" ref="H3:H4" si="2">E3*U3</f>
        <v>0.41857015200000042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5.0000000000000044E-2</v>
      </c>
      <c r="R3" s="19">
        <v>0.63700000000000001</v>
      </c>
      <c r="S3" s="107">
        <v>11.51</v>
      </c>
      <c r="T3" s="19">
        <v>0.04</v>
      </c>
      <c r="U3" s="19">
        <v>2.4E-2</v>
      </c>
      <c r="V3" s="107">
        <v>1.76</v>
      </c>
      <c r="W3" s="150">
        <f>(AF3/SUM(AF$2:AF$20))*0.98</f>
        <v>0</v>
      </c>
      <c r="X3" s="19">
        <v>1.4999999999999999E-2</v>
      </c>
      <c r="Y3" s="21"/>
      <c r="Z3" s="22"/>
      <c r="AA3" s="1"/>
      <c r="AB3" s="1"/>
      <c r="AC3" s="1"/>
      <c r="AE3" s="19">
        <v>5.0000000000000044E-2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156</v>
      </c>
      <c r="B6" s="18" t="s">
        <v>222</v>
      </c>
      <c r="C6" s="18">
        <v>11</v>
      </c>
      <c r="D6" s="147"/>
      <c r="E6" s="147"/>
      <c r="F6" s="147"/>
      <c r="G6" s="147"/>
      <c r="H6" s="147"/>
      <c r="I6" s="146">
        <f t="shared" ref="I6:I11" si="3">D$35*W6</f>
        <v>292.48295999999993</v>
      </c>
      <c r="J6" s="146">
        <f>I6*V6</f>
        <v>1316.1733199999996</v>
      </c>
      <c r="K6" s="146">
        <f>I6*X6</f>
        <v>11.114352479999997</v>
      </c>
      <c r="L6" s="146">
        <f>((D$2+D$3+D$4)*AA6)</f>
        <v>53.662840000000003</v>
      </c>
      <c r="M6" s="146">
        <f t="shared" ref="M6:N11" si="4">L6*Y6</f>
        <v>39.38852456</v>
      </c>
      <c r="N6" s="146">
        <f t="shared" si="4"/>
        <v>317.4715079536</v>
      </c>
      <c r="O6" s="146">
        <f>M6*AH6</f>
        <v>1.3785983596000002</v>
      </c>
      <c r="Q6" s="13"/>
      <c r="R6" s="139"/>
      <c r="S6" s="138"/>
      <c r="T6" s="139"/>
      <c r="U6" s="139"/>
      <c r="V6" s="107">
        <v>4.5</v>
      </c>
      <c r="W6" s="150">
        <f t="shared" ref="W6:W11" si="5">(AF6/SUM(AF$2:AF$20))*0.98</f>
        <v>0.58799999999999997</v>
      </c>
      <c r="X6" s="19">
        <v>3.7999999999999999E-2</v>
      </c>
      <c r="Y6" s="19">
        <v>0.73399999999999999</v>
      </c>
      <c r="Z6" s="20">
        <v>8.06</v>
      </c>
      <c r="AA6" s="150">
        <f t="shared" ref="AA6:AA11" si="6">(AG6/SUM(AG$6:AG$25))*0.98</f>
        <v>9.8000000000000004E-2</v>
      </c>
      <c r="AB6" s="7">
        <v>9.3727079934566485E-2</v>
      </c>
      <c r="AC6" s="150">
        <f t="shared" ref="AC6:AC11" si="7">(AH6/SUM(AH$6:AH$25))*0.98</f>
        <v>5.1891074130105901E-2</v>
      </c>
      <c r="AE6" s="168"/>
      <c r="AF6" s="19">
        <v>0.6</v>
      </c>
      <c r="AG6" s="19">
        <v>0.1</v>
      </c>
      <c r="AH6" s="19">
        <v>3.5000000000000003E-2</v>
      </c>
    </row>
    <row r="7" spans="1:34" x14ac:dyDescent="0.2">
      <c r="A7" s="176" t="s">
        <v>598</v>
      </c>
      <c r="B7" s="18" t="s">
        <v>222</v>
      </c>
      <c r="C7" s="18">
        <v>11</v>
      </c>
      <c r="D7" s="147"/>
      <c r="E7" s="147"/>
      <c r="F7" s="147"/>
      <c r="G7" s="147"/>
      <c r="H7" s="147"/>
      <c r="I7" s="146">
        <f t="shared" si="3"/>
        <v>43.872443999999994</v>
      </c>
      <c r="J7" s="146">
        <f>I7*V7</f>
        <v>175.48977599999998</v>
      </c>
      <c r="K7" s="146">
        <f>I7*X7</f>
        <v>1.2723008759999999</v>
      </c>
      <c r="L7" s="146">
        <f>((D$2+D$3+D$4)*AA7)</f>
        <v>16.098852000000001</v>
      </c>
      <c r="M7" s="146">
        <f t="shared" si="4"/>
        <v>11.2691964</v>
      </c>
      <c r="N7" s="146">
        <f t="shared" si="4"/>
        <v>80.01129444</v>
      </c>
      <c r="O7" s="146">
        <f t="shared" ref="O7:O11" si="8">M7*AH7</f>
        <v>0.22538392800000001</v>
      </c>
      <c r="Q7" s="13"/>
      <c r="R7" s="139"/>
      <c r="S7" s="138"/>
      <c r="T7" s="139"/>
      <c r="U7" s="139"/>
      <c r="V7" s="107">
        <v>4</v>
      </c>
      <c r="W7" s="150">
        <f t="shared" si="5"/>
        <v>8.8200000000000001E-2</v>
      </c>
      <c r="X7" s="19">
        <v>2.9000000000000001E-2</v>
      </c>
      <c r="Y7" s="19">
        <v>0.7</v>
      </c>
      <c r="Z7" s="20">
        <v>7.1</v>
      </c>
      <c r="AA7" s="150">
        <f t="shared" si="6"/>
        <v>2.9399999999999999E-2</v>
      </c>
      <c r="AB7" s="7">
        <v>0.11770674506824931</v>
      </c>
      <c r="AC7" s="150">
        <f t="shared" si="7"/>
        <v>2.9652042360060516E-2</v>
      </c>
      <c r="AE7" s="168"/>
      <c r="AF7" s="19">
        <v>0.09</v>
      </c>
      <c r="AG7" s="19">
        <v>0.03</v>
      </c>
      <c r="AH7" s="19">
        <v>0.02</v>
      </c>
    </row>
    <row r="8" spans="1:34" x14ac:dyDescent="0.2">
      <c r="A8" s="172" t="s">
        <v>525</v>
      </c>
      <c r="B8" s="18" t="s">
        <v>222</v>
      </c>
      <c r="C8" s="18">
        <v>11</v>
      </c>
      <c r="D8" s="147"/>
      <c r="E8" s="147"/>
      <c r="F8" s="147"/>
      <c r="G8" s="147"/>
      <c r="H8" s="147"/>
      <c r="I8" s="146">
        <f t="shared" si="3"/>
        <v>19.498863999999998</v>
      </c>
      <c r="J8" s="146">
        <f>I8*V8</f>
        <v>83.65012655999999</v>
      </c>
      <c r="K8" s="146">
        <f>I8*X8</f>
        <v>0.56546705599999991</v>
      </c>
      <c r="L8" s="146">
        <f>((D$2+D$3+D$4)*AA8)</f>
        <v>10.732568000000001</v>
      </c>
      <c r="M8" s="146">
        <f t="shared" si="4"/>
        <v>7.6523209840000002</v>
      </c>
      <c r="N8" s="146">
        <f t="shared" si="4"/>
        <v>60.30028935392</v>
      </c>
      <c r="O8" s="146">
        <f t="shared" si="8"/>
        <v>0.22956962951999998</v>
      </c>
      <c r="Q8" s="13"/>
      <c r="R8" s="139"/>
      <c r="S8" s="138"/>
      <c r="T8" s="139"/>
      <c r="U8" s="139"/>
      <c r="V8" s="107">
        <v>4.29</v>
      </c>
      <c r="W8" s="150">
        <f t="shared" si="5"/>
        <v>3.9199999999999999E-2</v>
      </c>
      <c r="X8" s="19">
        <v>2.9000000000000001E-2</v>
      </c>
      <c r="Y8" s="19">
        <v>0.71299999999999997</v>
      </c>
      <c r="Z8" s="20">
        <v>7.88</v>
      </c>
      <c r="AA8" s="150">
        <f t="shared" si="6"/>
        <v>1.9599999999999999E-2</v>
      </c>
      <c r="AB8" s="7">
        <v>1.8213381069160487E-2</v>
      </c>
      <c r="AC8" s="150">
        <f t="shared" si="7"/>
        <v>4.4478063540090769E-2</v>
      </c>
      <c r="AE8" s="168"/>
      <c r="AF8" s="19">
        <v>0.04</v>
      </c>
      <c r="AG8" s="19">
        <v>0.02</v>
      </c>
      <c r="AH8" s="19">
        <v>0.03</v>
      </c>
    </row>
    <row r="9" spans="1:34" x14ac:dyDescent="0.2">
      <c r="A9" s="175"/>
      <c r="B9" s="18" t="s">
        <v>222</v>
      </c>
      <c r="C9" s="18"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9.8319978366045672E-3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468</v>
      </c>
      <c r="B13" s="18" t="s">
        <v>223</v>
      </c>
      <c r="C13" s="18"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121.81464680000001</v>
      </c>
      <c r="M13" s="146">
        <f t="shared" ref="M13:N20" si="16">L13*Y13</f>
        <v>77.474115364799999</v>
      </c>
      <c r="N13" s="146">
        <f t="shared" si="16"/>
        <v>910.32085553640002</v>
      </c>
      <c r="O13" s="146">
        <f t="shared" ref="O13:O20" si="17">M13*AH13</f>
        <v>5.2682398448064003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0.63600000000000001</v>
      </c>
      <c r="Z13" s="20">
        <v>11.75</v>
      </c>
      <c r="AA13" s="150">
        <f t="shared" ref="AA13:AA20" si="19">(AG13/SUM(AG$6:AG$25))*0.98</f>
        <v>0.22245999999999999</v>
      </c>
      <c r="AB13" s="7">
        <v>0.1390248423636668</v>
      </c>
      <c r="AC13" s="150">
        <f t="shared" ref="AC13:AC20" si="20">(AH13/SUM(AH$6:AH$25))*0.98</f>
        <v>0.10081694402420575</v>
      </c>
      <c r="AE13" s="168"/>
      <c r="AF13" s="19">
        <v>0</v>
      </c>
      <c r="AG13" s="19">
        <v>0.22700000000000001</v>
      </c>
      <c r="AH13" s="19">
        <v>6.8000000000000005E-2</v>
      </c>
    </row>
    <row r="14" spans="1:34" x14ac:dyDescent="0.2">
      <c r="A14" s="17" t="s">
        <v>636</v>
      </c>
      <c r="B14" s="18" t="s">
        <v>223</v>
      </c>
      <c r="C14" s="18">
        <v>11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85.860544000000004</v>
      </c>
      <c r="M14" s="146">
        <f t="shared" si="16"/>
        <v>51.602186944000003</v>
      </c>
      <c r="N14" s="146">
        <f t="shared" si="16"/>
        <v>665.6682115776</v>
      </c>
      <c r="O14" s="146">
        <f t="shared" si="17"/>
        <v>3.6121530860800006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0.60099999999999998</v>
      </c>
      <c r="Z14" s="20">
        <v>12.9</v>
      </c>
      <c r="AA14" s="150">
        <f t="shared" si="19"/>
        <v>0.15679999999999999</v>
      </c>
      <c r="AB14" s="7">
        <v>0.15474265316641159</v>
      </c>
      <c r="AC14" s="150">
        <f t="shared" si="20"/>
        <v>0.1037821482602118</v>
      </c>
      <c r="AE14" s="168"/>
      <c r="AF14" s="19">
        <v>0</v>
      </c>
      <c r="AG14" s="19">
        <v>0.16</v>
      </c>
      <c r="AH14" s="19">
        <v>7.0000000000000007E-2</v>
      </c>
    </row>
    <row r="15" spans="1:34" x14ac:dyDescent="0.2">
      <c r="A15" s="17" t="s">
        <v>526</v>
      </c>
      <c r="B15" s="18" t="s">
        <v>223</v>
      </c>
      <c r="C15" s="18">
        <v>11</v>
      </c>
      <c r="D15" s="147"/>
      <c r="E15" s="147"/>
      <c r="F15" s="147"/>
      <c r="G15" s="147"/>
      <c r="H15" s="147"/>
      <c r="I15" s="146">
        <f t="shared" ref="I15:I17" si="21">D$35*W15</f>
        <v>0</v>
      </c>
      <c r="J15" s="146">
        <f t="shared" ref="J15:J17" si="22">I15*V15</f>
        <v>0</v>
      </c>
      <c r="K15" s="146">
        <f t="shared" ref="K15:K17" si="23">I15*X15</f>
        <v>0</v>
      </c>
      <c r="L15" s="146">
        <f t="shared" ref="L15:L17" si="24">((D$2+D$3+D$4)*AA15)</f>
        <v>98.202997200000013</v>
      </c>
      <c r="M15" s="146">
        <f t="shared" ref="M15:M17" si="25">L15*Y15</f>
        <v>62.849918208000012</v>
      </c>
      <c r="N15" s="146">
        <f t="shared" ref="N15:N17" si="26">M15*Z15</f>
        <v>734.08704466944016</v>
      </c>
      <c r="O15" s="146">
        <f t="shared" ref="O15:O17" si="27">M15*AH15</f>
        <v>3.7709950924800006</v>
      </c>
      <c r="Q15" s="13"/>
      <c r="R15" s="139"/>
      <c r="S15" s="138"/>
      <c r="T15" s="139"/>
      <c r="U15" s="139"/>
      <c r="V15" s="107">
        <v>5.0199999999999996</v>
      </c>
      <c r="W15" s="150">
        <f t="shared" ref="W15:W17" si="28">(AF15/SUM(AF$2:AF$20))*0.98</f>
        <v>0</v>
      </c>
      <c r="X15" s="19">
        <v>1.4999999999999999E-2</v>
      </c>
      <c r="Y15" s="19">
        <v>0.64</v>
      </c>
      <c r="Z15" s="20">
        <v>11.68</v>
      </c>
      <c r="AA15" s="150">
        <f t="shared" ref="AA15:AA17" si="29">(AG15/SUM(AG$6:AG$25))*0.98</f>
        <v>0.17934</v>
      </c>
      <c r="AB15" s="7">
        <v>0.15474265316641159</v>
      </c>
      <c r="AC15" s="150">
        <f t="shared" ref="AC15:AC17" si="30">(AH15/SUM(AH$6:AH$25))*0.98</f>
        <v>8.8956127080181538E-2</v>
      </c>
      <c r="AE15" s="168"/>
      <c r="AF15" s="19">
        <v>0</v>
      </c>
      <c r="AG15" s="19">
        <v>0.183</v>
      </c>
      <c r="AH15" s="19">
        <v>0.06</v>
      </c>
    </row>
    <row r="16" spans="1:34" x14ac:dyDescent="0.2">
      <c r="A16" s="17" t="s">
        <v>444</v>
      </c>
      <c r="B16" s="18" t="s">
        <v>223</v>
      </c>
      <c r="C16" s="18">
        <v>11</v>
      </c>
      <c r="D16" s="147"/>
      <c r="E16" s="147"/>
      <c r="F16" s="147"/>
      <c r="G16" s="147"/>
      <c r="H16" s="147"/>
      <c r="I16" s="146">
        <f t="shared" si="21"/>
        <v>0</v>
      </c>
      <c r="J16" s="146">
        <f t="shared" si="22"/>
        <v>0</v>
      </c>
      <c r="K16" s="146">
        <f t="shared" si="23"/>
        <v>0</v>
      </c>
      <c r="L16" s="146">
        <f t="shared" si="24"/>
        <v>26.831420000000001</v>
      </c>
      <c r="M16" s="146">
        <f t="shared" si="25"/>
        <v>13.818181300000001</v>
      </c>
      <c r="N16" s="146">
        <f t="shared" si="26"/>
        <v>200.639992476</v>
      </c>
      <c r="O16" s="146">
        <f t="shared" si="27"/>
        <v>0.87054542190000006</v>
      </c>
      <c r="Q16" s="13"/>
      <c r="R16" s="139"/>
      <c r="S16" s="138"/>
      <c r="T16" s="139"/>
      <c r="U16" s="139"/>
      <c r="V16" s="107">
        <v>5.0199999999999996</v>
      </c>
      <c r="W16" s="150">
        <f t="shared" si="28"/>
        <v>0</v>
      </c>
      <c r="X16" s="19">
        <v>1.4999999999999999E-2</v>
      </c>
      <c r="Y16" s="19">
        <v>0.51500000000000001</v>
      </c>
      <c r="Z16" s="20">
        <v>14.52</v>
      </c>
      <c r="AA16" s="150">
        <f t="shared" si="29"/>
        <v>4.9000000000000002E-2</v>
      </c>
      <c r="AB16" s="7">
        <v>0.1161120744092163</v>
      </c>
      <c r="AC16" s="150">
        <f t="shared" si="30"/>
        <v>9.3403933434190622E-2</v>
      </c>
      <c r="AE16" s="168"/>
      <c r="AF16" s="19">
        <v>0</v>
      </c>
      <c r="AG16" s="19">
        <v>0.05</v>
      </c>
      <c r="AH16" s="19">
        <v>6.3E-2</v>
      </c>
    </row>
    <row r="17" spans="1:34" x14ac:dyDescent="0.2">
      <c r="A17" s="17" t="s">
        <v>656</v>
      </c>
      <c r="B17" s="18" t="s">
        <v>223</v>
      </c>
      <c r="C17" s="18">
        <v>11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21.465136000000001</v>
      </c>
      <c r="M17" s="146">
        <f t="shared" si="25"/>
        <v>12.621499968</v>
      </c>
      <c r="N17" s="146">
        <f t="shared" si="26"/>
        <v>147.79776462528002</v>
      </c>
      <c r="O17" s="146">
        <f t="shared" si="27"/>
        <v>0.75728999807999997</v>
      </c>
      <c r="Q17" s="13"/>
      <c r="R17" s="139"/>
      <c r="S17" s="138"/>
      <c r="T17" s="139"/>
      <c r="U17" s="139"/>
      <c r="V17" s="107">
        <v>5.51</v>
      </c>
      <c r="W17" s="150">
        <f t="shared" si="28"/>
        <v>0</v>
      </c>
      <c r="X17" s="19">
        <v>2.4E-2</v>
      </c>
      <c r="Y17" s="19">
        <v>0.58799999999999997</v>
      </c>
      <c r="Z17" s="20">
        <v>11.71</v>
      </c>
      <c r="AA17" s="150">
        <f t="shared" si="29"/>
        <v>3.9199999999999999E-2</v>
      </c>
      <c r="AB17" s="7">
        <v>6.4537463353103244E-2</v>
      </c>
      <c r="AC17" s="150">
        <f t="shared" si="30"/>
        <v>8.8956127080181538E-2</v>
      </c>
      <c r="AE17" s="168"/>
      <c r="AF17" s="19">
        <v>0</v>
      </c>
      <c r="AG17" s="19">
        <v>0.04</v>
      </c>
      <c r="AH17" s="19">
        <v>0.06</v>
      </c>
    </row>
    <row r="18" spans="1:34" x14ac:dyDescent="0.2">
      <c r="B18" s="18" t="s">
        <v>223</v>
      </c>
      <c r="C18" s="18"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4.1433466025726281E-3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2" t="s">
        <v>107</v>
      </c>
      <c r="B22" s="18" t="s">
        <v>10</v>
      </c>
      <c r="C22" s="18"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26.831420000000001</v>
      </c>
      <c r="M22" s="146">
        <f t="shared" ref="M22:N25" si="31">L22*Y22</f>
        <v>16.447660460000002</v>
      </c>
      <c r="N22" s="146">
        <f t="shared" si="31"/>
        <v>199.83907458900003</v>
      </c>
      <c r="O22" s="146">
        <f t="shared" ref="O22:O25" si="32">M22*AH22</f>
        <v>1.3980511391000003</v>
      </c>
      <c r="Q22" s="13"/>
      <c r="R22" s="139"/>
      <c r="S22" s="138"/>
      <c r="T22" s="139"/>
      <c r="U22" s="139"/>
      <c r="V22" s="140"/>
      <c r="W22" s="154"/>
      <c r="X22" s="139"/>
      <c r="Y22" s="19">
        <v>0.61299999999999999</v>
      </c>
      <c r="Z22" s="20">
        <v>12.15</v>
      </c>
      <c r="AA22" s="150">
        <f>(AG22/SUM(AG$6:AG$25))*0.98</f>
        <v>4.9000000000000002E-2</v>
      </c>
      <c r="AB22" s="7">
        <v>8.729723877618624E-2</v>
      </c>
      <c r="AC22" s="150">
        <f>(AH22/SUM(AH$6:AH$25))*0.98</f>
        <v>0.1260211800302572</v>
      </c>
      <c r="AE22" s="168"/>
      <c r="AF22" s="168"/>
      <c r="AG22" s="19">
        <v>0.05</v>
      </c>
      <c r="AH22" s="19">
        <v>8.5000000000000006E-2</v>
      </c>
    </row>
    <row r="23" spans="1:34" x14ac:dyDescent="0.2">
      <c r="A23" s="172" t="s">
        <v>190</v>
      </c>
      <c r="B23" s="18" t="s">
        <v>10</v>
      </c>
      <c r="C23" s="18"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10.732568000000001</v>
      </c>
      <c r="M23" s="146">
        <f t="shared" si="31"/>
        <v>6.6219944560000004</v>
      </c>
      <c r="N23" s="146">
        <f t="shared" si="31"/>
        <v>78.139534580800003</v>
      </c>
      <c r="O23" s="146">
        <f t="shared" si="32"/>
        <v>0.46353961192000009</v>
      </c>
      <c r="Q23" s="13"/>
      <c r="R23" s="139"/>
      <c r="S23" s="138"/>
      <c r="T23" s="139"/>
      <c r="U23" s="139"/>
      <c r="V23" s="140"/>
      <c r="W23" s="154"/>
      <c r="X23" s="139"/>
      <c r="Y23" s="19">
        <v>0.61699999999999999</v>
      </c>
      <c r="Z23" s="20">
        <v>11.8</v>
      </c>
      <c r="AA23" s="150">
        <f>(AG23/SUM(AG$6:AG$25))*0.98</f>
        <v>1.9599999999999999E-2</v>
      </c>
      <c r="AB23" s="7">
        <v>7.2579869582103482E-2</v>
      </c>
      <c r="AC23" s="150">
        <f>(AH23/SUM(AH$6:AH$25))*0.98</f>
        <v>0.1037821482602118</v>
      </c>
      <c r="AE23" s="168"/>
      <c r="AF23" s="168"/>
      <c r="AG23" s="19">
        <v>0.02</v>
      </c>
      <c r="AH23" s="19">
        <v>7.0000000000000007E-2</v>
      </c>
    </row>
    <row r="24" spans="1:34" x14ac:dyDescent="0.2">
      <c r="A24" s="172" t="s">
        <v>445</v>
      </c>
      <c r="B24" s="18" t="s">
        <v>10</v>
      </c>
      <c r="C24" s="18"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64.395408000000003</v>
      </c>
      <c r="M24" s="146">
        <f t="shared" si="31"/>
        <v>38.894826432000002</v>
      </c>
      <c r="N24" s="146">
        <f t="shared" si="31"/>
        <v>471.79424462016004</v>
      </c>
      <c r="O24" s="146">
        <f t="shared" si="32"/>
        <v>3.8894826432000005</v>
      </c>
      <c r="Q24" s="13"/>
      <c r="R24" s="139"/>
      <c r="S24" s="138"/>
      <c r="T24" s="139"/>
      <c r="U24" s="139"/>
      <c r="V24" s="140"/>
      <c r="W24" s="154"/>
      <c r="X24" s="139"/>
      <c r="Y24" s="19">
        <v>0.60399999999999998</v>
      </c>
      <c r="Z24" s="20">
        <v>12.13</v>
      </c>
      <c r="AA24" s="150">
        <f>(AG24/SUM(AG$6:AG$25))*0.98</f>
        <v>0.1176</v>
      </c>
      <c r="AB24" s="7">
        <v>3.6421728617919272E-2</v>
      </c>
      <c r="AC24" s="150">
        <f>(AH24/SUM(AH$6:AH$25))*0.98</f>
        <v>0.14826021180030258</v>
      </c>
      <c r="AE24" s="168"/>
      <c r="AF24" s="168"/>
      <c r="AG24" s="19">
        <v>0.12</v>
      </c>
      <c r="AH24" s="19">
        <v>0.1</v>
      </c>
    </row>
    <row r="25" spans="1:34" x14ac:dyDescent="0.2">
      <c r="A25" s="172"/>
      <c r="B25" s="18" t="s">
        <v>10</v>
      </c>
      <c r="C25" s="18"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4.5552889413706506E-2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1.1146339633598785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1045</v>
      </c>
      <c r="E29" s="47">
        <v>0.52400000000000002</v>
      </c>
      <c r="F29" s="2">
        <f>1-E29</f>
        <v>0.47599999999999998</v>
      </c>
      <c r="G29" s="106">
        <v>4.5</v>
      </c>
      <c r="H29" s="126">
        <v>4.2000000000000003E-2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547.58000000000004</v>
      </c>
      <c r="E32" s="156">
        <f>SUM(E2:E4)</f>
        <v>338.92464100000001</v>
      </c>
      <c r="F32" s="156">
        <f>SUM(F2:F4)</f>
        <v>3881.73356483</v>
      </c>
      <c r="G32" s="156">
        <f>SUM(G2:G4)</f>
        <v>21.903200000000002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497.41999999999996</v>
      </c>
      <c r="E35" s="156">
        <f>D35*G29</f>
        <v>2238.39</v>
      </c>
      <c r="F35" s="156">
        <f>D35*H29</f>
        <v>20.891639999999999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487.47159999999985</v>
      </c>
      <c r="E38" s="157">
        <f>SUM(J2:J4,J6:J11,J13:J20)</f>
        <v>2237.3484025199996</v>
      </c>
      <c r="F38" s="157">
        <f>SUM(K2:K4,K6:K11,K13:K20)</f>
        <v>20.849160331999993</v>
      </c>
      <c r="G38" s="157">
        <f>SUM(L6:L11,L13:L20,L22:L25)</f>
        <v>536.62840000000006</v>
      </c>
      <c r="H38" s="157">
        <f>SUM(M6:M11,M13:M20,M22:M25)</f>
        <v>338.64042507680006</v>
      </c>
      <c r="I38" s="157">
        <f>SUM(N6:N11,N13:N20,N22:N25)</f>
        <v>3866.0698144222006</v>
      </c>
      <c r="J38" s="157">
        <f>SUM(O6:O11,O13:O20,O22:O25)</f>
        <v>21.863848754686405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9.948400000000106</v>
      </c>
      <c r="E39" s="158">
        <f>E35-E38</f>
        <v>1.0415974800002914</v>
      </c>
      <c r="F39" s="158">
        <f>F35-F38</f>
        <v>4.2479668000005688E-2</v>
      </c>
      <c r="G39" s="158">
        <f>SUM(D2:D4)-G38</f>
        <v>10.951599999999985</v>
      </c>
      <c r="H39" s="158">
        <f>E32-H38</f>
        <v>0.2842159231999517</v>
      </c>
      <c r="I39" s="158">
        <f>F32-I38</f>
        <v>15.663750407799398</v>
      </c>
      <c r="J39" s="158">
        <f>G32-J38</f>
        <v>3.9351245313596905E-2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O45" s="23"/>
      <c r="V45" s="181"/>
      <c r="X45" s="30"/>
      <c r="Y45" s="30"/>
      <c r="Z45" s="181"/>
      <c r="AH45" s="30"/>
    </row>
    <row r="46" spans="1:34" x14ac:dyDescent="0.2">
      <c r="N46" s="23"/>
      <c r="O46" s="23"/>
      <c r="V46" s="181"/>
      <c r="X46" s="30"/>
      <c r="Y46" s="30"/>
      <c r="Z46" s="181"/>
      <c r="AH46" s="30"/>
    </row>
    <row r="47" spans="1:34" x14ac:dyDescent="0.2">
      <c r="N47" s="23"/>
      <c r="O47" s="23"/>
      <c r="V47" s="181"/>
      <c r="X47" s="30"/>
      <c r="Y47" s="30"/>
      <c r="Z47" s="181"/>
      <c r="AH47" s="30"/>
    </row>
    <row r="48" spans="1:34" x14ac:dyDescent="0.2">
      <c r="N48" s="23"/>
      <c r="O48" s="23"/>
      <c r="V48" s="181"/>
      <c r="X48" s="30"/>
      <c r="Y48" s="30"/>
      <c r="Z48" s="181"/>
      <c r="AH48" s="30"/>
    </row>
    <row r="49" spans="14:34" x14ac:dyDescent="0.2">
      <c r="N49" s="23"/>
      <c r="O49" s="23"/>
      <c r="V49" s="181"/>
      <c r="X49" s="30"/>
      <c r="Y49" s="30"/>
      <c r="Z49" s="181"/>
      <c r="AH49" s="30"/>
    </row>
    <row r="50" spans="14:34" x14ac:dyDescent="0.2">
      <c r="N50" s="23"/>
      <c r="O50" s="23"/>
      <c r="V50" s="181"/>
      <c r="X50" s="30"/>
      <c r="Y50" s="30"/>
      <c r="Z50" s="181"/>
      <c r="AH50" s="30"/>
    </row>
    <row r="51" spans="14:34" x14ac:dyDescent="0.2">
      <c r="N51" s="23"/>
      <c r="O51" s="23"/>
      <c r="X51" s="25"/>
      <c r="Y51" s="30"/>
      <c r="Z51" s="181"/>
      <c r="AH51" s="30"/>
    </row>
    <row r="52" spans="14:34" x14ac:dyDescent="0.2">
      <c r="X52" s="25"/>
      <c r="Y52" s="30"/>
      <c r="Z52" s="181"/>
      <c r="AH52" s="30"/>
    </row>
    <row r="53" spans="14:34" x14ac:dyDescent="0.2">
      <c r="X53" s="25"/>
      <c r="Y53" s="30"/>
      <c r="Z53" s="181"/>
      <c r="AH53" s="30"/>
    </row>
    <row r="54" spans="14:34" x14ac:dyDescent="0.2">
      <c r="X54" s="25"/>
      <c r="Y54" s="30"/>
      <c r="Z54" s="181"/>
      <c r="AH54" s="30"/>
    </row>
    <row r="55" spans="14:34" x14ac:dyDescent="0.2">
      <c r="X55" s="25"/>
      <c r="Y55" s="30"/>
      <c r="Z55" s="181"/>
      <c r="AH55" s="30"/>
    </row>
    <row r="56" spans="14:34" x14ac:dyDescent="0.2"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conditionalFormatting sqref="D39:J39">
    <cfRule type="cellIs" dxfId="56" priority="1" operator="lessThan">
      <formula>0</formula>
    </cfRule>
  </conditionalFormatting>
  <conditionalFormatting sqref="W28">
    <cfRule type="cellIs" dxfId="55" priority="2" operator="greaterThan">
      <formula>1</formula>
    </cfRule>
  </conditionalFormatting>
  <conditionalFormatting sqref="AA28:AG28">
    <cfRule type="cellIs" dxfId="5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36C0B3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181</v>
      </c>
      <c r="B2" s="18" t="s">
        <v>9</v>
      </c>
      <c r="C2" s="18">
        <v>9</v>
      </c>
      <c r="D2" s="146">
        <f>D$32*Q2</f>
        <v>610.42409999999995</v>
      </c>
      <c r="E2" s="146">
        <f>D2*R2</f>
        <v>396.775665</v>
      </c>
      <c r="F2" s="146">
        <f>E2*S2</f>
        <v>4407.3840868200004</v>
      </c>
      <c r="G2" s="146">
        <f>D2*T2</f>
        <v>25.0273881</v>
      </c>
      <c r="H2" s="146">
        <f>E2*U2</f>
        <v>8.332288965</v>
      </c>
      <c r="I2" s="146">
        <f>D$35*W2</f>
        <v>60.01265200000001</v>
      </c>
      <c r="J2" s="146">
        <f>I2*V2</f>
        <v>282.05946440000008</v>
      </c>
      <c r="K2" s="146">
        <f>I2*X2</f>
        <v>2.2204681240000004</v>
      </c>
      <c r="L2" s="147"/>
      <c r="M2" s="147"/>
      <c r="N2" s="147"/>
      <c r="O2" s="147"/>
      <c r="Q2" s="150">
        <f>(AE2/SUM(AE$2:AE$25))</f>
        <v>0.99</v>
      </c>
      <c r="R2" s="19">
        <v>0.65</v>
      </c>
      <c r="S2" s="107">
        <v>11.108000000000001</v>
      </c>
      <c r="T2" s="19">
        <v>4.1000000000000002E-2</v>
      </c>
      <c r="U2" s="19">
        <v>2.1000000000000001E-2</v>
      </c>
      <c r="V2" s="107">
        <v>4.7</v>
      </c>
      <c r="W2" s="150">
        <f>(AF2/SUM(AF$2:AF$20))*0.98</f>
        <v>0.13720000000000002</v>
      </c>
      <c r="X2" s="19">
        <v>3.6999999999999998E-2</v>
      </c>
      <c r="Y2" s="21"/>
      <c r="Z2" s="22"/>
      <c r="AA2" s="1"/>
      <c r="AB2" s="1"/>
      <c r="AC2" s="1"/>
      <c r="AE2" s="19">
        <v>0.99</v>
      </c>
      <c r="AF2" s="19">
        <v>0.14000000000000001</v>
      </c>
      <c r="AG2" s="168"/>
      <c r="AH2" s="168"/>
    </row>
    <row r="3" spans="1:34" x14ac:dyDescent="0.2">
      <c r="A3" s="17" t="s">
        <v>183</v>
      </c>
      <c r="B3" s="18" t="s">
        <v>9</v>
      </c>
      <c r="C3" s="18">
        <v>9</v>
      </c>
      <c r="D3" s="146">
        <f>D$32*Q3</f>
        <v>6.165900000000005</v>
      </c>
      <c r="E3" s="146">
        <f t="shared" ref="E3:F4" si="0">D3*R3</f>
        <v>4.0633281000000032</v>
      </c>
      <c r="F3" s="146">
        <f t="shared" si="0"/>
        <v>42.86811145500004</v>
      </c>
      <c r="G3" s="146">
        <f t="shared" ref="G3:G4" si="1">D3*T3</f>
        <v>0.24663600000000022</v>
      </c>
      <c r="H3" s="146">
        <f t="shared" ref="H3:H4" si="2">E3*U3</f>
        <v>0.10158320250000008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0.65900000000000003</v>
      </c>
      <c r="S3" s="107">
        <v>10.55</v>
      </c>
      <c r="T3" s="19">
        <v>0.04</v>
      </c>
      <c r="U3" s="19">
        <v>2.5000000000000001E-2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9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411</v>
      </c>
      <c r="B6" s="18" t="s">
        <v>222</v>
      </c>
      <c r="C6" s="18">
        <v>9</v>
      </c>
      <c r="D6" s="147"/>
      <c r="E6" s="147"/>
      <c r="F6" s="147"/>
      <c r="G6" s="147"/>
      <c r="H6" s="147"/>
      <c r="I6" s="146">
        <f t="shared" ref="I6:I11" si="3">D$35*W6</f>
        <v>214.33090000000001</v>
      </c>
      <c r="J6" s="146">
        <f>I6*V6</f>
        <v>893.75985300000002</v>
      </c>
      <c r="K6" s="146">
        <f>I6*X6</f>
        <v>8.7875669000000016</v>
      </c>
      <c r="L6" s="146">
        <f>((D$2+D$3+D$4)*AA6)</f>
        <v>42.298073999999993</v>
      </c>
      <c r="M6" s="146">
        <f t="shared" ref="M6:N11" si="4">L6*Y6</f>
        <v>32.992497719999996</v>
      </c>
      <c r="N6" s="146">
        <f t="shared" si="4"/>
        <v>264.92975669159995</v>
      </c>
      <c r="O6" s="146">
        <f>M6*AH6</f>
        <v>0.98977493159999985</v>
      </c>
      <c r="Q6" s="13"/>
      <c r="R6" s="139"/>
      <c r="S6" s="138"/>
      <c r="T6" s="139"/>
      <c r="U6" s="139"/>
      <c r="V6" s="107">
        <v>4.17</v>
      </c>
      <c r="W6" s="150">
        <f t="shared" ref="W6:W11" si="5">(AF6/SUM(AF$2:AF$20))*0.98</f>
        <v>0.49</v>
      </c>
      <c r="X6" s="19">
        <v>4.1000000000000002E-2</v>
      </c>
      <c r="Y6" s="19">
        <v>0.78</v>
      </c>
      <c r="Z6" s="20">
        <v>8.0299999999999994</v>
      </c>
      <c r="AA6" s="150">
        <f t="shared" ref="AA6:AA11" si="6">(AG6/SUM(AG$6:AG$25))*0.98</f>
        <v>6.8599999999999994E-2</v>
      </c>
      <c r="AB6" s="7">
        <v>0.1220035318382197</v>
      </c>
      <c r="AC6" s="150">
        <f t="shared" ref="AC6:AC11" si="7">(AH6/SUM(AH$6:AH$25))*0.98</f>
        <v>4.1234221598877983E-2</v>
      </c>
      <c r="AE6" s="168"/>
      <c r="AF6" s="19">
        <v>0.5</v>
      </c>
      <c r="AG6" s="19">
        <v>7.0000000000000007E-2</v>
      </c>
      <c r="AH6" s="19">
        <v>0.03</v>
      </c>
    </row>
    <row r="7" spans="1:34" x14ac:dyDescent="0.2">
      <c r="A7" s="172" t="s">
        <v>527</v>
      </c>
      <c r="B7" s="18" t="s">
        <v>222</v>
      </c>
      <c r="C7" s="18">
        <v>9</v>
      </c>
      <c r="D7" s="147"/>
      <c r="E7" s="147"/>
      <c r="F7" s="147"/>
      <c r="G7" s="147"/>
      <c r="H7" s="147"/>
      <c r="I7" s="146">
        <f t="shared" si="3"/>
        <v>102.878832</v>
      </c>
      <c r="J7" s="146">
        <f>I7*V7</f>
        <v>413.57290463999999</v>
      </c>
      <c r="K7" s="146">
        <f>I7*X7</f>
        <v>3.2921226240000001</v>
      </c>
      <c r="L7" s="146">
        <f>((D$2+D$3+D$4)*AA7)</f>
        <v>18.127745999999991</v>
      </c>
      <c r="M7" s="146">
        <f t="shared" si="4"/>
        <v>12.743805437999994</v>
      </c>
      <c r="N7" s="146">
        <f t="shared" si="4"/>
        <v>103.35226210217994</v>
      </c>
      <c r="O7" s="146">
        <f t="shared" ref="O7:O11" si="8">M7*AH7</f>
        <v>0.31859513594999989</v>
      </c>
      <c r="Q7" s="13"/>
      <c r="R7" s="139"/>
      <c r="S7" s="138"/>
      <c r="T7" s="139"/>
      <c r="U7" s="139"/>
      <c r="V7" s="107">
        <v>4.0199999999999996</v>
      </c>
      <c r="W7" s="150">
        <f t="shared" si="5"/>
        <v>0.23519999999999999</v>
      </c>
      <c r="X7" s="19">
        <v>3.2000000000000001E-2</v>
      </c>
      <c r="Y7" s="19">
        <v>0.70299999999999996</v>
      </c>
      <c r="Z7" s="20">
        <v>8.11</v>
      </c>
      <c r="AA7" s="150">
        <f t="shared" si="6"/>
        <v>2.9399999999999992E-2</v>
      </c>
      <c r="AB7" s="7">
        <v>6.9707707494243057E-2</v>
      </c>
      <c r="AC7" s="150">
        <f t="shared" si="7"/>
        <v>3.4361851332398323E-2</v>
      </c>
      <c r="AE7" s="168"/>
      <c r="AF7" s="19">
        <v>0.24</v>
      </c>
      <c r="AG7" s="19">
        <v>0.03</v>
      </c>
      <c r="AH7" s="19">
        <v>2.5000000000000001E-2</v>
      </c>
    </row>
    <row r="8" spans="1:34" x14ac:dyDescent="0.2">
      <c r="A8" s="172" t="s">
        <v>170</v>
      </c>
      <c r="B8" s="18" t="s">
        <v>222</v>
      </c>
      <c r="C8" s="18">
        <v>9</v>
      </c>
      <c r="D8" s="147"/>
      <c r="E8" s="147"/>
      <c r="F8" s="147"/>
      <c r="G8" s="147"/>
      <c r="H8" s="147"/>
      <c r="I8" s="146">
        <f t="shared" si="3"/>
        <v>38.579562000000003</v>
      </c>
      <c r="J8" s="146">
        <f>I8*V8</f>
        <v>155.47563486000001</v>
      </c>
      <c r="K8" s="146">
        <f>I8*X8</f>
        <v>1.2731255460000002</v>
      </c>
      <c r="L8" s="146">
        <f>((D$2+D$3+D$4)*AA8)</f>
        <v>6.0425819999999977</v>
      </c>
      <c r="M8" s="146">
        <f t="shared" si="4"/>
        <v>4.616532647999998</v>
      </c>
      <c r="N8" s="146">
        <f t="shared" si="4"/>
        <v>33.654523003919984</v>
      </c>
      <c r="O8" s="146">
        <f t="shared" si="8"/>
        <v>0.13849597943999994</v>
      </c>
      <c r="Q8" s="13"/>
      <c r="R8" s="139"/>
      <c r="S8" s="138"/>
      <c r="T8" s="139"/>
      <c r="U8" s="139"/>
      <c r="V8" s="107">
        <v>4.03</v>
      </c>
      <c r="W8" s="150">
        <f t="shared" si="5"/>
        <v>8.8200000000000001E-2</v>
      </c>
      <c r="X8" s="19">
        <v>3.3000000000000002E-2</v>
      </c>
      <c r="Y8" s="19">
        <v>0.76400000000000001</v>
      </c>
      <c r="Z8" s="20">
        <v>7.29</v>
      </c>
      <c r="AA8" s="150">
        <f t="shared" si="6"/>
        <v>9.7999999999999979E-3</v>
      </c>
      <c r="AB8" s="7">
        <v>2.3044401513163112E-2</v>
      </c>
      <c r="AC8" s="150">
        <f t="shared" si="7"/>
        <v>4.1234221598877983E-2</v>
      </c>
      <c r="AE8" s="168"/>
      <c r="AF8" s="19">
        <v>0.09</v>
      </c>
      <c r="AG8" s="19">
        <v>0.01</v>
      </c>
      <c r="AH8" s="19">
        <v>0.03</v>
      </c>
    </row>
    <row r="9" spans="1:34" x14ac:dyDescent="0.2">
      <c r="A9" s="176" t="s">
        <v>657</v>
      </c>
      <c r="B9" s="18" t="s">
        <v>222</v>
      </c>
      <c r="C9" s="18">
        <v>9</v>
      </c>
      <c r="D9" s="147"/>
      <c r="E9" s="147"/>
      <c r="F9" s="147"/>
      <c r="G9" s="147"/>
      <c r="H9" s="147"/>
      <c r="I9" s="146">
        <f t="shared" si="3"/>
        <v>8.5732359999999996</v>
      </c>
      <c r="J9" s="146">
        <f t="shared" ref="J9:J11" si="9">I9*V9</f>
        <v>34.035746920000001</v>
      </c>
      <c r="K9" s="146">
        <f t="shared" ref="K9:K11" si="10">I9*X9</f>
        <v>0.25719707999999997</v>
      </c>
      <c r="L9" s="146">
        <f t="shared" ref="L9:L11" si="11">((D$2+D$3+D$4)*AA9)</f>
        <v>12.085163999999995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3.97</v>
      </c>
      <c r="W9" s="150">
        <f t="shared" si="5"/>
        <v>1.9599999999999999E-2</v>
      </c>
      <c r="X9" s="19">
        <v>0.03</v>
      </c>
      <c r="Y9" s="19">
        <v>0</v>
      </c>
      <c r="Z9" s="20">
        <v>0</v>
      </c>
      <c r="AA9" s="150">
        <f t="shared" si="6"/>
        <v>1.9599999999999996E-2</v>
      </c>
      <c r="AB9" s="7">
        <v>1.8477734236269725E-2</v>
      </c>
      <c r="AC9" s="150">
        <f t="shared" si="7"/>
        <v>3.4361851332398323E-2</v>
      </c>
      <c r="AE9" s="168"/>
      <c r="AF9" s="19">
        <v>0.02</v>
      </c>
      <c r="AG9" s="19">
        <v>0.02</v>
      </c>
      <c r="AH9" s="19">
        <v>2.5000000000000001E-2</v>
      </c>
    </row>
    <row r="10" spans="1:34" x14ac:dyDescent="0.2">
      <c r="A10" s="172"/>
      <c r="B10" s="18" t="s">
        <v>222</v>
      </c>
      <c r="C10" s="18"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6.9745705418589033E-4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628</v>
      </c>
      <c r="B13" s="18" t="s">
        <v>223</v>
      </c>
      <c r="C13" s="18">
        <v>9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120.85163999999996</v>
      </c>
      <c r="M13" s="146">
        <f t="shared" ref="M13:N20" si="16">L13*Y13</f>
        <v>75.53227499999997</v>
      </c>
      <c r="N13" s="146">
        <f t="shared" si="16"/>
        <v>1016.6644214999997</v>
      </c>
      <c r="O13" s="146">
        <f t="shared" ref="O13:O20" si="17">M13*AH13</f>
        <v>6.2691788249999982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0.625</v>
      </c>
      <c r="Z13" s="20">
        <v>13.46</v>
      </c>
      <c r="AA13" s="150">
        <f t="shared" ref="AA13:AA20" si="19">(AG13/SUM(AG$6:AG$25))*0.98</f>
        <v>0.19599999999999995</v>
      </c>
      <c r="AB13" s="7">
        <v>0.16950561878668605</v>
      </c>
      <c r="AC13" s="150">
        <f t="shared" ref="AC13:AC20" si="20">(AH13/SUM(AH$6:AH$25))*0.98</f>
        <v>0.11408134642356244</v>
      </c>
      <c r="AE13" s="168"/>
      <c r="AF13" s="19">
        <v>0</v>
      </c>
      <c r="AG13" s="19">
        <v>0.2</v>
      </c>
      <c r="AH13" s="19">
        <v>8.3000000000000004E-2</v>
      </c>
    </row>
    <row r="14" spans="1:34" x14ac:dyDescent="0.2">
      <c r="A14" s="17" t="s">
        <v>89</v>
      </c>
      <c r="B14" s="18" t="s">
        <v>223</v>
      </c>
      <c r="C14" s="18">
        <v>9</v>
      </c>
      <c r="D14" s="147"/>
      <c r="E14" s="147"/>
      <c r="F14" s="147"/>
      <c r="G14" s="147"/>
      <c r="H14" s="147"/>
      <c r="I14" s="146">
        <f t="shared" ref="I14:I15" si="21">D$35*W14</f>
        <v>4.2866179999999998</v>
      </c>
      <c r="J14" s="146">
        <f t="shared" ref="J14:J15" si="22">I14*V14</f>
        <v>20.061372239999997</v>
      </c>
      <c r="K14" s="146">
        <f t="shared" ref="K14:K15" si="23">I14*X14</f>
        <v>0.102878832</v>
      </c>
      <c r="L14" s="146">
        <f t="shared" ref="L14:L15" si="24">((D$2+D$3+D$4)*AA14)</f>
        <v>126.89422199999994</v>
      </c>
      <c r="M14" s="146">
        <f t="shared" ref="M14:M15" si="25">L14*Y14</f>
        <v>82.608138521999962</v>
      </c>
      <c r="N14" s="146">
        <f t="shared" ref="N14:N15" si="26">M14*Z14</f>
        <v>1044.1668709180797</v>
      </c>
      <c r="O14" s="146">
        <f t="shared" ref="O14:O15" si="27">M14*AH14</f>
        <v>4.9564883113199976</v>
      </c>
      <c r="Q14" s="13"/>
      <c r="R14" s="139"/>
      <c r="S14" s="138"/>
      <c r="T14" s="139"/>
      <c r="U14" s="139"/>
      <c r="V14" s="107">
        <v>4.68</v>
      </c>
      <c r="W14" s="150">
        <f t="shared" ref="W14:W15" si="28">(AF14/SUM(AF$2:AF$20))*0.98</f>
        <v>9.7999999999999997E-3</v>
      </c>
      <c r="X14" s="19">
        <v>2.4E-2</v>
      </c>
      <c r="Y14" s="19">
        <v>0.65100000000000002</v>
      </c>
      <c r="Z14" s="20">
        <v>12.64</v>
      </c>
      <c r="AA14" s="150">
        <f t="shared" ref="AA14:AA15" si="29">(AG14/SUM(AG$6:AG$25))*0.98</f>
        <v>0.20579999999999993</v>
      </c>
      <c r="AB14" s="7">
        <v>0.16950561878668605</v>
      </c>
      <c r="AC14" s="150">
        <f t="shared" ref="AC14:AC15" si="30">(AH14/SUM(AH$6:AH$25))*0.98</f>
        <v>8.2468443197755967E-2</v>
      </c>
      <c r="AE14" s="168"/>
      <c r="AF14" s="19">
        <v>0.01</v>
      </c>
      <c r="AG14" s="19">
        <v>0.21</v>
      </c>
      <c r="AH14" s="19">
        <v>0.06</v>
      </c>
    </row>
    <row r="15" spans="1:34" x14ac:dyDescent="0.2">
      <c r="A15" s="17" t="s">
        <v>503</v>
      </c>
      <c r="B15" s="18" t="s">
        <v>223</v>
      </c>
      <c r="C15" s="18">
        <v>9</v>
      </c>
      <c r="D15" s="147"/>
      <c r="E15" s="147"/>
      <c r="F15" s="147"/>
      <c r="G15" s="147"/>
      <c r="H15" s="147"/>
      <c r="I15" s="146">
        <f t="shared" si="21"/>
        <v>0</v>
      </c>
      <c r="J15" s="146">
        <f t="shared" si="22"/>
        <v>0</v>
      </c>
      <c r="K15" s="146">
        <f t="shared" si="23"/>
        <v>0</v>
      </c>
      <c r="L15" s="146">
        <f t="shared" si="24"/>
        <v>96.681311999999963</v>
      </c>
      <c r="M15" s="146">
        <f t="shared" si="25"/>
        <v>56.075160959999977</v>
      </c>
      <c r="N15" s="146">
        <f t="shared" si="26"/>
        <v>773.83722124799976</v>
      </c>
      <c r="O15" s="146">
        <f t="shared" si="27"/>
        <v>4.7663886815999987</v>
      </c>
      <c r="Q15" s="13"/>
      <c r="R15" s="139"/>
      <c r="S15" s="138"/>
      <c r="T15" s="139"/>
      <c r="U15" s="139"/>
      <c r="V15" s="107">
        <v>5.0199999999999996</v>
      </c>
      <c r="W15" s="150">
        <f t="shared" si="28"/>
        <v>0</v>
      </c>
      <c r="X15" s="19">
        <v>1.4999999999999999E-2</v>
      </c>
      <c r="Y15" s="19">
        <v>0.57999999999999996</v>
      </c>
      <c r="Z15" s="20">
        <v>13.8</v>
      </c>
      <c r="AA15" s="150">
        <f t="shared" si="29"/>
        <v>0.15679999999999997</v>
      </c>
      <c r="AB15" s="7">
        <v>0.15073293874139865</v>
      </c>
      <c r="AC15" s="150">
        <f t="shared" si="30"/>
        <v>0.11683029453015431</v>
      </c>
      <c r="AE15" s="168"/>
      <c r="AF15" s="19">
        <v>0</v>
      </c>
      <c r="AG15" s="19">
        <v>0.16</v>
      </c>
      <c r="AH15" s="19">
        <v>8.5000000000000006E-2</v>
      </c>
    </row>
    <row r="16" spans="1:34" x14ac:dyDescent="0.2">
      <c r="A16" s="176" t="s">
        <v>528</v>
      </c>
      <c r="B16" s="18" t="s">
        <v>223</v>
      </c>
      <c r="C16" s="18">
        <v>9</v>
      </c>
      <c r="D16" s="147"/>
      <c r="E16" s="147"/>
      <c r="F16" s="147"/>
      <c r="G16" s="147"/>
      <c r="H16" s="147"/>
      <c r="I16" s="146">
        <f t="shared" ref="I16:I19" si="31">D$35*W16</f>
        <v>0</v>
      </c>
      <c r="J16" s="146">
        <f t="shared" ref="J16:J19" si="32">I16*V16</f>
        <v>0</v>
      </c>
      <c r="K16" s="146">
        <f t="shared" ref="K16:K19" si="33">I16*X16</f>
        <v>0</v>
      </c>
      <c r="L16" s="146">
        <f t="shared" ref="L16:L19" si="34">((D$2+D$3+D$4)*AA16)</f>
        <v>24.170327999999991</v>
      </c>
      <c r="M16" s="146">
        <f t="shared" ref="M16:M19" si="35">L16*Y16</f>
        <v>16.556674679999993</v>
      </c>
      <c r="N16" s="146">
        <f t="shared" ref="N16:N19" si="36">M16*Z16</f>
        <v>162.58654535759993</v>
      </c>
      <c r="O16" s="146">
        <f t="shared" ref="O16:O19" si="37">M16*AH16</f>
        <v>1.0761838541999995</v>
      </c>
      <c r="Q16" s="13"/>
      <c r="R16" s="139"/>
      <c r="S16" s="138"/>
      <c r="T16" s="139"/>
      <c r="U16" s="139"/>
      <c r="V16" s="107">
        <v>5.0199999999999996</v>
      </c>
      <c r="W16" s="150">
        <f t="shared" ref="W16:W19" si="38">(AF16/SUM(AF$2:AF$20))*0.98</f>
        <v>0</v>
      </c>
      <c r="X16" s="19">
        <v>1.4999999999999999E-2</v>
      </c>
      <c r="Y16" s="19">
        <v>0.68500000000000005</v>
      </c>
      <c r="Z16" s="20">
        <v>9.82</v>
      </c>
      <c r="AA16" s="150">
        <f t="shared" ref="AA16:AA19" si="39">(AG16/SUM(AG$6:AG$25))*0.98</f>
        <v>3.9199999999999992E-2</v>
      </c>
      <c r="AB16" s="7">
        <v>4.1138075122283672E-2</v>
      </c>
      <c r="AC16" s="150">
        <f t="shared" ref="AC16:AC19" si="40">(AH16/SUM(AH$6:AH$25))*0.98</f>
        <v>8.9340813464235641E-2</v>
      </c>
      <c r="AE16" s="168"/>
      <c r="AF16" s="19">
        <v>0</v>
      </c>
      <c r="AG16" s="19">
        <v>0.04</v>
      </c>
      <c r="AH16" s="19">
        <v>6.5000000000000002E-2</v>
      </c>
    </row>
    <row r="17" spans="1:34" x14ac:dyDescent="0.2">
      <c r="A17" s="172" t="s">
        <v>486</v>
      </c>
      <c r="B17" s="18" t="s">
        <v>223</v>
      </c>
      <c r="C17" s="18">
        <v>9</v>
      </c>
      <c r="D17" s="147"/>
      <c r="E17" s="147"/>
      <c r="F17" s="147"/>
      <c r="G17" s="147"/>
      <c r="H17" s="147"/>
      <c r="I17" s="146">
        <f t="shared" si="31"/>
        <v>0</v>
      </c>
      <c r="J17" s="146">
        <f t="shared" si="32"/>
        <v>0</v>
      </c>
      <c r="K17" s="146">
        <f t="shared" si="33"/>
        <v>0</v>
      </c>
      <c r="L17" s="146">
        <f t="shared" si="34"/>
        <v>12.085163999999995</v>
      </c>
      <c r="M17" s="146">
        <f t="shared" si="35"/>
        <v>6.8885434799999965</v>
      </c>
      <c r="N17" s="146">
        <f t="shared" si="36"/>
        <v>75.773978279999966</v>
      </c>
      <c r="O17" s="146">
        <f t="shared" si="37"/>
        <v>0.41331260879999976</v>
      </c>
      <c r="Q17" s="13"/>
      <c r="R17" s="139"/>
      <c r="S17" s="138"/>
      <c r="T17" s="139"/>
      <c r="U17" s="139"/>
      <c r="V17" s="107">
        <v>5.0199999999999996</v>
      </c>
      <c r="W17" s="150">
        <f t="shared" si="38"/>
        <v>0</v>
      </c>
      <c r="X17" s="19">
        <v>1.4999999999999999E-2</v>
      </c>
      <c r="Y17" s="19">
        <v>0.56999999999999995</v>
      </c>
      <c r="Z17" s="20">
        <v>11</v>
      </c>
      <c r="AA17" s="150">
        <f t="shared" si="39"/>
        <v>1.9599999999999996E-2</v>
      </c>
      <c r="AB17" s="7">
        <v>3.4599412088359975E-2</v>
      </c>
      <c r="AC17" s="150">
        <f t="shared" si="40"/>
        <v>8.2468443197755967E-2</v>
      </c>
      <c r="AE17" s="168"/>
      <c r="AF17" s="19">
        <v>0</v>
      </c>
      <c r="AG17" s="19">
        <v>0.02</v>
      </c>
      <c r="AH17" s="19">
        <v>0.06</v>
      </c>
    </row>
    <row r="18" spans="1:34" x14ac:dyDescent="0.2">
      <c r="A18" s="176" t="s">
        <v>146</v>
      </c>
      <c r="B18" s="18" t="s">
        <v>223</v>
      </c>
      <c r="C18" s="18">
        <v>9</v>
      </c>
      <c r="D18" s="147"/>
      <c r="E18" s="147"/>
      <c r="F18" s="147"/>
      <c r="G18" s="147"/>
      <c r="H18" s="147"/>
      <c r="I18" s="146">
        <f t="shared" si="31"/>
        <v>0</v>
      </c>
      <c r="J18" s="146">
        <f t="shared" si="32"/>
        <v>0</v>
      </c>
      <c r="K18" s="146">
        <f t="shared" si="33"/>
        <v>0</v>
      </c>
      <c r="L18" s="146">
        <f t="shared" si="34"/>
        <v>6.0425819999999977</v>
      </c>
      <c r="M18" s="146">
        <f t="shared" si="35"/>
        <v>3.9760189559999985</v>
      </c>
      <c r="N18" s="146">
        <f t="shared" si="36"/>
        <v>40.316832213839987</v>
      </c>
      <c r="O18" s="146">
        <f t="shared" si="37"/>
        <v>0.2385611373599999</v>
      </c>
      <c r="Q18" s="13"/>
      <c r="R18" s="139"/>
      <c r="S18" s="138"/>
      <c r="T18" s="139"/>
      <c r="U18" s="139"/>
      <c r="V18" s="107">
        <v>5.76</v>
      </c>
      <c r="W18" s="150">
        <f t="shared" si="38"/>
        <v>0</v>
      </c>
      <c r="X18" s="19">
        <v>3.3000000000000002E-2</v>
      </c>
      <c r="Y18" s="19">
        <v>0.65800000000000003</v>
      </c>
      <c r="Z18" s="20">
        <v>10.14</v>
      </c>
      <c r="AA18" s="150">
        <f t="shared" si="39"/>
        <v>9.7999999999999979E-3</v>
      </c>
      <c r="AB18" s="7">
        <v>4.1015619403726288E-3</v>
      </c>
      <c r="AC18" s="150">
        <f t="shared" si="40"/>
        <v>8.2468443197755967E-2</v>
      </c>
      <c r="AE18" s="168"/>
      <c r="AF18" s="19">
        <v>0</v>
      </c>
      <c r="AG18" s="19">
        <v>0.01</v>
      </c>
      <c r="AH18" s="19">
        <v>0.06</v>
      </c>
    </row>
    <row r="19" spans="1:34" x14ac:dyDescent="0.2">
      <c r="A19" s="172"/>
      <c r="B19" s="18" t="s">
        <v>223</v>
      </c>
      <c r="C19" s="18">
        <v>9</v>
      </c>
      <c r="D19" s="147"/>
      <c r="E19" s="147"/>
      <c r="F19" s="147"/>
      <c r="G19" s="147"/>
      <c r="H19" s="147"/>
      <c r="I19" s="146">
        <f t="shared" si="31"/>
        <v>0</v>
      </c>
      <c r="J19" s="146">
        <f t="shared" si="32"/>
        <v>0</v>
      </c>
      <c r="K19" s="146">
        <f t="shared" si="33"/>
        <v>0</v>
      </c>
      <c r="L19" s="146">
        <f t="shared" si="34"/>
        <v>0</v>
      </c>
      <c r="M19" s="146">
        <f t="shared" si="35"/>
        <v>0</v>
      </c>
      <c r="N19" s="146">
        <f t="shared" si="36"/>
        <v>0</v>
      </c>
      <c r="O19" s="146">
        <f t="shared" si="37"/>
        <v>0</v>
      </c>
      <c r="Q19" s="13"/>
      <c r="R19" s="139"/>
      <c r="S19" s="138"/>
      <c r="T19" s="139"/>
      <c r="U19" s="139"/>
      <c r="V19" s="107">
        <v>0</v>
      </c>
      <c r="W19" s="150">
        <f t="shared" si="38"/>
        <v>0</v>
      </c>
      <c r="X19" s="19">
        <v>0</v>
      </c>
      <c r="Y19" s="19">
        <v>0</v>
      </c>
      <c r="Z19" s="20">
        <v>0</v>
      </c>
      <c r="AA19" s="150">
        <f t="shared" si="39"/>
        <v>0</v>
      </c>
      <c r="AB19" s="7">
        <v>6.9183240052310092E-3</v>
      </c>
      <c r="AC19" s="150">
        <f t="shared" si="4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A20" s="172"/>
      <c r="B20" s="18" t="s">
        <v>223</v>
      </c>
      <c r="C20" s="18">
        <v>9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6.9183240052310092E-3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152"/>
      <c r="AC21" s="152"/>
      <c r="AE21" s="124"/>
      <c r="AF21" s="124"/>
      <c r="AG21" s="26"/>
      <c r="AH21" s="26"/>
    </row>
    <row r="22" spans="1:34" x14ac:dyDescent="0.2">
      <c r="A22" s="17" t="s">
        <v>79</v>
      </c>
      <c r="B22" s="18" t="s">
        <v>10</v>
      </c>
      <c r="C22" s="18"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108.76647599999997</v>
      </c>
      <c r="M22" s="146">
        <f t="shared" ref="M22:N25" si="41">L22*Y22</f>
        <v>79.617060431999974</v>
      </c>
      <c r="N22" s="146">
        <f t="shared" si="41"/>
        <v>745.21568564351969</v>
      </c>
      <c r="O22" s="146">
        <f t="shared" ref="O22:O25" si="42">M22*AH22</f>
        <v>4.7770236259199983</v>
      </c>
      <c r="Q22" s="13"/>
      <c r="R22" s="139"/>
      <c r="S22" s="138"/>
      <c r="T22" s="139"/>
      <c r="U22" s="139"/>
      <c r="V22" s="140"/>
      <c r="W22" s="154"/>
      <c r="X22" s="139"/>
      <c r="Y22" s="19">
        <v>0.73199999999999998</v>
      </c>
      <c r="Z22" s="20">
        <v>9.36</v>
      </c>
      <c r="AA22" s="150">
        <f>(AG22/SUM(AG$6:AG$25))*0.98</f>
        <v>0.17639999999999997</v>
      </c>
      <c r="AB22" s="7">
        <v>6.1946892407587266E-2</v>
      </c>
      <c r="AC22" s="150">
        <f>(AH22/SUM(AH$6:AH$25))*0.98</f>
        <v>8.2468443197755967E-2</v>
      </c>
      <c r="AE22" s="168"/>
      <c r="AF22" s="168"/>
      <c r="AG22" s="19">
        <v>0.18</v>
      </c>
      <c r="AH22" s="19">
        <v>0.06</v>
      </c>
    </row>
    <row r="23" spans="1:34" x14ac:dyDescent="0.2">
      <c r="A23" s="17" t="s">
        <v>473</v>
      </c>
      <c r="B23" s="18" t="s">
        <v>10</v>
      </c>
      <c r="C23" s="18"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12.085163999999995</v>
      </c>
      <c r="M23" s="146">
        <f t="shared" si="41"/>
        <v>8.2179115199999977</v>
      </c>
      <c r="N23" s="146">
        <f t="shared" si="41"/>
        <v>73.961203679999983</v>
      </c>
      <c r="O23" s="146">
        <f t="shared" si="42"/>
        <v>0.53416424879999991</v>
      </c>
      <c r="Q23" s="13"/>
      <c r="R23" s="139"/>
      <c r="S23" s="138"/>
      <c r="T23" s="139"/>
      <c r="U23" s="139"/>
      <c r="V23" s="140"/>
      <c r="W23" s="154"/>
      <c r="X23" s="139"/>
      <c r="Y23" s="19">
        <v>0.68</v>
      </c>
      <c r="Z23" s="20">
        <v>9</v>
      </c>
      <c r="AA23" s="150">
        <f>(AG23/SUM(AG$6:AG$25))*0.98</f>
        <v>1.9599999999999996E-2</v>
      </c>
      <c r="AB23" s="7">
        <v>3.9883448794435047E-2</v>
      </c>
      <c r="AC23" s="150">
        <f>(AH23/SUM(AH$6:AH$25))*0.98</f>
        <v>8.9340813464235641E-2</v>
      </c>
      <c r="AE23" s="168"/>
      <c r="AF23" s="168"/>
      <c r="AG23" s="19">
        <v>0.02</v>
      </c>
      <c r="AH23" s="19">
        <v>6.5000000000000002E-2</v>
      </c>
    </row>
    <row r="24" spans="1:34" x14ac:dyDescent="0.2">
      <c r="A24" s="17" t="s">
        <v>529</v>
      </c>
      <c r="B24" s="18" t="s">
        <v>10</v>
      </c>
      <c r="C24" s="18"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18.127745999999991</v>
      </c>
      <c r="M24" s="146">
        <f t="shared" si="41"/>
        <v>12.018695597999995</v>
      </c>
      <c r="N24" s="146">
        <f t="shared" si="41"/>
        <v>114.41798209295995</v>
      </c>
      <c r="O24" s="146">
        <f t="shared" si="42"/>
        <v>0.7812152138699997</v>
      </c>
      <c r="Q24" s="13"/>
      <c r="R24" s="139"/>
      <c r="S24" s="138"/>
      <c r="T24" s="139"/>
      <c r="U24" s="139"/>
      <c r="V24" s="140"/>
      <c r="W24" s="154"/>
      <c r="X24" s="139"/>
      <c r="Y24" s="19">
        <v>0.66300000000000003</v>
      </c>
      <c r="Z24" s="20">
        <v>9.52</v>
      </c>
      <c r="AA24" s="150">
        <f>(AG24/SUM(AG$6:AG$25))*0.98</f>
        <v>2.9399999999999992E-2</v>
      </c>
      <c r="AB24" s="7">
        <v>4.2632384400887881E-2</v>
      </c>
      <c r="AC24" s="150">
        <f>(AH24/SUM(AH$6:AH$25))*0.98</f>
        <v>8.9340813464235641E-2</v>
      </c>
      <c r="AE24" s="168"/>
      <c r="AF24" s="168"/>
      <c r="AG24" s="19">
        <v>0.03</v>
      </c>
      <c r="AH24" s="19">
        <v>6.5000000000000002E-2</v>
      </c>
    </row>
    <row r="25" spans="1:34" x14ac:dyDescent="0.2">
      <c r="B25" s="18" t="s">
        <v>10</v>
      </c>
      <c r="C25" s="18"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41"/>
        <v>0</v>
      </c>
      <c r="N25" s="146">
        <f t="shared" si="41"/>
        <v>0</v>
      </c>
      <c r="O25" s="146">
        <f t="shared" si="4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3.1001430878106674E-2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0.99281486209334724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1054</v>
      </c>
      <c r="E29" s="47">
        <v>0.58499999999999996</v>
      </c>
      <c r="F29" s="2">
        <f>1-E29</f>
        <v>0.41500000000000004</v>
      </c>
      <c r="G29" s="106">
        <v>4.1500000000000004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616.58999999999992</v>
      </c>
      <c r="E32" s="156">
        <f>SUM(E2:E4)</f>
        <v>400.83899309999998</v>
      </c>
      <c r="F32" s="156">
        <f>SUM(F2:F4)</f>
        <v>4450.2521982750004</v>
      </c>
      <c r="G32" s="156">
        <f>SUM(G2:G4)</f>
        <v>25.274024099999998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437.41</v>
      </c>
      <c r="E35" s="156">
        <f>D35*G29</f>
        <v>1815.2515000000003</v>
      </c>
      <c r="F35" s="156">
        <f>D35*H29</f>
        <v>15.965465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428.66180000000003</v>
      </c>
      <c r="E38" s="157">
        <f>SUM(J2:J4,J6:J11,J13:J20)</f>
        <v>1798.96497606</v>
      </c>
      <c r="F38" s="157">
        <f>SUM(K2:K4,K6:K11,K13:K20)</f>
        <v>15.933359106000001</v>
      </c>
      <c r="G38" s="157">
        <f>SUM(L6:L11,L13:L20,L22:L25)</f>
        <v>604.25819999999976</v>
      </c>
      <c r="H38" s="157">
        <f>SUM(M6:M11,M13:M20,M22:M25)</f>
        <v>391.84331495399988</v>
      </c>
      <c r="I38" s="157">
        <f>SUM(N6:N11,N13:N20,N22:N25)</f>
        <v>4448.8772827316989</v>
      </c>
      <c r="J38" s="157">
        <f>SUM(O6:O11,O13:O20,O22:O25)</f>
        <v>25.259382553859989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8.7481999999999971</v>
      </c>
      <c r="E39" s="158">
        <f>E35-E38</f>
        <v>16.286523940000279</v>
      </c>
      <c r="F39" s="158">
        <f>F35-F38</f>
        <v>3.2105893999998969E-2</v>
      </c>
      <c r="G39" s="158">
        <f>SUM(D2:D4)-G38</f>
        <v>12.331800000000158</v>
      </c>
      <c r="H39" s="158">
        <f>E32-H38</f>
        <v>8.9956781460001025</v>
      </c>
      <c r="I39" s="158">
        <f>F32-I38</f>
        <v>1.3749155433015403</v>
      </c>
      <c r="J39" s="158">
        <f>G32-J38</f>
        <v>1.4641546140008899E-2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A41" s="52"/>
      <c r="B41" s="26"/>
      <c r="C41" s="25"/>
      <c r="D41" s="26"/>
      <c r="E41" s="26"/>
      <c r="F41" s="25"/>
      <c r="G41" s="26"/>
      <c r="H41" s="18"/>
      <c r="I41" s="18"/>
      <c r="J41" s="18"/>
      <c r="K41" s="18"/>
      <c r="L41" s="18"/>
      <c r="M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2"/>
      <c r="B42" s="26"/>
      <c r="C42" s="25"/>
      <c r="D42" s="26"/>
      <c r="E42" s="26"/>
      <c r="F42" s="25"/>
      <c r="G42" s="26"/>
      <c r="H42" s="18"/>
      <c r="I42" s="18"/>
      <c r="J42" s="18"/>
      <c r="K42" s="18"/>
      <c r="L42" s="18"/>
      <c r="M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2"/>
      <c r="B43" s="26"/>
      <c r="C43" s="25"/>
      <c r="D43" s="26"/>
      <c r="E43" s="26"/>
      <c r="F43" s="25"/>
      <c r="G43" s="26"/>
      <c r="H43" s="18"/>
      <c r="I43" s="18"/>
      <c r="J43" s="18"/>
      <c r="K43" s="18"/>
      <c r="L43" s="18"/>
      <c r="M43" s="18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A44" s="52"/>
      <c r="B44" s="26"/>
      <c r="C44" s="25"/>
      <c r="D44" s="26"/>
      <c r="E44" s="26"/>
      <c r="F44" s="25"/>
      <c r="G44" s="26"/>
      <c r="H44" s="18"/>
      <c r="I44" s="18"/>
      <c r="J44" s="18"/>
      <c r="K44" s="18"/>
      <c r="L44" s="18"/>
      <c r="M44" s="18"/>
      <c r="Q44" s="18"/>
      <c r="R44" s="18"/>
      <c r="S44" s="18"/>
      <c r="T44" s="18"/>
      <c r="U44" s="18"/>
      <c r="V44" s="181"/>
      <c r="W44" s="18"/>
      <c r="X44" s="30"/>
      <c r="Y44" s="30"/>
      <c r="Z44" s="181"/>
      <c r="AC44" s="18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53" priority="1" operator="lessThan">
      <formula>0</formula>
    </cfRule>
  </conditionalFormatting>
  <conditionalFormatting sqref="W28">
    <cfRule type="cellIs" dxfId="52" priority="2" operator="greaterThan">
      <formula>1</formula>
    </cfRule>
  </conditionalFormatting>
  <conditionalFormatting sqref="AA28:AG28">
    <cfRule type="cellIs" dxfId="5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33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48</v>
      </c>
      <c r="B2" s="18" t="s">
        <v>9</v>
      </c>
      <c r="C2" s="18">
        <v>10</v>
      </c>
      <c r="D2" s="146">
        <f>D$32*Q2</f>
        <v>636.76799999999992</v>
      </c>
      <c r="E2" s="146">
        <f>D2*R2</f>
        <v>425.99779199999995</v>
      </c>
      <c r="F2" s="146">
        <f>E2*S2</f>
        <v>4840.6129104959991</v>
      </c>
      <c r="G2" s="146">
        <f>D2*T2</f>
        <v>35.022239999999996</v>
      </c>
      <c r="H2" s="146">
        <f>E2*U2</f>
        <v>7.6679602559999989</v>
      </c>
      <c r="I2" s="146">
        <f>D$35*W2</f>
        <v>58.831360000000011</v>
      </c>
      <c r="J2" s="146">
        <f>I2*V2</f>
        <v>318.86597120000005</v>
      </c>
      <c r="K2" s="146">
        <f>I2*X2</f>
        <v>1.4707840000000003</v>
      </c>
      <c r="L2" s="147"/>
      <c r="M2" s="147"/>
      <c r="N2" s="147"/>
      <c r="O2" s="147"/>
      <c r="Q2" s="150">
        <f>(AE2/SUM(AE$2:AE$25))</f>
        <v>0.99</v>
      </c>
      <c r="R2" s="19">
        <v>0.66900000000000004</v>
      </c>
      <c r="S2" s="107">
        <v>11.363</v>
      </c>
      <c r="T2" s="19">
        <v>5.5E-2</v>
      </c>
      <c r="U2" s="19">
        <v>1.7999999999999999E-2</v>
      </c>
      <c r="V2" s="107">
        <v>5.42</v>
      </c>
      <c r="W2" s="150">
        <f>(AF2/SUM(AF$2:AF$20))*0.98</f>
        <v>0.13720000000000002</v>
      </c>
      <c r="X2" s="19">
        <v>2.5000000000000001E-2</v>
      </c>
      <c r="Y2" s="21"/>
      <c r="Z2" s="22"/>
      <c r="AA2" s="1"/>
      <c r="AB2" s="1"/>
      <c r="AC2" s="1"/>
      <c r="AE2" s="19">
        <v>0.99</v>
      </c>
      <c r="AF2" s="19">
        <v>0.14000000000000001</v>
      </c>
      <c r="AG2" s="168"/>
      <c r="AH2" s="168"/>
    </row>
    <row r="3" spans="1:34" x14ac:dyDescent="0.2">
      <c r="A3" s="17" t="s">
        <v>613</v>
      </c>
      <c r="B3" s="18" t="s">
        <v>9</v>
      </c>
      <c r="C3" s="18">
        <v>10</v>
      </c>
      <c r="D3" s="146">
        <f>D$32*Q3</f>
        <v>6.4320000000000048</v>
      </c>
      <c r="E3" s="146">
        <f t="shared" ref="E3:F4" si="0">D3*R3</f>
        <v>3.9042240000000028</v>
      </c>
      <c r="F3" s="146">
        <f t="shared" si="0"/>
        <v>41.150520960000023</v>
      </c>
      <c r="G3" s="146">
        <f t="shared" ref="G3:G4" si="1">D3*T3</f>
        <v>0.21868800000000019</v>
      </c>
      <c r="H3" s="146">
        <f t="shared" ref="H3:H4" si="2">E3*U3</f>
        <v>7.8084480000000053E-2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0.60699999999999998</v>
      </c>
      <c r="S3" s="107">
        <v>10.54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484</v>
      </c>
      <c r="B6" s="18" t="s">
        <v>222</v>
      </c>
      <c r="C6" s="18">
        <v>10</v>
      </c>
      <c r="D6" s="147"/>
      <c r="E6" s="147"/>
      <c r="F6" s="147"/>
      <c r="G6" s="147"/>
      <c r="H6" s="147"/>
      <c r="I6" s="146">
        <f t="shared" ref="I6:I11" si="3">D$35*W6</f>
        <v>247.93215999999998</v>
      </c>
      <c r="J6" s="146">
        <f>I6*V6</f>
        <v>1110.7360768000001</v>
      </c>
      <c r="K6" s="146">
        <f>I6*X6</f>
        <v>8.9255577599999985</v>
      </c>
      <c r="L6" s="146">
        <f>((D$2+D$3+D$4)*AA6)</f>
        <v>44.123519999999992</v>
      </c>
      <c r="M6" s="146">
        <f t="shared" ref="M6:N11" si="4">L6*Y6</f>
        <v>36.490151039999994</v>
      </c>
      <c r="N6" s="146">
        <f t="shared" si="4"/>
        <v>244.48401196799998</v>
      </c>
      <c r="O6" s="146">
        <f>M6*AH6</f>
        <v>1.6420567967999997</v>
      </c>
      <c r="Q6" s="13"/>
      <c r="R6" s="139"/>
      <c r="S6" s="138"/>
      <c r="T6" s="139"/>
      <c r="U6" s="139"/>
      <c r="V6" s="107">
        <v>4.4800000000000004</v>
      </c>
      <c r="W6" s="150">
        <f t="shared" ref="W6:W11" si="5">(AF6/SUM(AF$2:AF$20))*0.98</f>
        <v>0.57819999999999994</v>
      </c>
      <c r="X6" s="19">
        <v>3.5999999999999997E-2</v>
      </c>
      <c r="Y6" s="19">
        <v>0.82699999999999996</v>
      </c>
      <c r="Z6" s="20">
        <v>6.7</v>
      </c>
      <c r="AA6" s="150">
        <f t="shared" ref="AA6:AA11" si="6">(AG6/SUM(AG$6:AG$25))*0.98</f>
        <v>6.8599999999999994E-2</v>
      </c>
      <c r="AB6" s="7">
        <v>0.10371538121132873</v>
      </c>
      <c r="AC6" s="150">
        <f t="shared" ref="AC6:AC11" si="7">(AH6/SUM(AH$6:AH$25))*0.98</f>
        <v>4.6421052631578953E-2</v>
      </c>
      <c r="AE6" s="168"/>
      <c r="AF6" s="19">
        <v>0.59</v>
      </c>
      <c r="AG6" s="19">
        <v>7.0000000000000007E-2</v>
      </c>
      <c r="AH6" s="19">
        <v>4.4999999999999998E-2</v>
      </c>
    </row>
    <row r="7" spans="1:34" x14ac:dyDescent="0.2">
      <c r="A7" s="176" t="s">
        <v>157</v>
      </c>
      <c r="B7" s="18" t="s">
        <v>222</v>
      </c>
      <c r="C7" s="18">
        <v>10</v>
      </c>
      <c r="D7" s="147"/>
      <c r="E7" s="147"/>
      <c r="F7" s="147"/>
      <c r="G7" s="147"/>
      <c r="H7" s="147"/>
      <c r="I7" s="146">
        <f t="shared" si="3"/>
        <v>67.235839999999996</v>
      </c>
      <c r="J7" s="146">
        <f>I7*V7</f>
        <v>279.02873599999998</v>
      </c>
      <c r="K7" s="146">
        <f>I7*X7</f>
        <v>2.2187827200000001</v>
      </c>
      <c r="L7" s="146">
        <f>((D$2+D$3+D$4)*AA7)</f>
        <v>25.213439999999991</v>
      </c>
      <c r="M7" s="146">
        <f t="shared" si="4"/>
        <v>18.733585919999992</v>
      </c>
      <c r="N7" s="146">
        <f t="shared" si="4"/>
        <v>150.24335907839992</v>
      </c>
      <c r="O7" s="146">
        <f t="shared" ref="O7:O11" si="8">M7*AH7</f>
        <v>0.74934343679999971</v>
      </c>
      <c r="Q7" s="13"/>
      <c r="R7" s="139"/>
      <c r="S7" s="138"/>
      <c r="T7" s="139"/>
      <c r="U7" s="139"/>
      <c r="V7" s="107">
        <v>4.1500000000000004</v>
      </c>
      <c r="W7" s="150">
        <f t="shared" si="5"/>
        <v>0.15679999999999999</v>
      </c>
      <c r="X7" s="19">
        <v>3.3000000000000002E-2</v>
      </c>
      <c r="Y7" s="19">
        <v>0.74299999999999999</v>
      </c>
      <c r="Z7" s="20">
        <v>8.02</v>
      </c>
      <c r="AA7" s="150">
        <f t="shared" si="6"/>
        <v>3.9199999999999992E-2</v>
      </c>
      <c r="AB7" s="7">
        <v>5.0130531502141203E-2</v>
      </c>
      <c r="AC7" s="150">
        <f t="shared" si="7"/>
        <v>4.1263157894736849E-2</v>
      </c>
      <c r="AE7" s="168"/>
      <c r="AF7" s="19">
        <v>0.16</v>
      </c>
      <c r="AG7" s="19">
        <v>0.04</v>
      </c>
      <c r="AH7" s="19">
        <v>0.04</v>
      </c>
    </row>
    <row r="8" spans="1:34" x14ac:dyDescent="0.2">
      <c r="A8" s="176" t="s">
        <v>464</v>
      </c>
      <c r="B8" s="18" t="s">
        <v>222</v>
      </c>
      <c r="C8" s="18">
        <v>10</v>
      </c>
      <c r="D8" s="147"/>
      <c r="E8" s="147"/>
      <c r="F8" s="147"/>
      <c r="G8" s="147"/>
      <c r="H8" s="147"/>
      <c r="I8" s="146">
        <f t="shared" si="3"/>
        <v>29.415680000000005</v>
      </c>
      <c r="J8" s="146">
        <f>I8*V8</f>
        <v>120.60428800000001</v>
      </c>
      <c r="K8" s="146">
        <f>I8*X8</f>
        <v>0.8824704000000001</v>
      </c>
      <c r="L8" s="146">
        <f>((D$2+D$3+D$4)*AA8)</f>
        <v>6.3033599999999979</v>
      </c>
      <c r="M8" s="146">
        <f t="shared" si="4"/>
        <v>4.4123519999999985</v>
      </c>
      <c r="N8" s="146">
        <f t="shared" si="4"/>
        <v>30.886463999999989</v>
      </c>
      <c r="O8" s="146">
        <f t="shared" si="8"/>
        <v>0.13237055999999994</v>
      </c>
      <c r="Q8" s="13"/>
      <c r="R8" s="139"/>
      <c r="S8" s="138"/>
      <c r="T8" s="139"/>
      <c r="U8" s="139"/>
      <c r="V8" s="107">
        <v>4.0999999999999996</v>
      </c>
      <c r="W8" s="150">
        <f t="shared" si="5"/>
        <v>6.8600000000000008E-2</v>
      </c>
      <c r="X8" s="19">
        <v>0.03</v>
      </c>
      <c r="Y8" s="19">
        <v>0.7</v>
      </c>
      <c r="Z8" s="20">
        <v>7</v>
      </c>
      <c r="AA8" s="150">
        <f t="shared" si="6"/>
        <v>9.7999999999999979E-3</v>
      </c>
      <c r="AB8" s="7">
        <v>3.9200736462205031E-2</v>
      </c>
      <c r="AC8" s="150">
        <f t="shared" si="7"/>
        <v>3.0947368421052633E-2</v>
      </c>
      <c r="AE8" s="168"/>
      <c r="AF8" s="19">
        <v>7.0000000000000007E-2</v>
      </c>
      <c r="AG8" s="19">
        <v>0.01</v>
      </c>
      <c r="AH8" s="19">
        <v>0.03</v>
      </c>
    </row>
    <row r="9" spans="1:34" x14ac:dyDescent="0.2">
      <c r="A9" s="172"/>
      <c r="B9" s="18" t="s">
        <v>222</v>
      </c>
      <c r="C9" s="18"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9.7662724555475783E-3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3.7259624067627183E-3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A12" s="50"/>
      <c r="B12" s="2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6"/>
      <c r="Q12" s="3"/>
      <c r="S12" s="26"/>
      <c r="V12" s="171"/>
      <c r="W12" s="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530</v>
      </c>
      <c r="B13" s="18" t="s">
        <v>223</v>
      </c>
      <c r="C13" s="18">
        <v>10</v>
      </c>
      <c r="D13" s="147"/>
      <c r="E13" s="147"/>
      <c r="F13" s="147"/>
      <c r="G13" s="147"/>
      <c r="H13" s="147"/>
      <c r="I13" s="146">
        <f t="shared" ref="I13:I20" si="12">D$35*W13</f>
        <v>4.2022399999999998</v>
      </c>
      <c r="J13" s="146">
        <f t="shared" ref="J13:J20" si="13">I13*V13</f>
        <v>21.095244799999996</v>
      </c>
      <c r="K13" s="146">
        <f t="shared" ref="K13:K20" si="14">I13*X13</f>
        <v>6.3033599999999995E-2</v>
      </c>
      <c r="L13" s="146">
        <f t="shared" ref="L13:L20" si="15">((D$2+D$3+D$4)*AA13)</f>
        <v>107.15711999999996</v>
      </c>
      <c r="M13" s="146">
        <f t="shared" ref="M13:N20" si="16">L13*Y13</f>
        <v>77.581754879999977</v>
      </c>
      <c r="N13" s="146">
        <f t="shared" si="16"/>
        <v>911.58561983999971</v>
      </c>
      <c r="O13" s="146">
        <f t="shared" ref="O13:O20" si="17">M13*AH13</f>
        <v>6.9823579391999973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9.7999999999999997E-3</v>
      </c>
      <c r="X13" s="19">
        <v>1.4999999999999999E-2</v>
      </c>
      <c r="Y13" s="19">
        <v>0.72399999999999998</v>
      </c>
      <c r="Z13" s="20">
        <v>11.75</v>
      </c>
      <c r="AA13" s="150">
        <f t="shared" ref="AA13:AA20" si="19">(AG13/SUM(AG$6:AG$25))*0.98</f>
        <v>0.16659999999999997</v>
      </c>
      <c r="AB13" s="7">
        <v>0.21722484672017489</v>
      </c>
      <c r="AC13" s="150">
        <f t="shared" ref="AC13:AC20" si="20">(AH13/SUM(AH$6:AH$25))*0.98</f>
        <v>9.2842105263157906E-2</v>
      </c>
      <c r="AE13" s="168"/>
      <c r="AF13" s="19">
        <v>0.01</v>
      </c>
      <c r="AG13" s="19">
        <v>0.17</v>
      </c>
      <c r="AH13" s="19">
        <v>0.09</v>
      </c>
    </row>
    <row r="14" spans="1:34" x14ac:dyDescent="0.2">
      <c r="A14" s="17" t="s">
        <v>629</v>
      </c>
      <c r="B14" s="18" t="s">
        <v>223</v>
      </c>
      <c r="C14" s="18">
        <v>10</v>
      </c>
      <c r="D14" s="147"/>
      <c r="E14" s="147"/>
      <c r="F14" s="147"/>
      <c r="G14" s="147"/>
      <c r="H14" s="147"/>
      <c r="I14" s="146">
        <f t="shared" si="12"/>
        <v>8.4044799999999995</v>
      </c>
      <c r="J14" s="146">
        <f t="shared" si="13"/>
        <v>48.830028799999994</v>
      </c>
      <c r="K14" s="146">
        <f t="shared" si="14"/>
        <v>0.23532544</v>
      </c>
      <c r="L14" s="146">
        <f t="shared" si="15"/>
        <v>97.702079999999981</v>
      </c>
      <c r="M14" s="146">
        <f t="shared" si="16"/>
        <v>62.529331199999987</v>
      </c>
      <c r="N14" s="146">
        <f t="shared" si="16"/>
        <v>860.40359731199976</v>
      </c>
      <c r="O14" s="146">
        <f t="shared" si="17"/>
        <v>5.9402864639999988</v>
      </c>
      <c r="Q14" s="13"/>
      <c r="R14" s="139"/>
      <c r="S14" s="138"/>
      <c r="T14" s="139"/>
      <c r="U14" s="139"/>
      <c r="V14" s="107">
        <v>5.81</v>
      </c>
      <c r="W14" s="150">
        <f t="shared" si="18"/>
        <v>1.9599999999999999E-2</v>
      </c>
      <c r="X14" s="19">
        <v>2.8000000000000001E-2</v>
      </c>
      <c r="Y14" s="19">
        <v>0.64</v>
      </c>
      <c r="Z14" s="20">
        <v>13.76</v>
      </c>
      <c r="AA14" s="150">
        <f t="shared" si="19"/>
        <v>0.15189999999999998</v>
      </c>
      <c r="AB14" s="7">
        <v>0.12440894648492244</v>
      </c>
      <c r="AC14" s="150">
        <f t="shared" si="20"/>
        <v>9.8000000000000018E-2</v>
      </c>
      <c r="AE14" s="168"/>
      <c r="AF14" s="19">
        <v>0.02</v>
      </c>
      <c r="AG14" s="19">
        <v>0.155</v>
      </c>
      <c r="AH14" s="19">
        <v>9.5000000000000001E-2</v>
      </c>
    </row>
    <row r="15" spans="1:34" x14ac:dyDescent="0.2">
      <c r="A15" s="17" t="s">
        <v>21</v>
      </c>
      <c r="B15" s="18" t="s">
        <v>223</v>
      </c>
      <c r="C15" s="18">
        <v>10</v>
      </c>
      <c r="D15" s="147"/>
      <c r="E15" s="147"/>
      <c r="F15" s="147"/>
      <c r="G15" s="147"/>
      <c r="H15" s="147"/>
      <c r="I15" s="146">
        <f t="shared" si="12"/>
        <v>4.2022399999999998</v>
      </c>
      <c r="J15" s="146">
        <f t="shared" si="13"/>
        <v>21.095244799999996</v>
      </c>
      <c r="K15" s="146">
        <f t="shared" si="14"/>
        <v>6.3033599999999995E-2</v>
      </c>
      <c r="L15" s="146">
        <f t="shared" si="15"/>
        <v>100.85375999999997</v>
      </c>
      <c r="M15" s="146">
        <f t="shared" si="16"/>
        <v>61.218232319999977</v>
      </c>
      <c r="N15" s="146">
        <f t="shared" si="16"/>
        <v>814.81467217919976</v>
      </c>
      <c r="O15" s="146">
        <f t="shared" si="17"/>
        <v>5.509640908799998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9.7999999999999997E-3</v>
      </c>
      <c r="X15" s="19">
        <v>1.4999999999999999E-2</v>
      </c>
      <c r="Y15" s="19">
        <v>0.60699999999999998</v>
      </c>
      <c r="Z15" s="20">
        <v>13.31</v>
      </c>
      <c r="AA15" s="150">
        <f t="shared" si="19"/>
        <v>0.15679999999999997</v>
      </c>
      <c r="AB15" s="7">
        <v>0.12440894648492244</v>
      </c>
      <c r="AC15" s="150">
        <f t="shared" si="20"/>
        <v>9.2842105263157906E-2</v>
      </c>
      <c r="AE15" s="168"/>
      <c r="AF15" s="19">
        <v>0.01</v>
      </c>
      <c r="AG15" s="19">
        <v>0.16</v>
      </c>
      <c r="AH15" s="19">
        <v>0.09</v>
      </c>
    </row>
    <row r="16" spans="1:34" x14ac:dyDescent="0.2">
      <c r="A16" s="17" t="s">
        <v>214</v>
      </c>
      <c r="B16" s="18" t="s">
        <v>223</v>
      </c>
      <c r="C16" s="18"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37.820159999999987</v>
      </c>
      <c r="M16" s="146">
        <f t="shared" si="16"/>
        <v>27.19269503999999</v>
      </c>
      <c r="N16" s="146">
        <f t="shared" si="16"/>
        <v>268.39190004479985</v>
      </c>
      <c r="O16" s="146">
        <f t="shared" si="17"/>
        <v>2.3113790783999995</v>
      </c>
      <c r="Q16" s="13"/>
      <c r="R16" s="139"/>
      <c r="S16" s="138"/>
      <c r="T16" s="139"/>
      <c r="U16" s="139"/>
      <c r="V16" s="107">
        <v>5.23</v>
      </c>
      <c r="W16" s="150">
        <f t="shared" si="18"/>
        <v>0</v>
      </c>
      <c r="X16" s="19">
        <v>1.7999999999999999E-2</v>
      </c>
      <c r="Y16" s="19">
        <v>0.71899999999999997</v>
      </c>
      <c r="Z16" s="20">
        <v>9.8699999999999992</v>
      </c>
      <c r="AA16" s="150">
        <f t="shared" si="19"/>
        <v>5.8799999999999984E-2</v>
      </c>
      <c r="AB16" s="7">
        <v>5.5229034872814407E-2</v>
      </c>
      <c r="AC16" s="150">
        <f t="shared" si="20"/>
        <v>8.7684210526315809E-2</v>
      </c>
      <c r="AE16" s="168"/>
      <c r="AF16" s="19">
        <v>0</v>
      </c>
      <c r="AG16" s="19">
        <v>0.06</v>
      </c>
      <c r="AH16" s="19">
        <v>8.5000000000000006E-2</v>
      </c>
    </row>
    <row r="17" spans="1:34" x14ac:dyDescent="0.2">
      <c r="A17" s="17" t="s">
        <v>599</v>
      </c>
      <c r="B17" s="18" t="s">
        <v>223</v>
      </c>
      <c r="C17" s="18"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28.365119999999994</v>
      </c>
      <c r="M17" s="146">
        <f t="shared" si="16"/>
        <v>14.352750719999998</v>
      </c>
      <c r="N17" s="146">
        <f t="shared" si="16"/>
        <v>220.88883358079997</v>
      </c>
      <c r="O17" s="146">
        <f t="shared" si="17"/>
        <v>1.3635113183999998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0.50600000000000001</v>
      </c>
      <c r="Z17" s="20">
        <v>15.39</v>
      </c>
      <c r="AA17" s="150">
        <f t="shared" si="19"/>
        <v>4.4099999999999993E-2</v>
      </c>
      <c r="AB17" s="7">
        <v>7.7981679720058858E-2</v>
      </c>
      <c r="AC17" s="150">
        <f t="shared" si="20"/>
        <v>9.8000000000000018E-2</v>
      </c>
      <c r="AE17" s="168"/>
      <c r="AF17" s="19">
        <v>0</v>
      </c>
      <c r="AG17" s="19">
        <v>4.4999999999999998E-2</v>
      </c>
      <c r="AH17" s="19">
        <v>9.5000000000000001E-2</v>
      </c>
    </row>
    <row r="18" spans="1:34" x14ac:dyDescent="0.2">
      <c r="A18" s="17" t="s">
        <v>443</v>
      </c>
      <c r="B18" s="18" t="s">
        <v>223</v>
      </c>
      <c r="C18" s="18"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22.061759999999996</v>
      </c>
      <c r="M18" s="146">
        <f t="shared" si="16"/>
        <v>13.347364799999998</v>
      </c>
      <c r="N18" s="146">
        <f t="shared" si="16"/>
        <v>160.83574583999999</v>
      </c>
      <c r="O18" s="146">
        <f t="shared" si="17"/>
        <v>1.0677891839999998</v>
      </c>
      <c r="Q18" s="13"/>
      <c r="R18" s="139"/>
      <c r="S18" s="138"/>
      <c r="T18" s="139"/>
      <c r="U18" s="139"/>
      <c r="V18" s="107">
        <v>7.01</v>
      </c>
      <c r="W18" s="150">
        <f t="shared" si="18"/>
        <v>0</v>
      </c>
      <c r="X18" s="19">
        <v>8.0000000000000002E-3</v>
      </c>
      <c r="Y18" s="19">
        <v>0.60499999999999998</v>
      </c>
      <c r="Z18" s="20">
        <v>12.05</v>
      </c>
      <c r="AA18" s="150">
        <f t="shared" si="19"/>
        <v>3.4299999999999997E-2</v>
      </c>
      <c r="AB18" s="7">
        <v>1.9707617912673323E-2</v>
      </c>
      <c r="AC18" s="150">
        <f t="shared" si="20"/>
        <v>8.2526315789473698E-2</v>
      </c>
      <c r="AE18" s="168"/>
      <c r="AF18" s="19">
        <v>0</v>
      </c>
      <c r="AG18" s="19">
        <v>3.5000000000000003E-2</v>
      </c>
      <c r="AH18" s="19">
        <v>0.08</v>
      </c>
    </row>
    <row r="19" spans="1:34" x14ac:dyDescent="0.2">
      <c r="B19" s="18" t="s">
        <v>223</v>
      </c>
      <c r="C19" s="18"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50</v>
      </c>
      <c r="B22" s="18" t="s">
        <v>10</v>
      </c>
      <c r="C22" s="18"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122.91551999999994</v>
      </c>
      <c r="M22" s="146">
        <f t="shared" ref="M22:N25" si="21">L22*Y22</f>
        <v>91.326231359999952</v>
      </c>
      <c r="N22" s="146">
        <f t="shared" si="21"/>
        <v>974.4508886111995</v>
      </c>
      <c r="O22" s="146">
        <f t="shared" ref="O22:O25" si="22">M22*AH22</f>
        <v>7.945382128319995</v>
      </c>
      <c r="Q22" s="13"/>
      <c r="R22" s="139"/>
      <c r="S22" s="138"/>
      <c r="T22" s="139"/>
      <c r="U22" s="139"/>
      <c r="V22" s="140"/>
      <c r="W22" s="154"/>
      <c r="X22" s="139"/>
      <c r="Y22" s="19">
        <v>0.74299999999999999</v>
      </c>
      <c r="Z22" s="20">
        <v>10.67</v>
      </c>
      <c r="AA22" s="150">
        <f>(AG22/SUM(AG$6:AG$25))*0.98</f>
        <v>0.19109999999999994</v>
      </c>
      <c r="AB22" s="7">
        <v>0.22538575593678439</v>
      </c>
      <c r="AC22" s="150">
        <f>(AH22/SUM(AH$6:AH$25))*0.98</f>
        <v>8.9747368421052645E-2</v>
      </c>
      <c r="AE22" s="168"/>
      <c r="AF22" s="168"/>
      <c r="AG22" s="19">
        <v>0.19500000000000001</v>
      </c>
      <c r="AH22" s="19">
        <v>8.6999999999999994E-2</v>
      </c>
    </row>
    <row r="23" spans="1:34" x14ac:dyDescent="0.2">
      <c r="A23" s="17" t="s">
        <v>414</v>
      </c>
      <c r="B23" s="18" t="s">
        <v>10</v>
      </c>
      <c r="C23" s="18"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18.910079999999994</v>
      </c>
      <c r="M23" s="146">
        <f t="shared" si="21"/>
        <v>13.369426559999996</v>
      </c>
      <c r="N23" s="146">
        <f t="shared" si="21"/>
        <v>131.55515735039995</v>
      </c>
      <c r="O23" s="146">
        <f t="shared" si="22"/>
        <v>0.97596813887999956</v>
      </c>
      <c r="Q23" s="13"/>
      <c r="R23" s="139"/>
      <c r="S23" s="138"/>
      <c r="T23" s="139"/>
      <c r="U23" s="139"/>
      <c r="V23" s="140"/>
      <c r="W23" s="154"/>
      <c r="X23" s="139"/>
      <c r="Y23" s="19">
        <v>0.70699999999999996</v>
      </c>
      <c r="Z23" s="20">
        <v>9.84</v>
      </c>
      <c r="AA23" s="150">
        <f>(AG23/SUM(AG$6:AG$25))*0.98</f>
        <v>2.9399999999999992E-2</v>
      </c>
      <c r="AB23" s="7">
        <v>2.446747763533617E-2</v>
      </c>
      <c r="AC23" s="150">
        <f>(AH23/SUM(AH$6:AH$25))*0.98</f>
        <v>7.530526315789475E-2</v>
      </c>
      <c r="AE23" s="168"/>
      <c r="AF23" s="168"/>
      <c r="AG23" s="19">
        <v>0.03</v>
      </c>
      <c r="AH23" s="19">
        <v>7.2999999999999995E-2</v>
      </c>
    </row>
    <row r="24" spans="1:34" x14ac:dyDescent="0.2">
      <c r="A24" s="17" t="s">
        <v>614</v>
      </c>
      <c r="B24" s="18" t="s">
        <v>10</v>
      </c>
      <c r="C24" s="18"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12.606719999999996</v>
      </c>
      <c r="M24" s="146">
        <f t="shared" si="21"/>
        <v>9.0138047999999973</v>
      </c>
      <c r="N24" s="146">
        <f t="shared" si="21"/>
        <v>94.644950399999971</v>
      </c>
      <c r="O24" s="146">
        <f t="shared" si="22"/>
        <v>0.61293872639999991</v>
      </c>
      <c r="Q24" s="13"/>
      <c r="R24" s="139"/>
      <c r="S24" s="138"/>
      <c r="T24" s="139"/>
      <c r="U24" s="139"/>
      <c r="V24" s="140"/>
      <c r="W24" s="154"/>
      <c r="X24" s="139"/>
      <c r="Y24" s="19">
        <v>0.71499999999999997</v>
      </c>
      <c r="Z24" s="20">
        <v>10.5</v>
      </c>
      <c r="AA24" s="150">
        <f>(AG24/SUM(AG$6:AG$25))*0.98</f>
        <v>1.9599999999999996E-2</v>
      </c>
      <c r="AB24" s="7">
        <v>2.4055756679250383E-2</v>
      </c>
      <c r="AC24" s="150">
        <f>(AH24/SUM(AH$6:AH$25))*0.98</f>
        <v>7.0147368421052653E-2</v>
      </c>
      <c r="AE24" s="168"/>
      <c r="AF24" s="168"/>
      <c r="AG24" s="19">
        <v>0.02</v>
      </c>
      <c r="AH24" s="19">
        <v>6.8000000000000005E-2</v>
      </c>
    </row>
    <row r="25" spans="1:34" x14ac:dyDescent="0.2">
      <c r="A25" s="42" t="s">
        <v>658</v>
      </c>
      <c r="B25" s="18" t="s">
        <v>10</v>
      </c>
      <c r="C25" s="18"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6.3033599999999979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9.7999999999999979E-3</v>
      </c>
      <c r="AB25" s="7">
        <v>0</v>
      </c>
      <c r="AC25" s="150">
        <f>(AH25/SUM(AH$6:AH$25))*0.98</f>
        <v>7.4273684210526325E-2</v>
      </c>
      <c r="AE25" s="168"/>
      <c r="AF25" s="168"/>
      <c r="AG25" s="19">
        <v>0.01</v>
      </c>
      <c r="AH25" s="19">
        <v>7.1999999999999995E-2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1.0994089464849224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1072</v>
      </c>
      <c r="E29" s="47">
        <v>0.6</v>
      </c>
      <c r="F29" s="2">
        <f>1-E29</f>
        <v>0.4</v>
      </c>
      <c r="G29" s="106">
        <v>4.5</v>
      </c>
      <c r="H29" s="126">
        <v>3.2500000000000001E-2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643.19999999999993</v>
      </c>
      <c r="E32" s="156">
        <f>SUM(E2:E4)</f>
        <v>429.90201599999995</v>
      </c>
      <c r="F32" s="156">
        <f>SUM(F2:F4)</f>
        <v>4881.7634314559991</v>
      </c>
      <c r="G32" s="156">
        <f>SUM(G2:G4)</f>
        <v>35.240927999999997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428.8</v>
      </c>
      <c r="E35" s="156">
        <f>D35*G29</f>
        <v>1929.6000000000001</v>
      </c>
      <c r="F35" s="156">
        <f>D35*H29</f>
        <v>13.936000000000002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0" t="s">
        <v>288</v>
      </c>
      <c r="E37" s="161" t="s">
        <v>289</v>
      </c>
      <c r="F37" s="10" t="s">
        <v>290</v>
      </c>
      <c r="G37" s="10" t="s">
        <v>286</v>
      </c>
      <c r="H37" s="161" t="s">
        <v>287</v>
      </c>
      <c r="I37" s="10" t="s">
        <v>291</v>
      </c>
      <c r="J37" s="160" t="s">
        <v>292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5" thickBot="1" x14ac:dyDescent="0.25">
      <c r="D38" s="157">
        <f>SUM(I2:I20)</f>
        <v>420.22399999999999</v>
      </c>
      <c r="E38" s="157">
        <f>SUM(J2:J4,J6:J11,J13:J20)</f>
        <v>1920.2555904000003</v>
      </c>
      <c r="F38" s="157">
        <f>SUM(K2:K4,K6:K11,K13:K20)</f>
        <v>13.858987520000001</v>
      </c>
      <c r="G38" s="157">
        <f>SUM(L6:L11,L13:L20,L22:L25)</f>
        <v>630.33599999999979</v>
      </c>
      <c r="H38" s="157">
        <f>SUM(M6:M11,M13:M20,M22:M25)</f>
        <v>429.56768063999988</v>
      </c>
      <c r="I38" s="157">
        <f>SUM(N6:N11,N13:N20,N22:N25)</f>
        <v>4863.185200204799</v>
      </c>
      <c r="J38" s="157">
        <f>SUM(O6:O11,O13:O20,O22:O25)</f>
        <v>35.233024679999993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5" thickTop="1" x14ac:dyDescent="0.2">
      <c r="D39" s="158">
        <f>D35-D38</f>
        <v>8.5760000000000218</v>
      </c>
      <c r="E39" s="158">
        <f>E35-E38</f>
        <v>9.3444095999998353</v>
      </c>
      <c r="F39" s="158">
        <f>F35-F38</f>
        <v>7.7012480000000494E-2</v>
      </c>
      <c r="G39" s="158">
        <f>SUM(D2:D4)-G38</f>
        <v>12.864000000000146</v>
      </c>
      <c r="H39" s="158">
        <f>E32-H38</f>
        <v>0.33433536000006825</v>
      </c>
      <c r="I39" s="158">
        <f>F32-I38</f>
        <v>18.578231251200123</v>
      </c>
      <c r="J39" s="158">
        <f>G32-J38</f>
        <v>7.9033200000040438E-3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I40" s="26"/>
      <c r="J40" s="25"/>
      <c r="K40" s="26"/>
      <c r="L40" s="26"/>
      <c r="M40" s="25"/>
      <c r="N40" s="26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N46" s="23"/>
      <c r="O46" s="23"/>
      <c r="V46" s="181"/>
      <c r="X46" s="30"/>
      <c r="Y46" s="30"/>
      <c r="Z46" s="181"/>
      <c r="AH46" s="30"/>
    </row>
    <row r="47" spans="1:34" x14ac:dyDescent="0.2">
      <c r="N47" s="23"/>
      <c r="O47" s="23"/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50" priority="1" operator="lessThan">
      <formula>0</formula>
    </cfRule>
  </conditionalFormatting>
  <conditionalFormatting sqref="W28">
    <cfRule type="cellIs" dxfId="49" priority="2" operator="greaterThan">
      <formula>1</formula>
    </cfRule>
  </conditionalFormatting>
  <conditionalFormatting sqref="AA28:AG28">
    <cfRule type="cellIs" dxfId="4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9">
    <tabColor rgb="FF80808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397</v>
      </c>
      <c r="B2" s="18" t="s">
        <v>9</v>
      </c>
      <c r="C2" s="18">
        <v>13</v>
      </c>
      <c r="D2" s="146">
        <f>D$32*Q2</f>
        <v>356.7</v>
      </c>
      <c r="E2" s="146">
        <f>D2*R2</f>
        <v>226.50450000000001</v>
      </c>
      <c r="F2" s="146">
        <f>E2*S2</f>
        <v>2498.3446349999999</v>
      </c>
      <c r="G2" s="146">
        <f>D2*T2</f>
        <v>14.268000000000001</v>
      </c>
      <c r="H2" s="146">
        <f>E2*U2</f>
        <v>4.0770809999999997</v>
      </c>
      <c r="I2" s="146">
        <f>D$35*W2</f>
        <v>16.875600000000002</v>
      </c>
      <c r="J2" s="146">
        <f>I2*V2</f>
        <v>54.339432000000009</v>
      </c>
      <c r="K2" s="146">
        <f>I2*X2</f>
        <v>0.67502400000000007</v>
      </c>
      <c r="L2" s="147"/>
      <c r="M2" s="147"/>
      <c r="N2" s="147"/>
      <c r="O2" s="147"/>
      <c r="Q2" s="150">
        <f>(AE2/SUM(AE$2:AE$25))</f>
        <v>0.6</v>
      </c>
      <c r="R2" s="19">
        <v>0.63500000000000001</v>
      </c>
      <c r="S2" s="107">
        <v>11.03</v>
      </c>
      <c r="T2" s="19">
        <v>0.04</v>
      </c>
      <c r="U2" s="19">
        <v>1.7999999999999999E-2</v>
      </c>
      <c r="V2" s="107">
        <v>3.22</v>
      </c>
      <c r="W2" s="150">
        <f>(AF2/SUM(AF$2:AF$20))*0.98</f>
        <v>3.9199999999999999E-2</v>
      </c>
      <c r="X2" s="19">
        <v>0.04</v>
      </c>
      <c r="Y2" s="21"/>
      <c r="Z2" s="22"/>
      <c r="AA2" s="1"/>
      <c r="AB2" s="1"/>
      <c r="AC2" s="1"/>
      <c r="AE2" s="19">
        <v>0.6</v>
      </c>
      <c r="AF2" s="19">
        <v>0.04</v>
      </c>
      <c r="AG2" s="168"/>
      <c r="AH2" s="168"/>
    </row>
    <row r="3" spans="1:34" x14ac:dyDescent="0.2">
      <c r="A3" s="17" t="s">
        <v>600</v>
      </c>
      <c r="B3" s="18" t="s">
        <v>9</v>
      </c>
      <c r="C3" s="18">
        <v>13</v>
      </c>
      <c r="D3" s="146">
        <f>D$32*Q3</f>
        <v>237.8</v>
      </c>
      <c r="E3" s="146">
        <f t="shared" ref="E3:F4" si="0">D3*R3</f>
        <v>149.5762</v>
      </c>
      <c r="F3" s="146">
        <f t="shared" si="0"/>
        <v>1631.876342</v>
      </c>
      <c r="G3" s="146">
        <f t="shared" ref="G3:G4" si="1">D3*T3</f>
        <v>8.7986000000000004</v>
      </c>
      <c r="H3" s="146">
        <f t="shared" ref="H3:H4" si="2">E3*U3</f>
        <v>3.2906763999999997</v>
      </c>
      <c r="I3" s="146">
        <f>D$35*W3</f>
        <v>4.2189000000000005</v>
      </c>
      <c r="J3" s="146">
        <f>I3*V3</f>
        <v>9.7034700000000011</v>
      </c>
      <c r="K3" s="146">
        <f>I3*X3</f>
        <v>8.4378000000000009E-2</v>
      </c>
      <c r="L3" s="147"/>
      <c r="M3" s="147"/>
      <c r="N3" s="147"/>
      <c r="O3" s="147"/>
      <c r="Q3" s="150">
        <f>(AE3/SUM(AE$2:AE$25))</f>
        <v>0.4</v>
      </c>
      <c r="R3" s="19">
        <v>0.629</v>
      </c>
      <c r="S3" s="107">
        <v>10.91</v>
      </c>
      <c r="T3" s="19">
        <v>3.6999999999999998E-2</v>
      </c>
      <c r="U3" s="19">
        <v>2.1999999999999999E-2</v>
      </c>
      <c r="V3" s="107">
        <v>2.2999999999999998</v>
      </c>
      <c r="W3" s="150">
        <f>(AF3/SUM(AF$2:AF$20))*0.98</f>
        <v>9.7999999999999997E-3</v>
      </c>
      <c r="X3" s="19">
        <v>0.02</v>
      </c>
      <c r="Y3" s="21"/>
      <c r="Z3" s="22"/>
      <c r="AA3" s="1"/>
      <c r="AB3" s="1"/>
      <c r="AC3" s="1"/>
      <c r="AE3" s="19">
        <v>0.4</v>
      </c>
      <c r="AF3" s="19">
        <v>0.01</v>
      </c>
      <c r="AG3" s="168"/>
      <c r="AH3" s="168"/>
    </row>
    <row r="4" spans="1:34" x14ac:dyDescent="0.2">
      <c r="B4" s="18" t="s">
        <v>9</v>
      </c>
      <c r="C4" s="18">
        <v>13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431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3">D$35*W6</f>
        <v>253.13400000000001</v>
      </c>
      <c r="J6" s="146">
        <f>I6*V6</f>
        <v>1070.7568200000001</v>
      </c>
      <c r="K6" s="146">
        <f>I6*X6</f>
        <v>7.5940200000000004</v>
      </c>
      <c r="L6" s="146">
        <f>((D$2+D$3+D$4)*AA6)</f>
        <v>34.956599999999987</v>
      </c>
      <c r="M6" s="146">
        <f t="shared" ref="M6:N11" si="4">L6*Y6</f>
        <v>25.51831799999999</v>
      </c>
      <c r="N6" s="146">
        <f t="shared" si="4"/>
        <v>197.00141495999992</v>
      </c>
      <c r="O6" s="146">
        <f>M6*AH6</f>
        <v>0.81658617599999972</v>
      </c>
      <c r="Q6" s="13"/>
      <c r="R6" s="139"/>
      <c r="S6" s="138"/>
      <c r="T6" s="139"/>
      <c r="U6" s="139"/>
      <c r="V6" s="107">
        <v>4.2300000000000004</v>
      </c>
      <c r="W6" s="150">
        <f t="shared" ref="W6:W11" si="5">(AF6/SUM(AF$2:AF$20))*0.98</f>
        <v>0.58799999999999997</v>
      </c>
      <c r="X6" s="19">
        <v>0.03</v>
      </c>
      <c r="Y6" s="19">
        <v>0.73</v>
      </c>
      <c r="Z6" s="20">
        <v>7.72</v>
      </c>
      <c r="AA6" s="150">
        <f t="shared" ref="AA6:AA11" si="6">(AG6/SUM(AG$6:AG$25))*0.98</f>
        <v>5.8799999999999984E-2</v>
      </c>
      <c r="AB6" s="7">
        <v>6.733848381973366E-2</v>
      </c>
      <c r="AC6" s="150">
        <f t="shared" ref="AC6:AC11" si="7">(AH6/SUM(AH$6:AH$25))*0.98</f>
        <v>5.235392320534224E-2</v>
      </c>
      <c r="AE6" s="168"/>
      <c r="AF6" s="19">
        <v>0.6</v>
      </c>
      <c r="AG6" s="19">
        <v>0.06</v>
      </c>
      <c r="AH6" s="19">
        <v>3.2000000000000001E-2</v>
      </c>
    </row>
    <row r="7" spans="1:34" x14ac:dyDescent="0.2">
      <c r="A7" s="176" t="s">
        <v>86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3"/>
        <v>80.159100000000009</v>
      </c>
      <c r="J7" s="146">
        <f>I7*V7</f>
        <v>315.82685400000003</v>
      </c>
      <c r="K7" s="146">
        <f>I7*X7</f>
        <v>2.2444548000000002</v>
      </c>
      <c r="L7" s="146">
        <f>((D$2+D$3+D$4)*AA7)</f>
        <v>29.130499999999994</v>
      </c>
      <c r="M7" s="146">
        <f t="shared" si="4"/>
        <v>20.449610999999994</v>
      </c>
      <c r="N7" s="146">
        <f t="shared" si="4"/>
        <v>145.19223809999994</v>
      </c>
      <c r="O7" s="146">
        <f t="shared" ref="O7:O11" si="8">M7*AH7</f>
        <v>0.6134883299999998</v>
      </c>
      <c r="Q7" s="13"/>
      <c r="R7" s="139"/>
      <c r="S7" s="138"/>
      <c r="T7" s="139"/>
      <c r="U7" s="139"/>
      <c r="V7" s="107">
        <v>3.94</v>
      </c>
      <c r="W7" s="150">
        <f t="shared" si="5"/>
        <v>0.1862</v>
      </c>
      <c r="X7" s="19">
        <v>2.8000000000000001E-2</v>
      </c>
      <c r="Y7" s="19">
        <v>0.70199999999999996</v>
      </c>
      <c r="Z7" s="20">
        <v>7.1</v>
      </c>
      <c r="AA7" s="150">
        <f t="shared" si="6"/>
        <v>4.8999999999999988E-2</v>
      </c>
      <c r="AB7" s="7">
        <v>7.7565598830027963E-2</v>
      </c>
      <c r="AC7" s="150">
        <f t="shared" si="7"/>
        <v>4.9081803005008348E-2</v>
      </c>
      <c r="AE7" s="168"/>
      <c r="AF7" s="19">
        <v>0.19</v>
      </c>
      <c r="AG7" s="19">
        <v>0.05</v>
      </c>
      <c r="AH7" s="19">
        <v>0.03</v>
      </c>
    </row>
    <row r="8" spans="1:34" x14ac:dyDescent="0.2">
      <c r="A8" s="17" t="s">
        <v>659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3"/>
        <v>63.283500000000004</v>
      </c>
      <c r="J8" s="146">
        <f>I8*V8</f>
        <v>267.05637000000002</v>
      </c>
      <c r="K8" s="146">
        <f>I8*X8</f>
        <v>2.278206</v>
      </c>
      <c r="L8" s="146">
        <f>((D$2+D$3+D$4)*AA8)</f>
        <v>23.304399999999994</v>
      </c>
      <c r="M8" s="146">
        <f t="shared" si="4"/>
        <v>17.105429599999994</v>
      </c>
      <c r="N8" s="146">
        <f t="shared" si="4"/>
        <v>135.13289383999995</v>
      </c>
      <c r="O8" s="146">
        <f t="shared" si="8"/>
        <v>0.56447917679999982</v>
      </c>
      <c r="Q8" s="13"/>
      <c r="R8" s="139"/>
      <c r="S8" s="138"/>
      <c r="T8" s="139"/>
      <c r="U8" s="139"/>
      <c r="V8" s="107">
        <v>4.22</v>
      </c>
      <c r="W8" s="150">
        <f t="shared" si="5"/>
        <v>0.14699999999999999</v>
      </c>
      <c r="X8" s="19">
        <v>3.5999999999999997E-2</v>
      </c>
      <c r="Y8" s="19">
        <v>0.73399999999999999</v>
      </c>
      <c r="Z8" s="20">
        <v>7.9</v>
      </c>
      <c r="AA8" s="150">
        <f t="shared" si="6"/>
        <v>3.9199999999999992E-2</v>
      </c>
      <c r="AB8" s="7">
        <v>3.1936167277749304E-2</v>
      </c>
      <c r="AC8" s="150">
        <f t="shared" si="7"/>
        <v>5.3989983305509186E-2</v>
      </c>
      <c r="AE8" s="168"/>
      <c r="AF8" s="19">
        <v>0.15</v>
      </c>
      <c r="AG8" s="19">
        <v>0.04</v>
      </c>
      <c r="AH8" s="19">
        <v>3.3000000000000002E-2</v>
      </c>
    </row>
    <row r="9" spans="1:34" x14ac:dyDescent="0.2"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1.4932385521307857E-2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7.3836965287373425E-3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45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145.65249999999997</v>
      </c>
      <c r="M13" s="146">
        <f t="shared" ref="M13:N20" si="16">L13*Y13</f>
        <v>86.808889999999977</v>
      </c>
      <c r="N13" s="146">
        <f t="shared" si="16"/>
        <v>989.62134599999979</v>
      </c>
      <c r="O13" s="146">
        <f t="shared" ref="O13:O20" si="17">M13*AH13</f>
        <v>6.5106667499999977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0.59599999999999997</v>
      </c>
      <c r="Z13" s="20">
        <v>11.4</v>
      </c>
      <c r="AA13" s="150">
        <f t="shared" ref="AA13:AA20" si="19">(AG13/SUM(AG$6:AG$25))*0.98</f>
        <v>0.24499999999999994</v>
      </c>
      <c r="AB13" s="7">
        <v>0.11431128412235328</v>
      </c>
      <c r="AC13" s="150">
        <f t="shared" ref="AC13:AC20" si="20">(AH13/SUM(AH$6:AH$25))*0.98</f>
        <v>0.12270450751252086</v>
      </c>
      <c r="AE13" s="168"/>
      <c r="AF13" s="19">
        <v>0</v>
      </c>
      <c r="AG13" s="19">
        <v>0.25</v>
      </c>
      <c r="AH13" s="19">
        <v>7.4999999999999997E-2</v>
      </c>
    </row>
    <row r="14" spans="1:34" x14ac:dyDescent="0.2">
      <c r="A14" s="172" t="s">
        <v>138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si="12"/>
        <v>4.2189000000000005</v>
      </c>
      <c r="J14" s="146">
        <f t="shared" si="13"/>
        <v>23.246139000000003</v>
      </c>
      <c r="K14" s="146">
        <f t="shared" si="14"/>
        <v>0.24469620000000003</v>
      </c>
      <c r="L14" s="146">
        <f t="shared" si="15"/>
        <v>110.69589999999997</v>
      </c>
      <c r="M14" s="146">
        <f t="shared" si="16"/>
        <v>70.845375999999973</v>
      </c>
      <c r="N14" s="146">
        <f t="shared" si="16"/>
        <v>839.51770559999966</v>
      </c>
      <c r="O14" s="146">
        <f t="shared" si="17"/>
        <v>4.9591763199999983</v>
      </c>
      <c r="Q14" s="13"/>
      <c r="R14" s="139"/>
      <c r="S14" s="138"/>
      <c r="T14" s="139"/>
      <c r="U14" s="139"/>
      <c r="V14" s="107">
        <v>5.51</v>
      </c>
      <c r="W14" s="150">
        <f t="shared" si="18"/>
        <v>9.7999999999999997E-3</v>
      </c>
      <c r="X14" s="19">
        <v>5.8000000000000003E-2</v>
      </c>
      <c r="Y14" s="19">
        <v>0.64</v>
      </c>
      <c r="Z14" s="20">
        <v>11.85</v>
      </c>
      <c r="AA14" s="150">
        <f t="shared" si="19"/>
        <v>0.18619999999999995</v>
      </c>
      <c r="AB14" s="7">
        <v>0.11974476710111195</v>
      </c>
      <c r="AC14" s="150">
        <f t="shared" si="20"/>
        <v>0.11452420701168615</v>
      </c>
      <c r="AE14" s="168"/>
      <c r="AF14" s="19">
        <v>0.01</v>
      </c>
      <c r="AG14" s="19">
        <v>0.19</v>
      </c>
      <c r="AH14" s="19">
        <v>7.0000000000000007E-2</v>
      </c>
    </row>
    <row r="15" spans="1:34" x14ac:dyDescent="0.2">
      <c r="A15" s="17" t="s">
        <v>531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30.295719999999992</v>
      </c>
      <c r="M15" s="146">
        <f t="shared" si="16"/>
        <v>17.177673239999994</v>
      </c>
      <c r="N15" s="146">
        <f t="shared" si="16"/>
        <v>241.17453228959991</v>
      </c>
      <c r="O15" s="146">
        <f t="shared" si="17"/>
        <v>0.94477202819999961</v>
      </c>
      <c r="Q15" s="13"/>
      <c r="R15" s="139"/>
      <c r="S15" s="138"/>
      <c r="T15" s="139"/>
      <c r="U15" s="139"/>
      <c r="V15" s="107">
        <v>5.58</v>
      </c>
      <c r="W15" s="150">
        <f t="shared" si="18"/>
        <v>0</v>
      </c>
      <c r="X15" s="19">
        <v>2.9000000000000001E-2</v>
      </c>
      <c r="Y15" s="19">
        <v>0.56699999999999995</v>
      </c>
      <c r="Z15" s="20">
        <v>14.04</v>
      </c>
      <c r="AA15" s="150">
        <f t="shared" si="19"/>
        <v>5.0959999999999984E-2</v>
      </c>
      <c r="AB15" s="7">
        <v>0.12636730898852205</v>
      </c>
      <c r="AC15" s="150">
        <f t="shared" si="20"/>
        <v>8.9983305509181974E-2</v>
      </c>
      <c r="AE15" s="168"/>
      <c r="AF15" s="19">
        <v>0</v>
      </c>
      <c r="AG15" s="19">
        <v>5.1999999999999998E-2</v>
      </c>
      <c r="AH15" s="19">
        <v>5.5E-2</v>
      </c>
    </row>
    <row r="16" spans="1:34" x14ac:dyDescent="0.2">
      <c r="A16" s="17" t="s">
        <v>35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39.617479999999993</v>
      </c>
      <c r="M16" s="146">
        <f t="shared" si="16"/>
        <v>22.819668479999994</v>
      </c>
      <c r="N16" s="146">
        <f t="shared" si="16"/>
        <v>282.96388915199992</v>
      </c>
      <c r="O16" s="146">
        <f t="shared" si="17"/>
        <v>1.4148194457599996</v>
      </c>
      <c r="Q16" s="13"/>
      <c r="R16" s="139"/>
      <c r="S16" s="138"/>
      <c r="T16" s="139"/>
      <c r="U16" s="139"/>
      <c r="V16" s="107">
        <v>0</v>
      </c>
      <c r="W16" s="150">
        <f t="shared" si="18"/>
        <v>0</v>
      </c>
      <c r="X16" s="19">
        <v>0</v>
      </c>
      <c r="Y16" s="19">
        <v>0.57599999999999996</v>
      </c>
      <c r="Z16" s="20">
        <v>12.4</v>
      </c>
      <c r="AA16" s="150">
        <f t="shared" si="19"/>
        <v>6.6639999999999991E-2</v>
      </c>
      <c r="AB16" s="7">
        <v>4.9865651337289124E-2</v>
      </c>
      <c r="AC16" s="150">
        <f t="shared" si="20"/>
        <v>0.10143572621035059</v>
      </c>
      <c r="AE16" s="168"/>
      <c r="AF16" s="19">
        <v>0</v>
      </c>
      <c r="AG16" s="19">
        <v>6.8000000000000005E-2</v>
      </c>
      <c r="AH16" s="19">
        <v>6.2E-2</v>
      </c>
    </row>
    <row r="17" spans="1:34" x14ac:dyDescent="0.2">
      <c r="A17" s="17" t="s">
        <v>686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8.7391499999999969</v>
      </c>
      <c r="M17" s="146">
        <f t="shared" si="16"/>
        <v>5.0687069999999981</v>
      </c>
      <c r="N17" s="146">
        <f t="shared" si="16"/>
        <v>69.441285899999968</v>
      </c>
      <c r="O17" s="146">
        <f t="shared" si="17"/>
        <v>0.27877888499999992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0.57999999999999996</v>
      </c>
      <c r="Z17" s="20">
        <v>13.7</v>
      </c>
      <c r="AA17" s="150">
        <f t="shared" si="19"/>
        <v>1.4699999999999996E-2</v>
      </c>
      <c r="AB17" s="7">
        <v>7.9410025759840117E-2</v>
      </c>
      <c r="AC17" s="150">
        <f t="shared" si="20"/>
        <v>8.9983305509181974E-2</v>
      </c>
      <c r="AE17" s="168"/>
      <c r="AF17" s="19">
        <v>0</v>
      </c>
      <c r="AG17" s="19">
        <v>1.4999999999999999E-2</v>
      </c>
      <c r="AH17" s="19">
        <v>5.5E-2</v>
      </c>
    </row>
    <row r="18" spans="1:34" x14ac:dyDescent="0.2"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1.5945331092137506E-2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627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93.217599999999976</v>
      </c>
      <c r="M22" s="146">
        <f t="shared" ref="M22:N25" si="21">L22*Y22</f>
        <v>63.481185599999989</v>
      </c>
      <c r="N22" s="146">
        <f t="shared" si="21"/>
        <v>740.82543595199991</v>
      </c>
      <c r="O22" s="146">
        <f t="shared" ref="O22:O25" si="22">M22*AH22</f>
        <v>4.2532394351999994</v>
      </c>
      <c r="Q22" s="13"/>
      <c r="R22" s="139"/>
      <c r="S22" s="138"/>
      <c r="T22" s="139"/>
      <c r="U22" s="139"/>
      <c r="V22" s="140"/>
      <c r="W22" s="154"/>
      <c r="X22" s="139"/>
      <c r="Y22" s="19">
        <v>0.68100000000000005</v>
      </c>
      <c r="Z22" s="20">
        <v>11.67</v>
      </c>
      <c r="AA22" s="150">
        <f>(AG22/SUM(AG$6:AG$25))*0.98</f>
        <v>0.15679999999999997</v>
      </c>
      <c r="AB22" s="7">
        <v>0.23022113205181891</v>
      </c>
      <c r="AC22" s="150">
        <f>(AH22/SUM(AH$6:AH$25))*0.98</f>
        <v>0.10961602671118532</v>
      </c>
      <c r="AE22" s="168"/>
      <c r="AF22" s="168"/>
      <c r="AG22" s="19">
        <v>0.16</v>
      </c>
      <c r="AH22" s="19">
        <v>6.7000000000000004E-2</v>
      </c>
    </row>
    <row r="23" spans="1:34" x14ac:dyDescent="0.2">
      <c r="A23" s="17" t="s">
        <v>532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46.608799999999988</v>
      </c>
      <c r="M23" s="146">
        <f t="shared" ref="M23:M24" si="23">L23*Y23</f>
        <v>31.227895999999994</v>
      </c>
      <c r="N23" s="146">
        <f t="shared" ref="N23:N24" si="24">M23*Z23</f>
        <v>343.50685599999991</v>
      </c>
      <c r="O23" s="146">
        <f t="shared" ref="O23:O24" si="25">M23*AH23</f>
        <v>1.8736737599999995</v>
      </c>
      <c r="Q23" s="13"/>
      <c r="R23" s="139"/>
      <c r="S23" s="138"/>
      <c r="T23" s="139"/>
      <c r="U23" s="139"/>
      <c r="V23" s="140"/>
      <c r="W23" s="154"/>
      <c r="X23" s="139"/>
      <c r="Y23" s="19">
        <v>0.67</v>
      </c>
      <c r="Z23" s="20">
        <v>11</v>
      </c>
      <c r="AA23" s="150">
        <f>(AG23/SUM(AG$6:AG$25))*0.98</f>
        <v>7.8399999999999984E-2</v>
      </c>
      <c r="AB23" s="7">
        <v>0.23022113205181891</v>
      </c>
      <c r="AC23" s="150">
        <f>(AH23/SUM(AH$6:AH$25))*0.98</f>
        <v>9.8163606010016696E-2</v>
      </c>
      <c r="AE23" s="168"/>
      <c r="AF23" s="168"/>
      <c r="AG23" s="19">
        <v>0.08</v>
      </c>
      <c r="AH23" s="19">
        <v>0.06</v>
      </c>
    </row>
    <row r="24" spans="1:34" x14ac:dyDescent="0.2">
      <c r="A24" s="17" t="s">
        <v>175</v>
      </c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20.391349999999999</v>
      </c>
      <c r="M24" s="146">
        <f t="shared" si="23"/>
        <v>13.335942899999999</v>
      </c>
      <c r="N24" s="146">
        <f t="shared" si="24"/>
        <v>142.69458902999997</v>
      </c>
      <c r="O24" s="146">
        <f t="shared" si="25"/>
        <v>0.80015657399999995</v>
      </c>
      <c r="Q24" s="13"/>
      <c r="R24" s="139"/>
      <c r="S24" s="138"/>
      <c r="T24" s="139"/>
      <c r="U24" s="139"/>
      <c r="V24" s="140"/>
      <c r="W24" s="154"/>
      <c r="X24" s="139"/>
      <c r="Y24" s="19">
        <v>0.65400000000000003</v>
      </c>
      <c r="Z24" s="20">
        <v>10.7</v>
      </c>
      <c r="AA24" s="150">
        <f>(AG24/SUM(AG$6:AG$25))*0.98</f>
        <v>3.4299999999999997E-2</v>
      </c>
      <c r="AB24" s="7">
        <v>2.6598810973024269E-2</v>
      </c>
      <c r="AC24" s="150">
        <f>(AH24/SUM(AH$6:AH$25))*0.98</f>
        <v>9.8163606010016696E-2</v>
      </c>
      <c r="AE24" s="168"/>
      <c r="AF24" s="168"/>
      <c r="AG24" s="19">
        <v>3.5000000000000003E-2</v>
      </c>
      <c r="AH24" s="19">
        <v>0.06</v>
      </c>
    </row>
    <row r="25" spans="1:34" x14ac:dyDescent="0.2"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1.1918417754554722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1025</v>
      </c>
      <c r="E29" s="47">
        <v>0.57999999999999996</v>
      </c>
      <c r="F29" s="2">
        <f>1-E29</f>
        <v>0.42000000000000004</v>
      </c>
      <c r="G29" s="106">
        <v>4.05</v>
      </c>
      <c r="H29" s="126">
        <v>3.0499999999999999E-2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594.5</v>
      </c>
      <c r="E32" s="156">
        <f>SUM(E2:E4)</f>
        <v>376.08069999999998</v>
      </c>
      <c r="F32" s="156">
        <f>SUM(F2:F4)</f>
        <v>4130.2209769999999</v>
      </c>
      <c r="G32" s="156">
        <f>SUM(G2:G4)</f>
        <v>23.066600000000001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430.50000000000006</v>
      </c>
      <c r="E35" s="156">
        <f>D35*G29</f>
        <v>1743.5250000000001</v>
      </c>
      <c r="F35" s="156">
        <f>D35*H29</f>
        <v>13.130250000000002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421.89000000000004</v>
      </c>
      <c r="E38" s="157">
        <f>SUM(J2:J4,J6:J11,J13:J20)</f>
        <v>1740.9290850000002</v>
      </c>
      <c r="F38" s="157">
        <f>SUM(K2:K4,K6:K11,K13:K20)</f>
        <v>13.120778999999999</v>
      </c>
      <c r="G38" s="157">
        <f>SUM(L6:L11,L13:L20,L22:L25)</f>
        <v>582.6099999999999</v>
      </c>
      <c r="H38" s="157">
        <f>SUM(M6:M11,M13:M20,M22:M25)</f>
        <v>373.83869781999999</v>
      </c>
      <c r="I38" s="157">
        <f>SUM(N6:N11,N13:N20,N22:N25)</f>
        <v>4127.0721868235996</v>
      </c>
      <c r="J38" s="157">
        <f>SUM(O6:O11,O13:O20,O22:O25)</f>
        <v>23.029836880959994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8.6100000000000136</v>
      </c>
      <c r="E39" s="158">
        <f>E35-E38</f>
        <v>2.5959149999998772</v>
      </c>
      <c r="F39" s="158">
        <f>F35-F38</f>
        <v>9.4710000000031158E-3</v>
      </c>
      <c r="G39" s="158">
        <f>SUM(D2:D4)-G38</f>
        <v>11.8900000000001</v>
      </c>
      <c r="H39" s="158">
        <f>E32-H38</f>
        <v>2.2420021799999859</v>
      </c>
      <c r="I39" s="158">
        <f>F32-I38</f>
        <v>3.1487901764003254</v>
      </c>
      <c r="J39" s="158">
        <f>G32-J38</f>
        <v>3.6763119040006842E-2</v>
      </c>
      <c r="V39" s="181"/>
      <c r="X39" s="30"/>
      <c r="Y39" s="30"/>
      <c r="Z39" s="181"/>
      <c r="AH39" s="30"/>
    </row>
    <row r="40" spans="1:34" x14ac:dyDescent="0.2">
      <c r="A40" s="50"/>
      <c r="B40" s="23"/>
      <c r="C40" s="26"/>
      <c r="D40" s="25"/>
      <c r="E40" s="26"/>
      <c r="F40" s="26"/>
      <c r="G40" s="25"/>
      <c r="H40" s="26"/>
      <c r="I40" s="18"/>
      <c r="J40" s="18"/>
      <c r="K40" s="18"/>
      <c r="L40" s="18"/>
      <c r="M40" s="18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A41" s="50"/>
      <c r="B41" s="23"/>
      <c r="C41" s="26"/>
      <c r="D41" s="25"/>
      <c r="E41" s="26"/>
      <c r="F41" s="26"/>
      <c r="G41" s="25"/>
      <c r="H41" s="26"/>
      <c r="I41" s="18"/>
      <c r="J41" s="18"/>
      <c r="K41" s="18"/>
      <c r="L41" s="18"/>
      <c r="M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0"/>
      <c r="B42" s="23"/>
      <c r="C42" s="26"/>
      <c r="D42" s="25"/>
      <c r="E42" s="26"/>
      <c r="F42" s="26"/>
      <c r="G42" s="25"/>
      <c r="H42" s="26"/>
      <c r="I42" s="18"/>
      <c r="J42" s="18"/>
      <c r="K42" s="18"/>
      <c r="L42" s="18"/>
      <c r="M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0"/>
      <c r="B43" s="23"/>
      <c r="C43" s="26"/>
      <c r="D43" s="25"/>
      <c r="E43" s="26"/>
      <c r="F43" s="26"/>
      <c r="G43" s="25"/>
      <c r="H43" s="26"/>
      <c r="I43" s="18"/>
      <c r="J43" s="18"/>
      <c r="K43" s="18"/>
      <c r="L43" s="18"/>
      <c r="M43" s="18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47" priority="1" operator="lessThan">
      <formula>0</formula>
    </cfRule>
  </conditionalFormatting>
  <conditionalFormatting sqref="W28">
    <cfRule type="cellIs" dxfId="46" priority="2" operator="greaterThan">
      <formula>1</formula>
    </cfRule>
  </conditionalFormatting>
  <conditionalFormatting sqref="AA28:AG28">
    <cfRule type="cellIs" dxfId="4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rgb="FF6AE4FC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158</v>
      </c>
      <c r="B2" s="18" t="s">
        <v>9</v>
      </c>
      <c r="C2" s="18">
        <v>5</v>
      </c>
      <c r="D2" s="146">
        <f>D$32*Q2</f>
        <v>564.05943000000002</v>
      </c>
      <c r="E2" s="146">
        <f>D2*R2</f>
        <v>368.89486722000004</v>
      </c>
      <c r="F2" s="146">
        <f>E2*S2</f>
        <v>4078.8705468515404</v>
      </c>
      <c r="G2" s="146">
        <f>D2*T2</f>
        <v>26.510793210000003</v>
      </c>
      <c r="H2" s="146">
        <f>E2*U2</f>
        <v>5.9023178755200005</v>
      </c>
      <c r="I2" s="146">
        <f>D$35*W2</f>
        <v>67.398539600000007</v>
      </c>
      <c r="J2" s="146">
        <f>I2*V2</f>
        <v>297.901545032</v>
      </c>
      <c r="K2" s="146">
        <f>I2*X2</f>
        <v>2.6959415840000003</v>
      </c>
      <c r="L2" s="147"/>
      <c r="M2" s="147"/>
      <c r="N2" s="147"/>
      <c r="O2" s="147"/>
      <c r="Q2" s="150">
        <f>(AE2/SUM(AE$2:AE$25))</f>
        <v>0.99</v>
      </c>
      <c r="R2" s="19">
        <v>0.65400000000000003</v>
      </c>
      <c r="S2" s="107">
        <v>11.057</v>
      </c>
      <c r="T2" s="19">
        <v>4.7E-2</v>
      </c>
      <c r="U2" s="19">
        <v>1.6E-2</v>
      </c>
      <c r="V2" s="107">
        <v>4.42</v>
      </c>
      <c r="W2" s="150">
        <f>(AF2/SUM(AF$2:AF$20))*0.98</f>
        <v>0.13720000000000002</v>
      </c>
      <c r="X2" s="19">
        <v>0.04</v>
      </c>
      <c r="Y2" s="21"/>
      <c r="Z2" s="22"/>
      <c r="AA2" s="1"/>
      <c r="AB2" s="1"/>
      <c r="AC2" s="1"/>
      <c r="AE2" s="19">
        <v>0.99</v>
      </c>
      <c r="AF2" s="19">
        <v>0.14000000000000001</v>
      </c>
      <c r="AG2" s="168"/>
      <c r="AH2" s="168"/>
    </row>
    <row r="3" spans="1:34" x14ac:dyDescent="0.2">
      <c r="A3" s="17" t="s">
        <v>494</v>
      </c>
      <c r="B3" s="18" t="s">
        <v>9</v>
      </c>
      <c r="C3" s="18">
        <v>5</v>
      </c>
      <c r="D3" s="146">
        <f>D$32*Q3</f>
        <v>5.697570000000006</v>
      </c>
      <c r="E3" s="146">
        <f t="shared" ref="E3:F4" si="0">D3*R3</f>
        <v>3.4584249900000037</v>
      </c>
      <c r="F3" s="146">
        <f t="shared" si="0"/>
        <v>36.659304894000037</v>
      </c>
      <c r="G3" s="146">
        <f t="shared" ref="G3:G4" si="1">D3*T3</f>
        <v>0.19371738000000022</v>
      </c>
      <c r="H3" s="146">
        <f t="shared" ref="H3:H4" si="2">E3*U3</f>
        <v>6.9168499800000074E-2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0.60699999999999998</v>
      </c>
      <c r="S3" s="107">
        <v>10.6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20</v>
      </c>
      <c r="B6" s="18" t="s">
        <v>222</v>
      </c>
      <c r="C6" s="18">
        <v>5</v>
      </c>
      <c r="D6" s="147"/>
      <c r="E6" s="147"/>
      <c r="F6" s="147"/>
      <c r="G6" s="147"/>
      <c r="H6" s="147"/>
      <c r="I6" s="146">
        <f t="shared" ref="I6:I11" si="3">D$35*W6</f>
        <v>207.00980019999997</v>
      </c>
      <c r="J6" s="146">
        <f t="shared" ref="J6:J11" si="4">I6*V6</f>
        <v>877.72155284799987</v>
      </c>
      <c r="K6" s="146">
        <f t="shared" ref="K6:K11" si="5">I6*X6</f>
        <v>8.2803920079999997</v>
      </c>
      <c r="L6" s="146">
        <f t="shared" ref="L6:L11" si="6">((D$2+D$3+D$4)*AA6)</f>
        <v>22.334474399999998</v>
      </c>
      <c r="M6" s="146">
        <f t="shared" ref="M6:N11" si="7">L6*Y6</f>
        <v>17.6219003016</v>
      </c>
      <c r="N6" s="146">
        <f t="shared" si="7"/>
        <v>139.21301238264002</v>
      </c>
      <c r="O6" s="146">
        <f t="shared" ref="O6:O11" si="8">M6*AH6</f>
        <v>0.70487601206399997</v>
      </c>
      <c r="Q6" s="13"/>
      <c r="R6" s="139"/>
      <c r="S6" s="138"/>
      <c r="T6" s="139"/>
      <c r="U6" s="139"/>
      <c r="V6" s="107">
        <v>4.24</v>
      </c>
      <c r="W6" s="150">
        <f t="shared" ref="W6:W11" si="9">(AF6/SUM(AF$2:AF$20))*0.98</f>
        <v>0.4214</v>
      </c>
      <c r="X6" s="19">
        <v>0.04</v>
      </c>
      <c r="Y6" s="19">
        <v>0.78900000000000003</v>
      </c>
      <c r="Z6" s="20">
        <v>7.9</v>
      </c>
      <c r="AA6" s="150">
        <f t="shared" ref="AA6:AA11" si="10">(AG6/SUM(AG$6:AG$25))*0.98</f>
        <v>3.9199999999999992E-2</v>
      </c>
      <c r="AB6" s="7">
        <v>0.17226888316103126</v>
      </c>
      <c r="AC6" s="150">
        <f t="shared" ref="AC6:AC11" si="11">(AH6/SUM(AH$6:AH$25))*0.98</f>
        <v>4.6833930704898448E-2</v>
      </c>
      <c r="AE6" s="168"/>
      <c r="AF6" s="19">
        <v>0.43</v>
      </c>
      <c r="AG6" s="19">
        <v>0.04</v>
      </c>
      <c r="AH6" s="19">
        <v>0.04</v>
      </c>
    </row>
    <row r="7" spans="1:34" x14ac:dyDescent="0.2">
      <c r="A7" s="17" t="s">
        <v>405</v>
      </c>
      <c r="B7" s="18" t="s">
        <v>222</v>
      </c>
      <c r="C7" s="18">
        <v>5</v>
      </c>
      <c r="D7" s="147"/>
      <c r="E7" s="147"/>
      <c r="F7" s="147"/>
      <c r="G7" s="147"/>
      <c r="H7" s="147"/>
      <c r="I7" s="146">
        <f t="shared" si="3"/>
        <v>120.35453499999998</v>
      </c>
      <c r="J7" s="146">
        <f t="shared" si="4"/>
        <v>505.48904699999997</v>
      </c>
      <c r="K7" s="146">
        <f t="shared" si="5"/>
        <v>4.2124087249999995</v>
      </c>
      <c r="L7" s="146">
        <f t="shared" si="6"/>
        <v>33.501711599999993</v>
      </c>
      <c r="M7" s="146">
        <f t="shared" si="7"/>
        <v>24.288740909999994</v>
      </c>
      <c r="N7" s="146">
        <f t="shared" si="7"/>
        <v>171.72139823369997</v>
      </c>
      <c r="O7" s="146">
        <f t="shared" si="8"/>
        <v>0.85010593184999983</v>
      </c>
      <c r="Q7" s="13"/>
      <c r="R7" s="139"/>
      <c r="S7" s="138"/>
      <c r="T7" s="139"/>
      <c r="U7" s="139"/>
      <c r="V7" s="107">
        <v>4.2</v>
      </c>
      <c r="W7" s="150">
        <f t="shared" si="9"/>
        <v>0.245</v>
      </c>
      <c r="X7" s="19">
        <v>3.5000000000000003E-2</v>
      </c>
      <c r="Y7" s="19">
        <v>0.72499999999999998</v>
      </c>
      <c r="Z7" s="20">
        <v>7.07</v>
      </c>
      <c r="AA7" s="150">
        <f t="shared" si="10"/>
        <v>5.8799999999999984E-2</v>
      </c>
      <c r="AB7" s="7">
        <v>5.8004810822843405E-3</v>
      </c>
      <c r="AC7" s="150">
        <f t="shared" si="11"/>
        <v>4.0979689366786143E-2</v>
      </c>
      <c r="AE7" s="168"/>
      <c r="AF7" s="19">
        <v>0.25</v>
      </c>
      <c r="AG7" s="19">
        <v>0.06</v>
      </c>
      <c r="AH7" s="19">
        <v>3.5000000000000003E-2</v>
      </c>
    </row>
    <row r="8" spans="1:34" x14ac:dyDescent="0.2">
      <c r="A8" s="176" t="s">
        <v>660</v>
      </c>
      <c r="B8" s="18" t="s">
        <v>222</v>
      </c>
      <c r="C8" s="18">
        <v>5</v>
      </c>
      <c r="D8" s="147"/>
      <c r="E8" s="147"/>
      <c r="F8" s="147"/>
      <c r="G8" s="147"/>
      <c r="H8" s="147"/>
      <c r="I8" s="146">
        <f t="shared" si="3"/>
        <v>62.584358199999997</v>
      </c>
      <c r="J8" s="146">
        <f t="shared" si="4"/>
        <v>270.36442742399998</v>
      </c>
      <c r="K8" s="146">
        <f t="shared" si="5"/>
        <v>2.2530368951999997</v>
      </c>
      <c r="L8" s="146">
        <f t="shared" si="6"/>
        <v>16.750855799999997</v>
      </c>
      <c r="M8" s="146">
        <f t="shared" si="7"/>
        <v>12.261626445599997</v>
      </c>
      <c r="N8" s="146">
        <f t="shared" si="7"/>
        <v>88.28371040831999</v>
      </c>
      <c r="O8" s="146">
        <f t="shared" si="8"/>
        <v>0.36784879336799992</v>
      </c>
      <c r="Q8" s="13"/>
      <c r="R8" s="139"/>
      <c r="S8" s="138"/>
      <c r="T8" s="139"/>
      <c r="U8" s="139"/>
      <c r="V8" s="107">
        <v>4.32</v>
      </c>
      <c r="W8" s="150">
        <f t="shared" si="9"/>
        <v>0.12740000000000001</v>
      </c>
      <c r="X8" s="19">
        <v>3.5999999999999997E-2</v>
      </c>
      <c r="Y8" s="19">
        <v>0.73199999999999998</v>
      </c>
      <c r="Z8" s="20">
        <v>7.2</v>
      </c>
      <c r="AA8" s="150">
        <f t="shared" si="10"/>
        <v>2.9399999999999992E-2</v>
      </c>
      <c r="AB8" s="7">
        <v>3.1632841041911976E-2</v>
      </c>
      <c r="AC8" s="150">
        <f t="shared" si="11"/>
        <v>3.5125448028673831E-2</v>
      </c>
      <c r="AE8" s="168"/>
      <c r="AF8" s="19">
        <v>0.13</v>
      </c>
      <c r="AG8" s="19">
        <v>0.03</v>
      </c>
      <c r="AH8" s="19">
        <v>0.03</v>
      </c>
    </row>
    <row r="9" spans="1:34" x14ac:dyDescent="0.2">
      <c r="A9" s="172" t="s">
        <v>430</v>
      </c>
      <c r="B9" s="18" t="s">
        <v>222</v>
      </c>
      <c r="C9" s="18">
        <v>5</v>
      </c>
      <c r="D9" s="147"/>
      <c r="E9" s="147"/>
      <c r="F9" s="147"/>
      <c r="G9" s="147"/>
      <c r="H9" s="147"/>
      <c r="I9" s="146">
        <f t="shared" si="3"/>
        <v>24.070906999999998</v>
      </c>
      <c r="J9" s="146">
        <f t="shared" si="4"/>
        <v>93.876537299999995</v>
      </c>
      <c r="K9" s="146">
        <f t="shared" si="5"/>
        <v>0.72212720999999991</v>
      </c>
      <c r="L9" s="146">
        <f t="shared" si="6"/>
        <v>11.167237199999999</v>
      </c>
      <c r="M9" s="146">
        <f t="shared" si="7"/>
        <v>7.9064039375999986</v>
      </c>
      <c r="N9" s="146">
        <f t="shared" si="7"/>
        <v>47.754679783103995</v>
      </c>
      <c r="O9" s="146">
        <f t="shared" si="8"/>
        <v>0.23719211812799995</v>
      </c>
      <c r="Q9" s="13"/>
      <c r="R9" s="139"/>
      <c r="S9" s="138"/>
      <c r="T9" s="139"/>
      <c r="U9" s="139"/>
      <c r="V9" s="107">
        <v>3.9</v>
      </c>
      <c r="W9" s="150">
        <f t="shared" si="9"/>
        <v>4.9000000000000002E-2</v>
      </c>
      <c r="X9" s="19">
        <v>0.03</v>
      </c>
      <c r="Y9" s="19">
        <v>0.70799999999999996</v>
      </c>
      <c r="Z9" s="20">
        <v>6.04</v>
      </c>
      <c r="AA9" s="150">
        <f t="shared" si="10"/>
        <v>1.9599999999999996E-2</v>
      </c>
      <c r="AB9" s="7">
        <v>3.8812397966613718E-2</v>
      </c>
      <c r="AC9" s="150">
        <f t="shared" si="11"/>
        <v>3.5125448028673831E-2</v>
      </c>
      <c r="AE9" s="168"/>
      <c r="AF9" s="19">
        <v>0.05</v>
      </c>
      <c r="AG9" s="19">
        <v>0.02</v>
      </c>
      <c r="AH9" s="19">
        <v>0.03</v>
      </c>
    </row>
    <row r="10" spans="1:34" x14ac:dyDescent="0.2">
      <c r="B10" s="18" t="s">
        <v>222</v>
      </c>
      <c r="C10" s="18"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4.7695903319167005E-3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633</v>
      </c>
      <c r="B13" s="18" t="s">
        <v>223</v>
      </c>
      <c r="C13" s="18"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112.78909571999998</v>
      </c>
      <c r="M13" s="146">
        <f t="shared" ref="M13:N20" si="16">L13*Y13</f>
        <v>75.568694132399983</v>
      </c>
      <c r="N13" s="146">
        <f t="shared" si="16"/>
        <v>935.54043335911183</v>
      </c>
      <c r="O13" s="146">
        <f t="shared" ref="O13:O20" si="17">M13*AH13</f>
        <v>5.8187894481947984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0.67</v>
      </c>
      <c r="Z13" s="20">
        <v>12.38</v>
      </c>
      <c r="AA13" s="150">
        <f t="shared" ref="AA13:AA20" si="19">(AG13/SUM(AG$6:AG$25))*0.98</f>
        <v>0.19795999999999994</v>
      </c>
      <c r="AB13" s="7">
        <v>0.21754526431185253</v>
      </c>
      <c r="AC13" s="150">
        <f t="shared" ref="AC13:AC20" si="20">(AH13/SUM(AH$6:AH$25))*0.98</f>
        <v>9.0155316606929506E-2</v>
      </c>
      <c r="AE13" s="168"/>
      <c r="AF13" s="19">
        <v>0</v>
      </c>
      <c r="AG13" s="19">
        <v>0.20200000000000001</v>
      </c>
      <c r="AH13" s="19">
        <v>7.6999999999999999E-2</v>
      </c>
    </row>
    <row r="14" spans="1:34" x14ac:dyDescent="0.2">
      <c r="A14" s="17" t="s">
        <v>533</v>
      </c>
      <c r="B14" s="18" t="s">
        <v>223</v>
      </c>
      <c r="C14" s="18">
        <v>5</v>
      </c>
      <c r="D14" s="147"/>
      <c r="E14" s="147"/>
      <c r="F14" s="147"/>
      <c r="G14" s="147"/>
      <c r="H14" s="147"/>
      <c r="I14" s="146">
        <f t="shared" ref="I14:I17" si="21">D$35*W14</f>
        <v>0</v>
      </c>
      <c r="J14" s="146">
        <f t="shared" ref="J14:J17" si="22">I14*V14</f>
        <v>0</v>
      </c>
      <c r="K14" s="146">
        <f t="shared" ref="K14:K17" si="23">I14*X14</f>
        <v>0</v>
      </c>
      <c r="L14" s="146">
        <f t="shared" ref="L14:L17" si="24">((D$2+D$3+D$4)*AA14)</f>
        <v>91.012983179999992</v>
      </c>
      <c r="M14" s="146">
        <f t="shared" ref="M14:M17" si="25">L14*Y14</f>
        <v>54.425763941639993</v>
      </c>
      <c r="N14" s="146">
        <f t="shared" ref="N14:N17" si="26">M14*Z14</f>
        <v>715.69879583256591</v>
      </c>
      <c r="O14" s="146">
        <f t="shared" ref="O14:O17" si="27">M14*AH14</f>
        <v>4.6261899350393998</v>
      </c>
      <c r="Q14" s="13"/>
      <c r="R14" s="139"/>
      <c r="S14" s="138"/>
      <c r="T14" s="139"/>
      <c r="U14" s="139"/>
      <c r="V14" s="107">
        <v>5.01</v>
      </c>
      <c r="W14" s="150">
        <f t="shared" ref="W14:W17" si="28">(AF14/SUM(AF$2:AF$20))*0.98</f>
        <v>0</v>
      </c>
      <c r="X14" s="19">
        <v>2.4E-2</v>
      </c>
      <c r="Y14" s="19">
        <v>0.59799999999999998</v>
      </c>
      <c r="Z14" s="20">
        <v>13.15</v>
      </c>
      <c r="AA14" s="150">
        <f t="shared" ref="AA14:AA17" si="29">(AG14/SUM(AG$6:AG$25))*0.98</f>
        <v>0.15973999999999997</v>
      </c>
      <c r="AB14" s="7">
        <v>0.21754526431185253</v>
      </c>
      <c r="AC14" s="150">
        <f t="shared" ref="AC14:AC17" si="30">(AH14/SUM(AH$6:AH$25))*0.98</f>
        <v>9.9522102747909208E-2</v>
      </c>
      <c r="AE14" s="168"/>
      <c r="AF14" s="19">
        <v>0</v>
      </c>
      <c r="AG14" s="19">
        <v>0.16300000000000001</v>
      </c>
      <c r="AH14" s="19">
        <v>8.5000000000000006E-2</v>
      </c>
    </row>
    <row r="15" spans="1:34" x14ac:dyDescent="0.2">
      <c r="A15" s="17" t="s">
        <v>559</v>
      </c>
      <c r="B15" s="18" t="s">
        <v>223</v>
      </c>
      <c r="C15" s="18">
        <v>5</v>
      </c>
      <c r="D15" s="147"/>
      <c r="E15" s="147"/>
      <c r="F15" s="147"/>
      <c r="G15" s="147"/>
      <c r="H15" s="147"/>
      <c r="I15" s="146">
        <f t="shared" si="21"/>
        <v>0</v>
      </c>
      <c r="J15" s="146">
        <f t="shared" si="22"/>
        <v>0</v>
      </c>
      <c r="K15" s="146">
        <f t="shared" si="23"/>
        <v>0</v>
      </c>
      <c r="L15" s="146">
        <f t="shared" si="24"/>
        <v>94.921516199999999</v>
      </c>
      <c r="M15" s="146">
        <f t="shared" si="25"/>
        <v>61.604064013799999</v>
      </c>
      <c r="N15" s="146">
        <f t="shared" si="26"/>
        <v>747.87333712753207</v>
      </c>
      <c r="O15" s="146">
        <f t="shared" si="27"/>
        <v>4.9283251211039998</v>
      </c>
      <c r="Q15" s="13"/>
      <c r="R15" s="139"/>
      <c r="S15" s="138"/>
      <c r="T15" s="139"/>
      <c r="U15" s="139"/>
      <c r="V15" s="107">
        <v>5.0199999999999996</v>
      </c>
      <c r="W15" s="150">
        <f t="shared" si="28"/>
        <v>0</v>
      </c>
      <c r="X15" s="19">
        <v>1.4999999999999999E-2</v>
      </c>
      <c r="Y15" s="19">
        <v>0.64900000000000002</v>
      </c>
      <c r="Z15" s="20">
        <v>12.14</v>
      </c>
      <c r="AA15" s="150">
        <f t="shared" si="29"/>
        <v>0.16659999999999997</v>
      </c>
      <c r="AB15" s="7">
        <v>0.11259283959625212</v>
      </c>
      <c r="AC15" s="150">
        <f t="shared" si="30"/>
        <v>9.3667861409796896E-2</v>
      </c>
      <c r="AE15" s="168"/>
      <c r="AF15" s="19">
        <v>0</v>
      </c>
      <c r="AG15" s="19">
        <v>0.17</v>
      </c>
      <c r="AH15" s="19">
        <v>0.08</v>
      </c>
    </row>
    <row r="16" spans="1:34" x14ac:dyDescent="0.2">
      <c r="A16" s="17" t="s">
        <v>534</v>
      </c>
      <c r="B16" s="18" t="s">
        <v>223</v>
      </c>
      <c r="C16" s="18">
        <v>5</v>
      </c>
      <c r="D16" s="147"/>
      <c r="E16" s="147"/>
      <c r="F16" s="147"/>
      <c r="G16" s="147"/>
      <c r="H16" s="147"/>
      <c r="I16" s="146">
        <f t="shared" si="21"/>
        <v>0</v>
      </c>
      <c r="J16" s="146">
        <f t="shared" si="22"/>
        <v>0</v>
      </c>
      <c r="K16" s="146">
        <f t="shared" si="23"/>
        <v>0</v>
      </c>
      <c r="L16" s="146">
        <f t="shared" si="24"/>
        <v>27.918092999999995</v>
      </c>
      <c r="M16" s="146">
        <f t="shared" si="25"/>
        <v>19.626419378999994</v>
      </c>
      <c r="N16" s="146">
        <f t="shared" si="26"/>
        <v>201.56332702232993</v>
      </c>
      <c r="O16" s="146">
        <f t="shared" si="27"/>
        <v>1.1775851627399996</v>
      </c>
      <c r="Q16" s="13"/>
      <c r="R16" s="139"/>
      <c r="S16" s="138"/>
      <c r="T16" s="139"/>
      <c r="U16" s="139"/>
      <c r="V16" s="107">
        <v>5.76</v>
      </c>
      <c r="W16" s="150">
        <f t="shared" si="28"/>
        <v>0</v>
      </c>
      <c r="X16" s="19">
        <v>3.3000000000000002E-2</v>
      </c>
      <c r="Y16" s="19">
        <v>0.70299999999999996</v>
      </c>
      <c r="Z16" s="20">
        <v>10.27</v>
      </c>
      <c r="AA16" s="150">
        <f t="shared" si="29"/>
        <v>4.8999999999999988E-2</v>
      </c>
      <c r="AB16" s="7">
        <v>6.732665020365261E-2</v>
      </c>
      <c r="AC16" s="150">
        <f t="shared" si="30"/>
        <v>7.0250896057347662E-2</v>
      </c>
      <c r="AE16" s="168"/>
      <c r="AF16" s="19">
        <v>0</v>
      </c>
      <c r="AG16" s="19">
        <v>0.05</v>
      </c>
      <c r="AH16" s="19">
        <v>0.06</v>
      </c>
    </row>
    <row r="17" spans="1:34" x14ac:dyDescent="0.2">
      <c r="A17" s="17" t="s">
        <v>661</v>
      </c>
      <c r="B17" s="18" t="s">
        <v>223</v>
      </c>
      <c r="C17" s="18">
        <v>5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27.918092999999995</v>
      </c>
      <c r="M17" s="146">
        <f t="shared" si="25"/>
        <v>16.136657753999994</v>
      </c>
      <c r="N17" s="146">
        <f t="shared" si="26"/>
        <v>191.86486069505995</v>
      </c>
      <c r="O17" s="146">
        <f t="shared" si="27"/>
        <v>1.0972927272719997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1.4999999999999999E-2</v>
      </c>
      <c r="Y17" s="19">
        <v>0.57799999999999996</v>
      </c>
      <c r="Z17" s="20">
        <v>11.89</v>
      </c>
      <c r="AA17" s="150">
        <f t="shared" si="29"/>
        <v>4.8999999999999988E-2</v>
      </c>
      <c r="AB17" s="7">
        <v>5.820001817091993E-2</v>
      </c>
      <c r="AC17" s="150">
        <f t="shared" si="30"/>
        <v>7.9617682198327364E-2</v>
      </c>
      <c r="AE17" s="168"/>
      <c r="AF17" s="19">
        <v>0</v>
      </c>
      <c r="AG17" s="19">
        <v>0.05</v>
      </c>
      <c r="AH17" s="19">
        <v>6.8000000000000005E-2</v>
      </c>
    </row>
    <row r="18" spans="1:34" x14ac:dyDescent="0.2">
      <c r="A18" s="17" t="s">
        <v>662</v>
      </c>
      <c r="B18" s="18" t="s">
        <v>223</v>
      </c>
      <c r="C18" s="18"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27.918092999999995</v>
      </c>
      <c r="M18" s="146">
        <f t="shared" si="16"/>
        <v>16.639183427999996</v>
      </c>
      <c r="N18" s="146">
        <f t="shared" si="16"/>
        <v>211.81680503843995</v>
      </c>
      <c r="O18" s="146">
        <f t="shared" si="17"/>
        <v>1.1980212068159997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0.59599999999999997</v>
      </c>
      <c r="Z18" s="20">
        <v>12.73</v>
      </c>
      <c r="AA18" s="150">
        <f t="shared" si="19"/>
        <v>4.8999999999999988E-2</v>
      </c>
      <c r="AB18" s="7">
        <v>1.1847873943922642E-2</v>
      </c>
      <c r="AC18" s="150">
        <f t="shared" si="20"/>
        <v>8.4301075268817194E-2</v>
      </c>
      <c r="AE18" s="168"/>
      <c r="AF18" s="19">
        <v>0</v>
      </c>
      <c r="AG18" s="19">
        <v>0.05</v>
      </c>
      <c r="AH18" s="19">
        <v>7.1999999999999995E-2</v>
      </c>
    </row>
    <row r="19" spans="1:34" x14ac:dyDescent="0.2">
      <c r="B19" s="18" t="s">
        <v>223</v>
      </c>
      <c r="C19" s="18"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1.0656048748898988E-2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68</v>
      </c>
      <c r="B22" s="18" t="s">
        <v>10</v>
      </c>
      <c r="C22" s="18"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41.877139499999991</v>
      </c>
      <c r="M22" s="146">
        <f t="shared" ref="M22:N25" si="31">L22*Y22</f>
        <v>30.109663300499992</v>
      </c>
      <c r="N22" s="146">
        <f t="shared" si="31"/>
        <v>301.99992290401491</v>
      </c>
      <c r="O22" s="146">
        <f t="shared" ref="O22:O25" si="32">M22*AH22</f>
        <v>2.4087730640399996</v>
      </c>
      <c r="Q22" s="13"/>
      <c r="R22" s="139"/>
      <c r="S22" s="138"/>
      <c r="T22" s="139"/>
      <c r="U22" s="139"/>
      <c r="V22" s="140"/>
      <c r="W22" s="154"/>
      <c r="X22" s="139"/>
      <c r="Y22" s="19">
        <v>0.71899999999999997</v>
      </c>
      <c r="Z22" s="20">
        <v>10.029999999999999</v>
      </c>
      <c r="AA22" s="150">
        <f>(AG22/SUM(AG$6:AG$25))*0.98</f>
        <v>7.3499999999999982E-2</v>
      </c>
      <c r="AB22" s="7">
        <v>9.6811652968729178E-2</v>
      </c>
      <c r="AC22" s="150">
        <f>(AH22/SUM(AH$6:AH$25))*0.98</f>
        <v>9.3667861409796896E-2</v>
      </c>
      <c r="AE22" s="168"/>
      <c r="AF22" s="168"/>
      <c r="AG22" s="19">
        <v>7.4999999999999997E-2</v>
      </c>
      <c r="AH22" s="19">
        <v>0.08</v>
      </c>
    </row>
    <row r="23" spans="1:34" x14ac:dyDescent="0.2">
      <c r="A23" s="17" t="s">
        <v>23</v>
      </c>
      <c r="B23" s="18" t="s">
        <v>10</v>
      </c>
      <c r="C23" s="18"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19.542665100000001</v>
      </c>
      <c r="M23" s="146">
        <f t="shared" si="31"/>
        <v>12.995872291500001</v>
      </c>
      <c r="N23" s="146">
        <f t="shared" si="31"/>
        <v>128.65913568585003</v>
      </c>
      <c r="O23" s="146">
        <f t="shared" si="32"/>
        <v>0.9746904218625001</v>
      </c>
      <c r="Q23" s="13"/>
      <c r="R23" s="139"/>
      <c r="S23" s="138"/>
      <c r="T23" s="139"/>
      <c r="U23" s="139"/>
      <c r="V23" s="140"/>
      <c r="W23" s="154"/>
      <c r="X23" s="139"/>
      <c r="Y23" s="19">
        <v>0.66500000000000004</v>
      </c>
      <c r="Z23" s="20">
        <v>9.9</v>
      </c>
      <c r="AA23" s="150">
        <f>(AG23/SUM(AG$6:AG$25))*0.98</f>
        <v>3.4299999999999997E-2</v>
      </c>
      <c r="AB23" s="7">
        <v>5.2694290929165631E-2</v>
      </c>
      <c r="AC23" s="150">
        <f>(AH23/SUM(AH$6:AH$25))*0.98</f>
        <v>8.7813620071684584E-2</v>
      </c>
      <c r="AE23" s="168"/>
      <c r="AF23" s="168"/>
      <c r="AG23" s="19">
        <v>3.5000000000000003E-2</v>
      </c>
      <c r="AH23" s="19">
        <v>7.4999999999999997E-2</v>
      </c>
    </row>
    <row r="24" spans="1:34" x14ac:dyDescent="0.2">
      <c r="A24" s="17" t="s">
        <v>412</v>
      </c>
      <c r="B24" s="18" t="s">
        <v>10</v>
      </c>
      <c r="C24" s="18"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30.709902299999992</v>
      </c>
      <c r="M24" s="146">
        <f t="shared" si="31"/>
        <v>21.589061316899993</v>
      </c>
      <c r="N24" s="146">
        <f t="shared" si="31"/>
        <v>226.68514382744993</v>
      </c>
      <c r="O24" s="146">
        <f t="shared" si="32"/>
        <v>2.2668514382744993</v>
      </c>
      <c r="Q24" s="13"/>
      <c r="R24" s="139"/>
      <c r="S24" s="138"/>
      <c r="T24" s="139"/>
      <c r="U24" s="139"/>
      <c r="V24" s="140"/>
      <c r="W24" s="154"/>
      <c r="X24" s="139"/>
      <c r="Y24" s="19">
        <v>0.70299999999999996</v>
      </c>
      <c r="Z24" s="20">
        <v>10.5</v>
      </c>
      <c r="AA24" s="150">
        <f>(AG24/SUM(AG$6:AG$25))*0.98</f>
        <v>5.3899999999999983E-2</v>
      </c>
      <c r="AB24" s="7">
        <v>2.4998304401732552E-2</v>
      </c>
      <c r="AC24" s="150">
        <f>(AH24/SUM(AH$6:AH$25))*0.98</f>
        <v>0.12293906810035841</v>
      </c>
      <c r="AE24" s="168"/>
      <c r="AF24" s="168"/>
      <c r="AG24" s="19">
        <v>5.5E-2</v>
      </c>
      <c r="AH24" s="19">
        <v>0.105</v>
      </c>
    </row>
    <row r="25" spans="1:34" x14ac:dyDescent="0.2">
      <c r="B25" s="18" t="s">
        <v>10</v>
      </c>
      <c r="C25" s="18"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2.7453981701003237E-2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1.15095638287174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1061</v>
      </c>
      <c r="E29" s="47">
        <v>0.53700000000000003</v>
      </c>
      <c r="F29" s="2">
        <f>1-E29</f>
        <v>0.46299999999999997</v>
      </c>
      <c r="G29" s="106">
        <v>4.2</v>
      </c>
      <c r="H29" s="126">
        <v>3.6999999999999998E-2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569.75700000000006</v>
      </c>
      <c r="E32" s="156">
        <f>SUM(E2:E4)</f>
        <v>372.35329221000006</v>
      </c>
      <c r="F32" s="156">
        <f>SUM(F2:F4)</f>
        <v>4115.5298517455403</v>
      </c>
      <c r="G32" s="156">
        <f>SUM(G2:G4)</f>
        <v>26.704510590000002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491.24299999999994</v>
      </c>
      <c r="E35" s="156">
        <f>D35*G29</f>
        <v>2063.2205999999996</v>
      </c>
      <c r="F35" s="156">
        <f>D35*H29</f>
        <v>18.175990999999996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481.41813999999994</v>
      </c>
      <c r="E38" s="157">
        <f>SUM(J2:J4,J6:J11,J13:J20)</f>
        <v>2045.3531096040001</v>
      </c>
      <c r="F38" s="157">
        <f>SUM(K2:K4,K6:K11,K13:K20)</f>
        <v>18.1639064222</v>
      </c>
      <c r="G38" s="157">
        <f>SUM(L6:L11,L13:L20,L22:L25)</f>
        <v>558.36185999999987</v>
      </c>
      <c r="H38" s="157">
        <f>SUM(M6:M11,M13:M20,M22:M25)</f>
        <v>370.77405115253993</v>
      </c>
      <c r="I38" s="157">
        <f>SUM(N6:N11,N13:N20,N22:N25)</f>
        <v>4108.6745623001179</v>
      </c>
      <c r="J38" s="157">
        <f>SUM(O6:O11,O13:O20,O22:O25)</f>
        <v>26.656541380753193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9.824860000000001</v>
      </c>
      <c r="E39" s="158">
        <f>E35-E38</f>
        <v>17.867490395999539</v>
      </c>
      <c r="F39" s="158">
        <f>F35-F38</f>
        <v>1.2084577799996055E-2</v>
      </c>
      <c r="G39" s="158">
        <f>SUM(D2:D4)-G38</f>
        <v>11.395140000000197</v>
      </c>
      <c r="H39" s="158">
        <f>E32-H38</f>
        <v>1.5792410574601377</v>
      </c>
      <c r="I39" s="158">
        <f>F32-I38</f>
        <v>6.8552894454223861</v>
      </c>
      <c r="J39" s="158">
        <f>G32-J38</f>
        <v>4.7969209246808475E-2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44" priority="1" operator="lessThan">
      <formula>0</formula>
    </cfRule>
  </conditionalFormatting>
  <conditionalFormatting sqref="W28">
    <cfRule type="cellIs" dxfId="43" priority="2" operator="greaterThan">
      <formula>1</formula>
    </cfRule>
  </conditionalFormatting>
  <conditionalFormatting sqref="AA28:AG28">
    <cfRule type="cellIs" dxfId="4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rgb="FF057AFB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42</v>
      </c>
      <c r="B2" s="18" t="s">
        <v>9</v>
      </c>
      <c r="C2" s="18">
        <v>10</v>
      </c>
      <c r="D2" s="146">
        <f>D$32*Q2</f>
        <v>591.45023999999989</v>
      </c>
      <c r="E2" s="146">
        <f>D2*R2</f>
        <v>379.71105407999994</v>
      </c>
      <c r="F2" s="146">
        <f>E2*S2</f>
        <v>4491.2223476582394</v>
      </c>
      <c r="G2" s="146">
        <f>D2*T2</f>
        <v>28.389611519999995</v>
      </c>
      <c r="H2" s="146">
        <f>E2*U2</f>
        <v>7.9739321356799993</v>
      </c>
      <c r="I2" s="146">
        <f>D$35*W2</f>
        <v>21.065394000000001</v>
      </c>
      <c r="J2" s="146">
        <f>I2*V2</f>
        <v>44.658635280000006</v>
      </c>
      <c r="K2" s="146">
        <f>I2*X2</f>
        <v>0.21065394000000001</v>
      </c>
      <c r="L2" s="147"/>
      <c r="M2" s="147"/>
      <c r="N2" s="147"/>
      <c r="O2" s="147"/>
      <c r="Q2" s="150">
        <f>(AE2/SUM(AE$2:AE$25))</f>
        <v>0.96</v>
      </c>
      <c r="R2" s="19">
        <v>0.64200000000000002</v>
      </c>
      <c r="S2" s="107">
        <v>11.827999999999999</v>
      </c>
      <c r="T2" s="19">
        <v>4.8000000000000001E-2</v>
      </c>
      <c r="U2" s="19">
        <v>2.1000000000000001E-2</v>
      </c>
      <c r="V2" s="107">
        <v>2.12</v>
      </c>
      <c r="W2" s="150">
        <f>(AF2/SUM(AF$2:AF$20))*0.98</f>
        <v>4.9000000000000002E-2</v>
      </c>
      <c r="X2" s="19">
        <v>0.01</v>
      </c>
      <c r="Y2" s="21"/>
      <c r="Z2" s="22"/>
      <c r="AA2" s="1"/>
      <c r="AB2" s="1"/>
      <c r="AC2" s="1"/>
      <c r="AE2" s="19">
        <v>0.96</v>
      </c>
      <c r="AF2" s="19">
        <v>0.05</v>
      </c>
      <c r="AG2" s="168"/>
      <c r="AH2" s="168"/>
    </row>
    <row r="3" spans="1:34" x14ac:dyDescent="0.2">
      <c r="A3" s="17" t="s">
        <v>11</v>
      </c>
      <c r="B3" s="18" t="s">
        <v>9</v>
      </c>
      <c r="C3" s="18">
        <v>10</v>
      </c>
      <c r="D3" s="146">
        <f>D$32*Q3</f>
        <v>24.643760000000018</v>
      </c>
      <c r="E3" s="146">
        <f t="shared" ref="E3:F4" si="0">D3*R3</f>
        <v>16.141662800000013</v>
      </c>
      <c r="F3" s="146">
        <f t="shared" si="0"/>
        <v>183.53070603600014</v>
      </c>
      <c r="G3" s="146">
        <f t="shared" ref="G3:G4" si="1">D3*T3</f>
        <v>1.0843254400000006</v>
      </c>
      <c r="H3" s="146">
        <f t="shared" ref="H3:H4" si="2">E3*U3</f>
        <v>0.40354157000000035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4.0000000000000036E-2</v>
      </c>
      <c r="R3" s="19">
        <v>0.65500000000000003</v>
      </c>
      <c r="S3" s="107">
        <v>11.37</v>
      </c>
      <c r="T3" s="19">
        <v>4.3999999999999997E-2</v>
      </c>
      <c r="U3" s="19">
        <v>2.5000000000000001E-2</v>
      </c>
      <c r="V3" s="107">
        <v>1.74</v>
      </c>
      <c r="W3" s="150">
        <f>(AF3/SUM(AF$2:AF$20))*0.98</f>
        <v>0</v>
      </c>
      <c r="X3" s="19">
        <v>1.2E-2</v>
      </c>
      <c r="Y3" s="21"/>
      <c r="Z3" s="22"/>
      <c r="AA3" s="1"/>
      <c r="AB3" s="1"/>
      <c r="AC3" s="1"/>
      <c r="AE3" s="19">
        <v>4.0000000000000036E-2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442</v>
      </c>
      <c r="B6" s="18" t="s">
        <v>222</v>
      </c>
      <c r="C6" s="18">
        <v>10</v>
      </c>
      <c r="D6" s="147"/>
      <c r="E6" s="147"/>
      <c r="F6" s="147"/>
      <c r="G6" s="147"/>
      <c r="H6" s="147"/>
      <c r="I6" s="146">
        <f t="shared" ref="I6:I11" si="3">D$35*W6</f>
        <v>248.57164919999997</v>
      </c>
      <c r="J6" s="146">
        <f>I6*V6</f>
        <v>1135.972436844</v>
      </c>
      <c r="K6" s="146">
        <f>I6*X6</f>
        <v>10.440009266399999</v>
      </c>
      <c r="L6" s="146">
        <f>((D$2+D$3+D$4)*AA6)</f>
        <v>48.301769599999986</v>
      </c>
      <c r="M6" s="146">
        <f t="shared" ref="M6:N11" si="4">L6*Y6</f>
        <v>34.390859955199986</v>
      </c>
      <c r="N6" s="146">
        <f t="shared" si="4"/>
        <v>252.4289120711679</v>
      </c>
      <c r="O6" s="146">
        <f>M6*AH6</f>
        <v>1.7195429977599994</v>
      </c>
      <c r="Q6" s="13"/>
      <c r="R6" s="139"/>
      <c r="S6" s="138"/>
      <c r="T6" s="139"/>
      <c r="U6" s="139"/>
      <c r="V6" s="107">
        <v>4.57</v>
      </c>
      <c r="W6" s="150">
        <f t="shared" ref="W6:W11" si="5">(AF6/SUM(AF$2:AF$20))*0.98</f>
        <v>0.57819999999999994</v>
      </c>
      <c r="X6" s="19">
        <v>4.2000000000000003E-2</v>
      </c>
      <c r="Y6" s="19">
        <v>0.71199999999999997</v>
      </c>
      <c r="Z6" s="20">
        <v>7.34</v>
      </c>
      <c r="AA6" s="150">
        <f t="shared" ref="AA6:AA11" si="6">(AG6/SUM(AG$6:AG$25))*0.98</f>
        <v>7.8399999999999984E-2</v>
      </c>
      <c r="AB6" s="7">
        <v>3.4404333853593171E-2</v>
      </c>
      <c r="AC6" s="150">
        <f t="shared" ref="AC6:AC11" si="7">(AH6/SUM(AH$6:AH$25))*0.98</f>
        <v>6.8055555555555577E-2</v>
      </c>
      <c r="AE6" s="168"/>
      <c r="AF6" s="19">
        <v>0.59</v>
      </c>
      <c r="AG6" s="19">
        <v>0.08</v>
      </c>
      <c r="AH6" s="19">
        <v>0.05</v>
      </c>
    </row>
    <row r="7" spans="1:34" x14ac:dyDescent="0.2">
      <c r="A7" s="17" t="s">
        <v>663</v>
      </c>
      <c r="B7" s="18" t="s">
        <v>222</v>
      </c>
      <c r="C7" s="18">
        <v>10</v>
      </c>
      <c r="D7" s="147"/>
      <c r="E7" s="147"/>
      <c r="F7" s="147"/>
      <c r="G7" s="147"/>
      <c r="H7" s="147"/>
      <c r="I7" s="146">
        <f t="shared" si="3"/>
        <v>126.392364</v>
      </c>
      <c r="J7" s="146">
        <f>I7*V7</f>
        <v>542.22324156000002</v>
      </c>
      <c r="K7" s="146">
        <f>I7*X7</f>
        <v>5.0556945600000001</v>
      </c>
      <c r="L7" s="146">
        <f>((D$2+D$3+D$4)*AA7)</f>
        <v>24.150884799999993</v>
      </c>
      <c r="M7" s="146">
        <f t="shared" si="4"/>
        <v>16.760714051199994</v>
      </c>
      <c r="N7" s="146">
        <f t="shared" si="4"/>
        <v>114.30806982918396</v>
      </c>
      <c r="O7" s="146">
        <f t="shared" ref="O7:O11" si="8">M7*AH7</f>
        <v>0.58662499179199978</v>
      </c>
      <c r="Q7" s="13"/>
      <c r="R7" s="139"/>
      <c r="S7" s="138"/>
      <c r="T7" s="139"/>
      <c r="U7" s="139"/>
      <c r="V7" s="107">
        <v>4.29</v>
      </c>
      <c r="W7" s="150">
        <f t="shared" si="5"/>
        <v>0.29399999999999998</v>
      </c>
      <c r="X7" s="19">
        <v>0.04</v>
      </c>
      <c r="Y7" s="19">
        <v>0.69399999999999995</v>
      </c>
      <c r="Z7" s="20">
        <v>6.82</v>
      </c>
      <c r="AA7" s="150">
        <f t="shared" si="6"/>
        <v>3.9199999999999992E-2</v>
      </c>
      <c r="AB7" s="7">
        <v>8.7665651879794172E-3</v>
      </c>
      <c r="AC7" s="150">
        <f t="shared" si="7"/>
        <v>4.7638888888888904E-2</v>
      </c>
      <c r="AE7" s="168"/>
      <c r="AF7" s="19">
        <v>0.3</v>
      </c>
      <c r="AG7" s="19">
        <v>0.04</v>
      </c>
      <c r="AH7" s="19">
        <v>3.5000000000000003E-2</v>
      </c>
    </row>
    <row r="8" spans="1:34" x14ac:dyDescent="0.2">
      <c r="A8" s="17" t="s">
        <v>601</v>
      </c>
      <c r="B8" s="18" t="s">
        <v>222</v>
      </c>
      <c r="C8" s="18">
        <v>10</v>
      </c>
      <c r="D8" s="147"/>
      <c r="E8" s="147"/>
      <c r="F8" s="147"/>
      <c r="G8" s="147"/>
      <c r="H8" s="147"/>
      <c r="I8" s="146">
        <f t="shared" si="3"/>
        <v>8.4261575999999998</v>
      </c>
      <c r="J8" s="146">
        <f t="shared" ref="J8:J11" si="9">I8*V8</f>
        <v>34.800030887999995</v>
      </c>
      <c r="K8" s="146">
        <f t="shared" ref="K8:K11" si="10">I8*X8</f>
        <v>0.29491551600000004</v>
      </c>
      <c r="L8" s="146">
        <f t="shared" ref="L8:L11" si="11">((D$2+D$3+D$4)*AA8)</f>
        <v>12.075442399999996</v>
      </c>
      <c r="M8" s="146">
        <f t="shared" si="4"/>
        <v>8.5252623343999971</v>
      </c>
      <c r="N8" s="146">
        <f t="shared" si="4"/>
        <v>55.840468290319983</v>
      </c>
      <c r="O8" s="146">
        <f t="shared" si="8"/>
        <v>0.2557578700319999</v>
      </c>
      <c r="Q8" s="13"/>
      <c r="R8" s="139"/>
      <c r="S8" s="138"/>
      <c r="T8" s="139"/>
      <c r="U8" s="139"/>
      <c r="V8" s="107">
        <v>4.13</v>
      </c>
      <c r="W8" s="150">
        <f t="shared" si="5"/>
        <v>1.9599999999999999E-2</v>
      </c>
      <c r="X8" s="19">
        <v>3.5000000000000003E-2</v>
      </c>
      <c r="Y8" s="19">
        <v>0.70599999999999996</v>
      </c>
      <c r="Z8" s="20">
        <v>6.55</v>
      </c>
      <c r="AA8" s="150">
        <f t="shared" si="6"/>
        <v>1.9599999999999996E-2</v>
      </c>
      <c r="AB8" s="7">
        <v>3.893395254108944E-3</v>
      </c>
      <c r="AC8" s="150">
        <f t="shared" si="7"/>
        <v>4.083333333333334E-2</v>
      </c>
      <c r="AE8" s="168"/>
      <c r="AF8" s="19">
        <v>0.02</v>
      </c>
      <c r="AG8" s="19">
        <v>0.02</v>
      </c>
      <c r="AH8" s="19">
        <v>0.03</v>
      </c>
    </row>
    <row r="9" spans="1:34" x14ac:dyDescent="0.2">
      <c r="B9" s="18" t="s">
        <v>222</v>
      </c>
      <c r="C9" s="18"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9"/>
        <v>0</v>
      </c>
      <c r="K9" s="146">
        <f t="shared" si="10"/>
        <v>0</v>
      </c>
      <c r="L9" s="146">
        <f t="shared" si="11"/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0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535</v>
      </c>
      <c r="B13" s="18" t="s">
        <v>223</v>
      </c>
      <c r="C13" s="18">
        <v>10</v>
      </c>
      <c r="D13" s="147"/>
      <c r="E13" s="147"/>
      <c r="F13" s="147"/>
      <c r="G13" s="147"/>
      <c r="H13" s="147"/>
      <c r="I13" s="146">
        <f t="shared" ref="I13:I20" si="12">D$35*W13</f>
        <v>12.6392364</v>
      </c>
      <c r="J13" s="146">
        <f t="shared" ref="J13:J20" si="13">I13*V13</f>
        <v>90.244147895999987</v>
      </c>
      <c r="K13" s="146">
        <f t="shared" ref="K13:K20" si="14">I13*X13</f>
        <v>0.99849967559999997</v>
      </c>
      <c r="L13" s="146">
        <f t="shared" ref="L13:L20" si="15">((D$2+D$3+D$4)*AA13)</f>
        <v>138.86758759999995</v>
      </c>
      <c r="M13" s="146">
        <f t="shared" ref="M13:N20" si="16">L13*Y13</f>
        <v>90.402799527599967</v>
      </c>
      <c r="N13" s="146">
        <f t="shared" si="16"/>
        <v>1284.6237812871957</v>
      </c>
      <c r="O13" s="146">
        <f t="shared" ref="O13:O20" si="17">M13*AH13</f>
        <v>6.7802099645699974</v>
      </c>
      <c r="Q13" s="13"/>
      <c r="R13" s="139"/>
      <c r="S13" s="138"/>
      <c r="T13" s="139"/>
      <c r="U13" s="139"/>
      <c r="V13" s="107">
        <v>7.14</v>
      </c>
      <c r="W13" s="150">
        <f t="shared" ref="W13:W20" si="18">(AF13/SUM(AF$2:AF$20))*0.98</f>
        <v>2.9399999999999999E-2</v>
      </c>
      <c r="X13" s="19">
        <v>7.9000000000000001E-2</v>
      </c>
      <c r="Y13" s="19">
        <v>0.65100000000000002</v>
      </c>
      <c r="Z13" s="20">
        <v>14.21</v>
      </c>
      <c r="AA13" s="150">
        <f t="shared" ref="AA13:AA20" si="19">(AG13/SUM(AG$6:AG$25))*0.98</f>
        <v>0.22539999999999996</v>
      </c>
      <c r="AB13" s="7">
        <v>0.19862765039737781</v>
      </c>
      <c r="AC13" s="150">
        <f t="shared" ref="AC13:AC20" si="20">(AH13/SUM(AH$6:AH$25))*0.98</f>
        <v>0.10208333333333335</v>
      </c>
      <c r="AE13" s="168"/>
      <c r="AF13" s="19">
        <v>0.03</v>
      </c>
      <c r="AG13" s="19">
        <v>0.23</v>
      </c>
      <c r="AH13" s="19">
        <v>7.4999999999999997E-2</v>
      </c>
    </row>
    <row r="14" spans="1:34" x14ac:dyDescent="0.2">
      <c r="A14" s="17" t="s">
        <v>55</v>
      </c>
      <c r="B14" s="18" t="s">
        <v>223</v>
      </c>
      <c r="C14" s="18">
        <v>10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120.75442399999996</v>
      </c>
      <c r="M14" s="146">
        <f t="shared" si="16"/>
        <v>77.282831359999975</v>
      </c>
      <c r="N14" s="146">
        <f t="shared" si="16"/>
        <v>981.49195827199958</v>
      </c>
      <c r="O14" s="146">
        <f t="shared" si="17"/>
        <v>6.9554548223999975</v>
      </c>
      <c r="Q14" s="13"/>
      <c r="R14" s="139"/>
      <c r="S14" s="138"/>
      <c r="T14" s="139"/>
      <c r="U14" s="139"/>
      <c r="V14" s="107">
        <v>6.51</v>
      </c>
      <c r="W14" s="150">
        <f t="shared" si="18"/>
        <v>0</v>
      </c>
      <c r="X14" s="19">
        <v>5.8000000000000003E-2</v>
      </c>
      <c r="Y14" s="19">
        <v>0.64</v>
      </c>
      <c r="Z14" s="20">
        <v>12.7</v>
      </c>
      <c r="AA14" s="150">
        <f t="shared" si="19"/>
        <v>0.19599999999999995</v>
      </c>
      <c r="AB14" s="7">
        <v>0.20131317857431055</v>
      </c>
      <c r="AC14" s="150">
        <f t="shared" si="20"/>
        <v>0.12250000000000003</v>
      </c>
      <c r="AE14" s="168"/>
      <c r="AF14" s="19">
        <v>0</v>
      </c>
      <c r="AG14" s="19">
        <v>0.2</v>
      </c>
      <c r="AH14" s="19">
        <v>0.09</v>
      </c>
    </row>
    <row r="15" spans="1:34" x14ac:dyDescent="0.2">
      <c r="A15" s="17" t="s">
        <v>602</v>
      </c>
      <c r="B15" s="18" t="s">
        <v>223</v>
      </c>
      <c r="C15" s="18"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90.565817999999965</v>
      </c>
      <c r="M15" s="146">
        <f t="shared" si="16"/>
        <v>58.867781699999981</v>
      </c>
      <c r="N15" s="146">
        <f t="shared" si="16"/>
        <v>814.14142091099973</v>
      </c>
      <c r="O15" s="146">
        <f t="shared" si="17"/>
        <v>5.5924392614999983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0.65</v>
      </c>
      <c r="Z15" s="20">
        <v>13.83</v>
      </c>
      <c r="AA15" s="150">
        <f t="shared" si="19"/>
        <v>0.14699999999999996</v>
      </c>
      <c r="AB15" s="7">
        <v>9.2163853721224362E-2</v>
      </c>
      <c r="AC15" s="150">
        <f t="shared" si="20"/>
        <v>0.12930555555555559</v>
      </c>
      <c r="AE15" s="168"/>
      <c r="AF15" s="19">
        <v>0</v>
      </c>
      <c r="AG15" s="19">
        <v>0.15</v>
      </c>
      <c r="AH15" s="19">
        <v>9.5000000000000001E-2</v>
      </c>
    </row>
    <row r="16" spans="1:34" x14ac:dyDescent="0.2">
      <c r="A16" s="17" t="s">
        <v>212</v>
      </c>
      <c r="B16" s="18" t="s">
        <v>223</v>
      </c>
      <c r="C16" s="18"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24.150884799999993</v>
      </c>
      <c r="M16" s="146">
        <f t="shared" si="16"/>
        <v>14.997699460799996</v>
      </c>
      <c r="N16" s="146">
        <f t="shared" si="16"/>
        <v>148.47722466191996</v>
      </c>
      <c r="O16" s="146">
        <f t="shared" si="17"/>
        <v>0.97485046495199978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0.621</v>
      </c>
      <c r="Z16" s="20">
        <v>9.9</v>
      </c>
      <c r="AA16" s="150">
        <f t="shared" si="19"/>
        <v>3.9199999999999992E-2</v>
      </c>
      <c r="AB16" s="7">
        <v>6.0549602613651103E-2</v>
      </c>
      <c r="AC16" s="150">
        <f t="shared" si="20"/>
        <v>8.8472222222222244E-2</v>
      </c>
      <c r="AE16" s="168"/>
      <c r="AF16" s="19">
        <v>0</v>
      </c>
      <c r="AG16" s="19">
        <v>0.04</v>
      </c>
      <c r="AH16" s="19">
        <v>6.5000000000000002E-2</v>
      </c>
    </row>
    <row r="17" spans="1:34" x14ac:dyDescent="0.2">
      <c r="A17" s="17" t="s">
        <v>211</v>
      </c>
      <c r="B17" s="18" t="s">
        <v>223</v>
      </c>
      <c r="C17" s="18">
        <v>10</v>
      </c>
      <c r="D17" s="147"/>
      <c r="E17" s="147"/>
      <c r="F17" s="147"/>
      <c r="G17" s="147"/>
      <c r="H17" s="147"/>
      <c r="I17" s="146">
        <f t="shared" si="12"/>
        <v>4.2130787999999999</v>
      </c>
      <c r="J17" s="146">
        <f t="shared" si="13"/>
        <v>19.717208783999997</v>
      </c>
      <c r="K17" s="146">
        <f t="shared" si="14"/>
        <v>0.16852315200000001</v>
      </c>
      <c r="L17" s="146">
        <f t="shared" si="15"/>
        <v>18.113163599999993</v>
      </c>
      <c r="M17" s="146">
        <f t="shared" si="16"/>
        <v>10.342616415599995</v>
      </c>
      <c r="N17" s="146">
        <f t="shared" si="16"/>
        <v>134.86771805942394</v>
      </c>
      <c r="O17" s="146">
        <f t="shared" si="17"/>
        <v>0.62055698493599964</v>
      </c>
      <c r="Q17" s="13"/>
      <c r="R17" s="139"/>
      <c r="S17" s="138"/>
      <c r="T17" s="139"/>
      <c r="U17" s="139"/>
      <c r="V17" s="107">
        <v>4.68</v>
      </c>
      <c r="W17" s="150">
        <f t="shared" si="18"/>
        <v>9.7999999999999997E-3</v>
      </c>
      <c r="X17" s="19">
        <v>0.04</v>
      </c>
      <c r="Y17" s="19">
        <v>0.57099999999999995</v>
      </c>
      <c r="Z17" s="20">
        <v>13.04</v>
      </c>
      <c r="AA17" s="150">
        <f t="shared" si="19"/>
        <v>2.9399999999999992E-2</v>
      </c>
      <c r="AB17" s="7">
        <v>7.1590670014879301E-2</v>
      </c>
      <c r="AC17" s="150">
        <f t="shared" si="20"/>
        <v>8.1666666666666679E-2</v>
      </c>
      <c r="AE17" s="168"/>
      <c r="AF17" s="19">
        <v>0.01</v>
      </c>
      <c r="AG17" s="19">
        <v>0.03</v>
      </c>
      <c r="AH17" s="19">
        <v>0.06</v>
      </c>
    </row>
    <row r="18" spans="1:34" x14ac:dyDescent="0.2">
      <c r="A18" s="17" t="s">
        <v>664</v>
      </c>
      <c r="B18" s="18" t="s">
        <v>223</v>
      </c>
      <c r="C18" s="18"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12.075442399999996</v>
      </c>
      <c r="M18" s="146">
        <f t="shared" si="16"/>
        <v>7.196963670399998</v>
      </c>
      <c r="N18" s="146">
        <f t="shared" si="16"/>
        <v>91.185529703967973</v>
      </c>
      <c r="O18" s="146">
        <f t="shared" si="17"/>
        <v>0.53977227527999982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0.59599999999999997</v>
      </c>
      <c r="Z18" s="20">
        <v>12.67</v>
      </c>
      <c r="AA18" s="150">
        <f t="shared" si="19"/>
        <v>1.9599999999999996E-2</v>
      </c>
      <c r="AB18" s="7">
        <v>2.491288177342357E-2</v>
      </c>
      <c r="AC18" s="150">
        <f t="shared" si="20"/>
        <v>0.10208333333333335</v>
      </c>
      <c r="AE18" s="168"/>
      <c r="AF18" s="19">
        <v>0</v>
      </c>
      <c r="AG18" s="19">
        <v>0.02</v>
      </c>
      <c r="AH18" s="19">
        <v>7.4999999999999997E-2</v>
      </c>
    </row>
    <row r="19" spans="1:34" x14ac:dyDescent="0.2">
      <c r="B19" s="18" t="s">
        <v>223</v>
      </c>
      <c r="C19" s="18"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52</v>
      </c>
      <c r="B22" s="18" t="s">
        <v>10</v>
      </c>
      <c r="C22" s="18"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72.452654399999972</v>
      </c>
      <c r="M22" s="146">
        <f t="shared" ref="M22:N25" si="21">L22*Y22</f>
        <v>49.050447028799987</v>
      </c>
      <c r="N22" s="146">
        <f t="shared" si="21"/>
        <v>506.20061333721588</v>
      </c>
      <c r="O22" s="146">
        <f t="shared" ref="O22:O25" si="22">M22*AH22</f>
        <v>3.1882790568719992</v>
      </c>
      <c r="Q22" s="13"/>
      <c r="R22" s="139"/>
      <c r="S22" s="138"/>
      <c r="T22" s="139"/>
      <c r="U22" s="139"/>
      <c r="V22" s="140"/>
      <c r="W22" s="154"/>
      <c r="X22" s="139"/>
      <c r="Y22" s="19">
        <v>0.67700000000000005</v>
      </c>
      <c r="Z22" s="20">
        <v>10.32</v>
      </c>
      <c r="AA22" s="150">
        <f>(AG22/SUM(AG$6:AG$25))*0.98</f>
        <v>0.11759999999999997</v>
      </c>
      <c r="AB22" s="7">
        <v>0.12938839482584544</v>
      </c>
      <c r="AC22" s="150">
        <f>(AH22/SUM(AH$6:AH$25))*0.98</f>
        <v>8.8472222222222244E-2</v>
      </c>
      <c r="AE22" s="168"/>
      <c r="AF22" s="168"/>
      <c r="AG22" s="19">
        <v>0.12</v>
      </c>
      <c r="AH22" s="19">
        <v>6.5000000000000002E-2</v>
      </c>
    </row>
    <row r="23" spans="1:34" x14ac:dyDescent="0.2">
      <c r="A23" s="17" t="s">
        <v>192</v>
      </c>
      <c r="B23" s="18" t="s">
        <v>10</v>
      </c>
      <c r="C23" s="18"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42.264048399999993</v>
      </c>
      <c r="M23" s="146">
        <f t="shared" si="21"/>
        <v>27.978800040799996</v>
      </c>
      <c r="N23" s="146">
        <f t="shared" si="21"/>
        <v>280.90715240963192</v>
      </c>
      <c r="O23" s="146">
        <f t="shared" si="22"/>
        <v>2.2383040032639996</v>
      </c>
      <c r="Q23" s="13"/>
      <c r="R23" s="139"/>
      <c r="S23" s="138"/>
      <c r="T23" s="139"/>
      <c r="U23" s="139"/>
      <c r="V23" s="140"/>
      <c r="W23" s="154"/>
      <c r="X23" s="139"/>
      <c r="Y23" s="19">
        <v>0.66200000000000003</v>
      </c>
      <c r="Z23" s="20">
        <v>10.039999999999999</v>
      </c>
      <c r="AA23" s="150">
        <f>(AG23/SUM(AG$6:AG$25))*0.98</f>
        <v>6.8599999999999994E-2</v>
      </c>
      <c r="AB23" s="7">
        <v>4.9605136578939911E-2</v>
      </c>
      <c r="AC23" s="150">
        <f>(AH23/SUM(AH$6:AH$25))*0.98</f>
        <v>0.10888888888888891</v>
      </c>
      <c r="AE23" s="168"/>
      <c r="AF23" s="168"/>
      <c r="AG23" s="19">
        <v>7.0000000000000007E-2</v>
      </c>
      <c r="AH23" s="19">
        <v>0.08</v>
      </c>
    </row>
    <row r="24" spans="1:34" x14ac:dyDescent="0.2">
      <c r="B24" s="18" t="s">
        <v>10</v>
      </c>
      <c r="C24" s="18"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2.0947920738417902E-2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0.97999999999999965</v>
      </c>
      <c r="AB28" s="150">
        <f>SUM(AB2:AB4,AB6:AB11,AB13:AB20,AB22:AB25)</f>
        <v>0.89616358353375136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1046</v>
      </c>
      <c r="E29" s="47">
        <v>0.58899999999999997</v>
      </c>
      <c r="F29" s="2">
        <f>1-E29</f>
        <v>0.41100000000000003</v>
      </c>
      <c r="G29" s="106">
        <v>4.3499999999999996</v>
      </c>
      <c r="H29" s="126">
        <v>0.04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616.09399999999994</v>
      </c>
      <c r="E32" s="156">
        <f>SUM(E2:E4)</f>
        <v>395.85271687999995</v>
      </c>
      <c r="F32" s="156">
        <f>SUM(F2:F4)</f>
        <v>4674.7530536942395</v>
      </c>
      <c r="G32" s="156">
        <f>SUM(G2:G4)</f>
        <v>29.473936959999996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429.90600000000001</v>
      </c>
      <c r="E35" s="156">
        <f>D35*G29</f>
        <v>1870.0910999999999</v>
      </c>
      <c r="F35" s="156">
        <f>D35*H29</f>
        <v>17.19624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421.30788000000001</v>
      </c>
      <c r="E38" s="157">
        <f>SUM(J2:J4,J6:J11,J13:J20)</f>
        <v>1867.6157012519998</v>
      </c>
      <c r="F38" s="157">
        <f>SUM(K2:K4,K6:K11,K13:K20)</f>
        <v>17.16829611</v>
      </c>
      <c r="G38" s="157">
        <f>SUM(L6:L11,L13:L20,L22:L25)</f>
        <v>603.77211999999975</v>
      </c>
      <c r="H38" s="157">
        <f>SUM(M6:M11,M13:M20,M22:M25)</f>
        <v>395.79677554479986</v>
      </c>
      <c r="I38" s="157">
        <f>SUM(N6:N11,N13:N20,N22:N25)</f>
        <v>4664.4728488330265</v>
      </c>
      <c r="J38" s="157">
        <f>SUM(O6:O11,O13:O20,O22:O25)</f>
        <v>29.451792693357984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8.5981199999999944</v>
      </c>
      <c r="E39" s="158">
        <f>E35-E38</f>
        <v>2.4753987480000887</v>
      </c>
      <c r="F39" s="158">
        <f>F35-F38</f>
        <v>2.7943889999999527E-2</v>
      </c>
      <c r="G39" s="158">
        <f>SUM(D2:D4)-G38</f>
        <v>12.321880000000192</v>
      </c>
      <c r="H39" s="158">
        <f>E32-H38</f>
        <v>5.5941335200088815E-2</v>
      </c>
      <c r="I39" s="158">
        <f>F32-I38</f>
        <v>10.280204861212951</v>
      </c>
      <c r="J39" s="158">
        <f>G32-J38</f>
        <v>2.2144266642012411E-2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41" priority="1" operator="lessThan">
      <formula>0</formula>
    </cfRule>
  </conditionalFormatting>
  <conditionalFormatting sqref="W28">
    <cfRule type="cellIs" dxfId="40" priority="2" operator="greaterThan">
      <formula>1</formula>
    </cfRule>
  </conditionalFormatting>
  <conditionalFormatting sqref="AA28:AG28">
    <cfRule type="cellIs" dxfId="3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FACA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160</v>
      </c>
      <c r="B2" s="18" t="s">
        <v>9</v>
      </c>
      <c r="C2" s="18">
        <v>10</v>
      </c>
      <c r="D2" s="146">
        <f>D$32*Q2</f>
        <v>580.3471199999999</v>
      </c>
      <c r="E2" s="146">
        <f>D2*R2</f>
        <v>392.89500023999994</v>
      </c>
      <c r="F2" s="146">
        <f>E2*S2</f>
        <v>4636.1610028319992</v>
      </c>
      <c r="G2" s="146">
        <f>D2*T2</f>
        <v>28.437008879999997</v>
      </c>
      <c r="H2" s="146">
        <f>E2*U2</f>
        <v>8.6436900052799981</v>
      </c>
      <c r="I2" s="146">
        <f>D$35*W2</f>
        <v>33.688793600000004</v>
      </c>
      <c r="J2" s="146">
        <f>I2*V2</f>
        <v>86.58019955200001</v>
      </c>
      <c r="K2" s="146">
        <f>I2*X2</f>
        <v>0.50533190400000005</v>
      </c>
      <c r="L2" s="147"/>
      <c r="M2" s="147"/>
      <c r="N2" s="147"/>
      <c r="O2" s="147"/>
      <c r="Q2" s="150">
        <f>(AE2/SUM(AE$2:AE$25))</f>
        <v>0.97</v>
      </c>
      <c r="R2" s="19">
        <v>0.67700000000000005</v>
      </c>
      <c r="S2" s="107">
        <v>11.8</v>
      </c>
      <c r="T2" s="19">
        <v>4.9000000000000002E-2</v>
      </c>
      <c r="U2" s="19">
        <v>2.1999999999999999E-2</v>
      </c>
      <c r="V2" s="107">
        <v>2.57</v>
      </c>
      <c r="W2" s="150">
        <f>(AF2/SUM(AF$2:AF$20))*0.98</f>
        <v>7.8399999999999997E-2</v>
      </c>
      <c r="X2" s="19">
        <v>1.4999999999999999E-2</v>
      </c>
      <c r="Y2" s="21"/>
      <c r="Z2" s="22"/>
      <c r="AA2" s="1"/>
      <c r="AB2" s="1"/>
      <c r="AC2" s="1"/>
      <c r="AE2" s="19">
        <v>0.97</v>
      </c>
      <c r="AF2" s="19">
        <v>0.08</v>
      </c>
      <c r="AG2" s="168"/>
      <c r="AH2" s="168"/>
    </row>
    <row r="3" spans="1:34" x14ac:dyDescent="0.2">
      <c r="A3" s="17" t="s">
        <v>399</v>
      </c>
      <c r="B3" s="18" t="s">
        <v>9</v>
      </c>
      <c r="C3" s="18">
        <v>10</v>
      </c>
      <c r="D3" s="146">
        <f>D$32*Q3</f>
        <v>17.948880000000013</v>
      </c>
      <c r="E3" s="146">
        <f t="shared" ref="E3:F4" si="0">D3*R3</f>
        <v>10.894970160000009</v>
      </c>
      <c r="F3" s="146">
        <f t="shared" si="0"/>
        <v>115.59563339760008</v>
      </c>
      <c r="G3" s="146">
        <f t="shared" ref="G3:G4" si="1">D3*T3</f>
        <v>0.61026192000000046</v>
      </c>
      <c r="H3" s="146">
        <f t="shared" ref="H3:H4" si="2">E3*U3</f>
        <v>0.21789940320000017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3.0000000000000027E-2</v>
      </c>
      <c r="R3" s="19">
        <v>0.60699999999999998</v>
      </c>
      <c r="S3" s="107">
        <v>10.61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3.0000000000000027E-2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137</v>
      </c>
      <c r="B6" s="18" t="s">
        <v>222</v>
      </c>
      <c r="C6" s="18">
        <v>10</v>
      </c>
      <c r="D6" s="147"/>
      <c r="E6" s="147"/>
      <c r="F6" s="147"/>
      <c r="G6" s="147"/>
      <c r="H6" s="147"/>
      <c r="I6" s="146">
        <f t="shared" ref="I6:I11" si="3">D$35*W6</f>
        <v>160.02176960000003</v>
      </c>
      <c r="J6" s="146">
        <f t="shared" ref="J6:J11" si="4">I6*V6</f>
        <v>752.10231712000018</v>
      </c>
      <c r="K6" s="146">
        <f t="shared" ref="K6:K11" si="5">I6*X6</f>
        <v>9.2812626368000029</v>
      </c>
      <c r="L6" s="146">
        <f t="shared" ref="L6:L11" si="6">((D$2+D$3+D$4)*AA6)</f>
        <v>26.384853599999996</v>
      </c>
      <c r="M6" s="146">
        <f t="shared" ref="M6:N11" si="7">L6*Y6</f>
        <v>19.735870492799997</v>
      </c>
      <c r="N6" s="146">
        <f t="shared" si="7"/>
        <v>141.11147402351997</v>
      </c>
      <c r="O6" s="146">
        <f t="shared" ref="O6:O11" si="8">M6*AH6</f>
        <v>1.1841522295679998</v>
      </c>
      <c r="Q6" s="13"/>
      <c r="R6" s="139"/>
      <c r="S6" s="138"/>
      <c r="T6" s="139"/>
      <c r="U6" s="139"/>
      <c r="V6" s="107">
        <v>4.7</v>
      </c>
      <c r="W6" s="150">
        <f t="shared" ref="W6:W11" si="9">(AF6/SUM(AF$2:AF$20))*0.98</f>
        <v>0.37240000000000001</v>
      </c>
      <c r="X6" s="19">
        <v>5.8000000000000003E-2</v>
      </c>
      <c r="Y6" s="19">
        <v>0.748</v>
      </c>
      <c r="Z6" s="20">
        <v>7.15</v>
      </c>
      <c r="AA6" s="150">
        <f t="shared" ref="AA6:AA11" si="10">(AG6/SUM(AG$6:AG$25))*0.98</f>
        <v>4.41E-2</v>
      </c>
      <c r="AB6" s="7">
        <v>0.10097043870963301</v>
      </c>
      <c r="AC6" s="150">
        <f t="shared" ref="AC6:AC11" si="11">(AH6/SUM(AH$6:AH$25))*0.98</f>
        <v>7.3316708229426417E-2</v>
      </c>
      <c r="AE6" s="168"/>
      <c r="AF6" s="19">
        <v>0.38</v>
      </c>
      <c r="AG6" s="19">
        <v>4.4999999999999998E-2</v>
      </c>
      <c r="AH6" s="19">
        <v>0.06</v>
      </c>
    </row>
    <row r="7" spans="1:34" x14ac:dyDescent="0.2">
      <c r="A7" s="17" t="s">
        <v>555</v>
      </c>
      <c r="B7" s="18" t="s">
        <v>222</v>
      </c>
      <c r="C7" s="18">
        <v>10</v>
      </c>
      <c r="D7" s="147"/>
      <c r="E7" s="147"/>
      <c r="F7" s="147"/>
      <c r="G7" s="147"/>
      <c r="H7" s="147"/>
      <c r="I7" s="146">
        <f t="shared" si="3"/>
        <v>147.38847200000001</v>
      </c>
      <c r="J7" s="146">
        <f t="shared" si="4"/>
        <v>744.31178360000001</v>
      </c>
      <c r="K7" s="146">
        <f t="shared" si="5"/>
        <v>7.3694236000000011</v>
      </c>
      <c r="L7" s="146">
        <f t="shared" si="6"/>
        <v>73.291259999999994</v>
      </c>
      <c r="M7" s="146">
        <f t="shared" si="7"/>
        <v>53.502619799999991</v>
      </c>
      <c r="N7" s="146">
        <f t="shared" si="7"/>
        <v>429.09101079599992</v>
      </c>
      <c r="O7" s="146">
        <f t="shared" si="8"/>
        <v>3.4776702869999996</v>
      </c>
      <c r="Q7" s="13"/>
      <c r="R7" s="139"/>
      <c r="S7" s="138"/>
      <c r="T7" s="139"/>
      <c r="U7" s="139"/>
      <c r="V7" s="107">
        <v>5.05</v>
      </c>
      <c r="W7" s="150">
        <f t="shared" si="9"/>
        <v>0.34299999999999997</v>
      </c>
      <c r="X7" s="19">
        <v>0.05</v>
      </c>
      <c r="Y7" s="19">
        <v>0.73</v>
      </c>
      <c r="Z7" s="20">
        <v>8.02</v>
      </c>
      <c r="AA7" s="150">
        <f t="shared" si="10"/>
        <v>0.1225</v>
      </c>
      <c r="AB7" s="7">
        <v>3.6580013622682005E-2</v>
      </c>
      <c r="AC7" s="150">
        <f t="shared" si="11"/>
        <v>7.9426433915211953E-2</v>
      </c>
      <c r="AE7" s="168"/>
      <c r="AF7" s="19">
        <v>0.35</v>
      </c>
      <c r="AG7" s="19">
        <v>0.125</v>
      </c>
      <c r="AH7" s="19">
        <v>6.5000000000000002E-2</v>
      </c>
    </row>
    <row r="8" spans="1:34" x14ac:dyDescent="0.2">
      <c r="A8" s="17" t="s">
        <v>665</v>
      </c>
      <c r="B8" s="18" t="s">
        <v>222</v>
      </c>
      <c r="C8" s="18">
        <v>10</v>
      </c>
      <c r="D8" s="147"/>
      <c r="E8" s="147"/>
      <c r="F8" s="147"/>
      <c r="G8" s="147"/>
      <c r="H8" s="147"/>
      <c r="I8" s="146">
        <f t="shared" si="3"/>
        <v>63.166488000000008</v>
      </c>
      <c r="J8" s="146">
        <f t="shared" si="4"/>
        <v>300.04081800000006</v>
      </c>
      <c r="K8" s="146">
        <f t="shared" si="5"/>
        <v>3.0951579120000003</v>
      </c>
      <c r="L8" s="146">
        <f t="shared" si="6"/>
        <v>35.179804799999992</v>
      </c>
      <c r="M8" s="146">
        <f t="shared" si="7"/>
        <v>25.751617113599995</v>
      </c>
      <c r="N8" s="146">
        <f t="shared" si="7"/>
        <v>213.73842204287996</v>
      </c>
      <c r="O8" s="146">
        <f t="shared" si="8"/>
        <v>1.4163389412479996</v>
      </c>
      <c r="Q8" s="13"/>
      <c r="R8" s="139"/>
      <c r="S8" s="138"/>
      <c r="T8" s="139"/>
      <c r="U8" s="139"/>
      <c r="V8" s="107">
        <v>4.75</v>
      </c>
      <c r="W8" s="150">
        <f t="shared" si="9"/>
        <v>0.14699999999999999</v>
      </c>
      <c r="X8" s="19">
        <v>4.9000000000000002E-2</v>
      </c>
      <c r="Y8" s="19">
        <v>0.73199999999999998</v>
      </c>
      <c r="Z8" s="20">
        <v>8.3000000000000007</v>
      </c>
      <c r="AA8" s="150">
        <f t="shared" si="10"/>
        <v>5.8799999999999998E-2</v>
      </c>
      <c r="AB8" s="7">
        <v>1.1901303670887882E-2</v>
      </c>
      <c r="AC8" s="150">
        <f t="shared" si="11"/>
        <v>6.7206982543640881E-2</v>
      </c>
      <c r="AE8" s="168"/>
      <c r="AF8" s="19">
        <v>0.15</v>
      </c>
      <c r="AG8" s="19">
        <v>0.06</v>
      </c>
      <c r="AH8" s="19">
        <v>5.5E-2</v>
      </c>
    </row>
    <row r="9" spans="1:34" x14ac:dyDescent="0.2">
      <c r="A9" s="17" t="s">
        <v>331</v>
      </c>
      <c r="B9" s="18" t="s">
        <v>222</v>
      </c>
      <c r="C9" s="18">
        <v>10</v>
      </c>
      <c r="D9" s="147"/>
      <c r="E9" s="147"/>
      <c r="F9" s="147"/>
      <c r="G9" s="147"/>
      <c r="H9" s="147"/>
      <c r="I9" s="146">
        <f t="shared" si="3"/>
        <v>8.422198400000001</v>
      </c>
      <c r="J9" s="146">
        <f t="shared" si="4"/>
        <v>37.057672960000005</v>
      </c>
      <c r="K9" s="146">
        <f t="shared" si="5"/>
        <v>0.37057672960000004</v>
      </c>
      <c r="L9" s="146">
        <f t="shared" si="6"/>
        <v>5.8633007999999993</v>
      </c>
      <c r="M9" s="146">
        <f t="shared" si="7"/>
        <v>4.1043105599999992</v>
      </c>
      <c r="N9" s="146">
        <f t="shared" si="7"/>
        <v>28.730173919999995</v>
      </c>
      <c r="O9" s="146">
        <f t="shared" si="8"/>
        <v>0.20521552799999998</v>
      </c>
      <c r="Q9" s="13"/>
      <c r="R9" s="139"/>
      <c r="S9" s="138"/>
      <c r="T9" s="139"/>
      <c r="U9" s="139"/>
      <c r="V9" s="107">
        <v>4.4000000000000004</v>
      </c>
      <c r="W9" s="150">
        <f t="shared" si="9"/>
        <v>1.9599999999999999E-2</v>
      </c>
      <c r="X9" s="19">
        <v>4.3999999999999997E-2</v>
      </c>
      <c r="Y9" s="19">
        <v>0.7</v>
      </c>
      <c r="Z9" s="20">
        <v>7</v>
      </c>
      <c r="AA9" s="150">
        <f t="shared" si="10"/>
        <v>9.7999999999999997E-3</v>
      </c>
      <c r="AB9" s="7">
        <v>2.3793858390666955E-2</v>
      </c>
      <c r="AC9" s="150">
        <f t="shared" si="11"/>
        <v>6.1097256857855352E-2</v>
      </c>
      <c r="AE9" s="168"/>
      <c r="AF9" s="19">
        <v>0.02</v>
      </c>
      <c r="AG9" s="19">
        <v>0.01</v>
      </c>
      <c r="AH9" s="19">
        <v>0.05</v>
      </c>
    </row>
    <row r="10" spans="1:34" x14ac:dyDescent="0.2">
      <c r="B10" s="18" t="s">
        <v>222</v>
      </c>
      <c r="C10" s="18"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4.0581098624604978E-3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49</v>
      </c>
      <c r="B13" s="18" t="s">
        <v>223</v>
      </c>
      <c r="C13" s="18">
        <v>10</v>
      </c>
      <c r="D13" s="147"/>
      <c r="E13" s="147"/>
      <c r="F13" s="147"/>
      <c r="G13" s="147"/>
      <c r="H13" s="147"/>
      <c r="I13" s="146">
        <f t="shared" ref="I13:I20" si="12">D$35*W13</f>
        <v>6.3166488000000012</v>
      </c>
      <c r="J13" s="146">
        <f t="shared" ref="J13:J20" si="13">I13*V13</f>
        <v>33.541405128000001</v>
      </c>
      <c r="K13" s="146">
        <f t="shared" ref="K13:K20" si="14">I13*X13</f>
        <v>0.3158324400000001</v>
      </c>
      <c r="L13" s="146">
        <f t="shared" ref="L13:L20" si="15">((D$2+D$3+D$4)*AA13)</f>
        <v>158.3091216</v>
      </c>
      <c r="M13" s="146">
        <f t="shared" ref="M13:N20" si="16">L13*Y13</f>
        <v>106.7003479584</v>
      </c>
      <c r="N13" s="146">
        <f t="shared" si="16"/>
        <v>1572.7631289068161</v>
      </c>
      <c r="O13" s="146">
        <f t="shared" ref="O13:O20" si="17">M13*AH13</f>
        <v>10.0298327080896</v>
      </c>
      <c r="Q13" s="13"/>
      <c r="R13" s="139"/>
      <c r="S13" s="138"/>
      <c r="T13" s="139"/>
      <c r="U13" s="139"/>
      <c r="V13" s="107">
        <v>5.31</v>
      </c>
      <c r="W13" s="150">
        <f t="shared" ref="W13:W20" si="18">(AF13/SUM(AF$2:AF$20))*0.98</f>
        <v>1.47E-2</v>
      </c>
      <c r="X13" s="19">
        <v>0.05</v>
      </c>
      <c r="Y13" s="19">
        <v>0.67400000000000004</v>
      </c>
      <c r="Z13" s="20">
        <v>14.74</v>
      </c>
      <c r="AA13" s="150">
        <f t="shared" ref="AA13:AA20" si="19">(AG13/SUM(AG$6:AG$25))*0.98</f>
        <v>0.2646</v>
      </c>
      <c r="AB13" s="7">
        <v>0.13977929597046804</v>
      </c>
      <c r="AC13" s="150">
        <f t="shared" ref="AC13:AC20" si="20">(AH13/SUM(AH$6:AH$25))*0.98</f>
        <v>0.11486284289276805</v>
      </c>
      <c r="AE13" s="168"/>
      <c r="AF13" s="19">
        <v>1.4999999999999999E-2</v>
      </c>
      <c r="AG13" s="19">
        <v>0.27</v>
      </c>
      <c r="AH13" s="19">
        <v>9.4E-2</v>
      </c>
    </row>
    <row r="14" spans="1:34" x14ac:dyDescent="0.2">
      <c r="A14" s="17" t="s">
        <v>213</v>
      </c>
      <c r="B14" s="18" t="s">
        <v>223</v>
      </c>
      <c r="C14" s="18">
        <v>10</v>
      </c>
      <c r="D14" s="147"/>
      <c r="E14" s="147"/>
      <c r="F14" s="147"/>
      <c r="G14" s="147"/>
      <c r="H14" s="147"/>
      <c r="I14" s="146">
        <f t="shared" si="12"/>
        <v>2.1055496000000002</v>
      </c>
      <c r="J14" s="146">
        <f t="shared" si="13"/>
        <v>10.190860064000001</v>
      </c>
      <c r="K14" s="146">
        <f t="shared" si="14"/>
        <v>8.632753360000002E-2</v>
      </c>
      <c r="L14" s="146">
        <f t="shared" si="15"/>
        <v>128.99261759999999</v>
      </c>
      <c r="M14" s="146">
        <f t="shared" si="16"/>
        <v>86.683039027199996</v>
      </c>
      <c r="N14" s="146">
        <f t="shared" si="16"/>
        <v>1207.4947336488958</v>
      </c>
      <c r="O14" s="146">
        <f t="shared" si="17"/>
        <v>5.9811296928768005</v>
      </c>
      <c r="Q14" s="13"/>
      <c r="R14" s="139"/>
      <c r="S14" s="138"/>
      <c r="T14" s="139"/>
      <c r="U14" s="139"/>
      <c r="V14" s="107">
        <v>4.84</v>
      </c>
      <c r="W14" s="150">
        <f t="shared" si="18"/>
        <v>4.8999999999999998E-3</v>
      </c>
      <c r="X14" s="19">
        <v>4.1000000000000002E-2</v>
      </c>
      <c r="Y14" s="19">
        <v>0.67200000000000004</v>
      </c>
      <c r="Z14" s="20">
        <v>13.93</v>
      </c>
      <c r="AA14" s="150">
        <f t="shared" si="19"/>
        <v>0.21559999999999999</v>
      </c>
      <c r="AB14" s="7">
        <v>0.13397476484210691</v>
      </c>
      <c r="AC14" s="150">
        <f t="shared" si="20"/>
        <v>8.4314214463840381E-2</v>
      </c>
      <c r="AE14" s="168"/>
      <c r="AF14" s="19">
        <v>5.0000000000000001E-3</v>
      </c>
      <c r="AG14" s="19">
        <v>0.22</v>
      </c>
      <c r="AH14" s="19">
        <v>6.9000000000000006E-2</v>
      </c>
    </row>
    <row r="15" spans="1:34" x14ac:dyDescent="0.2">
      <c r="A15" s="17" t="s">
        <v>498</v>
      </c>
      <c r="B15" s="18" t="s">
        <v>223</v>
      </c>
      <c r="C15" s="18"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41.043105599999997</v>
      </c>
      <c r="M15" s="146">
        <f t="shared" si="16"/>
        <v>23.887087459199996</v>
      </c>
      <c r="N15" s="146">
        <f t="shared" si="16"/>
        <v>338.00228754767994</v>
      </c>
      <c r="O15" s="146">
        <f t="shared" si="17"/>
        <v>1.9587411716543999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0.58199999999999996</v>
      </c>
      <c r="Z15" s="20">
        <v>14.15</v>
      </c>
      <c r="AA15" s="150">
        <f t="shared" si="19"/>
        <v>6.8600000000000008E-2</v>
      </c>
      <c r="AB15" s="7">
        <v>6.3379106516108133E-2</v>
      </c>
      <c r="AC15" s="150">
        <f t="shared" si="20"/>
        <v>0.10019950124688277</v>
      </c>
      <c r="AE15" s="168"/>
      <c r="AF15" s="19">
        <v>0</v>
      </c>
      <c r="AG15" s="19">
        <v>7.0000000000000007E-2</v>
      </c>
      <c r="AH15" s="19">
        <v>8.2000000000000003E-2</v>
      </c>
    </row>
    <row r="16" spans="1:34" x14ac:dyDescent="0.2">
      <c r="A16" s="17" t="s">
        <v>666</v>
      </c>
      <c r="B16" s="18" t="s">
        <v>223</v>
      </c>
      <c r="C16" s="18"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20.521552799999998</v>
      </c>
      <c r="M16" s="146">
        <f t="shared" si="16"/>
        <v>13.503181742399999</v>
      </c>
      <c r="N16" s="146">
        <f t="shared" si="16"/>
        <v>142.32353556489599</v>
      </c>
      <c r="O16" s="146">
        <f t="shared" si="17"/>
        <v>0.70216545060479996</v>
      </c>
      <c r="Q16" s="13"/>
      <c r="R16" s="139"/>
      <c r="S16" s="138"/>
      <c r="T16" s="139"/>
      <c r="U16" s="139"/>
      <c r="V16" s="107">
        <v>6.01</v>
      </c>
      <c r="W16" s="150">
        <f t="shared" si="18"/>
        <v>0</v>
      </c>
      <c r="X16" s="19">
        <v>8.0000000000000002E-3</v>
      </c>
      <c r="Y16" s="19">
        <v>0.65800000000000003</v>
      </c>
      <c r="Z16" s="20">
        <v>10.54</v>
      </c>
      <c r="AA16" s="150">
        <f t="shared" si="19"/>
        <v>3.4300000000000004E-2</v>
      </c>
      <c r="AB16" s="7">
        <v>2.1686028625809362E-2</v>
      </c>
      <c r="AC16" s="150">
        <f t="shared" si="20"/>
        <v>6.3541147132169559E-2</v>
      </c>
      <c r="AE16" s="168"/>
      <c r="AF16" s="19">
        <v>0</v>
      </c>
      <c r="AG16" s="19">
        <v>3.5000000000000003E-2</v>
      </c>
      <c r="AH16" s="19">
        <v>5.1999999999999998E-2</v>
      </c>
    </row>
    <row r="17" spans="1:34" x14ac:dyDescent="0.2">
      <c r="A17" s="17" t="s">
        <v>179</v>
      </c>
      <c r="B17" s="18" t="s">
        <v>223</v>
      </c>
      <c r="C17" s="18"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14.658251999999999</v>
      </c>
      <c r="M17" s="146">
        <f t="shared" si="16"/>
        <v>8.7949511999999999</v>
      </c>
      <c r="N17" s="146">
        <f t="shared" si="16"/>
        <v>87.949511999999999</v>
      </c>
      <c r="O17" s="146">
        <f t="shared" si="17"/>
        <v>0.43974756000000004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</v>
      </c>
      <c r="Z17" s="20">
        <v>10</v>
      </c>
      <c r="AA17" s="150">
        <f t="shared" si="19"/>
        <v>2.4500000000000001E-2</v>
      </c>
      <c r="AB17" s="7">
        <v>0.13483737034533969</v>
      </c>
      <c r="AC17" s="150">
        <f t="shared" si="20"/>
        <v>6.1097256857855352E-2</v>
      </c>
      <c r="AE17" s="168"/>
      <c r="AF17" s="19">
        <v>0</v>
      </c>
      <c r="AG17" s="19">
        <v>2.5000000000000001E-2</v>
      </c>
      <c r="AH17" s="19">
        <v>0.05</v>
      </c>
    </row>
    <row r="18" spans="1:34" x14ac:dyDescent="0.2">
      <c r="A18" s="17" t="s">
        <v>667</v>
      </c>
      <c r="B18" s="18" t="s">
        <v>223</v>
      </c>
      <c r="C18" s="18"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11.726601599999999</v>
      </c>
      <c r="M18" s="146">
        <f t="shared" si="16"/>
        <v>7.3291259999999987</v>
      </c>
      <c r="N18" s="146">
        <f t="shared" si="16"/>
        <v>84.284948999999983</v>
      </c>
      <c r="O18" s="146">
        <f t="shared" si="17"/>
        <v>0.32981066999999992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0.625</v>
      </c>
      <c r="Z18" s="20">
        <v>11.5</v>
      </c>
      <c r="AA18" s="150">
        <f t="shared" si="19"/>
        <v>1.9599999999999999E-2</v>
      </c>
      <c r="AB18" s="7">
        <v>5.4155903923578511E-2</v>
      </c>
      <c r="AC18" s="150">
        <f t="shared" si="20"/>
        <v>5.4987531172069816E-2</v>
      </c>
      <c r="AE18" s="168"/>
      <c r="AF18" s="19">
        <v>0</v>
      </c>
      <c r="AG18" s="19">
        <v>0.02</v>
      </c>
      <c r="AH18" s="19">
        <v>4.4999999999999998E-2</v>
      </c>
    </row>
    <row r="19" spans="1:34" x14ac:dyDescent="0.2">
      <c r="B19" s="18" t="s">
        <v>223</v>
      </c>
      <c r="C19" s="18"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1.4127569434105905E-2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1.5301244433247011E-2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63</v>
      </c>
      <c r="B22" s="18" t="s">
        <v>10</v>
      </c>
      <c r="C22" s="18"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49.838056799999997</v>
      </c>
      <c r="M22" s="146">
        <f t="shared" ref="M22:N25" si="21">L22*Y22</f>
        <v>33.939716680800004</v>
      </c>
      <c r="N22" s="146">
        <f t="shared" si="21"/>
        <v>370.28230898752804</v>
      </c>
      <c r="O22" s="146">
        <f t="shared" ref="O22:O25" si="22">M22*AH22</f>
        <v>2.5454787510600001</v>
      </c>
      <c r="Q22" s="13"/>
      <c r="R22" s="139"/>
      <c r="S22" s="138"/>
      <c r="T22" s="139"/>
      <c r="U22" s="139"/>
      <c r="V22" s="140"/>
      <c r="W22" s="154"/>
      <c r="X22" s="139"/>
      <c r="Y22" s="19">
        <v>0.68100000000000005</v>
      </c>
      <c r="Z22" s="20">
        <v>10.91</v>
      </c>
      <c r="AA22" s="150">
        <f>(AG22/SUM(AG$6:AG$25))*0.98</f>
        <v>8.3299999999999999E-2</v>
      </c>
      <c r="AB22" s="7">
        <v>0.12428203305448807</v>
      </c>
      <c r="AC22" s="150">
        <f>(AH22/SUM(AH$6:AH$25))*0.98</f>
        <v>9.1645885286783024E-2</v>
      </c>
      <c r="AE22" s="168"/>
      <c r="AF22" s="168"/>
      <c r="AG22" s="19">
        <v>8.5000000000000006E-2</v>
      </c>
      <c r="AH22" s="19">
        <v>7.4999999999999997E-2</v>
      </c>
    </row>
    <row r="23" spans="1:34" x14ac:dyDescent="0.2">
      <c r="A23" s="17" t="s">
        <v>161</v>
      </c>
      <c r="B23" s="18" t="s">
        <v>10</v>
      </c>
      <c r="C23" s="18"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11.726601599999999</v>
      </c>
      <c r="M23" s="146">
        <f t="shared" si="21"/>
        <v>8.5604191679999992</v>
      </c>
      <c r="N23" s="146">
        <f t="shared" si="21"/>
        <v>80.467940179199999</v>
      </c>
      <c r="O23" s="146">
        <f t="shared" si="22"/>
        <v>0.42802095839999998</v>
      </c>
      <c r="Q23" s="13"/>
      <c r="R23" s="139"/>
      <c r="S23" s="138"/>
      <c r="T23" s="139"/>
      <c r="U23" s="139"/>
      <c r="V23" s="140"/>
      <c r="W23" s="154"/>
      <c r="X23" s="139"/>
      <c r="Y23" s="19">
        <v>0.73</v>
      </c>
      <c r="Z23" s="20">
        <v>9.4</v>
      </c>
      <c r="AA23" s="150">
        <f>(AG23/SUM(AG$6:AG$25))*0.98</f>
        <v>1.9599999999999999E-2</v>
      </c>
      <c r="AB23" s="7">
        <v>4.0438583704690979E-2</v>
      </c>
      <c r="AC23" s="150">
        <f>(AH23/SUM(AH$6:AH$25))*0.98</f>
        <v>6.1097256857855352E-2</v>
      </c>
      <c r="AE23" s="168"/>
      <c r="AF23" s="168"/>
      <c r="AG23" s="19">
        <v>0.02</v>
      </c>
      <c r="AH23" s="19">
        <v>0.05</v>
      </c>
    </row>
    <row r="24" spans="1:34" x14ac:dyDescent="0.2">
      <c r="A24" s="17" t="s">
        <v>615</v>
      </c>
      <c r="B24" s="18" t="s">
        <v>10</v>
      </c>
      <c r="C24" s="18"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8.7949511999999981</v>
      </c>
      <c r="M24" s="146">
        <f t="shared" si="21"/>
        <v>6.2092355471999987</v>
      </c>
      <c r="N24" s="146">
        <f t="shared" si="21"/>
        <v>54.64127281535999</v>
      </c>
      <c r="O24" s="146">
        <f t="shared" si="22"/>
        <v>0.3415079550959999</v>
      </c>
      <c r="Q24" s="13"/>
      <c r="R24" s="139"/>
      <c r="S24" s="138"/>
      <c r="T24" s="139"/>
      <c r="U24" s="139"/>
      <c r="V24" s="140"/>
      <c r="W24" s="154"/>
      <c r="X24" s="139"/>
      <c r="Y24" s="19">
        <v>0.70599999999999996</v>
      </c>
      <c r="Z24" s="20">
        <v>8.8000000000000007</v>
      </c>
      <c r="AA24" s="150">
        <f>(AG24/SUM(AG$6:AG$25))*0.98</f>
        <v>1.47E-2</v>
      </c>
      <c r="AB24" s="7">
        <v>2.8782823517315929E-2</v>
      </c>
      <c r="AC24" s="150">
        <f>(AH24/SUM(AH$6:AH$25))*0.98</f>
        <v>6.7206982543640881E-2</v>
      </c>
      <c r="AE24" s="168"/>
      <c r="AF24" s="168"/>
      <c r="AG24" s="19">
        <v>1.4999999999999999E-2</v>
      </c>
      <c r="AH24" s="19">
        <v>5.5E-2</v>
      </c>
    </row>
    <row r="25" spans="1:34" x14ac:dyDescent="0.2">
      <c r="A25" s="42"/>
      <c r="B25" s="18" t="s">
        <v>10</v>
      </c>
      <c r="C25" s="18"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2.6951551376411035E-2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0.97499999999999987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1028</v>
      </c>
      <c r="E29" s="47">
        <v>0.58199999999999996</v>
      </c>
      <c r="F29" s="2">
        <f>1-E29</f>
        <v>0.41800000000000004</v>
      </c>
      <c r="G29" s="106">
        <v>4.5999999999999996</v>
      </c>
      <c r="H29" s="126">
        <v>4.9000000000000002E-2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598.29599999999994</v>
      </c>
      <c r="E32" s="156">
        <f>SUM(E2:E4)</f>
        <v>403.78997039999996</v>
      </c>
      <c r="F32" s="156">
        <f>SUM(F2:F4)</f>
        <v>4751.7566362295993</v>
      </c>
      <c r="G32" s="156">
        <f>SUM(G2:G4)</f>
        <v>29.047270799999996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429.70400000000006</v>
      </c>
      <c r="E35" s="156">
        <f>D35*G29</f>
        <v>1976.6384</v>
      </c>
      <c r="F35" s="156">
        <f>D35*H29</f>
        <v>21.055496000000005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421.10992000000005</v>
      </c>
      <c r="E38" s="157">
        <f>SUM(J2:J4,J6:J11,J13:J20)</f>
        <v>1963.825056424</v>
      </c>
      <c r="F38" s="157">
        <f>SUM(K2:K4,K6:K11,K13:K20)</f>
        <v>21.023912756000005</v>
      </c>
      <c r="G38" s="157">
        <f>SUM(L6:L11,L13:L20,L22:L25)</f>
        <v>586.33007999999995</v>
      </c>
      <c r="H38" s="157">
        <f>SUM(M6:M11,M13:M20,M22:M25)</f>
        <v>398.70152274960003</v>
      </c>
      <c r="I38" s="157">
        <f>SUM(N6:N11,N13:N20,N22:N25)</f>
        <v>4750.8807494327757</v>
      </c>
      <c r="J38" s="157">
        <f>SUM(O6:O11,O13:O20,O22:O25)</f>
        <v>29.039811903597595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8.5940800000000195</v>
      </c>
      <c r="E39" s="158">
        <f>E35-E38</f>
        <v>12.813343576000079</v>
      </c>
      <c r="F39" s="158">
        <f>F35-F38</f>
        <v>3.1583244000000121E-2</v>
      </c>
      <c r="G39" s="158">
        <f>SUM(D2:D4)-G38</f>
        <v>11.965919999999983</v>
      </c>
      <c r="H39" s="158">
        <f>E32-H38</f>
        <v>5.0884476503999281</v>
      </c>
      <c r="I39" s="158">
        <f>F32-I38</f>
        <v>0.87588679682357906</v>
      </c>
      <c r="J39" s="158">
        <f>G32-J38</f>
        <v>7.4588964024009385E-3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M13:M20"/>
  </sortState>
  <conditionalFormatting sqref="D39:J39">
    <cfRule type="cellIs" dxfId="38" priority="1" operator="lessThan">
      <formula>0</formula>
    </cfRule>
  </conditionalFormatting>
  <conditionalFormatting sqref="W28">
    <cfRule type="cellIs" dxfId="37" priority="2" operator="greaterThan">
      <formula>1</formula>
    </cfRule>
  </conditionalFormatting>
  <conditionalFormatting sqref="AA28:AG28">
    <cfRule type="cellIs" dxfId="36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7030A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624</v>
      </c>
      <c r="B2" s="18" t="s">
        <v>9</v>
      </c>
      <c r="C2" s="18">
        <v>13</v>
      </c>
      <c r="D2" s="146">
        <f>D$32*Q2</f>
        <v>590.36400000000003</v>
      </c>
      <c r="E2" s="146">
        <f>D2*R2</f>
        <v>373.11004800000001</v>
      </c>
      <c r="F2" s="146">
        <f>E2*S2</f>
        <v>4139.6559825600007</v>
      </c>
      <c r="G2" s="146">
        <f>D2*T2</f>
        <v>24.204924000000002</v>
      </c>
      <c r="H2" s="146">
        <f>E2*U2</f>
        <v>9.3277511999999998</v>
      </c>
      <c r="I2" s="146">
        <f>D$35*W2</f>
        <v>41.473600000000005</v>
      </c>
      <c r="J2" s="146">
        <f>I2*V2</f>
        <v>178.33648000000002</v>
      </c>
      <c r="K2" s="146">
        <f>I2*X2</f>
        <v>2.2810480000000002</v>
      </c>
      <c r="L2" s="147"/>
      <c r="M2" s="147"/>
      <c r="N2" s="147"/>
      <c r="O2" s="147"/>
      <c r="Q2" s="150">
        <f>(AE2/SUM(AE$2:AE$25))</f>
        <v>0.93</v>
      </c>
      <c r="R2" s="19">
        <v>0.63200000000000001</v>
      </c>
      <c r="S2" s="107">
        <v>11.095000000000001</v>
      </c>
      <c r="T2" s="19">
        <v>4.1000000000000002E-2</v>
      </c>
      <c r="U2" s="19">
        <v>2.5000000000000001E-2</v>
      </c>
      <c r="V2" s="107">
        <v>4.3</v>
      </c>
      <c r="W2" s="150">
        <f>(AF2/SUM(AF$2:AF$20))*0.98</f>
        <v>9.8000000000000004E-2</v>
      </c>
      <c r="X2" s="19">
        <v>5.5E-2</v>
      </c>
      <c r="Y2" s="21"/>
      <c r="Z2" s="22"/>
      <c r="AA2" s="1"/>
      <c r="AB2" s="1"/>
      <c r="AC2" s="1"/>
      <c r="AE2" s="19">
        <v>0.93</v>
      </c>
      <c r="AF2" s="19">
        <v>0.1</v>
      </c>
      <c r="AG2" s="168"/>
      <c r="AH2" s="168"/>
    </row>
    <row r="3" spans="1:34" x14ac:dyDescent="0.2">
      <c r="A3" s="17" t="s">
        <v>78</v>
      </c>
      <c r="B3" s="18" t="s">
        <v>9</v>
      </c>
      <c r="C3" s="18">
        <v>13</v>
      </c>
      <c r="D3" s="146">
        <f>D$32*Q3</f>
        <v>38.087999999999994</v>
      </c>
      <c r="E3" s="146">
        <f>D3*R3</f>
        <v>24.414407999999998</v>
      </c>
      <c r="F3" s="146">
        <f>E3*S3</f>
        <v>270.07218129599994</v>
      </c>
      <c r="G3" s="146">
        <f t="shared" ref="G3:G4" si="0">D3*T3</f>
        <v>1.4854319999999999</v>
      </c>
      <c r="H3" s="146">
        <f>E3*U3</f>
        <v>0.70801783200000001</v>
      </c>
      <c r="I3" s="146">
        <f>D$35*W3</f>
        <v>2.07368</v>
      </c>
      <c r="J3" s="146">
        <f>I3*V3</f>
        <v>7.6933527999999995</v>
      </c>
      <c r="K3" s="146">
        <f>I3*X3</f>
        <v>8.2947199999999999E-2</v>
      </c>
      <c r="L3" s="147"/>
      <c r="M3" s="147"/>
      <c r="N3" s="147"/>
      <c r="O3" s="147"/>
      <c r="Q3" s="150">
        <f>(AE3/SUM(AE$2:AE$25))</f>
        <v>0.06</v>
      </c>
      <c r="R3" s="19">
        <v>0.64100000000000001</v>
      </c>
      <c r="S3" s="107">
        <v>11.061999999999999</v>
      </c>
      <c r="T3" s="19">
        <v>3.9E-2</v>
      </c>
      <c r="U3" s="19">
        <v>2.9000000000000001E-2</v>
      </c>
      <c r="V3" s="107">
        <v>3.71</v>
      </c>
      <c r="W3" s="150">
        <f>(AF3/SUM(AF$2:AF$20))*0.98</f>
        <v>4.8999999999999998E-3</v>
      </c>
      <c r="X3" s="19">
        <v>0.04</v>
      </c>
      <c r="Y3" s="21"/>
      <c r="Z3" s="22"/>
      <c r="AA3" s="1"/>
      <c r="AB3" s="1"/>
      <c r="AC3" s="1"/>
      <c r="AE3" s="19">
        <v>0.06</v>
      </c>
      <c r="AF3" s="19">
        <v>5.0000000000000001E-3</v>
      </c>
      <c r="AG3" s="168"/>
      <c r="AH3" s="168"/>
    </row>
    <row r="4" spans="1:34" x14ac:dyDescent="0.2">
      <c r="A4" s="17" t="s">
        <v>413</v>
      </c>
      <c r="B4" s="18" t="s">
        <v>9</v>
      </c>
      <c r="C4" s="18">
        <v>13</v>
      </c>
      <c r="D4" s="146">
        <f>D$32*Q4</f>
        <v>6.3479999999999999</v>
      </c>
      <c r="E4" s="146">
        <f t="shared" ref="E4" si="1">D4*R4</f>
        <v>4.1388959999999999</v>
      </c>
      <c r="F4" s="146">
        <f t="shared" ref="F4" si="2">E4*S4</f>
        <v>50.0806416</v>
      </c>
      <c r="G4" s="146">
        <f t="shared" si="0"/>
        <v>0.24122399999999999</v>
      </c>
      <c r="H4" s="146">
        <f t="shared" ref="H4" si="3">E4*U4</f>
        <v>0.12830577599999998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0.01</v>
      </c>
      <c r="R4" s="19">
        <v>0.65200000000000002</v>
      </c>
      <c r="S4" s="107">
        <v>12.1</v>
      </c>
      <c r="T4" s="19">
        <v>3.7999999999999999E-2</v>
      </c>
      <c r="U4" s="19">
        <v>3.1E-2</v>
      </c>
      <c r="V4" s="107">
        <v>2.6</v>
      </c>
      <c r="W4" s="150">
        <f>(AF4/SUM(AF$2:AF$20))*0.98</f>
        <v>0</v>
      </c>
      <c r="X4" s="19">
        <v>0.02</v>
      </c>
      <c r="Y4" s="21"/>
      <c r="Z4" s="22"/>
      <c r="AA4" s="1"/>
      <c r="AB4" s="1"/>
      <c r="AC4" s="1"/>
      <c r="AE4" s="19">
        <v>0.01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44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4">D$35*W6</f>
        <v>211.51536000000004</v>
      </c>
      <c r="J6" s="146">
        <f>I6*V6</f>
        <v>951.81912000000023</v>
      </c>
      <c r="K6" s="146">
        <f>I6*X6</f>
        <v>7.403037600000002</v>
      </c>
      <c r="L6" s="146">
        <f>((D$2+D$3+D$4)*AA6)</f>
        <v>62.2104</v>
      </c>
      <c r="M6" s="146">
        <f t="shared" ref="M6:N11" si="5">L6*Y6</f>
        <v>45.600223200000002</v>
      </c>
      <c r="N6" s="146">
        <f t="shared" si="5"/>
        <v>354.76973649600001</v>
      </c>
      <c r="O6" s="146">
        <f>M6*AH6</f>
        <v>1.8696091512000002</v>
      </c>
      <c r="Q6" s="13"/>
      <c r="R6" s="139"/>
      <c r="S6" s="138"/>
      <c r="T6" s="139"/>
      <c r="U6" s="139"/>
      <c r="V6" s="107">
        <v>4.5</v>
      </c>
      <c r="W6" s="150">
        <f t="shared" ref="W6:W11" si="6">(AF6/SUM(AF$2:AF$20))*0.98</f>
        <v>0.49980000000000002</v>
      </c>
      <c r="X6" s="19">
        <v>3.5000000000000003E-2</v>
      </c>
      <c r="Y6" s="19">
        <v>0.73299999999999998</v>
      </c>
      <c r="Z6" s="20">
        <v>7.78</v>
      </c>
      <c r="AA6" s="150">
        <f t="shared" ref="AA6:AA11" si="7">(AG6/SUM(AG$6:AG$25))*0.98</f>
        <v>9.8000000000000004E-2</v>
      </c>
      <c r="AB6" s="7">
        <v>0.1353773558933076</v>
      </c>
      <c r="AC6" s="150">
        <f t="shared" ref="AC6:AC11" si="8">(AH6/SUM(AH$6:AH$25))*0.98</f>
        <v>6.6523178807947017E-2</v>
      </c>
      <c r="AE6" s="168"/>
      <c r="AF6" s="19">
        <v>0.51</v>
      </c>
      <c r="AG6" s="19">
        <v>0.1</v>
      </c>
      <c r="AH6" s="19">
        <v>4.1000000000000002E-2</v>
      </c>
    </row>
    <row r="7" spans="1:34" x14ac:dyDescent="0.2">
      <c r="A7" s="172" t="s">
        <v>463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4"/>
        <v>143.08392000000001</v>
      </c>
      <c r="J7" s="146">
        <f>I7*V7</f>
        <v>618.12253440000006</v>
      </c>
      <c r="K7" s="146">
        <f>I7*X7</f>
        <v>4.5786854400000001</v>
      </c>
      <c r="L7" s="146">
        <f>((D$2+D$3+D$4)*AA7)</f>
        <v>24.884159999999998</v>
      </c>
      <c r="M7" s="146">
        <f t="shared" si="5"/>
        <v>18.563583359999999</v>
      </c>
      <c r="N7" s="146">
        <f t="shared" si="5"/>
        <v>139.22687519999999</v>
      </c>
      <c r="O7" s="146">
        <f t="shared" ref="O7:O11" si="9">M7*AH7</f>
        <v>0.72397975104000001</v>
      </c>
      <c r="Q7" s="13"/>
      <c r="R7" s="139"/>
      <c r="S7" s="138"/>
      <c r="T7" s="139"/>
      <c r="U7" s="139"/>
      <c r="V7" s="107">
        <v>4.32</v>
      </c>
      <c r="W7" s="150">
        <f t="shared" si="6"/>
        <v>0.33809999999999996</v>
      </c>
      <c r="X7" s="19">
        <v>3.2000000000000001E-2</v>
      </c>
      <c r="Y7" s="19">
        <v>0.746</v>
      </c>
      <c r="Z7" s="20">
        <v>7.5</v>
      </c>
      <c r="AA7" s="150">
        <f t="shared" si="7"/>
        <v>3.9199999999999999E-2</v>
      </c>
      <c r="AB7" s="7">
        <v>3.5287060352063145E-2</v>
      </c>
      <c r="AC7" s="150">
        <f t="shared" si="8"/>
        <v>6.3278145695364232E-2</v>
      </c>
      <c r="AE7" s="168"/>
      <c r="AF7" s="19">
        <v>0.34499999999999997</v>
      </c>
      <c r="AG7" s="19">
        <v>0.04</v>
      </c>
      <c r="AH7" s="19">
        <v>3.9E-2</v>
      </c>
    </row>
    <row r="8" spans="1:34" x14ac:dyDescent="0.2">
      <c r="A8" s="17" t="s">
        <v>570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4"/>
        <v>12.442080000000001</v>
      </c>
      <c r="J8" s="146">
        <f>I8*V8</f>
        <v>52.256736000000004</v>
      </c>
      <c r="K8" s="146">
        <f>I8*X8</f>
        <v>0.31105200000000005</v>
      </c>
      <c r="L8" s="146">
        <f>((D$2+D$3+D$4)*AA8)</f>
        <v>6.2210399999999995</v>
      </c>
      <c r="M8" s="146">
        <f t="shared" si="5"/>
        <v>4.1992019999999997</v>
      </c>
      <c r="N8" s="146">
        <f t="shared" si="5"/>
        <v>31.913935199999997</v>
      </c>
      <c r="O8" s="146">
        <f t="shared" si="9"/>
        <v>0.10078084799999999</v>
      </c>
      <c r="Q8" s="13"/>
      <c r="R8" s="139"/>
      <c r="S8" s="138"/>
      <c r="T8" s="139"/>
      <c r="U8" s="139"/>
      <c r="V8" s="107">
        <v>4.2</v>
      </c>
      <c r="W8" s="150">
        <f t="shared" si="6"/>
        <v>2.9399999999999999E-2</v>
      </c>
      <c r="X8" s="19">
        <v>2.5000000000000001E-2</v>
      </c>
      <c r="Y8" s="19">
        <v>0.67500000000000004</v>
      </c>
      <c r="Z8" s="20">
        <v>7.6</v>
      </c>
      <c r="AA8" s="150">
        <f t="shared" si="7"/>
        <v>9.7999999999999997E-3</v>
      </c>
      <c r="AB8" s="7">
        <v>1.4026782329730186E-2</v>
      </c>
      <c r="AC8" s="150">
        <f t="shared" si="8"/>
        <v>3.8940397350993382E-2</v>
      </c>
      <c r="AE8" s="168"/>
      <c r="AF8" s="19">
        <v>0.03</v>
      </c>
      <c r="AG8" s="19">
        <v>0.01</v>
      </c>
      <c r="AH8" s="19">
        <v>2.4E-2</v>
      </c>
    </row>
    <row r="9" spans="1:34" x14ac:dyDescent="0.2"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4"/>
        <v>0</v>
      </c>
      <c r="J9" s="146">
        <f t="shared" ref="J9:J11" si="10">I9*V9</f>
        <v>0</v>
      </c>
      <c r="K9" s="146">
        <f t="shared" ref="K9:K11" si="11">I9*X9</f>
        <v>0</v>
      </c>
      <c r="L9" s="146">
        <f t="shared" ref="L9:L11" si="12">((D$2+D$3+D$4)*AA9)</f>
        <v>0</v>
      </c>
      <c r="M9" s="146">
        <f t="shared" si="5"/>
        <v>0</v>
      </c>
      <c r="N9" s="146">
        <f t="shared" si="5"/>
        <v>0</v>
      </c>
      <c r="O9" s="146">
        <f t="shared" si="9"/>
        <v>0</v>
      </c>
      <c r="Q9" s="13"/>
      <c r="R9" s="139"/>
      <c r="S9" s="138"/>
      <c r="T9" s="139"/>
      <c r="U9" s="139"/>
      <c r="V9" s="107">
        <v>0</v>
      </c>
      <c r="W9" s="150">
        <f t="shared" si="6"/>
        <v>0</v>
      </c>
      <c r="X9" s="19">
        <v>0</v>
      </c>
      <c r="Y9" s="19">
        <v>0</v>
      </c>
      <c r="Z9" s="20">
        <v>0</v>
      </c>
      <c r="AA9" s="150">
        <f t="shared" si="7"/>
        <v>0</v>
      </c>
      <c r="AB9" s="7">
        <v>1.8202568396799731E-2</v>
      </c>
      <c r="AC9" s="150">
        <f t="shared" si="8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4"/>
        <v>0</v>
      </c>
      <c r="J10" s="146">
        <f t="shared" si="10"/>
        <v>0</v>
      </c>
      <c r="K10" s="146">
        <f t="shared" si="11"/>
        <v>0</v>
      </c>
      <c r="L10" s="146">
        <f t="shared" si="12"/>
        <v>0</v>
      </c>
      <c r="M10" s="146">
        <f t="shared" si="5"/>
        <v>0</v>
      </c>
      <c r="N10" s="146">
        <f t="shared" si="5"/>
        <v>0</v>
      </c>
      <c r="O10" s="146">
        <f t="shared" si="9"/>
        <v>0</v>
      </c>
      <c r="Q10" s="13"/>
      <c r="R10" s="139"/>
      <c r="S10" s="138"/>
      <c r="T10" s="139"/>
      <c r="U10" s="139"/>
      <c r="V10" s="107">
        <v>0</v>
      </c>
      <c r="W10" s="150">
        <f t="shared" si="6"/>
        <v>0</v>
      </c>
      <c r="X10" s="19">
        <v>0</v>
      </c>
      <c r="Y10" s="19">
        <v>0</v>
      </c>
      <c r="Z10" s="20">
        <v>0</v>
      </c>
      <c r="AA10" s="150">
        <f t="shared" si="7"/>
        <v>0</v>
      </c>
      <c r="AB10" s="7">
        <v>1.6938860595027125E-2</v>
      </c>
      <c r="AC10" s="150">
        <f t="shared" si="8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4"/>
        <v>0</v>
      </c>
      <c r="J11" s="146">
        <f t="shared" si="10"/>
        <v>0</v>
      </c>
      <c r="K11" s="146">
        <f t="shared" si="11"/>
        <v>0</v>
      </c>
      <c r="L11" s="146">
        <f t="shared" si="12"/>
        <v>0</v>
      </c>
      <c r="M11" s="146">
        <f t="shared" si="5"/>
        <v>0</v>
      </c>
      <c r="N11" s="146">
        <f t="shared" si="5"/>
        <v>0</v>
      </c>
      <c r="O11" s="146">
        <f t="shared" si="9"/>
        <v>0</v>
      </c>
      <c r="Q11" s="13"/>
      <c r="R11" s="139"/>
      <c r="S11" s="138"/>
      <c r="T11" s="139"/>
      <c r="U11" s="139"/>
      <c r="V11" s="107">
        <v>0</v>
      </c>
      <c r="W11" s="150">
        <f t="shared" si="6"/>
        <v>0</v>
      </c>
      <c r="X11" s="19">
        <v>0</v>
      </c>
      <c r="Y11" s="19">
        <v>0</v>
      </c>
      <c r="Z11" s="20">
        <v>0</v>
      </c>
      <c r="AA11" s="150">
        <f t="shared" si="7"/>
        <v>0</v>
      </c>
      <c r="AB11" s="7">
        <v>0</v>
      </c>
      <c r="AC11" s="150">
        <f t="shared" si="8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162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3">D$35*W13</f>
        <v>4.1473599999999999</v>
      </c>
      <c r="J13" s="146">
        <f t="shared" ref="J13:J20" si="14">I13*V13</f>
        <v>17.335964799999999</v>
      </c>
      <c r="K13" s="146">
        <f t="shared" ref="K13:K20" si="15">I13*X13</f>
        <v>9.9536639999999996E-2</v>
      </c>
      <c r="L13" s="146">
        <f t="shared" ref="L13:L20" si="16">((D$2+D$3+D$4)*AA13)</f>
        <v>161.74704</v>
      </c>
      <c r="M13" s="146">
        <f t="shared" ref="M13:N20" si="17">L13*Y13</f>
        <v>104.3268408</v>
      </c>
      <c r="N13" s="146">
        <f t="shared" si="17"/>
        <v>1443.8834766719999</v>
      </c>
      <c r="O13" s="146">
        <f t="shared" ref="O13:O20" si="18">M13*AH13</f>
        <v>7.6158593783999997</v>
      </c>
      <c r="Q13" s="13"/>
      <c r="R13" s="139"/>
      <c r="S13" s="138"/>
      <c r="T13" s="139"/>
      <c r="U13" s="139"/>
      <c r="V13" s="107">
        <v>4.18</v>
      </c>
      <c r="W13" s="150">
        <f t="shared" ref="W13:W20" si="19">(AF13/SUM(AF$2:AF$20))*0.98</f>
        <v>9.7999999999999997E-3</v>
      </c>
      <c r="X13" s="19">
        <v>2.4E-2</v>
      </c>
      <c r="Y13" s="19">
        <v>0.64500000000000002</v>
      </c>
      <c r="Z13" s="20">
        <v>13.84</v>
      </c>
      <c r="AA13" s="150">
        <f t="shared" ref="AA13:AA20" si="20">(AG13/SUM(AG$6:AG$25))*0.98</f>
        <v>0.25480000000000003</v>
      </c>
      <c r="AB13" s="7">
        <v>0.2255326591937164</v>
      </c>
      <c r="AC13" s="150">
        <f t="shared" ref="AC13:AC20" si="21">(AH13/SUM(AH$6:AH$25))*0.98</f>
        <v>0.11844370860927152</v>
      </c>
      <c r="AE13" s="168"/>
      <c r="AF13" s="19">
        <v>0.01</v>
      </c>
      <c r="AG13" s="19">
        <v>0.26</v>
      </c>
      <c r="AH13" s="19">
        <v>7.2999999999999995E-2</v>
      </c>
    </row>
    <row r="14" spans="1:34" x14ac:dyDescent="0.2">
      <c r="A14" s="17" t="s">
        <v>536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si="13"/>
        <v>0</v>
      </c>
      <c r="J14" s="146">
        <f t="shared" si="14"/>
        <v>0</v>
      </c>
      <c r="K14" s="146">
        <f t="shared" si="15"/>
        <v>0</v>
      </c>
      <c r="L14" s="146">
        <f t="shared" si="16"/>
        <v>130.64183999999997</v>
      </c>
      <c r="M14" s="146">
        <f t="shared" si="17"/>
        <v>79.430238719999977</v>
      </c>
      <c r="N14" s="146">
        <f t="shared" si="17"/>
        <v>1031.7988009727997</v>
      </c>
      <c r="O14" s="146">
        <f t="shared" si="18"/>
        <v>6.1161283814399985</v>
      </c>
      <c r="Q14" s="13"/>
      <c r="R14" s="139"/>
      <c r="S14" s="138"/>
      <c r="T14" s="139"/>
      <c r="U14" s="139"/>
      <c r="V14" s="107">
        <v>5.0199999999999996</v>
      </c>
      <c r="W14" s="150">
        <f t="shared" si="19"/>
        <v>0</v>
      </c>
      <c r="X14" s="19">
        <v>1.4999999999999999E-2</v>
      </c>
      <c r="Y14" s="19">
        <v>0.60799999999999998</v>
      </c>
      <c r="Z14" s="20">
        <v>12.99</v>
      </c>
      <c r="AA14" s="150">
        <f t="shared" si="20"/>
        <v>0.20579999999999998</v>
      </c>
      <c r="AB14" s="7">
        <v>0.2006370053786376</v>
      </c>
      <c r="AC14" s="150">
        <f t="shared" si="21"/>
        <v>0.1249337748344371</v>
      </c>
      <c r="AE14" s="168"/>
      <c r="AF14" s="19">
        <v>0</v>
      </c>
      <c r="AG14" s="19">
        <v>0.21</v>
      </c>
      <c r="AH14" s="19">
        <v>7.6999999999999999E-2</v>
      </c>
    </row>
    <row r="15" spans="1:34" x14ac:dyDescent="0.2">
      <c r="A15" s="17" t="s">
        <v>578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si="13"/>
        <v>0</v>
      </c>
      <c r="J15" s="146">
        <f t="shared" si="14"/>
        <v>0</v>
      </c>
      <c r="K15" s="146">
        <f t="shared" si="15"/>
        <v>0</v>
      </c>
      <c r="L15" s="146">
        <f t="shared" si="16"/>
        <v>55.989359999999998</v>
      </c>
      <c r="M15" s="146">
        <f t="shared" si="17"/>
        <v>33.593615999999997</v>
      </c>
      <c r="N15" s="146">
        <f t="shared" si="17"/>
        <v>340.63926623999998</v>
      </c>
      <c r="O15" s="146">
        <f t="shared" si="18"/>
        <v>1.6796807999999999</v>
      </c>
      <c r="Q15" s="13"/>
      <c r="R15" s="139"/>
      <c r="S15" s="138"/>
      <c r="T15" s="139"/>
      <c r="U15" s="139"/>
      <c r="V15" s="107">
        <v>5.0199999999999996</v>
      </c>
      <c r="W15" s="150">
        <f t="shared" si="19"/>
        <v>0</v>
      </c>
      <c r="X15" s="19">
        <v>1.4999999999999999E-2</v>
      </c>
      <c r="Y15" s="19">
        <v>0.6</v>
      </c>
      <c r="Z15" s="20">
        <v>10.14</v>
      </c>
      <c r="AA15" s="150">
        <f t="shared" si="20"/>
        <v>8.8200000000000001E-2</v>
      </c>
      <c r="AB15" s="7">
        <v>3.8901744233504301E-2</v>
      </c>
      <c r="AC15" s="150">
        <f t="shared" si="21"/>
        <v>8.1125827814569534E-2</v>
      </c>
      <c r="AE15" s="168"/>
      <c r="AF15" s="19">
        <v>0</v>
      </c>
      <c r="AG15" s="19">
        <v>0.09</v>
      </c>
      <c r="AH15" s="19">
        <v>0.05</v>
      </c>
    </row>
    <row r="16" spans="1:34" x14ac:dyDescent="0.2">
      <c r="A16" s="17" t="s">
        <v>221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si="13"/>
        <v>0</v>
      </c>
      <c r="J16" s="146">
        <f t="shared" si="14"/>
        <v>0</v>
      </c>
      <c r="K16" s="146">
        <f t="shared" si="15"/>
        <v>0</v>
      </c>
      <c r="L16" s="146">
        <f t="shared" si="16"/>
        <v>12.442079999999999</v>
      </c>
      <c r="M16" s="146">
        <f t="shared" si="17"/>
        <v>7.3035009599999992</v>
      </c>
      <c r="N16" s="146">
        <f t="shared" si="17"/>
        <v>85.450961231999983</v>
      </c>
      <c r="O16" s="146">
        <f t="shared" si="18"/>
        <v>0.365175048</v>
      </c>
      <c r="Q16" s="13"/>
      <c r="R16" s="139"/>
      <c r="S16" s="138"/>
      <c r="T16" s="139"/>
      <c r="U16" s="139"/>
      <c r="V16" s="107">
        <v>5.0199999999999996</v>
      </c>
      <c r="W16" s="150">
        <f t="shared" si="19"/>
        <v>0</v>
      </c>
      <c r="X16" s="19">
        <v>1.4999999999999999E-2</v>
      </c>
      <c r="Y16" s="19">
        <v>0.58699999999999997</v>
      </c>
      <c r="Z16" s="20">
        <v>11.7</v>
      </c>
      <c r="AA16" s="150">
        <f t="shared" si="20"/>
        <v>1.9599999999999999E-2</v>
      </c>
      <c r="AB16" s="7">
        <v>3.0106379309806204E-2</v>
      </c>
      <c r="AC16" s="150">
        <f t="shared" si="21"/>
        <v>8.1125827814569534E-2</v>
      </c>
      <c r="AE16" s="168"/>
      <c r="AF16" s="19">
        <v>0</v>
      </c>
      <c r="AG16" s="19">
        <v>0.02</v>
      </c>
      <c r="AH16" s="19">
        <v>0.05</v>
      </c>
    </row>
    <row r="17" spans="1:34" x14ac:dyDescent="0.2">
      <c r="A17" s="17" t="s">
        <v>466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13"/>
        <v>0</v>
      </c>
      <c r="J17" s="146">
        <f t="shared" si="14"/>
        <v>0</v>
      </c>
      <c r="K17" s="146">
        <f t="shared" si="15"/>
        <v>0</v>
      </c>
      <c r="L17" s="146">
        <f t="shared" si="16"/>
        <v>12.442079999999999</v>
      </c>
      <c r="M17" s="146">
        <f t="shared" si="17"/>
        <v>7.228848479999999</v>
      </c>
      <c r="N17" s="146">
        <f t="shared" si="17"/>
        <v>72.288484799999992</v>
      </c>
      <c r="O17" s="146">
        <f t="shared" si="18"/>
        <v>0.36144242399999998</v>
      </c>
      <c r="Q17" s="13"/>
      <c r="R17" s="139"/>
      <c r="S17" s="138"/>
      <c r="T17" s="139"/>
      <c r="U17" s="139"/>
      <c r="V17" s="107">
        <v>5.0199999999999996</v>
      </c>
      <c r="W17" s="150">
        <f t="shared" si="19"/>
        <v>0</v>
      </c>
      <c r="X17" s="19">
        <v>1.4999999999999999E-2</v>
      </c>
      <c r="Y17" s="19">
        <v>0.58099999999999996</v>
      </c>
      <c r="Z17" s="20">
        <v>10</v>
      </c>
      <c r="AA17" s="150">
        <f t="shared" si="20"/>
        <v>1.9599999999999999E-2</v>
      </c>
      <c r="AB17" s="7">
        <v>2.7550988610572424E-2</v>
      </c>
      <c r="AC17" s="150">
        <f t="shared" si="21"/>
        <v>8.1125827814569534E-2</v>
      </c>
      <c r="AE17" s="168"/>
      <c r="AF17" s="19">
        <v>0</v>
      </c>
      <c r="AG17" s="19">
        <v>0.02</v>
      </c>
      <c r="AH17" s="19">
        <v>0.05</v>
      </c>
    </row>
    <row r="18" spans="1:34" x14ac:dyDescent="0.2">
      <c r="A18" s="173"/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13"/>
        <v>0</v>
      </c>
      <c r="J18" s="146">
        <f t="shared" si="14"/>
        <v>0</v>
      </c>
      <c r="K18" s="146">
        <f t="shared" si="15"/>
        <v>0</v>
      </c>
      <c r="L18" s="146">
        <f t="shared" si="16"/>
        <v>0</v>
      </c>
      <c r="M18" s="146">
        <f t="shared" si="17"/>
        <v>0</v>
      </c>
      <c r="N18" s="146">
        <f t="shared" si="17"/>
        <v>0</v>
      </c>
      <c r="O18" s="146">
        <f t="shared" si="18"/>
        <v>0</v>
      </c>
      <c r="Q18" s="13"/>
      <c r="R18" s="139"/>
      <c r="S18" s="138"/>
      <c r="T18" s="139"/>
      <c r="U18" s="139"/>
      <c r="V18" s="107">
        <v>0</v>
      </c>
      <c r="W18" s="150">
        <f t="shared" si="19"/>
        <v>0</v>
      </c>
      <c r="X18" s="19">
        <v>0</v>
      </c>
      <c r="Y18" s="19">
        <v>0</v>
      </c>
      <c r="Z18" s="20">
        <v>0</v>
      </c>
      <c r="AA18" s="150">
        <f t="shared" si="20"/>
        <v>0</v>
      </c>
      <c r="AB18" s="7">
        <v>1.2115021358685868E-2</v>
      </c>
      <c r="AC18" s="150">
        <f t="shared" si="21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3"/>
        <v>0</v>
      </c>
      <c r="J19" s="146">
        <f t="shared" si="14"/>
        <v>0</v>
      </c>
      <c r="K19" s="146">
        <f t="shared" si="15"/>
        <v>0</v>
      </c>
      <c r="L19" s="146">
        <f t="shared" si="16"/>
        <v>0</v>
      </c>
      <c r="M19" s="146">
        <f t="shared" si="17"/>
        <v>0</v>
      </c>
      <c r="N19" s="146">
        <f t="shared" si="17"/>
        <v>0</v>
      </c>
      <c r="O19" s="146">
        <f t="shared" si="18"/>
        <v>0</v>
      </c>
      <c r="Q19" s="13"/>
      <c r="R19" s="139"/>
      <c r="S19" s="138"/>
      <c r="T19" s="139"/>
      <c r="U19" s="139"/>
      <c r="V19" s="107">
        <v>0</v>
      </c>
      <c r="W19" s="150">
        <f t="shared" si="19"/>
        <v>0</v>
      </c>
      <c r="X19" s="19">
        <v>0</v>
      </c>
      <c r="Y19" s="19">
        <v>0</v>
      </c>
      <c r="Z19" s="20">
        <v>0</v>
      </c>
      <c r="AA19" s="150">
        <f t="shared" si="20"/>
        <v>0</v>
      </c>
      <c r="AB19" s="7">
        <v>0</v>
      </c>
      <c r="AC19" s="150">
        <f t="shared" si="21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3"/>
        <v>0</v>
      </c>
      <c r="J20" s="146">
        <f t="shared" si="14"/>
        <v>0</v>
      </c>
      <c r="K20" s="146">
        <f t="shared" si="15"/>
        <v>0</v>
      </c>
      <c r="L20" s="146">
        <f t="shared" si="16"/>
        <v>0</v>
      </c>
      <c r="M20" s="146">
        <f t="shared" si="17"/>
        <v>0</v>
      </c>
      <c r="N20" s="146">
        <f t="shared" si="17"/>
        <v>0</v>
      </c>
      <c r="O20" s="146">
        <f t="shared" si="18"/>
        <v>0</v>
      </c>
      <c r="Q20" s="13"/>
      <c r="R20" s="139"/>
      <c r="S20" s="138"/>
      <c r="T20" s="139"/>
      <c r="U20" s="139"/>
      <c r="V20" s="107">
        <v>0</v>
      </c>
      <c r="W20" s="150">
        <f t="shared" si="19"/>
        <v>0</v>
      </c>
      <c r="X20" s="19">
        <v>0</v>
      </c>
      <c r="Y20" s="19">
        <v>0</v>
      </c>
      <c r="Z20" s="20">
        <v>0</v>
      </c>
      <c r="AA20" s="150">
        <f t="shared" si="20"/>
        <v>0</v>
      </c>
      <c r="AB20" s="7">
        <v>0</v>
      </c>
      <c r="AC20" s="150">
        <f t="shared" si="21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41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99.536639999999991</v>
      </c>
      <c r="M22" s="146">
        <f t="shared" ref="M22:N25" si="22">L22*Y22</f>
        <v>65.495109119999995</v>
      </c>
      <c r="N22" s="146">
        <f t="shared" si="22"/>
        <v>623.51343882239996</v>
      </c>
      <c r="O22" s="146">
        <f t="shared" ref="O22:O25" si="23">M22*AH22</f>
        <v>4.5846576384000004</v>
      </c>
      <c r="Q22" s="13"/>
      <c r="R22" s="139"/>
      <c r="S22" s="138"/>
      <c r="T22" s="139"/>
      <c r="U22" s="139"/>
      <c r="V22" s="140"/>
      <c r="W22" s="154"/>
      <c r="X22" s="139"/>
      <c r="Y22" s="19">
        <v>0.65800000000000003</v>
      </c>
      <c r="Z22" s="20">
        <v>9.52</v>
      </c>
      <c r="AA22" s="150">
        <f>(AG22/SUM(AG$6:AG$25))*0.98</f>
        <v>0.15679999999999999</v>
      </c>
      <c r="AB22" s="7">
        <v>0.13351592076527255</v>
      </c>
      <c r="AC22" s="150">
        <f>(AH22/SUM(AH$6:AH$25))*0.98</f>
        <v>0.11357615894039735</v>
      </c>
      <c r="AE22" s="168"/>
      <c r="AF22" s="168"/>
      <c r="AG22" s="19">
        <v>0.16</v>
      </c>
      <c r="AH22" s="19">
        <v>7.0000000000000007E-2</v>
      </c>
    </row>
    <row r="23" spans="1:34" x14ac:dyDescent="0.2">
      <c r="A23" s="17" t="s">
        <v>415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18.663119999999999</v>
      </c>
      <c r="M23" s="146">
        <f t="shared" si="22"/>
        <v>11.757765599999999</v>
      </c>
      <c r="N23" s="146">
        <f t="shared" si="22"/>
        <v>105.81989039999999</v>
      </c>
      <c r="O23" s="146">
        <f t="shared" si="23"/>
        <v>0.58788827999999993</v>
      </c>
      <c r="Q23" s="13"/>
      <c r="R23" s="139"/>
      <c r="S23" s="138"/>
      <c r="T23" s="139"/>
      <c r="U23" s="139"/>
      <c r="V23" s="140"/>
      <c r="W23" s="154"/>
      <c r="X23" s="139"/>
      <c r="Y23" s="19">
        <v>0.63</v>
      </c>
      <c r="Z23" s="20">
        <v>9</v>
      </c>
      <c r="AA23" s="150">
        <f>(AG23/SUM(AG$6:AG$25))*0.98</f>
        <v>2.9399999999999999E-2</v>
      </c>
      <c r="AB23" s="7">
        <v>6.5170854129195169E-2</v>
      </c>
      <c r="AC23" s="150">
        <f>(AH23/SUM(AH$6:AH$25))*0.98</f>
        <v>8.1125827814569534E-2</v>
      </c>
      <c r="AE23" s="168"/>
      <c r="AF23" s="168"/>
      <c r="AG23" s="19">
        <v>0.03</v>
      </c>
      <c r="AH23" s="19">
        <v>0.05</v>
      </c>
    </row>
    <row r="24" spans="1:34" x14ac:dyDescent="0.2">
      <c r="A24" s="17" t="s">
        <v>497</v>
      </c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37.326239999999999</v>
      </c>
      <c r="M24" s="146">
        <f t="shared" si="22"/>
        <v>24.000772319999999</v>
      </c>
      <c r="N24" s="146">
        <f t="shared" si="22"/>
        <v>227.2873138704</v>
      </c>
      <c r="O24" s="146">
        <f t="shared" si="23"/>
        <v>1.9200617856</v>
      </c>
      <c r="Q24" s="13"/>
      <c r="R24" s="139"/>
      <c r="S24" s="138"/>
      <c r="T24" s="139"/>
      <c r="U24" s="139"/>
      <c r="V24" s="140"/>
      <c r="W24" s="154"/>
      <c r="X24" s="139"/>
      <c r="Y24" s="19">
        <v>0.64300000000000002</v>
      </c>
      <c r="Z24" s="20">
        <v>9.4700000000000006</v>
      </c>
      <c r="AA24" s="150">
        <f>(AG24/SUM(AG$6:AG$25))*0.98</f>
        <v>5.8799999999999998E-2</v>
      </c>
      <c r="AB24" s="7">
        <v>2.1636799453681792E-2</v>
      </c>
      <c r="AC24" s="150">
        <f>(AH24/SUM(AH$6:AH$25))*0.98</f>
        <v>0.12980132450331128</v>
      </c>
      <c r="AE24" s="168"/>
      <c r="AF24" s="168"/>
      <c r="AG24" s="19">
        <v>0.06</v>
      </c>
      <c r="AH24" s="19">
        <v>0.08</v>
      </c>
    </row>
    <row r="25" spans="1:34" x14ac:dyDescent="0.2"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 t="shared" si="23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0.9750000000000002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1058</v>
      </c>
      <c r="E29" s="47">
        <v>0.6</v>
      </c>
      <c r="F29" s="2">
        <f>1-E29</f>
        <v>0.4</v>
      </c>
      <c r="G29" s="106">
        <v>4.3499999999999996</v>
      </c>
      <c r="H29" s="126">
        <v>3.5000000000000003E-2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634.79999999999995</v>
      </c>
      <c r="E32" s="156">
        <f>SUM(E2:E4)</f>
        <v>401.66335199999997</v>
      </c>
      <c r="F32" s="156">
        <f>SUM(F2:F4)</f>
        <v>4459.8088054560003</v>
      </c>
      <c r="G32" s="156">
        <f>SUM(G2:G4)</f>
        <v>25.93158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423.20000000000005</v>
      </c>
      <c r="E35" s="156">
        <f>D35*G29</f>
        <v>1840.92</v>
      </c>
      <c r="F35" s="156">
        <f>D35*H29</f>
        <v>14.812000000000003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414.73599999999999</v>
      </c>
      <c r="E38" s="157">
        <f>SUM(J2:J4,J6:J11,J13:J20)</f>
        <v>1825.5641880000005</v>
      </c>
      <c r="F38" s="157">
        <f>SUM(K2:K4,K6:K11,K13:K20)</f>
        <v>14.756306880000004</v>
      </c>
      <c r="G38" s="157">
        <f>SUM(L6:L11,L13:L20,L22:L25)</f>
        <v>622.10399999999993</v>
      </c>
      <c r="H38" s="157">
        <f>SUM(M6:M11,M13:M20,M22:M25)</f>
        <v>401.49970055999995</v>
      </c>
      <c r="I38" s="157">
        <f>SUM(N6:N11,N13:N20,N22:N25)</f>
        <v>4456.5921799055986</v>
      </c>
      <c r="J38" s="157">
        <f>SUM(O6:O11,O13:O20,O22:O25)</f>
        <v>25.925263486080002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8.4640000000000555</v>
      </c>
      <c r="E39" s="158">
        <f>E35-E38</f>
        <v>15.35581199999956</v>
      </c>
      <c r="F39" s="158">
        <f>F35-F38</f>
        <v>5.5693119999999041E-2</v>
      </c>
      <c r="G39" s="158">
        <f>SUM(D2:D4)-G38</f>
        <v>12.696000000000026</v>
      </c>
      <c r="H39" s="158">
        <f>E32-H38</f>
        <v>0.16365144000002374</v>
      </c>
      <c r="I39" s="158">
        <f>F32-I38</f>
        <v>3.216625550401659</v>
      </c>
      <c r="J39" s="158">
        <f>G32-J38</f>
        <v>6.3165139199981013E-3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35" priority="1" operator="lessThan">
      <formula>0</formula>
    </cfRule>
  </conditionalFormatting>
  <conditionalFormatting sqref="W28">
    <cfRule type="cellIs" dxfId="34" priority="2" operator="greaterThan">
      <formula>1</formula>
    </cfRule>
  </conditionalFormatting>
  <conditionalFormatting sqref="AA28:AG28">
    <cfRule type="cellIs" dxfId="3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2CB8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620</v>
      </c>
      <c r="B2" s="18" t="s">
        <v>9</v>
      </c>
      <c r="C2" s="18">
        <v>11</v>
      </c>
      <c r="D2" s="146">
        <f>D$32*Q2</f>
        <v>477.22289999999998</v>
      </c>
      <c r="E2" s="146">
        <f>D2*R2</f>
        <v>297.30986669999999</v>
      </c>
      <c r="F2" s="146">
        <f>E2*S2</f>
        <v>3202.3245742257</v>
      </c>
      <c r="G2" s="146">
        <f>D2*T2</f>
        <v>18.134470199999999</v>
      </c>
      <c r="H2" s="146">
        <f>E2*U2</f>
        <v>5.3515776005999998</v>
      </c>
      <c r="I2" s="146">
        <f>D$35*W2</f>
        <v>60.854785600000014</v>
      </c>
      <c r="J2" s="146">
        <f>I2*V2</f>
        <v>284.80039660800003</v>
      </c>
      <c r="K2" s="146">
        <f>I2*X2</f>
        <v>2.5559009952000009</v>
      </c>
      <c r="L2" s="147"/>
      <c r="M2" s="147"/>
      <c r="N2" s="147"/>
      <c r="O2" s="147"/>
      <c r="Q2" s="150">
        <f>(AE2/SUM(AE$2:AE$25))</f>
        <v>0.82499999999999996</v>
      </c>
      <c r="R2" s="19">
        <v>0.623</v>
      </c>
      <c r="S2" s="107">
        <v>10.771000000000001</v>
      </c>
      <c r="T2" s="19">
        <v>3.7999999999999999E-2</v>
      </c>
      <c r="U2" s="19">
        <v>1.7999999999999999E-2</v>
      </c>
      <c r="V2" s="107">
        <v>4.68</v>
      </c>
      <c r="W2" s="150">
        <f>(AF2/SUM(AF$2:AF$20))*0.98</f>
        <v>0.13720000000000002</v>
      </c>
      <c r="X2" s="19">
        <v>4.2000000000000003E-2</v>
      </c>
      <c r="Y2" s="21"/>
      <c r="Z2" s="22"/>
      <c r="AA2" s="1"/>
      <c r="AB2" s="1"/>
      <c r="AC2" s="1"/>
      <c r="AE2" s="19">
        <v>0.82499999999999996</v>
      </c>
      <c r="AF2" s="19">
        <v>0.14000000000000001</v>
      </c>
      <c r="AG2" s="168"/>
      <c r="AH2" s="168"/>
    </row>
    <row r="3" spans="1:34" x14ac:dyDescent="0.2">
      <c r="A3" s="17" t="s">
        <v>129</v>
      </c>
      <c r="B3" s="18" t="s">
        <v>9</v>
      </c>
      <c r="C3" s="18">
        <v>11</v>
      </c>
      <c r="D3" s="146">
        <f>D$32*Q3</f>
        <v>101.22909999999999</v>
      </c>
      <c r="E3" s="146">
        <f t="shared" ref="E3:F4" si="0">D3*R3</f>
        <v>63.673103899999994</v>
      </c>
      <c r="F3" s="146">
        <f t="shared" si="0"/>
        <v>671.68757304109988</v>
      </c>
      <c r="G3" s="146">
        <f t="shared" ref="G3:G4" si="1">D3*T3</f>
        <v>3.2393311999999996</v>
      </c>
      <c r="H3" s="146">
        <f t="shared" ref="H3:H4" si="2">E3*U3</f>
        <v>1.0824427663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0.17499999999999999</v>
      </c>
      <c r="R3" s="19">
        <v>0.629</v>
      </c>
      <c r="S3" s="107">
        <v>10.548999999999999</v>
      </c>
      <c r="T3" s="19">
        <v>3.2000000000000001E-2</v>
      </c>
      <c r="U3" s="19">
        <v>1.7000000000000001E-2</v>
      </c>
      <c r="V3" s="107">
        <v>3.5</v>
      </c>
      <c r="W3" s="150">
        <f>(AF3/SUM(AF$2:AF$20))*0.98</f>
        <v>0</v>
      </c>
      <c r="X3" s="19">
        <v>2.7E-2</v>
      </c>
      <c r="Y3" s="21"/>
      <c r="Z3" s="22"/>
      <c r="AA3" s="1"/>
      <c r="AB3" s="1"/>
      <c r="AC3" s="1"/>
      <c r="AE3" s="19">
        <v>0.17499999999999999</v>
      </c>
      <c r="AF3" s="19">
        <v>0</v>
      </c>
      <c r="AG3" s="168"/>
      <c r="AH3" s="168"/>
    </row>
    <row r="4" spans="1:34" x14ac:dyDescent="0.2">
      <c r="B4" s="18" t="s">
        <v>9</v>
      </c>
      <c r="C4" s="18"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199</v>
      </c>
      <c r="B6" s="18" t="s">
        <v>222</v>
      </c>
      <c r="C6" s="18">
        <v>11</v>
      </c>
      <c r="D6" s="147"/>
      <c r="E6" s="147"/>
      <c r="F6" s="147"/>
      <c r="G6" s="147"/>
      <c r="H6" s="147"/>
      <c r="I6" s="146">
        <f t="shared" ref="I6:I11" si="3">D$35*W6</f>
        <v>217.33852000000002</v>
      </c>
      <c r="J6" s="146">
        <f>I6*V6</f>
        <v>964.98302880000017</v>
      </c>
      <c r="K6" s="146">
        <f>I6*X6</f>
        <v>6.73749412</v>
      </c>
      <c r="L6" s="146">
        <f>((D$2+D$3+D$4)*AA6)</f>
        <v>56.688295999999987</v>
      </c>
      <c r="M6" s="146">
        <f t="shared" ref="M6:N11" si="4">L6*Y6</f>
        <v>41.38245607999999</v>
      </c>
      <c r="N6" s="146">
        <f t="shared" si="4"/>
        <v>307.47164867439989</v>
      </c>
      <c r="O6" s="146">
        <f>M6*AH6</f>
        <v>1.6552982431999996</v>
      </c>
      <c r="Q6" s="13"/>
      <c r="R6" s="139"/>
      <c r="S6" s="138"/>
      <c r="T6" s="139"/>
      <c r="U6" s="139"/>
      <c r="V6" s="107">
        <v>4.4400000000000004</v>
      </c>
      <c r="W6" s="150">
        <f t="shared" ref="W6:W11" si="5">(AF6/SUM(AF$2:AF$20))*0.98</f>
        <v>0.49</v>
      </c>
      <c r="X6" s="19">
        <v>3.1E-2</v>
      </c>
      <c r="Y6" s="19">
        <v>0.73</v>
      </c>
      <c r="Z6" s="20">
        <v>7.43</v>
      </c>
      <c r="AA6" s="150">
        <f t="shared" ref="AA6:AA11" si="6">(AG6/SUM(AG$6:AG$25))*0.98</f>
        <v>9.7999999999999976E-2</v>
      </c>
      <c r="AB6" s="7">
        <v>3.2545431170514526E-2</v>
      </c>
      <c r="AC6" s="150">
        <f t="shared" ref="AC6:AC11" si="7">(AH6/SUM(AH$6:AH$25))*0.98</f>
        <v>6.2222222222222234E-2</v>
      </c>
      <c r="AE6" s="168"/>
      <c r="AF6" s="19">
        <v>0.5</v>
      </c>
      <c r="AG6" s="19">
        <v>0.1</v>
      </c>
      <c r="AH6" s="19">
        <v>0.04</v>
      </c>
    </row>
    <row r="7" spans="1:34" x14ac:dyDescent="0.2">
      <c r="A7" s="176" t="s">
        <v>166</v>
      </c>
      <c r="B7" s="18" t="s">
        <v>222</v>
      </c>
      <c r="C7" s="18">
        <v>11</v>
      </c>
      <c r="D7" s="147"/>
      <c r="E7" s="147"/>
      <c r="F7" s="147"/>
      <c r="G7" s="147"/>
      <c r="H7" s="147"/>
      <c r="I7" s="146">
        <f t="shared" si="3"/>
        <v>126.0563416</v>
      </c>
      <c r="J7" s="146">
        <f>I7*V7</f>
        <v>530.697198136</v>
      </c>
      <c r="K7" s="146">
        <f>I7*X7</f>
        <v>3.5295775647999998</v>
      </c>
      <c r="L7" s="146">
        <f>((D$2+D$3+D$4)*AA7)</f>
        <v>34.012977599999992</v>
      </c>
      <c r="M7" s="146">
        <f t="shared" si="4"/>
        <v>25.577759155199995</v>
      </c>
      <c r="N7" s="146">
        <f t="shared" si="4"/>
        <v>194.90252476262395</v>
      </c>
      <c r="O7" s="146">
        <f t="shared" ref="O7:O11" si="8">M7*AH7</f>
        <v>0.97195484789759978</v>
      </c>
      <c r="Q7" s="13"/>
      <c r="R7" s="139"/>
      <c r="S7" s="138"/>
      <c r="T7" s="139"/>
      <c r="U7" s="139"/>
      <c r="V7" s="107">
        <v>4.21</v>
      </c>
      <c r="W7" s="150">
        <f t="shared" si="5"/>
        <v>0.28419999999999995</v>
      </c>
      <c r="X7" s="19">
        <v>2.8000000000000001E-2</v>
      </c>
      <c r="Y7" s="19">
        <v>0.752</v>
      </c>
      <c r="Z7" s="20">
        <v>7.62</v>
      </c>
      <c r="AA7" s="150">
        <f t="shared" si="6"/>
        <v>5.8799999999999984E-2</v>
      </c>
      <c r="AB7" s="7">
        <v>2.0531462947374266E-2</v>
      </c>
      <c r="AC7" s="150">
        <f t="shared" si="7"/>
        <v>5.9111111111111114E-2</v>
      </c>
      <c r="AE7" s="168"/>
      <c r="AF7" s="19">
        <v>0.28999999999999998</v>
      </c>
      <c r="AG7" s="19">
        <v>0.06</v>
      </c>
      <c r="AH7" s="19">
        <v>3.7999999999999999E-2</v>
      </c>
    </row>
    <row r="8" spans="1:34" x14ac:dyDescent="0.2">
      <c r="A8" s="176" t="s">
        <v>603</v>
      </c>
      <c r="B8" s="18" t="s">
        <v>222</v>
      </c>
      <c r="C8" s="18">
        <v>11</v>
      </c>
      <c r="D8" s="147"/>
      <c r="E8" s="147"/>
      <c r="F8" s="147"/>
      <c r="G8" s="147"/>
      <c r="H8" s="147"/>
      <c r="I8" s="146">
        <f t="shared" si="3"/>
        <v>30.427392800000007</v>
      </c>
      <c r="J8" s="146">
        <f>I8*V8</f>
        <v>125.66513226400002</v>
      </c>
      <c r="K8" s="146">
        <f>I8*X8</f>
        <v>0.88239439120000029</v>
      </c>
      <c r="L8" s="146">
        <f>((D$2+D$3+D$4)*AA8)</f>
        <v>5.6688295999999987</v>
      </c>
      <c r="M8" s="146">
        <f t="shared" si="4"/>
        <v>3.8377976391999993</v>
      </c>
      <c r="N8" s="146">
        <f t="shared" si="4"/>
        <v>30.894270995559996</v>
      </c>
      <c r="O8" s="146">
        <f t="shared" si="8"/>
        <v>0.134322917372</v>
      </c>
      <c r="Q8" s="13"/>
      <c r="R8" s="139"/>
      <c r="S8" s="138"/>
      <c r="T8" s="139"/>
      <c r="U8" s="139"/>
      <c r="V8" s="107">
        <v>4.13</v>
      </c>
      <c r="W8" s="150">
        <f t="shared" si="5"/>
        <v>6.8600000000000008E-2</v>
      </c>
      <c r="X8" s="19">
        <v>2.9000000000000001E-2</v>
      </c>
      <c r="Y8" s="19">
        <v>0.67700000000000005</v>
      </c>
      <c r="Z8" s="20">
        <v>8.0500000000000007</v>
      </c>
      <c r="AA8" s="150">
        <f t="shared" si="6"/>
        <v>9.7999999999999979E-3</v>
      </c>
      <c r="AB8" s="7">
        <v>2.1669757785520542E-2</v>
      </c>
      <c r="AC8" s="150">
        <f t="shared" si="7"/>
        <v>5.4444444444444462E-2</v>
      </c>
      <c r="AE8" s="168"/>
      <c r="AF8" s="19">
        <v>7.0000000000000007E-2</v>
      </c>
      <c r="AG8" s="19">
        <v>0.01</v>
      </c>
      <c r="AH8" s="19">
        <v>3.5000000000000003E-2</v>
      </c>
    </row>
    <row r="9" spans="1:34" x14ac:dyDescent="0.2">
      <c r="B9" s="18" t="s">
        <v>222</v>
      </c>
      <c r="C9" s="18"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0.12975520463349305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1.0882830690328098E-2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634</v>
      </c>
      <c r="B13" s="18" t="s">
        <v>223</v>
      </c>
      <c r="C13" s="18"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73.694784799999994</v>
      </c>
      <c r="M13" s="146">
        <f t="shared" ref="M13:N20" si="16">L13*Y13</f>
        <v>44.732734373599996</v>
      </c>
      <c r="N13" s="146">
        <f t="shared" si="16"/>
        <v>569.447708575928</v>
      </c>
      <c r="O13" s="146">
        <f t="shared" ref="O13:O20" si="17">M13*AH13</f>
        <v>2.907627734284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0.60699999999999998</v>
      </c>
      <c r="Z13" s="20">
        <v>12.73</v>
      </c>
      <c r="AA13" s="150">
        <f t="shared" ref="AA13:AA20" si="19">(AG13/SUM(AG$6:AG$25))*0.98</f>
        <v>0.12739999999999999</v>
      </c>
      <c r="AB13" s="7">
        <v>0.14864583888878849</v>
      </c>
      <c r="AC13" s="150">
        <f t="shared" ref="AC13:AC20" si="20">(AH13/SUM(AH$6:AH$25))*0.98</f>
        <v>0.10111111111111114</v>
      </c>
      <c r="AE13" s="168"/>
      <c r="AF13" s="19">
        <v>0</v>
      </c>
      <c r="AG13" s="19">
        <v>0.13</v>
      </c>
      <c r="AH13" s="19">
        <v>6.5000000000000002E-2</v>
      </c>
    </row>
    <row r="14" spans="1:34" x14ac:dyDescent="0.2">
      <c r="A14" s="17" t="s">
        <v>556</v>
      </c>
      <c r="B14" s="18" t="s">
        <v>223</v>
      </c>
      <c r="C14" s="18">
        <v>11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85.032443999999984</v>
      </c>
      <c r="M14" s="146">
        <f t="shared" si="16"/>
        <v>53.145277499999992</v>
      </c>
      <c r="N14" s="146">
        <f t="shared" si="16"/>
        <v>618.61103009999988</v>
      </c>
      <c r="O14" s="146">
        <f t="shared" si="17"/>
        <v>2.9761355399999996</v>
      </c>
      <c r="Q14" s="13"/>
      <c r="R14" s="139"/>
      <c r="S14" s="138"/>
      <c r="T14" s="139"/>
      <c r="U14" s="139"/>
      <c r="V14" s="107">
        <v>5.31</v>
      </c>
      <c r="W14" s="150">
        <f t="shared" si="18"/>
        <v>0</v>
      </c>
      <c r="X14" s="19">
        <v>2.8000000000000001E-2</v>
      </c>
      <c r="Y14" s="19">
        <v>0.625</v>
      </c>
      <c r="Z14" s="20">
        <v>11.64</v>
      </c>
      <c r="AA14" s="150">
        <f t="shared" si="19"/>
        <v>0.14699999999999996</v>
      </c>
      <c r="AB14" s="7">
        <v>0.13710286467344765</v>
      </c>
      <c r="AC14" s="150">
        <f t="shared" si="20"/>
        <v>8.7111111111111125E-2</v>
      </c>
      <c r="AE14" s="168"/>
      <c r="AF14" s="19">
        <v>0</v>
      </c>
      <c r="AG14" s="19">
        <v>0.15</v>
      </c>
      <c r="AH14" s="19">
        <v>5.6000000000000001E-2</v>
      </c>
    </row>
    <row r="15" spans="1:34" x14ac:dyDescent="0.2">
      <c r="A15" s="17" t="s">
        <v>140</v>
      </c>
      <c r="B15" s="18" t="s">
        <v>223</v>
      </c>
      <c r="C15" s="18">
        <v>11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79.363614399999989</v>
      </c>
      <c r="M15" s="146">
        <f t="shared" si="16"/>
        <v>46.030896351999992</v>
      </c>
      <c r="N15" s="146">
        <f t="shared" si="16"/>
        <v>612.21092148159994</v>
      </c>
      <c r="O15" s="146">
        <f t="shared" si="17"/>
        <v>2.4396375066559997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0.57999999999999996</v>
      </c>
      <c r="Z15" s="20">
        <v>13.3</v>
      </c>
      <c r="AA15" s="150">
        <f t="shared" si="19"/>
        <v>0.13719999999999999</v>
      </c>
      <c r="AB15" s="7">
        <v>6.5358983780264848E-2</v>
      </c>
      <c r="AC15" s="150">
        <f t="shared" si="20"/>
        <v>8.2444444444444445E-2</v>
      </c>
      <c r="AE15" s="168"/>
      <c r="AF15" s="19">
        <v>0</v>
      </c>
      <c r="AG15" s="19">
        <v>0.14000000000000001</v>
      </c>
      <c r="AH15" s="19">
        <v>5.2999999999999999E-2</v>
      </c>
    </row>
    <row r="16" spans="1:34" x14ac:dyDescent="0.2">
      <c r="A16" s="17" t="s">
        <v>401</v>
      </c>
      <c r="B16" s="18" t="s">
        <v>223</v>
      </c>
      <c r="C16" s="18">
        <v>11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28.344147999999993</v>
      </c>
      <c r="M16" s="146">
        <f t="shared" si="16"/>
        <v>17.063177095999997</v>
      </c>
      <c r="N16" s="146">
        <f t="shared" si="16"/>
        <v>194.17895535247999</v>
      </c>
      <c r="O16" s="146">
        <f t="shared" si="17"/>
        <v>1.1091065112399998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0.60199999999999998</v>
      </c>
      <c r="Z16" s="20">
        <v>11.38</v>
      </c>
      <c r="AA16" s="150">
        <f t="shared" si="19"/>
        <v>4.8999999999999988E-2</v>
      </c>
      <c r="AB16" s="7">
        <v>4.2240104227868225E-2</v>
      </c>
      <c r="AC16" s="150">
        <f t="shared" si="20"/>
        <v>0.10111111111111114</v>
      </c>
      <c r="AE16" s="168"/>
      <c r="AF16" s="19">
        <v>0</v>
      </c>
      <c r="AG16" s="19">
        <v>0.05</v>
      </c>
      <c r="AH16" s="19">
        <v>6.5000000000000002E-2</v>
      </c>
    </row>
    <row r="17" spans="1:34" x14ac:dyDescent="0.2">
      <c r="A17" s="17" t="s">
        <v>69</v>
      </c>
      <c r="B17" s="18" t="s">
        <v>223</v>
      </c>
      <c r="C17" s="18">
        <v>11</v>
      </c>
      <c r="D17" s="147"/>
      <c r="E17" s="147"/>
      <c r="F17" s="147"/>
      <c r="G17" s="147"/>
      <c r="H17" s="147"/>
      <c r="I17" s="146">
        <f t="shared" ref="I17" si="21">D$35*W17</f>
        <v>0</v>
      </c>
      <c r="J17" s="146">
        <f t="shared" ref="J17" si="22">I17*V17</f>
        <v>0</v>
      </c>
      <c r="K17" s="146">
        <f t="shared" ref="K17" si="23">I17*X17</f>
        <v>0</v>
      </c>
      <c r="L17" s="146">
        <f t="shared" ref="L17" si="24">((D$2+D$3+D$4)*AA17)</f>
        <v>56.688295999999987</v>
      </c>
      <c r="M17" s="146">
        <f t="shared" ref="M17" si="25">L17*Y17</f>
        <v>35.37349670399999</v>
      </c>
      <c r="N17" s="146">
        <f t="shared" ref="N17" si="26">M17*Z17</f>
        <v>345.5990627980799</v>
      </c>
      <c r="O17" s="146">
        <f t="shared" ref="O17" si="27">M17*AH17</f>
        <v>2.0516628088319995</v>
      </c>
      <c r="Q17" s="13"/>
      <c r="R17" s="139"/>
      <c r="S17" s="138"/>
      <c r="T17" s="139"/>
      <c r="U17" s="139"/>
      <c r="V17" s="107">
        <v>5.0199999999999996</v>
      </c>
      <c r="W17" s="150">
        <f t="shared" ref="W17" si="28">(AF17/SUM(AF$2:AF$20))*0.98</f>
        <v>0</v>
      </c>
      <c r="X17" s="19">
        <v>1.4999999999999999E-2</v>
      </c>
      <c r="Y17" s="19">
        <v>0.624</v>
      </c>
      <c r="Z17" s="20">
        <v>9.77</v>
      </c>
      <c r="AA17" s="150">
        <f t="shared" ref="AA17" si="29">(AG17/SUM(AG$6:AG$25))*0.98</f>
        <v>9.7999999999999976E-2</v>
      </c>
      <c r="AB17" s="7">
        <v>0.14864583888878849</v>
      </c>
      <c r="AC17" s="150">
        <f t="shared" ref="AC17" si="30">(AH17/SUM(AH$6:AH$25))*0.98</f>
        <v>9.0222222222222245E-2</v>
      </c>
      <c r="AE17" s="168"/>
      <c r="AF17" s="19">
        <v>0</v>
      </c>
      <c r="AG17" s="19">
        <v>0.1</v>
      </c>
      <c r="AH17" s="19">
        <v>5.8000000000000003E-2</v>
      </c>
    </row>
    <row r="18" spans="1:34" x14ac:dyDescent="0.2">
      <c r="A18" s="17" t="s">
        <v>668</v>
      </c>
      <c r="B18" s="18" t="s">
        <v>223</v>
      </c>
      <c r="C18" s="18"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28.344147999999993</v>
      </c>
      <c r="M18" s="146">
        <f t="shared" si="16"/>
        <v>16.751391467999994</v>
      </c>
      <c r="N18" s="146">
        <f t="shared" si="16"/>
        <v>215.75792210783993</v>
      </c>
      <c r="O18" s="146">
        <f t="shared" si="17"/>
        <v>1.1055918368879998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0.59099999999999997</v>
      </c>
      <c r="Z18" s="20">
        <v>12.88</v>
      </c>
      <c r="AA18" s="150">
        <f t="shared" si="19"/>
        <v>4.8999999999999988E-2</v>
      </c>
      <c r="AB18" s="7">
        <v>1.7121948793519734E-2</v>
      </c>
      <c r="AC18" s="150">
        <f t="shared" si="20"/>
        <v>0.10266666666666668</v>
      </c>
      <c r="AE18" s="168"/>
      <c r="AF18" s="19">
        <v>0</v>
      </c>
      <c r="AG18" s="19">
        <v>0.05</v>
      </c>
      <c r="AH18" s="19">
        <v>6.6000000000000003E-2</v>
      </c>
    </row>
    <row r="19" spans="1:34" x14ac:dyDescent="0.2">
      <c r="B19" s="18" t="s">
        <v>223</v>
      </c>
      <c r="C19" s="18"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2" t="s">
        <v>17</v>
      </c>
      <c r="B22" s="18" t="s">
        <v>10</v>
      </c>
      <c r="C22" s="18"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73.694784799999994</v>
      </c>
      <c r="M22" s="146">
        <f t="shared" ref="M22:N25" si="31">L22*Y22</f>
        <v>47.3857466264</v>
      </c>
      <c r="N22" s="146">
        <f t="shared" si="31"/>
        <v>498.02419704346397</v>
      </c>
      <c r="O22" s="146">
        <f t="shared" ref="O22:O25" si="32">M22*AH22</f>
        <v>3.8856312233648</v>
      </c>
      <c r="Q22" s="13"/>
      <c r="R22" s="139"/>
      <c r="S22" s="138"/>
      <c r="T22" s="139"/>
      <c r="U22" s="139"/>
      <c r="V22" s="140"/>
      <c r="W22" s="154"/>
      <c r="X22" s="139"/>
      <c r="Y22" s="19">
        <v>0.64300000000000002</v>
      </c>
      <c r="Z22" s="20">
        <v>10.51</v>
      </c>
      <c r="AA22" s="150">
        <f>(AG22/SUM(AG$6:AG$25))*0.98</f>
        <v>0.12739999999999999</v>
      </c>
      <c r="AB22" s="7">
        <v>0.13882178462333361</v>
      </c>
      <c r="AC22" s="150">
        <f>(AH22/SUM(AH$6:AH$25))*0.98</f>
        <v>0.12755555555555559</v>
      </c>
      <c r="AE22" s="168"/>
      <c r="AF22" s="168"/>
      <c r="AG22" s="19">
        <v>0.13</v>
      </c>
      <c r="AH22" s="19">
        <v>8.2000000000000003E-2</v>
      </c>
    </row>
    <row r="23" spans="1:34" x14ac:dyDescent="0.2">
      <c r="A23" s="176" t="s">
        <v>18</v>
      </c>
      <c r="B23" s="18" t="s">
        <v>10</v>
      </c>
      <c r="C23" s="18"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45.35063679999999</v>
      </c>
      <c r="M23" s="146">
        <f t="shared" si="31"/>
        <v>29.432563283199993</v>
      </c>
      <c r="N23" s="146">
        <f t="shared" si="31"/>
        <v>277.54907176057594</v>
      </c>
      <c r="O23" s="146">
        <f t="shared" si="32"/>
        <v>2.1191445563903994</v>
      </c>
      <c r="Q23" s="13"/>
      <c r="R23" s="139"/>
      <c r="S23" s="138"/>
      <c r="T23" s="139"/>
      <c r="U23" s="139"/>
      <c r="V23" s="140"/>
      <c r="W23" s="154"/>
      <c r="X23" s="139"/>
      <c r="Y23" s="19">
        <v>0.64900000000000002</v>
      </c>
      <c r="Z23" s="20">
        <v>9.43</v>
      </c>
      <c r="AA23" s="150">
        <f>(AG23/SUM(AG$6:AG$25))*0.98</f>
        <v>7.8399999999999984E-2</v>
      </c>
      <c r="AB23" s="7">
        <v>0.12910308972453613</v>
      </c>
      <c r="AC23" s="150">
        <f>(AH23/SUM(AH$6:AH$25))*0.98</f>
        <v>0.112</v>
      </c>
      <c r="AE23" s="168"/>
      <c r="AF23" s="168"/>
      <c r="AG23" s="19">
        <v>0.08</v>
      </c>
      <c r="AH23" s="19">
        <v>7.1999999999999995E-2</v>
      </c>
    </row>
    <row r="24" spans="1:34" x14ac:dyDescent="0.2">
      <c r="B24" s="18" t="s">
        <v>10</v>
      </c>
      <c r="C24" s="18"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3.7823124214133433E-2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A25" s="42"/>
      <c r="B25" s="18" t="s">
        <v>10</v>
      </c>
      <c r="C25" s="18"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2.8895811831991899E-2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1.1091440768739029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1022</v>
      </c>
      <c r="E29" s="47">
        <v>0.56599999999999995</v>
      </c>
      <c r="F29" s="2">
        <f>1-E29</f>
        <v>0.43400000000000005</v>
      </c>
      <c r="G29" s="106">
        <v>4.3499999999999996</v>
      </c>
      <c r="H29" s="126">
        <v>3.1E-2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5">
        <f>D29*E29</f>
        <v>578.452</v>
      </c>
      <c r="E32" s="156">
        <f>SUM(E2:E4)</f>
        <v>360.98297059999999</v>
      </c>
      <c r="F32" s="156">
        <f>SUM(F2:F4)</f>
        <v>3874.0121472667997</v>
      </c>
      <c r="G32" s="156">
        <f>SUM(G2:G4)</f>
        <v>21.373801399999998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2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2" t="s">
        <v>278</v>
      </c>
      <c r="F34" s="1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443.54800000000006</v>
      </c>
      <c r="E35" s="156">
        <f>D35*G29</f>
        <v>1929.4338</v>
      </c>
      <c r="F35" s="156">
        <f>D35*H29</f>
        <v>13.749988000000002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434.67704000000003</v>
      </c>
      <c r="E38" s="157">
        <f>SUM(J2:J4,J6:J11,J13:J20)</f>
        <v>1906.1457558080003</v>
      </c>
      <c r="F38" s="157">
        <f>SUM(K2:K4,K6:K11,K13:K20)</f>
        <v>13.705367071200001</v>
      </c>
      <c r="G38" s="157">
        <f>SUM(L6:L11,L13:L20,L22:L25)</f>
        <v>566.88295999999991</v>
      </c>
      <c r="H38" s="157">
        <f>SUM(M6:M11,M13:M20,M22:M25)</f>
        <v>360.71329627759997</v>
      </c>
      <c r="I38" s="157">
        <f>SUM(N6:N11,N13:N20,N22:N25)</f>
        <v>3864.6473136525515</v>
      </c>
      <c r="J38" s="157">
        <f>SUM(O6:O11,O13:O20,O22:O25)</f>
        <v>21.356113726124796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8.870960000000025</v>
      </c>
      <c r="E39" s="158">
        <f>E35-E38</f>
        <v>23.288044191999688</v>
      </c>
      <c r="F39" s="158">
        <f>F35-F38</f>
        <v>4.462092880000057E-2</v>
      </c>
      <c r="G39" s="158">
        <f>SUM(D2:D4)-G38</f>
        <v>11.569040000000086</v>
      </c>
      <c r="H39" s="158">
        <f>E32-H38</f>
        <v>0.26967432240002154</v>
      </c>
      <c r="I39" s="158">
        <f>F32-I38</f>
        <v>9.3648336142482549</v>
      </c>
      <c r="J39" s="158">
        <f>G32-J38</f>
        <v>1.7687673875201426E-2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32" priority="1" operator="lessThan">
      <formula>0</formula>
    </cfRule>
  </conditionalFormatting>
  <conditionalFormatting sqref="W28">
    <cfRule type="cellIs" dxfId="31" priority="2" operator="greaterThan">
      <formula>1</formula>
    </cfRule>
  </conditionalFormatting>
  <conditionalFormatting sqref="AA28:AG28">
    <cfRule type="cellIs" dxfId="30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3">
    <tabColor theme="9" tint="0.79998168889431442"/>
  </sheetPr>
  <dimension ref="A1:AG221"/>
  <sheetViews>
    <sheetView showGridLines="0" zoomScale="85" zoomScaleNormal="85" workbookViewId="0">
      <selection activeCell="AD33" sqref="AD2:AF33"/>
    </sheetView>
  </sheetViews>
  <sheetFormatPr baseColWidth="10" defaultColWidth="9" defaultRowHeight="14" x14ac:dyDescent="0.2"/>
  <cols>
    <col min="1" max="1" width="3.59765625" bestFit="1" customWidth="1"/>
    <col min="2" max="2" width="19.59765625" bestFit="1" customWidth="1"/>
    <col min="3" max="3" width="5.19921875" bestFit="1" customWidth="1"/>
    <col min="4" max="4" width="4.19921875" bestFit="1" customWidth="1"/>
    <col min="5" max="5" width="7.796875" bestFit="1" customWidth="1"/>
    <col min="6" max="6" width="5.796875" bestFit="1" customWidth="1"/>
    <col min="7" max="7" width="5.796875" customWidth="1"/>
    <col min="8" max="8" width="4.19921875" bestFit="1" customWidth="1"/>
    <col min="9" max="9" width="22.19921875" bestFit="1" customWidth="1"/>
    <col min="10" max="10" width="5.19921875" bestFit="1" customWidth="1"/>
    <col min="11" max="11" width="4.19921875" bestFit="1" customWidth="1"/>
    <col min="12" max="12" width="7.796875" bestFit="1" customWidth="1"/>
    <col min="13" max="13" width="5.796875" bestFit="1" customWidth="1"/>
    <col min="14" max="14" width="5.796875" customWidth="1"/>
    <col min="15" max="15" width="4.19921875" bestFit="1" customWidth="1"/>
    <col min="16" max="16" width="25.59765625" bestFit="1" customWidth="1"/>
    <col min="17" max="17" width="5.19921875" bestFit="1" customWidth="1"/>
    <col min="18" max="18" width="4.19921875" bestFit="1" customWidth="1"/>
    <col min="19" max="19" width="7.796875" bestFit="1" customWidth="1"/>
    <col min="20" max="20" width="5.796875" bestFit="1" customWidth="1"/>
    <col min="21" max="21" width="5.796875" customWidth="1"/>
    <col min="22" max="22" width="4.19921875" bestFit="1" customWidth="1"/>
    <col min="23" max="23" width="21.3984375" bestFit="1" customWidth="1"/>
    <col min="24" max="24" width="5.19921875" bestFit="1" customWidth="1"/>
    <col min="25" max="25" width="4.19921875" bestFit="1" customWidth="1"/>
    <col min="26" max="26" width="7.796875" bestFit="1" customWidth="1"/>
    <col min="27" max="27" width="5.796875" bestFit="1" customWidth="1"/>
    <col min="28" max="28" width="5.796875" customWidth="1"/>
    <col min="29" max="29" width="3.59765625" bestFit="1" customWidth="1"/>
    <col min="30" max="30" width="26.59765625" bestFit="1" customWidth="1"/>
    <col min="31" max="31" width="4.19921875" bestFit="1" customWidth="1"/>
    <col min="32" max="32" width="7.796875" bestFit="1" customWidth="1"/>
    <col min="33" max="33" width="5.796875" bestFit="1" customWidth="1"/>
  </cols>
  <sheetData>
    <row r="1" spans="1:33" s="6" customFormat="1" x14ac:dyDescent="0.2">
      <c r="A1" s="6" t="s">
        <v>142</v>
      </c>
      <c r="B1" s="6" t="s">
        <v>340</v>
      </c>
      <c r="C1" s="6" t="s">
        <v>92</v>
      </c>
      <c r="D1" s="6" t="s">
        <v>128</v>
      </c>
      <c r="E1" s="6" t="s">
        <v>123</v>
      </c>
      <c r="F1" s="6" t="s">
        <v>310</v>
      </c>
      <c r="H1" s="6" t="s">
        <v>142</v>
      </c>
      <c r="I1" s="6" t="s">
        <v>340</v>
      </c>
      <c r="J1" s="6" t="s">
        <v>92</v>
      </c>
      <c r="K1" s="6" t="s">
        <v>128</v>
      </c>
      <c r="L1" s="6" t="s">
        <v>123</v>
      </c>
      <c r="M1" s="6" t="s">
        <v>310</v>
      </c>
      <c r="O1" s="6" t="s">
        <v>142</v>
      </c>
      <c r="P1" s="6" t="s">
        <v>340</v>
      </c>
      <c r="Q1" s="6" t="s">
        <v>92</v>
      </c>
      <c r="R1" s="6" t="s">
        <v>128</v>
      </c>
      <c r="S1" s="6" t="s">
        <v>123</v>
      </c>
      <c r="T1" s="6" t="s">
        <v>310</v>
      </c>
      <c r="V1" s="6" t="s">
        <v>142</v>
      </c>
      <c r="W1" s="6" t="s">
        <v>340</v>
      </c>
      <c r="X1" s="6" t="s">
        <v>92</v>
      </c>
      <c r="Y1" s="6" t="s">
        <v>128</v>
      </c>
      <c r="Z1" s="6" t="s">
        <v>123</v>
      </c>
      <c r="AA1" s="6" t="s">
        <v>310</v>
      </c>
      <c r="AC1" s="6" t="s">
        <v>142</v>
      </c>
      <c r="AD1" s="6" t="s">
        <v>340</v>
      </c>
      <c r="AE1" s="6" t="s">
        <v>128</v>
      </c>
      <c r="AF1" s="6" t="s">
        <v>123</v>
      </c>
      <c r="AG1" s="6" t="s">
        <v>310</v>
      </c>
    </row>
    <row r="2" spans="1:33" x14ac:dyDescent="0.2">
      <c r="A2">
        <v>1</v>
      </c>
      <c r="B2" t="str">
        <f>IFERROR(INDEX(TableQBCalcPts[PLAYER],MATCH(TableQBRanks[[#This Row],[RK]],TableQBCalcPts[RK],0)),"")</f>
        <v>Josh Allen</v>
      </c>
      <c r="C2" t="str">
        <f>IFERROR(INDEX(TableQBCalcPts[TM],MATCH(TableQBRanks[[#This Row],[RK]],TableQBCalcPts[RK],0)),"")</f>
        <v>BUF</v>
      </c>
      <c r="D2">
        <f>IFERROR(INDEX(TableQBCalcPts[BYE],MATCH(TableQBRanks[[#This Row],[RK]],TableQBCalcPts[RK],0)),"")</f>
        <v>13</v>
      </c>
      <c r="E2" s="57">
        <f>IFERROR(INDEX(TableQBCalcPts[Custom],MATCH(TableQBRanks[[#This Row],[RK]],TableQBCalcPts[RK],0)),"")</f>
        <v>395.82932580863996</v>
      </c>
      <c r="F2" s="125">
        <f>(((VLOOKUP(TableQBRanks[[#This Row],[Player]],'OVR &amp; VORP Ranks'!$B:$F,5,FALSE)))/('OVR &amp; VORP Ranks'!$BM$6))*(Settings!$E$10*TEAMS)</f>
        <v>37.902701833023727</v>
      </c>
      <c r="H2">
        <v>1</v>
      </c>
      <c r="I2" t="str">
        <f>IFERROR(INDEX(TableRBCalcPts[PLAYER],MATCH(TableRBRanks[[#This Row],[RK]],TableRBCalcPts[RK],0)),"")</f>
        <v>Christian McCaffrey</v>
      </c>
      <c r="J2" t="str">
        <f>IFERROR(INDEX(TableRBCalcPts[TM],MATCH(TableRBRanks[[#This Row],[RK]],TableRBCalcPts[RK],0)),"")</f>
        <v>SF</v>
      </c>
      <c r="K2">
        <f>IFERROR(INDEX(TableRBCalcPts[BYE],MATCH(TableRBRanks[[#This Row],[RK]],TableRBCalcPts[RK],0)),"")</f>
        <v>9</v>
      </c>
      <c r="L2" s="57">
        <f>IFERROR(INDEX(TableRBCalcPts[Custom],MATCH(TableRBRanks[[#This Row],[RK]],TableRBCalcPts[RK],0)),"")</f>
        <v>302.45567415335995</v>
      </c>
      <c r="M2" s="125">
        <f>(((VLOOKUP(TableRBRanks[[#This Row],[Player]],'OVR &amp; VORP Ranks'!$I:$M,5,FALSE)))/('OVR &amp; VORP Ranks'!$BM$6))*(Settings!$E$10*TEAMS)</f>
        <v>78.644628258216443</v>
      </c>
      <c r="O2">
        <v>1</v>
      </c>
      <c r="P2" t="str">
        <f>IFERROR(INDEX(TableWRCalcPts[PLAYER],MATCH(TableWRRanks[[#This Row],[RK]],TableWRCalcPts[RK],0)),"")</f>
        <v>Tyreek Hill</v>
      </c>
      <c r="Q2" t="str">
        <f>IFERROR(INDEX(TableWRCalcPts[TM],MATCH(TableWRRanks[[#This Row],[RK]],TableWRCalcPts[RK],0)),"")</f>
        <v>MIA</v>
      </c>
      <c r="R2">
        <f>IFERROR(INDEX(TableWRCalcPts[BYE],MATCH(TableWRRanks[[#This Row],[RK]],TableWRCalcPts[RK],0)),"")</f>
        <v>10</v>
      </c>
      <c r="S2" s="57">
        <f>IFERROR(INDEX(TableWRCalcPts[Custom],MATCH(TableWRRanks[[#This Row],[RK]],TableWRCalcPts[RK],0)),"")</f>
        <v>276.05461827121923</v>
      </c>
      <c r="T2" s="125">
        <f>(((VLOOKUP(TableWRRanks[[#This Row],[Player]],'OVR &amp; VORP Ranks'!$P:$T,5,FALSE)))/('OVR &amp; VORP Ranks'!$BM$6))*(Settings!$E$10*TEAMS)</f>
        <v>42.595265005543823</v>
      </c>
      <c r="V2">
        <v>1</v>
      </c>
      <c r="W2" t="str">
        <f>IFERROR(INDEX(TableTECalcPts[PLAYER],MATCH(TableTERanks[[#This Row],[RK]],TableTECalcPts[RK],0)),"")</f>
        <v>Travis Kelce</v>
      </c>
      <c r="X2" t="str">
        <f>IFERROR(INDEX(TableTECalcPts[TM],MATCH(TableTERanks[[#This Row],[RK]],TableTECalcPts[RK],0)),"")</f>
        <v>KC</v>
      </c>
      <c r="Y2">
        <f>IFERROR(INDEX(TableTECalcPts[BYE],MATCH(TableTERanks[[#This Row],[RK]],TableTECalcPts[RK],0)),"")</f>
        <v>10</v>
      </c>
      <c r="Z2" s="57">
        <f>IFERROR(INDEX(TableTECalcPts[Custom],MATCH(TableTERanks[[#This Row],[RK]],TableTECalcPts[RK],0)),"")</f>
        <v>190.78049731103991</v>
      </c>
      <c r="AA2" s="125">
        <f>(((VLOOKUP(TableTERanks[[#This Row],[Player]],'OVR &amp; VORP Ranks'!$W:$AA,5,FALSE)))/('OVR &amp; VORP Ranks'!$BM$6))*(Settings!$E$10*TEAMS)</f>
        <v>21.14303665689577</v>
      </c>
      <c r="AC2">
        <v>1</v>
      </c>
      <c r="AD2" t="str">
        <f>IFERROR(INDEX(TableDSTCalcPts[PLAYER],MATCH(TableDSTRanks[[#This Row],[RK]],TableDSTCalcPts[RK],0)),"")</f>
        <v>Eagles</v>
      </c>
      <c r="AE2">
        <f>IFERROR(INDEX(TableDSTCalcPts[BYE],MATCH(TableDSTRanks[[#This Row],[RK]],TableDSTCalcPts[RK],0)),"")</f>
        <v>0</v>
      </c>
      <c r="AF2" s="57">
        <f>IFERROR(INDEX(TableDSTCalcPts[Custom],MATCH(TableDSTRanks[[#This Row],[RK]],TableDSTCalcPts[RK],0)),"")</f>
        <v>123.35</v>
      </c>
      <c r="AG2" s="125">
        <v>2</v>
      </c>
    </row>
    <row r="3" spans="1:33" x14ac:dyDescent="0.2">
      <c r="A3">
        <v>2</v>
      </c>
      <c r="B3" t="str">
        <f>IFERROR(INDEX(TableQBCalcPts[PLAYER],MATCH(TableQBRanks[[#This Row],[RK]],TableQBCalcPts[RK],0)),"")</f>
        <v>Lamar Jackson</v>
      </c>
      <c r="C3" t="str">
        <f>IFERROR(INDEX(TableQBCalcPts[TM],MATCH(TableQBRanks[[#This Row],[RK]],TableQBCalcPts[RK],0)),"")</f>
        <v>BAL</v>
      </c>
      <c r="D3">
        <f>IFERROR(INDEX(TableQBCalcPts[BYE],MATCH(TableQBRanks[[#This Row],[RK]],TableQBCalcPts[RK],0)),"")</f>
        <v>13</v>
      </c>
      <c r="E3" s="57">
        <f>IFERROR(INDEX(TableQBCalcPts[Custom],MATCH(TableQBRanks[[#This Row],[RK]],TableQBCalcPts[RK],0)),"")</f>
        <v>375.62819878982395</v>
      </c>
      <c r="F3" s="125">
        <f>(((VLOOKUP(TableQBRanks[[#This Row],[Player]],'OVR &amp; VORP Ranks'!$B:$F,5,FALSE)))/('OVR &amp; VORP Ranks'!$BM$6))*(Settings!$E$10*TEAMS)</f>
        <v>27.101225625791997</v>
      </c>
      <c r="H3">
        <v>2</v>
      </c>
      <c r="I3" t="str">
        <f>IFERROR(INDEX(TableRBCalcPts[PLAYER],MATCH(TableRBRanks[[#This Row],[RK]],TableRBCalcPts[RK],0)),"")</f>
        <v>Jonathan Taylor</v>
      </c>
      <c r="J3" t="str">
        <f>IFERROR(INDEX(TableRBCalcPts[TM],MATCH(TableRBRanks[[#This Row],[RK]],TableRBCalcPts[RK],0)),"")</f>
        <v>IND</v>
      </c>
      <c r="K3">
        <f>IFERROR(INDEX(TableRBCalcPts[BYE],MATCH(TableRBRanks[[#This Row],[RK]],TableRBCalcPts[RK],0)),"")</f>
        <v>11</v>
      </c>
      <c r="L3" s="57">
        <f>IFERROR(INDEX(TableRBCalcPts[Custom],MATCH(TableRBRanks[[#This Row],[RK]],TableRBCalcPts[RK],0)),"")</f>
        <v>258.01645011296</v>
      </c>
      <c r="M3" s="125">
        <f>(((VLOOKUP(TableRBRanks[[#This Row],[Player]],'OVR &amp; VORP Ranks'!$I:$M,5,FALSE)))/('OVR &amp; VORP Ranks'!$BM$6))*(Settings!$E$10*TEAMS)</f>
        <v>60.22494583509333</v>
      </c>
      <c r="O3">
        <v>2</v>
      </c>
      <c r="P3" t="str">
        <f>IFERROR(INDEX(TableWRCalcPts[PLAYER],MATCH(TableWRRanks[[#This Row],[RK]],TableWRCalcPts[RK],0)),"")</f>
        <v>CeeDee Lamb</v>
      </c>
      <c r="Q3" t="str">
        <f>IFERROR(INDEX(TableWRCalcPts[TM],MATCH(TableWRRanks[[#This Row],[RK]],TableWRCalcPts[RK],0)),"")</f>
        <v>DAL</v>
      </c>
      <c r="R3">
        <f>IFERROR(INDEX(TableWRCalcPts[BYE],MATCH(TableWRRanks[[#This Row],[RK]],TableWRCalcPts[RK],0)),"")</f>
        <v>7</v>
      </c>
      <c r="S3" s="57">
        <f>IFERROR(INDEX(TableWRCalcPts[Custom],MATCH(TableWRRanks[[#This Row],[RK]],TableWRCalcPts[RK],0)),"")</f>
        <v>252.66183146769589</v>
      </c>
      <c r="T3" s="125">
        <f>(((VLOOKUP(TableWRRanks[[#This Row],[Player]],'OVR &amp; VORP Ranks'!$P:$T,5,FALSE)))/('OVR &amp; VORP Ranks'!$BM$6))*(Settings!$E$10*TEAMS)</f>
        <v>35.026657363026871</v>
      </c>
      <c r="V3">
        <v>2</v>
      </c>
      <c r="W3" t="str">
        <f>IFERROR(INDEX(TableTECalcPts[PLAYER],MATCH(TableTERanks[[#This Row],[RK]],TableTECalcPts[RK],0)),"")</f>
        <v>Sam LaPorta</v>
      </c>
      <c r="X3" t="str">
        <f>IFERROR(INDEX(TableTECalcPts[TM],MATCH(TableTERanks[[#This Row],[RK]],TableTECalcPts[RK],0)),"")</f>
        <v>DET</v>
      </c>
      <c r="Y3">
        <f>IFERROR(INDEX(TableTECalcPts[BYE],MATCH(TableTERanks[[#This Row],[RK]],TableTECalcPts[RK],0)),"")</f>
        <v>9</v>
      </c>
      <c r="Z3" s="57">
        <f>IFERROR(INDEX(TableTECalcPts[Custom],MATCH(TableTERanks[[#This Row],[RK]],TableTECalcPts[RK],0)),"")</f>
        <v>183.65560471586994</v>
      </c>
      <c r="AA3" s="125">
        <f>(((VLOOKUP(TableTERanks[[#This Row],[Player]],'OVR &amp; VORP Ranks'!$W:$AA,5,FALSE)))/('OVR &amp; VORP Ranks'!$BM$6))*(Settings!$E$10*TEAMS)</f>
        <v>18.608596447577018</v>
      </c>
      <c r="AC3">
        <v>2</v>
      </c>
      <c r="AD3" t="str">
        <f>IFERROR(INDEX(TableDSTCalcPts[PLAYER],MATCH(TableDSTRanks[[#This Row],[RK]],TableDSTCalcPts[RK],0)),"")</f>
        <v>Cowboys</v>
      </c>
      <c r="AE3">
        <f>IFERROR(INDEX(TableDSTCalcPts[BYE],MATCH(TableDSTRanks[[#This Row],[RK]],TableDSTCalcPts[RK],0)),"")</f>
        <v>0</v>
      </c>
      <c r="AF3" s="57">
        <f>IFERROR(INDEX(TableDSTCalcPts[Custom],MATCH(TableDSTRanks[[#This Row],[RK]],TableDSTCalcPts[RK],0)),"")</f>
        <v>123.05</v>
      </c>
      <c r="AG3" s="125">
        <v>2</v>
      </c>
    </row>
    <row r="4" spans="1:33" x14ac:dyDescent="0.2">
      <c r="A4">
        <v>3</v>
      </c>
      <c r="B4" t="str">
        <f>IFERROR(INDEX(TableQBCalcPts[PLAYER],MATCH(TableQBRanks[[#This Row],[RK]],TableQBCalcPts[RK],0)),"")</f>
        <v>Jalen Hurts</v>
      </c>
      <c r="C4" t="str">
        <f>IFERROR(INDEX(TableQBCalcPts[TM],MATCH(TableQBRanks[[#This Row],[RK]],TableQBCalcPts[RK],0)),"")</f>
        <v>PHI</v>
      </c>
      <c r="D4">
        <f>IFERROR(INDEX(TableQBCalcPts[BYE],MATCH(TableQBRanks[[#This Row],[RK]],TableQBCalcPts[RK],0)),"")</f>
        <v>10</v>
      </c>
      <c r="E4" s="57">
        <f>IFERROR(INDEX(TableQBCalcPts[Custom],MATCH(TableQBRanks[[#This Row],[RK]],TableQBCalcPts[RK],0)),"")</f>
        <v>373.54217098705925</v>
      </c>
      <c r="F4" s="125">
        <f>(((VLOOKUP(TableQBRanks[[#This Row],[Player]],'OVR &amp; VORP Ranks'!$B:$F,5,FALSE)))/('OVR &amp; VORP Ranks'!$BM$6))*(Settings!$E$10*TEAMS)</f>
        <v>26.665605808195664</v>
      </c>
      <c r="H4">
        <v>3</v>
      </c>
      <c r="I4" t="str">
        <f>IFERROR(INDEX(TableRBCalcPts[PLAYER],MATCH(TableRBRanks[[#This Row],[RK]],TableRBCalcPts[RK],0)),"")</f>
        <v>Breece Hall</v>
      </c>
      <c r="J4" t="str">
        <f>IFERROR(INDEX(TableRBCalcPts[TM],MATCH(TableRBRanks[[#This Row],[RK]],TableRBCalcPts[RK],0)),"")</f>
        <v>NYJ</v>
      </c>
      <c r="K4">
        <f>IFERROR(INDEX(TableRBCalcPts[BYE],MATCH(TableRBRanks[[#This Row],[RK]],TableRBCalcPts[RK],0)),"")</f>
        <v>7</v>
      </c>
      <c r="L4" s="57">
        <f>IFERROR(INDEX(TableRBCalcPts[Custom],MATCH(TableRBRanks[[#This Row],[RK]],TableRBCalcPts[RK],0)),"")</f>
        <v>257.07200314096002</v>
      </c>
      <c r="M4" s="125">
        <f>(((VLOOKUP(TableRBRanks[[#This Row],[Player]],'OVR &amp; VORP Ranks'!$I:$M,5,FALSE)))/('OVR &amp; VORP Ranks'!$BM$6))*(Settings!$E$10*TEAMS)</f>
        <v>59.833480554918665</v>
      </c>
      <c r="O4">
        <v>3</v>
      </c>
      <c r="P4" t="str">
        <f>IFERROR(INDEX(TableWRCalcPts[PLAYER],MATCH(TableWRRanks[[#This Row],[RK]],TableWRCalcPts[RK],0)),"")</f>
        <v>Amon-Ra St. Brown</v>
      </c>
      <c r="Q4" t="str">
        <f>IFERROR(INDEX(TableWRCalcPts[TM],MATCH(TableWRRanks[[#This Row],[RK]],TableWRCalcPts[RK],0)),"")</f>
        <v>DET</v>
      </c>
      <c r="R4">
        <f>IFERROR(INDEX(TableWRCalcPts[BYE],MATCH(TableWRRanks[[#This Row],[RK]],TableWRCalcPts[RK],0)),"")</f>
        <v>9</v>
      </c>
      <c r="S4" s="57">
        <f>IFERROR(INDEX(TableWRCalcPts[Custom],MATCH(TableWRRanks[[#This Row],[RK]],TableWRCalcPts[RK],0)),"")</f>
        <v>250.73054050100694</v>
      </c>
      <c r="T4" s="125">
        <f>(((VLOOKUP(TableWRRanks[[#This Row],[Player]],'OVR &amp; VORP Ranks'!$P:$T,5,FALSE)))/('OVR &amp; VORP Ranks'!$BM$6))*(Settings!$E$10*TEAMS)</f>
        <v>34.401798781910564</v>
      </c>
      <c r="V4">
        <v>3</v>
      </c>
      <c r="W4" t="str">
        <f>IFERROR(INDEX(TableTECalcPts[PLAYER],MATCH(TableTERanks[[#This Row],[RK]],TableTECalcPts[RK],0)),"")</f>
        <v>Mark Andrews</v>
      </c>
      <c r="X4" t="str">
        <f>IFERROR(INDEX(TableTECalcPts[TM],MATCH(TableTERanks[[#This Row],[RK]],TableTECalcPts[RK],0)),"")</f>
        <v>BAL</v>
      </c>
      <c r="Y4">
        <f>IFERROR(INDEX(TableTECalcPts[BYE],MATCH(TableTERanks[[#This Row],[RK]],TableTECalcPts[RK],0)),"")</f>
        <v>13</v>
      </c>
      <c r="Z4" s="57">
        <f>IFERROR(INDEX(TableTECalcPts[Custom],MATCH(TableTERanks[[#This Row],[RK]],TableTECalcPts[RK],0)),"")</f>
        <v>181.76200187228162</v>
      </c>
      <c r="AA4" s="125">
        <f>(((VLOOKUP(TableTERanks[[#This Row],[Player]],'OVR &amp; VORP Ranks'!$W:$AA,5,FALSE)))/('OVR &amp; VORP Ranks'!$BM$6))*(Settings!$E$10*TEAMS)</f>
        <v>17.935011109529391</v>
      </c>
      <c r="AC4">
        <v>3</v>
      </c>
      <c r="AD4" t="str">
        <f>IFERROR(INDEX(TableDSTCalcPts[PLAYER],MATCH(TableDSTRanks[[#This Row],[RK]],TableDSTCalcPts[RK],0)),"")</f>
        <v>Ravens</v>
      </c>
      <c r="AE4">
        <f>IFERROR(INDEX(TableDSTCalcPts[BYE],MATCH(TableDSTRanks[[#This Row],[RK]],TableDSTCalcPts[RK],0)),"")</f>
        <v>0</v>
      </c>
      <c r="AF4" s="57">
        <f>IFERROR(INDEX(TableDSTCalcPts[Custom],MATCH(TableDSTRanks[[#This Row],[RK]],TableDSTCalcPts[RK],0)),"")</f>
        <v>121.85</v>
      </c>
      <c r="AG4" s="125">
        <v>1</v>
      </c>
    </row>
    <row r="5" spans="1:33" x14ac:dyDescent="0.2">
      <c r="A5">
        <v>4</v>
      </c>
      <c r="B5" t="str">
        <f>IFERROR(INDEX(TableQBCalcPts[PLAYER],MATCH(TableQBRanks[[#This Row],[RK]],TableQBCalcPts[RK],0)),"")</f>
        <v>Patrick Mahomes</v>
      </c>
      <c r="C5" t="str">
        <f>IFERROR(INDEX(TableQBCalcPts[TM],MATCH(TableQBRanks[[#This Row],[RK]],TableQBCalcPts[RK],0)),"")</f>
        <v>KC</v>
      </c>
      <c r="D5">
        <f>IFERROR(INDEX(TableQBCalcPts[BYE],MATCH(TableQBRanks[[#This Row],[RK]],TableQBCalcPts[RK],0)),"")</f>
        <v>10</v>
      </c>
      <c r="E5" s="57">
        <f>IFERROR(INDEX(TableQBCalcPts[Custom],MATCH(TableQBRanks[[#This Row],[RK]],TableQBCalcPts[RK],0)),"")</f>
        <v>366.75681728383995</v>
      </c>
      <c r="F5" s="125">
        <f>(((VLOOKUP(TableQBRanks[[#This Row],[Player]],'OVR &amp; VORP Ranks'!$B:$F,5,FALSE)))/('OVR &amp; VORP Ranks'!$BM$6))*(Settings!$E$10*TEAMS)</f>
        <v>23.605615308359287</v>
      </c>
      <c r="H5">
        <v>4</v>
      </c>
      <c r="I5" t="str">
        <f>IFERROR(INDEX(TableRBCalcPts[PLAYER],MATCH(TableRBRanks[[#This Row],[RK]],TableRBCalcPts[RK],0)),"")</f>
        <v>Bijan Robinson</v>
      </c>
      <c r="J5" t="str">
        <f>IFERROR(INDEX(TableRBCalcPts[TM],MATCH(TableRBRanks[[#This Row],[RK]],TableRBCalcPts[RK],0)),"")</f>
        <v>ATL</v>
      </c>
      <c r="K5">
        <f>IFERROR(INDEX(TableRBCalcPts[BYE],MATCH(TableRBRanks[[#This Row],[RK]],TableRBCalcPts[RK],0)),"")</f>
        <v>11</v>
      </c>
      <c r="L5" s="57">
        <f>IFERROR(INDEX(TableRBCalcPts[Custom],MATCH(TableRBRanks[[#This Row],[RK]],TableRBCalcPts[RK],0)),"")</f>
        <v>245.19116975169601</v>
      </c>
      <c r="M5" s="125">
        <f>(((VLOOKUP(TableRBRanks[[#This Row],[Player]],'OVR &amp; VORP Ranks'!$I:$M,5,FALSE)))/('OVR &amp; VORP Ranks'!$BM$6))*(Settings!$E$10*TEAMS)</f>
        <v>54.908975623119439</v>
      </c>
      <c r="O5">
        <v>4</v>
      </c>
      <c r="P5" t="str">
        <f>IFERROR(INDEX(TableWRCalcPts[PLAYER],MATCH(TableWRRanks[[#This Row],[RK]],TableWRCalcPts[RK],0)),"")</f>
        <v>Justin Jefferson</v>
      </c>
      <c r="Q5" t="str">
        <f>IFERROR(INDEX(TableWRCalcPts[TM],MATCH(TableWRRanks[[#This Row],[RK]],TableWRCalcPts[RK],0)),"")</f>
        <v>MIN</v>
      </c>
      <c r="R5">
        <f>IFERROR(INDEX(TableWRCalcPts[BYE],MATCH(TableWRRanks[[#This Row],[RK]],TableWRCalcPts[RK],0)),"")</f>
        <v>13</v>
      </c>
      <c r="S5" s="57">
        <f>IFERROR(INDEX(TableWRCalcPts[Custom],MATCH(TableWRRanks[[#This Row],[RK]],TableWRCalcPts[RK],0)),"")</f>
        <v>244.5777406576</v>
      </c>
      <c r="T5" s="125">
        <f>(((VLOOKUP(TableWRRanks[[#This Row],[Player]],'OVR &amp; VORP Ranks'!$P:$T,5,FALSE)))/('OVR &amp; VORP Ranks'!$BM$6))*(Settings!$E$10*TEAMS)</f>
        <v>32.411094198108131</v>
      </c>
      <c r="V5">
        <v>4</v>
      </c>
      <c r="W5" t="str">
        <f>IFERROR(INDEX(TableTECalcPts[PLAYER],MATCH(TableTERanks[[#This Row],[RK]],TableTECalcPts[RK],0)),"")</f>
        <v>Trey McBride</v>
      </c>
      <c r="X5" t="str">
        <f>IFERROR(INDEX(TableTECalcPts[TM],MATCH(TableTERanks[[#This Row],[RK]],TableTECalcPts[RK],0)),"")</f>
        <v>ARI</v>
      </c>
      <c r="Y5">
        <f>IFERROR(INDEX(TableTECalcPts[BYE],MATCH(TableTERanks[[#This Row],[RK]],TableTECalcPts[RK],0)),"")</f>
        <v>14</v>
      </c>
      <c r="Z5" s="57">
        <f>IFERROR(INDEX(TableTECalcPts[Custom],MATCH(TableTERanks[[#This Row],[RK]],TableTECalcPts[RK],0)),"")</f>
        <v>168.4093531322475</v>
      </c>
      <c r="AA5" s="125">
        <f>(((VLOOKUP(TableTERanks[[#This Row],[Player]],'OVR &amp; VORP Ranks'!$W:$AA,5,FALSE)))/('OVR &amp; VORP Ranks'!$BM$6))*(Settings!$E$10*TEAMS)</f>
        <v>13.185256721569447</v>
      </c>
      <c r="AC5">
        <v>4</v>
      </c>
      <c r="AD5" t="str">
        <f>IFERROR(INDEX(TableDSTCalcPts[PLAYER],MATCH(TableDSTRanks[[#This Row],[RK]],TableDSTCalcPts[RK],0)),"")</f>
        <v>Browns</v>
      </c>
      <c r="AE5">
        <f>IFERROR(INDEX(TableDSTCalcPts[BYE],MATCH(TableDSTRanks[[#This Row],[RK]],TableDSTCalcPts[RK],0)),"")</f>
        <v>0</v>
      </c>
      <c r="AF5" s="57">
        <f>IFERROR(INDEX(TableDSTCalcPts[Custom],MATCH(TableDSTRanks[[#This Row],[RK]],TableDSTCalcPts[RK],0)),"")</f>
        <v>120.00000000000001</v>
      </c>
      <c r="AG5" s="125">
        <v>1</v>
      </c>
    </row>
    <row r="6" spans="1:33" x14ac:dyDescent="0.2">
      <c r="A6">
        <v>5</v>
      </c>
      <c r="B6" t="str">
        <f>IFERROR(INDEX(TableQBCalcPts[PLAYER],MATCH(TableQBRanks[[#This Row],[RK]],TableQBCalcPts[RK],0)),"")</f>
        <v>Anthony Richardson</v>
      </c>
      <c r="C6" t="str">
        <f>IFERROR(INDEX(TableQBCalcPts[TM],MATCH(TableQBRanks[[#This Row],[RK]],TableQBCalcPts[RK],0)),"")</f>
        <v>IND</v>
      </c>
      <c r="D6">
        <f>IFERROR(INDEX(TableQBCalcPts[BYE],MATCH(TableQBRanks[[#This Row],[RK]],TableQBCalcPts[RK],0)),"")</f>
        <v>11</v>
      </c>
      <c r="E6" s="57">
        <f>IFERROR(INDEX(TableQBCalcPts[Custom],MATCH(TableQBRanks[[#This Row],[RK]],TableQBCalcPts[RK],0)),"")</f>
        <v>337.949489218</v>
      </c>
      <c r="F6" s="125">
        <f>(((VLOOKUP(TableQBRanks[[#This Row],[Player]],'OVR &amp; VORP Ranks'!$B:$F,5,FALSE)))/('OVR &amp; VORP Ranks'!$BM$6))*(Settings!$E$10*TEAMS)</f>
        <v>18.380279997765967</v>
      </c>
      <c r="H6">
        <v>5</v>
      </c>
      <c r="I6" t="str">
        <f>IFERROR(INDEX(TableRBCalcPts[PLAYER],MATCH(TableRBRanks[[#This Row],[RK]],TableRBCalcPts[RK],0)),"")</f>
        <v>Saquon Barkley</v>
      </c>
      <c r="J6" t="str">
        <f>IFERROR(INDEX(TableRBCalcPts[TM],MATCH(TableRBRanks[[#This Row],[RK]],TableRBCalcPts[RK],0)),"")</f>
        <v>PHI</v>
      </c>
      <c r="K6">
        <f>IFERROR(INDEX(TableRBCalcPts[BYE],MATCH(TableRBRanks[[#This Row],[RK]],TableRBCalcPts[RK],0)),"")</f>
        <v>10</v>
      </c>
      <c r="L6" s="57">
        <f>IFERROR(INDEX(TableRBCalcPts[Custom],MATCH(TableRBRanks[[#This Row],[RK]],TableRBCalcPts[RK],0)),"")</f>
        <v>236.38640270031365</v>
      </c>
      <c r="M6" s="125">
        <f>(((VLOOKUP(TableRBRanks[[#This Row],[Player]],'OVR &amp; VORP Ranks'!$I:$M,5,FALSE)))/('OVR &amp; VORP Ranks'!$BM$6))*(Settings!$E$10*TEAMS)</f>
        <v>51.259474165834732</v>
      </c>
      <c r="O6">
        <v>5</v>
      </c>
      <c r="P6" t="str">
        <f>IFERROR(INDEX(TableWRCalcPts[PLAYER],MATCH(TableWRRanks[[#This Row],[RK]],TableWRCalcPts[RK],0)),"")</f>
        <v>Ja'Marr Chase</v>
      </c>
      <c r="Q6" t="str">
        <f>IFERROR(INDEX(TableWRCalcPts[TM],MATCH(TableWRRanks[[#This Row],[RK]],TableWRCalcPts[RK],0)),"")</f>
        <v>CIN</v>
      </c>
      <c r="R6">
        <f>IFERROR(INDEX(TableWRCalcPts[BYE],MATCH(TableWRRanks[[#This Row],[RK]],TableWRCalcPts[RK],0)),"")</f>
        <v>7</v>
      </c>
      <c r="S6" s="57">
        <f>IFERROR(INDEX(TableWRCalcPts[Custom],MATCH(TableWRRanks[[#This Row],[RK]],TableWRCalcPts[RK],0)),"")</f>
        <v>239.22255571620002</v>
      </c>
      <c r="T6" s="125">
        <f>(((VLOOKUP(TableWRRanks[[#This Row],[Player]],'OVR &amp; VORP Ranks'!$P:$T,5,FALSE)))/('OVR &amp; VORP Ranks'!$BM$6))*(Settings!$E$10*TEAMS)</f>
        <v>30.678453533488092</v>
      </c>
      <c r="V6">
        <v>5</v>
      </c>
      <c r="W6" t="str">
        <f>IFERROR(INDEX(TableTECalcPts[PLAYER],MATCH(TableTERanks[[#This Row],[RK]],TableTECalcPts[RK],0)),"")</f>
        <v>Kyle Pitts</v>
      </c>
      <c r="X6" t="str">
        <f>IFERROR(INDEX(TableTECalcPts[TM],MATCH(TableTERanks[[#This Row],[RK]],TableTECalcPts[RK],0)),"")</f>
        <v>ATL</v>
      </c>
      <c r="Y6">
        <f>IFERROR(INDEX(TableTECalcPts[BYE],MATCH(TableTERanks[[#This Row],[RK]],TableTECalcPts[RK],0)),"")</f>
        <v>11</v>
      </c>
      <c r="Z6" s="57">
        <f>IFERROR(INDEX(TableTECalcPts[Custom],MATCH(TableTERanks[[#This Row],[RK]],TableTECalcPts[RK],0)),"")</f>
        <v>161.83872421516796</v>
      </c>
      <c r="AA6" s="125">
        <f>(((VLOOKUP(TableTERanks[[#This Row],[Player]],'OVR &amp; VORP Ranks'!$W:$AA,5,FALSE)))/('OVR &amp; VORP Ranks'!$BM$6))*(Settings!$E$10*TEAMS)</f>
        <v>10.847977119734036</v>
      </c>
      <c r="AC6">
        <v>5</v>
      </c>
      <c r="AD6" t="str">
        <f>IFERROR(INDEX(TableDSTCalcPts[PLAYER],MATCH(TableDSTRanks[[#This Row],[RK]],TableDSTCalcPts[RK],0)),"")</f>
        <v>Bills</v>
      </c>
      <c r="AE6">
        <f>IFERROR(INDEX(TableDSTCalcPts[BYE],MATCH(TableDSTRanks[[#This Row],[RK]],TableDSTCalcPts[RK],0)),"")</f>
        <v>0</v>
      </c>
      <c r="AF6" s="57">
        <f>IFERROR(INDEX(TableDSTCalcPts[Custom],MATCH(TableDSTRanks[[#This Row],[RK]],TableDSTCalcPts[RK],0)),"")</f>
        <v>119.9</v>
      </c>
      <c r="AG6" s="125">
        <v>1</v>
      </c>
    </row>
    <row r="7" spans="1:33" x14ac:dyDescent="0.2">
      <c r="A7">
        <v>6</v>
      </c>
      <c r="B7" t="str">
        <f>IFERROR(INDEX(TableQBCalcPts[PLAYER],MATCH(TableQBRanks[[#This Row],[RK]],TableQBCalcPts[RK],0)),"")</f>
        <v>Dak Prescott</v>
      </c>
      <c r="C7" t="str">
        <f>IFERROR(INDEX(TableQBCalcPts[TM],MATCH(TableQBRanks[[#This Row],[RK]],TableQBCalcPts[RK],0)),"")</f>
        <v>DAL</v>
      </c>
      <c r="D7">
        <f>IFERROR(INDEX(TableQBCalcPts[BYE],MATCH(TableQBRanks[[#This Row],[RK]],TableQBCalcPts[RK],0)),"")</f>
        <v>7</v>
      </c>
      <c r="E7" s="57">
        <f>IFERROR(INDEX(TableQBCalcPts[Custom],MATCH(TableQBRanks[[#This Row],[RK]],TableQBCalcPts[RK],0)),"")</f>
        <v>334.28760747900003</v>
      </c>
      <c r="F7" s="125">
        <f>(((VLOOKUP(TableQBRanks[[#This Row],[Player]],'OVR &amp; VORP Ranks'!$B:$F,5,FALSE)))/('OVR &amp; VORP Ranks'!$BM$6))*(Settings!$E$10*TEAMS)</f>
        <v>16.990863260416425</v>
      </c>
      <c r="H7">
        <v>6</v>
      </c>
      <c r="I7" t="str">
        <f>IFERROR(INDEX(TableRBCalcPts[PLAYER],MATCH(TableRBRanks[[#This Row],[RK]],TableRBCalcPts[RK],0)),"")</f>
        <v>Derrick Henry</v>
      </c>
      <c r="J7" t="str">
        <f>IFERROR(INDEX(TableRBCalcPts[TM],MATCH(TableRBRanks[[#This Row],[RK]],TableRBCalcPts[RK],0)),"")</f>
        <v>BAL</v>
      </c>
      <c r="K7">
        <f>IFERROR(INDEX(TableRBCalcPts[BYE],MATCH(TableRBRanks[[#This Row],[RK]],TableRBCalcPts[RK],0)),"")</f>
        <v>13</v>
      </c>
      <c r="L7" s="57">
        <f>IFERROR(INDEX(TableRBCalcPts[Custom],MATCH(TableRBRanks[[#This Row],[RK]],TableRBCalcPts[RK],0)),"")</f>
        <v>231.37918964159999</v>
      </c>
      <c r="M7" s="125">
        <f>(((VLOOKUP(TableRBRanks[[#This Row],[Player]],'OVR &amp; VORP Ranks'!$I:$M,5,FALSE)))/('OVR &amp; VORP Ranks'!$BM$6))*(Settings!$E$10*TEAMS)</f>
        <v>49.184026712418984</v>
      </c>
      <c r="O7">
        <v>6</v>
      </c>
      <c r="P7" t="str">
        <f>IFERROR(INDEX(TableWRCalcPts[PLAYER],MATCH(TableWRRanks[[#This Row],[RK]],TableWRCalcPts[RK],0)),"")</f>
        <v>Puka Nacua</v>
      </c>
      <c r="Q7" t="str">
        <f>IFERROR(INDEX(TableWRCalcPts[TM],MATCH(TableWRRanks[[#This Row],[RK]],TableWRCalcPts[RK],0)),"")</f>
        <v>LAR</v>
      </c>
      <c r="R7">
        <f>IFERROR(INDEX(TableWRCalcPts[BYE],MATCH(TableWRRanks[[#This Row],[RK]],TableWRCalcPts[RK],0)),"")</f>
        <v>10</v>
      </c>
      <c r="S7" s="57">
        <f>IFERROR(INDEX(TableWRCalcPts[Custom],MATCH(TableWRRanks[[#This Row],[RK]],TableWRCalcPts[RK],0)),"")</f>
        <v>229.36045052313952</v>
      </c>
      <c r="T7" s="125">
        <f>(((VLOOKUP(TableWRRanks[[#This Row],[Player]],'OVR &amp; VORP Ranks'!$P:$T,5,FALSE)))/('OVR &amp; VORP Ranks'!$BM$6))*(Settings!$E$10*TEAMS)</f>
        <v>27.487623583964446</v>
      </c>
      <c r="V7">
        <v>6</v>
      </c>
      <c r="W7" t="str">
        <f>IFERROR(INDEX(TableTECalcPts[PLAYER],MATCH(TableTERanks[[#This Row],[RK]],TableTECalcPts[RK],0)),"")</f>
        <v>Dalton Kincaid</v>
      </c>
      <c r="X7" t="str">
        <f>IFERROR(INDEX(TableTECalcPts[TM],MATCH(TableTERanks[[#This Row],[RK]],TableTECalcPts[RK],0)),"")</f>
        <v>BUF</v>
      </c>
      <c r="Y7">
        <f>IFERROR(INDEX(TableTECalcPts[BYE],MATCH(TableTERanks[[#This Row],[RK]],TableTECalcPts[RK],0)),"")</f>
        <v>13</v>
      </c>
      <c r="Z7" s="57">
        <f>IFERROR(INDEX(TableTECalcPts[Custom],MATCH(TableTERanks[[#This Row],[RK]],TableTECalcPts[RK],0)),"")</f>
        <v>155.12491385395197</v>
      </c>
      <c r="AA7" s="125">
        <f>(((VLOOKUP(TableTERanks[[#This Row],[Player]],'OVR &amp; VORP Ranks'!$W:$AA,5,FALSE)))/('OVR &amp; VORP Ranks'!$BM$6))*(Settings!$E$10*TEAMS)</f>
        <v>8.4597655488337509</v>
      </c>
      <c r="AC7">
        <v>6</v>
      </c>
      <c r="AD7" t="str">
        <f>IFERROR(INDEX(TableDSTCalcPts[PLAYER],MATCH(TableDSTRanks[[#This Row],[RK]],TableDSTCalcPts[RK],0)),"")</f>
        <v>Bengals</v>
      </c>
      <c r="AE7">
        <f>IFERROR(INDEX(TableDSTCalcPts[BYE],MATCH(TableDSTRanks[[#This Row],[RK]],TableDSTCalcPts[RK],0)),"")</f>
        <v>0</v>
      </c>
      <c r="AF7" s="57">
        <f>IFERROR(INDEX(TableDSTCalcPts[Custom],MATCH(TableDSTRanks[[#This Row],[RK]],TableDSTCalcPts[RK],0)),"")</f>
        <v>119.85</v>
      </c>
      <c r="AG7" s="125">
        <v>1</v>
      </c>
    </row>
    <row r="8" spans="1:33" x14ac:dyDescent="0.2">
      <c r="A8">
        <v>7</v>
      </c>
      <c r="B8" t="str">
        <f>IFERROR(INDEX(TableQBCalcPts[PLAYER],MATCH(TableQBRanks[[#This Row],[RK]],TableQBCalcPts[RK],0)),"")</f>
        <v>Joe Burrow</v>
      </c>
      <c r="C8" t="str">
        <f>IFERROR(INDEX(TableQBCalcPts[TM],MATCH(TableQBRanks[[#This Row],[RK]],TableQBCalcPts[RK],0)),"")</f>
        <v>CIN</v>
      </c>
      <c r="D8">
        <f>IFERROR(INDEX(TableQBCalcPts[BYE],MATCH(TableQBRanks[[#This Row],[RK]],TableQBCalcPts[RK],0)),"")</f>
        <v>7</v>
      </c>
      <c r="E8" s="57">
        <f>IFERROR(INDEX(TableQBCalcPts[Custom],MATCH(TableQBRanks[[#This Row],[RK]],TableQBCalcPts[RK],0)),"")</f>
        <v>331.31720383031995</v>
      </c>
      <c r="F8" s="125">
        <f>(((VLOOKUP(TableQBRanks[[#This Row],[Player]],'OVR &amp; VORP Ranks'!$B:$F,5,FALSE)))/('OVR &amp; VORP Ranks'!$BM$6))*(Settings!$E$10*TEAMS)</f>
        <v>16.176306412642973</v>
      </c>
      <c r="H8">
        <v>7</v>
      </c>
      <c r="I8" t="str">
        <f>IFERROR(INDEX(TableRBCalcPts[PLAYER],MATCH(TableRBRanks[[#This Row],[RK]],TableRBCalcPts[RK],0)),"")</f>
        <v>Kyren Williams</v>
      </c>
      <c r="J8" t="str">
        <f>IFERROR(INDEX(TableRBCalcPts[TM],MATCH(TableRBRanks[[#This Row],[RK]],TableRBCalcPts[RK],0)),"")</f>
        <v>LAR</v>
      </c>
      <c r="K8">
        <f>IFERROR(INDEX(TableRBCalcPts[BYE],MATCH(TableRBRanks[[#This Row],[RK]],TableRBCalcPts[RK],0)),"")</f>
        <v>10</v>
      </c>
      <c r="L8" s="57">
        <f>IFERROR(INDEX(TableRBCalcPts[Custom],MATCH(TableRBRanks[[#This Row],[RK]],TableRBCalcPts[RK],0)),"")</f>
        <v>228.99287845407679</v>
      </c>
      <c r="M8" s="125">
        <f>(((VLOOKUP(TableRBRanks[[#This Row],[Player]],'OVR &amp; VORP Ranks'!$I:$M,5,FALSE)))/('OVR &amp; VORP Ranks'!$BM$6))*(Settings!$E$10*TEAMS)</f>
        <v>48.194920912620049</v>
      </c>
      <c r="O8">
        <v>7</v>
      </c>
      <c r="P8" t="str">
        <f>IFERROR(INDEX(TableWRCalcPts[PLAYER],MATCH(TableWRRanks[[#This Row],[RK]],TableWRCalcPts[RK],0)),"")</f>
        <v>Deebo Samuel</v>
      </c>
      <c r="Q8" t="str">
        <f>IFERROR(INDEX(TableWRCalcPts[TM],MATCH(TableWRRanks[[#This Row],[RK]],TableWRCalcPts[RK],0)),"")</f>
        <v>SF</v>
      </c>
      <c r="R8">
        <f>IFERROR(INDEX(TableWRCalcPts[BYE],MATCH(TableWRRanks[[#This Row],[RK]],TableWRCalcPts[RK],0)),"")</f>
        <v>9</v>
      </c>
      <c r="S8" s="57">
        <f>IFERROR(INDEX(TableWRCalcPts[Custom],MATCH(TableWRRanks[[#This Row],[RK]],TableWRCalcPts[RK],0)),"")</f>
        <v>227.35073229258597</v>
      </c>
      <c r="T8" s="125">
        <f>(((VLOOKUP(TableWRRanks[[#This Row],[Player]],'OVR &amp; VORP Ranks'!$P:$T,5,FALSE)))/('OVR &amp; VORP Ranks'!$BM$6))*(Settings!$E$10*TEAMS)</f>
        <v>26.837390292530259</v>
      </c>
      <c r="V8">
        <v>7</v>
      </c>
      <c r="W8" t="str">
        <f>IFERROR(INDEX(TableTECalcPts[PLAYER],MATCH(TableTERanks[[#This Row],[RK]],TableTECalcPts[RK],0)),"")</f>
        <v>George Kittle</v>
      </c>
      <c r="X8" t="str">
        <f>IFERROR(INDEX(TableTECalcPts[TM],MATCH(TableTERanks[[#This Row],[RK]],TableTECalcPts[RK],0)),"")</f>
        <v>SF</v>
      </c>
      <c r="Y8">
        <f>IFERROR(INDEX(TableTECalcPts[BYE],MATCH(TableTERanks[[#This Row],[RK]],TableTECalcPts[RK],0)),"")</f>
        <v>9</v>
      </c>
      <c r="Z8" s="57">
        <f>IFERROR(INDEX(TableTECalcPts[Custom],MATCH(TableTERanks[[#This Row],[RK]],TableTECalcPts[RK],0)),"")</f>
        <v>155.07776599922877</v>
      </c>
      <c r="AA8" s="125">
        <f>(((VLOOKUP(TableTERanks[[#This Row],[Player]],'OVR &amp; VORP Ranks'!$W:$AA,5,FALSE)))/('OVR &amp; VORP Ranks'!$BM$6))*(Settings!$E$10*TEAMS)</f>
        <v>8.4429942898712529</v>
      </c>
      <c r="AC8">
        <v>7</v>
      </c>
      <c r="AD8" t="str">
        <f>IFERROR(INDEX(TableDSTCalcPts[PLAYER],MATCH(TableDSTRanks[[#This Row],[RK]],TableDSTCalcPts[RK],0)),"")</f>
        <v>Jets</v>
      </c>
      <c r="AE8">
        <f>IFERROR(INDEX(TableDSTCalcPts[BYE],MATCH(TableDSTRanks[[#This Row],[RK]],TableDSTCalcPts[RK],0)),"")</f>
        <v>0</v>
      </c>
      <c r="AF8" s="57">
        <f>IFERROR(INDEX(TableDSTCalcPts[Custom],MATCH(TableDSTRanks[[#This Row],[RK]],TableDSTCalcPts[RK],0)),"")</f>
        <v>119.7</v>
      </c>
      <c r="AG8" s="125">
        <v>1</v>
      </c>
    </row>
    <row r="9" spans="1:33" x14ac:dyDescent="0.2">
      <c r="A9">
        <v>8</v>
      </c>
      <c r="B9" t="str">
        <f>IFERROR(INDEX(TableQBCalcPts[PLAYER],MATCH(TableQBRanks[[#This Row],[RK]],TableQBCalcPts[RK],0)),"")</f>
        <v>Jayden Daniels</v>
      </c>
      <c r="C9" t="str">
        <f>IFERROR(INDEX(TableQBCalcPts[TM],MATCH(TableQBRanks[[#This Row],[RK]],TableQBCalcPts[RK],0)),"")</f>
        <v>WSH</v>
      </c>
      <c r="D9">
        <f>IFERROR(INDEX(TableQBCalcPts[BYE],MATCH(TableQBRanks[[#This Row],[RK]],TableQBCalcPts[RK],0)),"")</f>
        <v>14</v>
      </c>
      <c r="E9" s="57">
        <f>IFERROR(INDEX(TableQBCalcPts[Custom],MATCH(TableQBRanks[[#This Row],[RK]],TableQBCalcPts[RK],0)),"")</f>
        <v>331.08857873538</v>
      </c>
      <c r="F9" s="125">
        <f>(((VLOOKUP(TableQBRanks[[#This Row],[Player]],'OVR &amp; VORP Ranks'!$B:$F,5,FALSE)))/('OVR &amp; VORP Ranks'!$BM$6))*(Settings!$E$10*TEAMS)</f>
        <v>14.588303551072419</v>
      </c>
      <c r="H9">
        <v>8</v>
      </c>
      <c r="I9" t="str">
        <f>IFERROR(INDEX(TableRBCalcPts[PLAYER],MATCH(TableRBRanks[[#This Row],[RK]],TableRBCalcPts[RK],0)),"")</f>
        <v>Jahmyr Gibbs</v>
      </c>
      <c r="J9" t="str">
        <f>IFERROR(INDEX(TableRBCalcPts[TM],MATCH(TableRBRanks[[#This Row],[RK]],TableRBCalcPts[RK],0)),"")</f>
        <v>DET</v>
      </c>
      <c r="K9">
        <f>IFERROR(INDEX(TableRBCalcPts[BYE],MATCH(TableRBRanks[[#This Row],[RK]],TableRBCalcPts[RK],0)),"")</f>
        <v>9</v>
      </c>
      <c r="L9" s="57">
        <f>IFERROR(INDEX(TableRBCalcPts[Custom],MATCH(TableRBRanks[[#This Row],[RK]],TableRBCalcPts[RK],0)),"")</f>
        <v>220.63154206799999</v>
      </c>
      <c r="M9" s="125">
        <f>(((VLOOKUP(TableRBRanks[[#This Row],[Player]],'OVR &amp; VORP Ranks'!$I:$M,5,FALSE)))/('OVR &amp; VORP Ranks'!$BM$6))*(Settings!$E$10*TEAMS)</f>
        <v>44.729217714822894</v>
      </c>
      <c r="O9">
        <v>8</v>
      </c>
      <c r="P9" t="str">
        <f>IFERROR(INDEX(TableWRCalcPts[PLAYER],MATCH(TableWRRanks[[#This Row],[RK]],TableWRCalcPts[RK],0)),"")</f>
        <v>A.J. Brown</v>
      </c>
      <c r="Q9" t="str">
        <f>IFERROR(INDEX(TableWRCalcPts[TM],MATCH(TableWRRanks[[#This Row],[RK]],TableWRCalcPts[RK],0)),"")</f>
        <v>PHI</v>
      </c>
      <c r="R9">
        <f>IFERROR(INDEX(TableWRCalcPts[BYE],MATCH(TableWRRanks[[#This Row],[RK]],TableWRCalcPts[RK],0)),"")</f>
        <v>10</v>
      </c>
      <c r="S9" s="57">
        <f>IFERROR(INDEX(TableWRCalcPts[Custom],MATCH(TableWRRanks[[#This Row],[RK]],TableWRCalcPts[RK],0)),"")</f>
        <v>216.54967608681122</v>
      </c>
      <c r="T9" s="125">
        <f>(((VLOOKUP(TableWRRanks[[#This Row],[Player]],'OVR &amp; VORP Ranks'!$P:$T,5,FALSE)))/('OVR &amp; VORP Ranks'!$BM$6))*(Settings!$E$10*TEAMS)</f>
        <v>23.342767901752545</v>
      </c>
      <c r="V9">
        <v>8</v>
      </c>
      <c r="W9" t="str">
        <f>IFERROR(INDEX(TableTECalcPts[PLAYER],MATCH(TableTERanks[[#This Row],[RK]],TableTECalcPts[RK],0)),"")</f>
        <v>David Njoku</v>
      </c>
      <c r="X9" t="str">
        <f>IFERROR(INDEX(TableTECalcPts[TM],MATCH(TableTERanks[[#This Row],[RK]],TableTECalcPts[RK],0)),"")</f>
        <v>CLE</v>
      </c>
      <c r="Y9">
        <f>IFERROR(INDEX(TableTECalcPts[BYE],MATCH(TableTERanks[[#This Row],[RK]],TableTECalcPts[RK],0)),"")</f>
        <v>5</v>
      </c>
      <c r="Z9" s="57">
        <f>IFERROR(INDEX(TableTECalcPts[Custom],MATCH(TableTERanks[[#This Row],[RK]],TableTECalcPts[RK],0)),"")</f>
        <v>146.32427848500004</v>
      </c>
      <c r="AA9" s="125">
        <f>(((VLOOKUP(TableTERanks[[#This Row],[Player]],'OVR &amp; VORP Ranks'!$W:$AA,5,FALSE)))/('OVR &amp; VORP Ranks'!$BM$6))*(Settings!$E$10*TEAMS)</f>
        <v>5.3292363726121863</v>
      </c>
      <c r="AC9">
        <v>8</v>
      </c>
      <c r="AD9" t="str">
        <f>IFERROR(INDEX(TableDSTCalcPts[PLAYER],MATCH(TableDSTRanks[[#This Row],[RK]],TableDSTCalcPts[RK],0)),"")</f>
        <v>Colts</v>
      </c>
      <c r="AE9">
        <f>IFERROR(INDEX(TableDSTCalcPts[BYE],MATCH(TableDSTRanks[[#This Row],[RK]],TableDSTCalcPts[RK],0)),"")</f>
        <v>0</v>
      </c>
      <c r="AF9" s="57">
        <f>IFERROR(INDEX(TableDSTCalcPts[Custom],MATCH(TableDSTRanks[[#This Row],[RK]],TableDSTCalcPts[RK],0)),"")</f>
        <v>119.50000000000001</v>
      </c>
      <c r="AG9" s="125">
        <v>1</v>
      </c>
    </row>
    <row r="10" spans="1:33" x14ac:dyDescent="0.2">
      <c r="A10">
        <v>9</v>
      </c>
      <c r="B10" t="str">
        <f>IFERROR(INDEX(TableQBCalcPts[PLAYER],MATCH(TableQBRanks[[#This Row],[RK]],TableQBCalcPts[RK],0)),"")</f>
        <v>C.J. Stroud</v>
      </c>
      <c r="C10" t="str">
        <f>IFERROR(INDEX(TableQBCalcPts[TM],MATCH(TableQBRanks[[#This Row],[RK]],TableQBCalcPts[RK],0)),"")</f>
        <v>HOU</v>
      </c>
      <c r="D10">
        <f>IFERROR(INDEX(TableQBCalcPts[BYE],MATCH(TableQBRanks[[#This Row],[RK]],TableQBCalcPts[RK],0)),"")</f>
        <v>7</v>
      </c>
      <c r="E10" s="57">
        <f>IFERROR(INDEX(TableQBCalcPts[Custom],MATCH(TableQBRanks[[#This Row],[RK]],TableQBCalcPts[RK],0)),"")</f>
        <v>330.83255162880005</v>
      </c>
      <c r="F10" s="125">
        <f>(((VLOOKUP(TableQBRanks[[#This Row],[Player]],'OVR &amp; VORP Ranks'!$B:$F,5,FALSE)))/('OVR &amp; VORP Ranks'!$BM$6))*(Settings!$E$10*TEAMS)</f>
        <v>14.362859922344606</v>
      </c>
      <c r="H10">
        <v>9</v>
      </c>
      <c r="I10" t="str">
        <f>IFERROR(INDEX(TableRBCalcPts[PLAYER],MATCH(TableRBRanks[[#This Row],[RK]],TableRBCalcPts[RK],0)),"")</f>
        <v>Joe Mixon</v>
      </c>
      <c r="J10" t="str">
        <f>IFERROR(INDEX(TableRBCalcPts[TM],MATCH(TableRBRanks[[#This Row],[RK]],TableRBCalcPts[RK],0)),"")</f>
        <v>HOU</v>
      </c>
      <c r="K10">
        <f>IFERROR(INDEX(TableRBCalcPts[BYE],MATCH(TableRBRanks[[#This Row],[RK]],TableRBCalcPts[RK],0)),"")</f>
        <v>7</v>
      </c>
      <c r="L10" s="57">
        <f>IFERROR(INDEX(TableRBCalcPts[Custom],MATCH(TableRBRanks[[#This Row],[RK]],TableRBCalcPts[RK],0)),"")</f>
        <v>219.5935959949056</v>
      </c>
      <c r="M10" s="125">
        <f>(((VLOOKUP(TableRBRanks[[#This Row],[Player]],'OVR &amp; VORP Ranks'!$I:$M,5,FALSE)))/('OVR &amp; VORP Ranks'!$BM$6))*(Settings!$E$10*TEAMS)</f>
        <v>44.298997848217091</v>
      </c>
      <c r="O10">
        <v>9</v>
      </c>
      <c r="P10" t="str">
        <f>IFERROR(INDEX(TableWRCalcPts[PLAYER],MATCH(TableWRRanks[[#This Row],[RK]],TableWRCalcPts[RK],0)),"")</f>
        <v>Mike Evans</v>
      </c>
      <c r="Q10" t="str">
        <f>IFERROR(INDEX(TableWRCalcPts[TM],MATCH(TableWRRanks[[#This Row],[RK]],TableWRCalcPts[RK],0)),"")</f>
        <v>TB</v>
      </c>
      <c r="R10">
        <f>IFERROR(INDEX(TableWRCalcPts[BYE],MATCH(TableWRRanks[[#This Row],[RK]],TableWRCalcPts[RK],0)),"")</f>
        <v>5</v>
      </c>
      <c r="S10" s="57">
        <f>IFERROR(INDEX(TableWRCalcPts[Custom],MATCH(TableWRRanks[[#This Row],[RK]],TableWRCalcPts[RK],0)),"")</f>
        <v>210.90826433402879</v>
      </c>
      <c r="T10" s="125">
        <f>(((VLOOKUP(TableWRRanks[[#This Row],[Player]],'OVR &amp; VORP Ranks'!$P:$T,5,FALSE)))/('OVR &amp; VORP Ranks'!$BM$6))*(Settings!$E$10*TEAMS)</f>
        <v>21.51752012493516</v>
      </c>
      <c r="V10">
        <v>9</v>
      </c>
      <c r="W10" t="str">
        <f>IFERROR(INDEX(TableTECalcPts[PLAYER],MATCH(TableTERanks[[#This Row],[RK]],TableTECalcPts[RK],0)),"")</f>
        <v>Jake Ferguson</v>
      </c>
      <c r="X10" t="str">
        <f>IFERROR(INDEX(TableTECalcPts[TM],MATCH(TableTERanks[[#This Row],[RK]],TableTECalcPts[RK],0)),"")</f>
        <v>DAL</v>
      </c>
      <c r="Y10">
        <f>IFERROR(INDEX(TableTECalcPts[BYE],MATCH(TableTERanks[[#This Row],[RK]],TableTECalcPts[RK],0)),"")</f>
        <v>7</v>
      </c>
      <c r="Z10" s="57">
        <f>IFERROR(INDEX(TableTECalcPts[Custom],MATCH(TableTERanks[[#This Row],[RK]],TableTECalcPts[RK],0)),"")</f>
        <v>145.89143428607994</v>
      </c>
      <c r="AA10" s="125">
        <f>(((VLOOKUP(TableTERanks[[#This Row],[Player]],'OVR &amp; VORP Ranks'!$W:$AA,5,FALSE)))/('OVR &amp; VORP Ranks'!$BM$6))*(Settings!$E$10*TEAMS)</f>
        <v>5.175266649214934</v>
      </c>
      <c r="AC10">
        <v>9</v>
      </c>
      <c r="AD10" t="str">
        <f>IFERROR(INDEX(TableDSTCalcPts[PLAYER],MATCH(TableDSTRanks[[#This Row],[RK]],TableDSTCalcPts[RK],0)),"")</f>
        <v>Giants</v>
      </c>
      <c r="AE10">
        <f>IFERROR(INDEX(TableDSTCalcPts[BYE],MATCH(TableDSTRanks[[#This Row],[RK]],TableDSTCalcPts[RK],0)),"")</f>
        <v>0</v>
      </c>
      <c r="AF10" s="57">
        <f>IFERROR(INDEX(TableDSTCalcPts[Custom],MATCH(TableDSTRanks[[#This Row],[RK]],TableDSTCalcPts[RK],0)),"")</f>
        <v>118.45</v>
      </c>
      <c r="AG10" s="125">
        <v>1</v>
      </c>
    </row>
    <row r="11" spans="1:33" x14ac:dyDescent="0.2">
      <c r="A11">
        <v>10</v>
      </c>
      <c r="B11" t="str">
        <f>IFERROR(INDEX(TableQBCalcPts[PLAYER],MATCH(TableQBRanks[[#This Row],[RK]],TableQBCalcPts[RK],0)),"")</f>
        <v>Jordan Love</v>
      </c>
      <c r="C11" t="str">
        <f>IFERROR(INDEX(TableQBCalcPts[TM],MATCH(TableQBRanks[[#This Row],[RK]],TableQBCalcPts[RK],0)),"")</f>
        <v>GB</v>
      </c>
      <c r="D11">
        <f>IFERROR(INDEX(TableQBCalcPts[BYE],MATCH(TableQBRanks[[#This Row],[RK]],TableQBCalcPts[RK],0)),"")</f>
        <v>6</v>
      </c>
      <c r="E11" s="57">
        <f>IFERROR(INDEX(TableQBCalcPts[Custom],MATCH(TableQBRanks[[#This Row],[RK]],TableQBCalcPts[RK],0)),"")</f>
        <v>326.93467879072</v>
      </c>
      <c r="F11" s="125">
        <f>(((VLOOKUP(TableQBRanks[[#This Row],[Player]],'OVR &amp; VORP Ranks'!$B:$F,5,FALSE)))/('OVR &amp; VORP Ranks'!$BM$6))*(Settings!$E$10*TEAMS)</f>
        <v>13.426506902939611</v>
      </c>
      <c r="H11">
        <v>10</v>
      </c>
      <c r="I11" t="str">
        <f>IFERROR(INDEX(TableRBCalcPts[PLAYER],MATCH(TableRBRanks[[#This Row],[RK]],TableRBCalcPts[RK],0)),"")</f>
        <v>Isiah Pacheco</v>
      </c>
      <c r="J11" t="str">
        <f>IFERROR(INDEX(TableRBCalcPts[TM],MATCH(TableRBRanks[[#This Row],[RK]],TableRBCalcPts[RK],0)),"")</f>
        <v>KC</v>
      </c>
      <c r="K11">
        <f>IFERROR(INDEX(TableRBCalcPts[BYE],MATCH(TableRBRanks[[#This Row],[RK]],TableRBCalcPts[RK],0)),"")</f>
        <v>10</v>
      </c>
      <c r="L11" s="57">
        <f>IFERROR(INDEX(TableRBCalcPts[Custom],MATCH(TableRBRanks[[#This Row],[RK]],TableRBCalcPts[RK],0)),"")</f>
        <v>217.17277173760002</v>
      </c>
      <c r="M11" s="125">
        <f>(((VLOOKUP(TableRBRanks[[#This Row],[Player]],'OVR &amp; VORP Ranks'!$I:$M,5,FALSE)))/('OVR &amp; VORP Ranks'!$BM$6))*(Settings!$E$10*TEAMS)</f>
        <v>43.295586672962905</v>
      </c>
      <c r="O11">
        <v>10</v>
      </c>
      <c r="P11" t="str">
        <f>IFERROR(INDEX(TableWRCalcPts[PLAYER],MATCH(TableWRRanks[[#This Row],[RK]],TableWRCalcPts[RK],0)),"")</f>
        <v>Brandon Aiyuk</v>
      </c>
      <c r="Q11" t="str">
        <f>IFERROR(INDEX(TableWRCalcPts[TM],MATCH(TableWRRanks[[#This Row],[RK]],TableWRCalcPts[RK],0)),"")</f>
        <v>SF</v>
      </c>
      <c r="R11">
        <f>IFERROR(INDEX(TableWRCalcPts[BYE],MATCH(TableWRRanks[[#This Row],[RK]],TableWRCalcPts[RK],0)),"")</f>
        <v>9</v>
      </c>
      <c r="S11" s="57">
        <f>IFERROR(INDEX(TableWRCalcPts[Custom],MATCH(TableWRRanks[[#This Row],[RK]],TableWRCalcPts[RK],0)),"")</f>
        <v>209.84308981574395</v>
      </c>
      <c r="T11" s="125">
        <f>(((VLOOKUP(TableWRRanks[[#This Row],[Player]],'OVR &amp; VORP Ranks'!$P:$T,5,FALSE)))/('OVR &amp; VORP Ranks'!$BM$6))*(Settings!$E$10*TEAMS)</f>
        <v>21.172888761967727</v>
      </c>
      <c r="V11">
        <v>10</v>
      </c>
      <c r="W11" t="str">
        <f>IFERROR(INDEX(TableTECalcPts[PLAYER],MATCH(TableTERanks[[#This Row],[RK]],TableTECalcPts[RK],0)),"")</f>
        <v>Evan Engram</v>
      </c>
      <c r="X11" t="str">
        <f>IFERROR(INDEX(TableTECalcPts[TM],MATCH(TableTERanks[[#This Row],[RK]],TableTECalcPts[RK],0)),"")</f>
        <v>JAX</v>
      </c>
      <c r="Y11">
        <f>IFERROR(INDEX(TableTECalcPts[BYE],MATCH(TableTERanks[[#This Row],[RK]],TableTECalcPts[RK],0)),"")</f>
        <v>9</v>
      </c>
      <c r="Z11" s="57">
        <f>IFERROR(INDEX(TableTECalcPts[Custom],MATCH(TableTERanks[[#This Row],[RK]],TableTECalcPts[RK],0)),"")</f>
        <v>142.99224053587196</v>
      </c>
      <c r="AA11" s="125">
        <f>(((VLOOKUP(TableTERanks[[#This Row],[Player]],'OVR &amp; VORP Ranks'!$W:$AA,5,FALSE)))/('OVR &amp; VORP Ranks'!$BM$6))*(Settings!$E$10*TEAMS)</f>
        <v>4.143976265958643</v>
      </c>
      <c r="AC11">
        <v>10</v>
      </c>
      <c r="AD11" t="str">
        <f>IFERROR(INDEX(TableDSTCalcPts[PLAYER],MATCH(TableDSTRanks[[#This Row],[RK]],TableDSTCalcPts[RK],0)),"")</f>
        <v>Chargers</v>
      </c>
      <c r="AE11">
        <f>IFERROR(INDEX(TableDSTCalcPts[BYE],MATCH(TableDSTRanks[[#This Row],[RK]],TableDSTCalcPts[RK],0)),"")</f>
        <v>0</v>
      </c>
      <c r="AF11" s="57">
        <f>IFERROR(INDEX(TableDSTCalcPts[Custom],MATCH(TableDSTRanks[[#This Row],[RK]],TableDSTCalcPts[RK],0)),"")</f>
        <v>117.14999999999999</v>
      </c>
      <c r="AG11" s="125">
        <v>1</v>
      </c>
    </row>
    <row r="12" spans="1:33" x14ac:dyDescent="0.2">
      <c r="A12">
        <v>11</v>
      </c>
      <c r="B12" t="str">
        <f>IFERROR(INDEX(TableQBCalcPts[PLAYER],MATCH(TableQBRanks[[#This Row],[RK]],TableQBCalcPts[RK],0)),"")</f>
        <v>Caleb Williams</v>
      </c>
      <c r="C12" t="str">
        <f>IFERROR(INDEX(TableQBCalcPts[TM],MATCH(TableQBRanks[[#This Row],[RK]],TableQBCalcPts[RK],0)),"")</f>
        <v>CHI</v>
      </c>
      <c r="D12">
        <f>IFERROR(INDEX(TableQBCalcPts[BYE],MATCH(TableQBRanks[[#This Row],[RK]],TableQBCalcPts[RK],0)),"")</f>
        <v>13</v>
      </c>
      <c r="E12" s="57">
        <f>IFERROR(INDEX(TableQBCalcPts[Custom],MATCH(TableQBRanks[[#This Row],[RK]],TableQBCalcPts[RK],0)),"")</f>
        <v>318.25078148102403</v>
      </c>
      <c r="F12" s="125">
        <f>(((VLOOKUP(TableQBRanks[[#This Row],[Player]],'OVR &amp; VORP Ranks'!$B:$F,5,FALSE)))/('OVR &amp; VORP Ranks'!$BM$6))*(Settings!$E$10*TEAMS)</f>
        <v>10.854490518939526</v>
      </c>
      <c r="H12">
        <v>11</v>
      </c>
      <c r="I12" t="str">
        <f>IFERROR(INDEX(TableRBCalcPts[PLAYER],MATCH(TableRBRanks[[#This Row],[RK]],TableRBCalcPts[RK],0)),"")</f>
        <v>De'Von Achane</v>
      </c>
      <c r="J12" t="str">
        <f>IFERROR(INDEX(TableRBCalcPts[TM],MATCH(TableRBRanks[[#This Row],[RK]],TableRBCalcPts[RK],0)),"")</f>
        <v>MIA</v>
      </c>
      <c r="K12">
        <f>IFERROR(INDEX(TableRBCalcPts[BYE],MATCH(TableRBRanks[[#This Row],[RK]],TableRBCalcPts[RK],0)),"")</f>
        <v>10</v>
      </c>
      <c r="L12" s="57">
        <f>IFERROR(INDEX(TableRBCalcPts[Custom],MATCH(TableRBRanks[[#This Row],[RK]],TableRBCalcPts[RK],0)),"")</f>
        <v>209.1741526616</v>
      </c>
      <c r="M12" s="125">
        <f>(((VLOOKUP(TableRBRanks[[#This Row],[Player]],'OVR &amp; VORP Ranks'!$I:$M,5,FALSE)))/('OVR &amp; VORP Ranks'!$BM$6))*(Settings!$E$10*TEAMS)</f>
        <v>39.980226731720137</v>
      </c>
      <c r="O12">
        <v>11</v>
      </c>
      <c r="P12" t="str">
        <f>IFERROR(INDEX(TableWRCalcPts[PLAYER],MATCH(TableWRRanks[[#This Row],[RK]],TableWRCalcPts[RK],0)),"")</f>
        <v>Nico Collins</v>
      </c>
      <c r="Q12" t="str">
        <f>IFERROR(INDEX(TableWRCalcPts[TM],MATCH(TableWRRanks[[#This Row],[RK]],TableWRCalcPts[RK],0)),"")</f>
        <v>HOU</v>
      </c>
      <c r="R12">
        <f>IFERROR(INDEX(TableWRCalcPts[BYE],MATCH(TableWRRanks[[#This Row],[RK]],TableWRCalcPts[RK],0)),"")</f>
        <v>7</v>
      </c>
      <c r="S12" s="57">
        <f>IFERROR(INDEX(TableWRCalcPts[Custom],MATCH(TableWRRanks[[#This Row],[RK]],TableWRCalcPts[RK],0)),"")</f>
        <v>205.18742284185601</v>
      </c>
      <c r="T12" s="125">
        <f>(((VLOOKUP(TableWRRanks[[#This Row],[Player]],'OVR &amp; VORP Ranks'!$P:$T,5,FALSE)))/('OVR &amp; VORP Ranks'!$BM$6))*(Settings!$E$10*TEAMS)</f>
        <v>19.666573292351472</v>
      </c>
      <c r="V12">
        <v>11</v>
      </c>
      <c r="W12" t="str">
        <f>IFERROR(INDEX(TableTECalcPts[PLAYER],MATCH(TableTERanks[[#This Row],[RK]],TableTECalcPts[RK],0)),"")</f>
        <v>Dallas Goedert</v>
      </c>
      <c r="X12" t="str">
        <f>IFERROR(INDEX(TableTECalcPts[TM],MATCH(TableTERanks[[#This Row],[RK]],TableTECalcPts[RK],0)),"")</f>
        <v>PHI</v>
      </c>
      <c r="Y12">
        <f>IFERROR(INDEX(TableTECalcPts[BYE],MATCH(TableTERanks[[#This Row],[RK]],TableTECalcPts[RK],0)),"")</f>
        <v>10</v>
      </c>
      <c r="Z12" s="57">
        <f>IFERROR(INDEX(TableTECalcPts[Custom],MATCH(TableTERanks[[#This Row],[RK]],TableTECalcPts[RK],0)),"")</f>
        <v>131.42193465491999</v>
      </c>
      <c r="AA12" s="125">
        <f>(((VLOOKUP(TableTERanks[[#This Row],[Player]],'OVR &amp; VORP Ranks'!$W:$AA,5,FALSE)))/('OVR &amp; VORP Ranks'!$BM$6))*(Settings!$E$10*TEAMS)</f>
        <v>2.8230229494726516E-2</v>
      </c>
      <c r="AC12">
        <v>11</v>
      </c>
      <c r="AD12" t="str">
        <f>IFERROR(INDEX(TableDSTCalcPts[PLAYER],MATCH(TableDSTRanks[[#This Row],[RK]],TableDSTCalcPts[RK],0)),"")</f>
        <v>Texans</v>
      </c>
      <c r="AE12">
        <f>IFERROR(INDEX(TableDSTCalcPts[BYE],MATCH(TableDSTRanks[[#This Row],[RK]],TableDSTCalcPts[RK],0)),"")</f>
        <v>0</v>
      </c>
      <c r="AF12" s="57">
        <f>IFERROR(INDEX(TableDSTCalcPts[Custom],MATCH(TableDSTRanks[[#This Row],[RK]],TableDSTCalcPts[RK],0)),"")</f>
        <v>117.1</v>
      </c>
      <c r="AG12" s="125">
        <v>1</v>
      </c>
    </row>
    <row r="13" spans="1:33" x14ac:dyDescent="0.2">
      <c r="A13">
        <v>12</v>
      </c>
      <c r="B13" t="str">
        <f>IFERROR(INDEX(TableQBCalcPts[PLAYER],MATCH(TableQBRanks[[#This Row],[RK]],TableQBCalcPts[RK],0)),"")</f>
        <v>Kyler Murray</v>
      </c>
      <c r="C13" t="str">
        <f>IFERROR(INDEX(TableQBCalcPts[TM],MATCH(TableQBRanks[[#This Row],[RK]],TableQBCalcPts[RK],0)),"")</f>
        <v>ARI</v>
      </c>
      <c r="D13">
        <f>IFERROR(INDEX(TableQBCalcPts[BYE],MATCH(TableQBRanks[[#This Row],[RK]],TableQBCalcPts[RK],0)),"")</f>
        <v>14</v>
      </c>
      <c r="E13" s="57">
        <f>IFERROR(INDEX(TableQBCalcPts[Custom],MATCH(TableQBRanks[[#This Row],[RK]],TableQBCalcPts[RK],0)),"")</f>
        <v>313.96453693650005</v>
      </c>
      <c r="F13" s="125">
        <f>(((VLOOKUP(TableQBRanks[[#This Row],[Player]],'OVR &amp; VORP Ranks'!$B:$F,5,FALSE)))/('OVR &amp; VORP Ranks'!$BM$6))*(Settings!$E$10*TEAMS)</f>
        <v>10.306580349233636</v>
      </c>
      <c r="H13">
        <v>12</v>
      </c>
      <c r="I13" t="str">
        <f>IFERROR(INDEX(TableRBCalcPts[PLAYER],MATCH(TableRBRanks[[#This Row],[RK]],TableRBCalcPts[RK],0)),"")</f>
        <v>Aaron Jones</v>
      </c>
      <c r="J13" t="str">
        <f>IFERROR(INDEX(TableRBCalcPts[TM],MATCH(TableRBRanks[[#This Row],[RK]],TableRBCalcPts[RK],0)),"")</f>
        <v>MIN</v>
      </c>
      <c r="K13">
        <f>IFERROR(INDEX(TableRBCalcPts[BYE],MATCH(TableRBRanks[[#This Row],[RK]],TableRBCalcPts[RK],0)),"")</f>
        <v>13</v>
      </c>
      <c r="L13" s="57">
        <f>IFERROR(INDEX(TableRBCalcPts[Custom],MATCH(TableRBRanks[[#This Row],[RK]],TableRBCalcPts[RK],0)),"")</f>
        <v>209.09487775680006</v>
      </c>
      <c r="M13" s="125">
        <f>(((VLOOKUP(TableRBRanks[[#This Row],[Player]],'OVR &amp; VORP Ranks'!$I:$M,5,FALSE)))/('OVR &amp; VORP Ranks'!$BM$6))*(Settings!$E$10*TEAMS)</f>
        <v>39.947367954320896</v>
      </c>
      <c r="O13">
        <v>12</v>
      </c>
      <c r="P13" t="str">
        <f>IFERROR(INDEX(TableWRCalcPts[PLAYER],MATCH(TableWRRanks[[#This Row],[RK]],TableWRCalcPts[RK],0)),"")</f>
        <v>Marvin Harrison</v>
      </c>
      <c r="Q13" t="str">
        <f>IFERROR(INDEX(TableWRCalcPts[TM],MATCH(TableWRRanks[[#This Row],[RK]],TableWRCalcPts[RK],0)),"")</f>
        <v>ARI</v>
      </c>
      <c r="R13">
        <f>IFERROR(INDEX(TableWRCalcPts[BYE],MATCH(TableWRRanks[[#This Row],[RK]],TableWRCalcPts[RK],0)),"")</f>
        <v>14</v>
      </c>
      <c r="S13" s="57">
        <f>IFERROR(INDEX(TableWRCalcPts[Custom],MATCH(TableWRRanks[[#This Row],[RK]],TableWRCalcPts[RK],0)),"")</f>
        <v>204.83187286464002</v>
      </c>
      <c r="T13" s="125">
        <f>(((VLOOKUP(TableWRRanks[[#This Row],[Player]],'OVR &amp; VORP Ranks'!$P:$T,5,FALSE)))/('OVR &amp; VORP Ranks'!$BM$6))*(Settings!$E$10*TEAMS)</f>
        <v>19.551537050733252</v>
      </c>
      <c r="V13">
        <v>12</v>
      </c>
      <c r="W13" t="str">
        <f>IFERROR(INDEX(TableTECalcPts[PLAYER],MATCH(TableTERanks[[#This Row],[RK]],TableTECalcPts[RK],0)),"")</f>
        <v>Brock Bowers</v>
      </c>
      <c r="X13" t="str">
        <f>IFERROR(INDEX(TableTECalcPts[TM],MATCH(TableTERanks[[#This Row],[RK]],TableTECalcPts[RK],0)),"")</f>
        <v>LV</v>
      </c>
      <c r="Y13">
        <f>IFERROR(INDEX(TableTECalcPts[BYE],MATCH(TableTERanks[[#This Row],[RK]],TableTECalcPts[RK],0)),"")</f>
        <v>13</v>
      </c>
      <c r="Z13" s="57">
        <f>IFERROR(INDEX(TableTECalcPts[Custom],MATCH(TableTERanks[[#This Row],[RK]],TableTECalcPts[RK],0)),"")</f>
        <v>131.34257300639999</v>
      </c>
      <c r="AA13" s="125">
        <f>(((VLOOKUP(TableTERanks[[#This Row],[Player]],'OVR &amp; VORP Ranks'!$W:$AA,5,FALSE)))/('OVR &amp; VORP Ranks'!$BM$6))*(Settings!$E$10*TEAMS)</f>
        <v>0</v>
      </c>
      <c r="AC13">
        <v>12</v>
      </c>
      <c r="AD13" t="str">
        <f>IFERROR(INDEX(TableDSTCalcPts[PLAYER],MATCH(TableDSTRanks[[#This Row],[RK]],TableDSTCalcPts[RK],0)),"")</f>
        <v>Buccaneers</v>
      </c>
      <c r="AE13">
        <f>IFERROR(INDEX(TableDSTCalcPts[BYE],MATCH(TableDSTRanks[[#This Row],[RK]],TableDSTCalcPts[RK],0)),"")</f>
        <v>0</v>
      </c>
      <c r="AF13" s="57">
        <f>IFERROR(INDEX(TableDSTCalcPts[Custom],MATCH(TableDSTRanks[[#This Row],[RK]],TableDSTCalcPts[RK],0)),"")</f>
        <v>117.00000000000001</v>
      </c>
      <c r="AG13" s="125">
        <v>0</v>
      </c>
    </row>
    <row r="14" spans="1:33" x14ac:dyDescent="0.2">
      <c r="A14">
        <v>13</v>
      </c>
      <c r="B14" t="str">
        <f>IFERROR(INDEX(TableQBCalcPts[PLAYER],MATCH(TableQBRanks[[#This Row],[RK]],TableQBCalcPts[RK],0)),"")</f>
        <v>Brock Purdy</v>
      </c>
      <c r="C14" t="str">
        <f>IFERROR(INDEX(TableQBCalcPts[TM],MATCH(TableQBRanks[[#This Row],[RK]],TableQBCalcPts[RK],0)),"")</f>
        <v>SF</v>
      </c>
      <c r="D14">
        <f>IFERROR(INDEX(TableQBCalcPts[BYE],MATCH(TableQBRanks[[#This Row],[RK]],TableQBCalcPts[RK],0)),"")</f>
        <v>9</v>
      </c>
      <c r="E14" s="57">
        <f>IFERROR(INDEX(TableQBCalcPts[Custom],MATCH(TableQBRanks[[#This Row],[RK]],TableQBCalcPts[RK],0)),"")</f>
        <v>311.34483384782396</v>
      </c>
      <c r="F14" s="125">
        <f>(((VLOOKUP(TableQBRanks[[#This Row],[Player]],'OVR &amp; VORP Ranks'!$B:$F,5,FALSE)))/('OVR &amp; VORP Ranks'!$BM$6))*(Settings!$E$10*TEAMS)</f>
        <v>9.5724980396214807</v>
      </c>
      <c r="H14">
        <v>13</v>
      </c>
      <c r="I14" t="str">
        <f>IFERROR(INDEX(TableRBCalcPts[PLAYER],MATCH(TableRBRanks[[#This Row],[RK]],TableRBCalcPts[RK],0)),"")</f>
        <v>Rachaad White</v>
      </c>
      <c r="J14" t="str">
        <f>IFERROR(INDEX(TableRBCalcPts[TM],MATCH(TableRBRanks[[#This Row],[RK]],TableRBCalcPts[RK],0)),"")</f>
        <v>TB</v>
      </c>
      <c r="K14">
        <f>IFERROR(INDEX(TableRBCalcPts[BYE],MATCH(TableRBRanks[[#This Row],[RK]],TableRBCalcPts[RK],0)),"")</f>
        <v>5</v>
      </c>
      <c r="L14" s="57">
        <f>IFERROR(INDEX(TableRBCalcPts[Custom],MATCH(TableRBRanks[[#This Row],[RK]],TableRBCalcPts[RK],0)),"")</f>
        <v>206.90615457993601</v>
      </c>
      <c r="M14" s="125">
        <f>(((VLOOKUP(TableRBRanks[[#This Row],[Player]],'OVR &amp; VORP Ranks'!$I:$M,5,FALSE)))/('OVR &amp; VORP Ranks'!$BM$6))*(Settings!$E$10*TEAMS)</f>
        <v>39.040160713408831</v>
      </c>
      <c r="O14">
        <v>13</v>
      </c>
      <c r="P14" t="str">
        <f>IFERROR(INDEX(TableWRCalcPts[PLAYER],MATCH(TableWRRanks[[#This Row],[RK]],TableWRCalcPts[RK],0)),"")</f>
        <v>Jaylen Waddle</v>
      </c>
      <c r="Q14" t="str">
        <f>IFERROR(INDEX(TableWRCalcPts[TM],MATCH(TableWRRanks[[#This Row],[RK]],TableWRCalcPts[RK],0)),"")</f>
        <v>MIA</v>
      </c>
      <c r="R14">
        <f>IFERROR(INDEX(TableWRCalcPts[BYE],MATCH(TableWRRanks[[#This Row],[RK]],TableWRCalcPts[RK],0)),"")</f>
        <v>10</v>
      </c>
      <c r="S14" s="57">
        <f>IFERROR(INDEX(TableWRCalcPts[Custom],MATCH(TableWRRanks[[#This Row],[RK]],TableWRCalcPts[RK],0)),"")</f>
        <v>201.51482224375039</v>
      </c>
      <c r="T14" s="125">
        <f>(((VLOOKUP(TableWRRanks[[#This Row],[Player]],'OVR &amp; VORP Ranks'!$P:$T,5,FALSE)))/('OVR &amp; VORP Ranks'!$BM$6))*(Settings!$E$10*TEAMS)</f>
        <v>18.478323547325459</v>
      </c>
      <c r="V14">
        <v>13</v>
      </c>
      <c r="W14" t="str">
        <f>IFERROR(INDEX(TableTECalcPts[PLAYER],MATCH(TableTERanks[[#This Row],[RK]],TableTECalcPts[RK],0)),"")</f>
        <v>T.J. Hockenson</v>
      </c>
      <c r="X14" t="str">
        <f>IFERROR(INDEX(TableTECalcPts[TM],MATCH(TableTERanks[[#This Row],[RK]],TableTECalcPts[RK],0)),"")</f>
        <v>MIN</v>
      </c>
      <c r="Y14">
        <f>IFERROR(INDEX(TableTECalcPts[BYE],MATCH(TableTERanks[[#This Row],[RK]],TableTECalcPts[RK],0)),"")</f>
        <v>13</v>
      </c>
      <c r="Z14" s="57">
        <f>IFERROR(INDEX(TableTECalcPts[Custom],MATCH(TableTERanks[[#This Row],[RK]],TableTECalcPts[RK],0)),"")</f>
        <v>122.60684427264</v>
      </c>
      <c r="AA14" s="125">
        <f>(((VLOOKUP(TableTERanks[[#This Row],[Player]],'OVR &amp; VORP Ranks'!$W:$AA,5,FALSE)))/('OVR &amp; VORP Ranks'!$BM$6))*(Settings!$E$10*TEAMS)</f>
        <v>-3.1074408301328704</v>
      </c>
      <c r="AC14">
        <v>13</v>
      </c>
      <c r="AD14" t="str">
        <f>IFERROR(INDEX(TableDSTCalcPts[PLAYER],MATCH(TableDSTRanks[[#This Row],[RK]],TableDSTCalcPts[RK],0)),"")</f>
        <v>Chiefs</v>
      </c>
      <c r="AE14">
        <f>IFERROR(INDEX(TableDSTCalcPts[BYE],MATCH(TableDSTRanks[[#This Row],[RK]],TableDSTCalcPts[RK],0)),"")</f>
        <v>0</v>
      </c>
      <c r="AF14" s="57">
        <f>IFERROR(INDEX(TableDSTCalcPts[Custom],MATCH(TableDSTRanks[[#This Row],[RK]],TableDSTCalcPts[RK],0)),"")</f>
        <v>116.70000000000002</v>
      </c>
      <c r="AG14" s="125">
        <v>0</v>
      </c>
    </row>
    <row r="15" spans="1:33" x14ac:dyDescent="0.2">
      <c r="A15">
        <v>14</v>
      </c>
      <c r="B15" t="str">
        <f>IFERROR(INDEX(TableQBCalcPts[PLAYER],MATCH(TableQBRanks[[#This Row],[RK]],TableQBCalcPts[RK],0)),"")</f>
        <v>Trevor Lawrence</v>
      </c>
      <c r="C15" t="str">
        <f>IFERROR(INDEX(TableQBCalcPts[TM],MATCH(TableQBRanks[[#This Row],[RK]],TableQBCalcPts[RK],0)),"")</f>
        <v>JAX</v>
      </c>
      <c r="D15">
        <f>IFERROR(INDEX(TableQBCalcPts[BYE],MATCH(TableQBRanks[[#This Row],[RK]],TableQBCalcPts[RK],0)),"")</f>
        <v>9</v>
      </c>
      <c r="E15" s="57">
        <f>IFERROR(INDEX(TableQBCalcPts[Custom],MATCH(TableQBRanks[[#This Row],[RK]],TableQBCalcPts[RK],0)),"")</f>
        <v>309.60138209180002</v>
      </c>
      <c r="F15" s="125">
        <f>(((VLOOKUP(TableQBRanks[[#This Row],[Player]],'OVR &amp; VORP Ranks'!$B:$F,5,FALSE)))/('OVR &amp; VORP Ranks'!$BM$6))*(Settings!$E$10*TEAMS)</f>
        <v>7.7491953159564577</v>
      </c>
      <c r="H15">
        <v>14</v>
      </c>
      <c r="I15" t="str">
        <f>IFERROR(INDEX(TableRBCalcPts[PLAYER],MATCH(TableRBRanks[[#This Row],[RK]],TableRBCalcPts[RK],0)),"")</f>
        <v>Rhamondre Stevenson</v>
      </c>
      <c r="J15" t="str">
        <f>IFERROR(INDEX(TableRBCalcPts[TM],MATCH(TableRBRanks[[#This Row],[RK]],TableRBCalcPts[RK],0)),"")</f>
        <v>NE</v>
      </c>
      <c r="K15">
        <f>IFERROR(INDEX(TableRBCalcPts[BYE],MATCH(TableRBRanks[[#This Row],[RK]],TableRBCalcPts[RK],0)),"")</f>
        <v>11</v>
      </c>
      <c r="L15" s="57">
        <f>IFERROR(INDEX(TableRBCalcPts[Custom],MATCH(TableRBRanks[[#This Row],[RK]],TableRBCalcPts[RK],0)),"")</f>
        <v>198.29344996664003</v>
      </c>
      <c r="M15" s="125">
        <f>(((VLOOKUP(TableRBRanks[[#This Row],[Player]],'OVR &amp; VORP Ranks'!$I:$M,5,FALSE)))/('OVR &amp; VORP Ranks'!$BM$6))*(Settings!$E$10*TEAMS)</f>
        <v>35.470267511924121</v>
      </c>
      <c r="O15">
        <v>14</v>
      </c>
      <c r="P15" t="str">
        <f>IFERROR(INDEX(TableWRCalcPts[PLAYER],MATCH(TableWRRanks[[#This Row],[RK]],TableWRCalcPts[RK],0)),"")</f>
        <v>Tee Higgins</v>
      </c>
      <c r="Q15" t="str">
        <f>IFERROR(INDEX(TableWRCalcPts[TM],MATCH(TableWRRanks[[#This Row],[RK]],TableWRCalcPts[RK],0)),"")</f>
        <v>CIN</v>
      </c>
      <c r="R15">
        <f>IFERROR(INDEX(TableWRCalcPts[BYE],MATCH(TableWRRanks[[#This Row],[RK]],TableWRCalcPts[RK],0)),"")</f>
        <v>7</v>
      </c>
      <c r="S15" s="57">
        <f>IFERROR(INDEX(TableWRCalcPts[Custom],MATCH(TableWRRanks[[#This Row],[RK]],TableWRCalcPts[RK],0)),"")</f>
        <v>200.92599491277602</v>
      </c>
      <c r="T15" s="125">
        <f>(((VLOOKUP(TableWRRanks[[#This Row],[Player]],'OVR &amp; VORP Ranks'!$P:$T,5,FALSE)))/('OVR &amp; VORP Ranks'!$BM$6))*(Settings!$E$10*TEAMS)</f>
        <v>18.287811699602202</v>
      </c>
      <c r="V15">
        <v>14</v>
      </c>
      <c r="W15" t="str">
        <f>IFERROR(INDEX(TableTECalcPts[PLAYER],MATCH(TableTERanks[[#This Row],[RK]],TableTECalcPts[RK],0)),"")</f>
        <v>Cole Kmet</v>
      </c>
      <c r="X15" t="str">
        <f>IFERROR(INDEX(TableTECalcPts[TM],MATCH(TableTERanks[[#This Row],[RK]],TableTECalcPts[RK],0)),"")</f>
        <v>CHI</v>
      </c>
      <c r="Y15">
        <f>IFERROR(INDEX(TableTECalcPts[BYE],MATCH(TableTERanks[[#This Row],[RK]],TableTECalcPts[RK],0)),"")</f>
        <v>13</v>
      </c>
      <c r="Z15" s="57">
        <f>IFERROR(INDEX(TableTECalcPts[Custom],MATCH(TableTERanks[[#This Row],[RK]],TableTECalcPts[RK],0)),"")</f>
        <v>113.3588619576</v>
      </c>
      <c r="AA15" s="125">
        <f>(((VLOOKUP(TableTERanks[[#This Row],[Player]],'OVR &amp; VORP Ranks'!$W:$AA,5,FALSE)))/('OVR &amp; VORP Ranks'!$BM$6))*(Settings!$E$10*TEAMS)</f>
        <v>-6.397098592861151</v>
      </c>
      <c r="AC15">
        <v>14</v>
      </c>
      <c r="AD15" t="str">
        <f>IFERROR(INDEX(TableDSTCalcPts[PLAYER],MATCH(TableDSTRanks[[#This Row],[RK]],TableDSTCalcPts[RK],0)),"")</f>
        <v>Dolphins</v>
      </c>
      <c r="AE15">
        <f>IFERROR(INDEX(TableDSTCalcPts[BYE],MATCH(TableDSTRanks[[#This Row],[RK]],TableDSTCalcPts[RK],0)),"")</f>
        <v>0</v>
      </c>
      <c r="AF15" s="57">
        <f>IFERROR(INDEX(TableDSTCalcPts[Custom],MATCH(TableDSTRanks[[#This Row],[RK]],TableDSTCalcPts[RK],0)),"")</f>
        <v>116.45</v>
      </c>
      <c r="AG15" s="125">
        <v>0</v>
      </c>
    </row>
    <row r="16" spans="1:33" x14ac:dyDescent="0.2">
      <c r="A16">
        <v>15</v>
      </c>
      <c r="B16" t="str">
        <f>IFERROR(INDEX(TableQBCalcPts[PLAYER],MATCH(TableQBRanks[[#This Row],[RK]],TableQBCalcPts[RK],0)),"")</f>
        <v>Justin Herbert</v>
      </c>
      <c r="C16" t="str">
        <f>IFERROR(INDEX(TableQBCalcPts[TM],MATCH(TableQBRanks[[#This Row],[RK]],TableQBCalcPts[RK],0)),"")</f>
        <v>LAC</v>
      </c>
      <c r="D16">
        <f>IFERROR(INDEX(TableQBCalcPts[BYE],MATCH(TableQBRanks[[#This Row],[RK]],TableQBCalcPts[RK],0)),"")</f>
        <v>5</v>
      </c>
      <c r="E16" s="57">
        <f>IFERROR(INDEX(TableQBCalcPts[Custom],MATCH(TableQBRanks[[#This Row],[RK]],TableQBCalcPts[RK],0)),"")</f>
        <v>309.26148084574157</v>
      </c>
      <c r="F16" s="125">
        <f>(((VLOOKUP(TableQBRanks[[#This Row],[Player]],'OVR &amp; VORP Ranks'!$B:$F,5,FALSE)))/('OVR &amp; VORP Ranks'!$BM$6))*(Settings!$E$10*TEAMS)</f>
        <v>7.2188341157345119</v>
      </c>
      <c r="H16">
        <v>15</v>
      </c>
      <c r="I16" t="str">
        <f>IFERROR(INDEX(TableRBCalcPts[PLAYER],MATCH(TableRBRanks[[#This Row],[RK]],TableRBCalcPts[RK],0)),"")</f>
        <v>Josh Jacobs</v>
      </c>
      <c r="J16" t="str">
        <f>IFERROR(INDEX(TableRBCalcPts[TM],MATCH(TableRBRanks[[#This Row],[RK]],TableRBCalcPts[RK],0)),"")</f>
        <v>GB</v>
      </c>
      <c r="K16">
        <f>IFERROR(INDEX(TableRBCalcPts[BYE],MATCH(TableRBRanks[[#This Row],[RK]],TableRBCalcPts[RK],0)),"")</f>
        <v>6</v>
      </c>
      <c r="L16" s="57">
        <f>IFERROR(INDEX(TableRBCalcPts[Custom],MATCH(TableRBRanks[[#This Row],[RK]],TableRBCalcPts[RK],0)),"")</f>
        <v>195.67667368737602</v>
      </c>
      <c r="M16" s="125">
        <f>(((VLOOKUP(TableRBRanks[[#This Row],[Player]],'OVR &amp; VORP Ranks'!$I:$M,5,FALSE)))/('OVR &amp; VORP Ranks'!$BM$6))*(Settings!$E$10*TEAMS)</f>
        <v>34.38563588125961</v>
      </c>
      <c r="O16">
        <v>15</v>
      </c>
      <c r="P16" t="str">
        <f>IFERROR(INDEX(TableWRCalcPts[PLAYER],MATCH(TableWRRanks[[#This Row],[RK]],TableWRCalcPts[RK],0)),"")</f>
        <v>DK Metcalf</v>
      </c>
      <c r="Q16" t="str">
        <f>IFERROR(INDEX(TableWRCalcPts[TM],MATCH(TableWRRanks[[#This Row],[RK]],TableWRCalcPts[RK],0)),"")</f>
        <v>SEA</v>
      </c>
      <c r="R16">
        <f>IFERROR(INDEX(TableWRCalcPts[BYE],MATCH(TableWRRanks[[#This Row],[RK]],TableWRCalcPts[RK],0)),"")</f>
        <v>5</v>
      </c>
      <c r="S16" s="57">
        <f>IFERROR(INDEX(TableWRCalcPts[Custom],MATCH(TableWRRanks[[#This Row],[RK]],TableWRCalcPts[RK],0)),"")</f>
        <v>199.92229009247873</v>
      </c>
      <c r="T16" s="125">
        <f>(((VLOOKUP(TableWRRanks[[#This Row],[Player]],'OVR &amp; VORP Ranks'!$P:$T,5,FALSE)))/('OVR &amp; VORP Ranks'!$BM$6))*(Settings!$E$10*TEAMS)</f>
        <v>17.963068519683642</v>
      </c>
      <c r="V16">
        <v>15</v>
      </c>
      <c r="W16" t="str">
        <f>IFERROR(INDEX(TableTECalcPts[PLAYER],MATCH(TableTERanks[[#This Row],[RK]],TableTECalcPts[RK],0)),"")</f>
        <v>Pat Freiermuth</v>
      </c>
      <c r="X16" t="str">
        <f>IFERROR(INDEX(TableTECalcPts[TM],MATCH(TableTERanks[[#This Row],[RK]],TableTECalcPts[RK],0)),"")</f>
        <v>PIT</v>
      </c>
      <c r="Y16">
        <f>IFERROR(INDEX(TableTECalcPts[BYE],MATCH(TableTERanks[[#This Row],[RK]],TableTECalcPts[RK],0)),"")</f>
        <v>6</v>
      </c>
      <c r="Z16" s="57">
        <f>IFERROR(INDEX(TableTECalcPts[Custom],MATCH(TableTERanks[[#This Row],[RK]],TableTECalcPts[RK],0)),"")</f>
        <v>111.11222832065999</v>
      </c>
      <c r="AA16" s="125">
        <f>(((VLOOKUP(TableTERanks[[#This Row],[Player]],'OVR &amp; VORP Ranks'!$W:$AA,5,FALSE)))/('OVR &amp; VORP Ranks'!$BM$6))*(Settings!$E$10*TEAMS)</f>
        <v>-7.1962627274796525</v>
      </c>
      <c r="AC16">
        <v>15</v>
      </c>
      <c r="AD16" t="str">
        <f>IFERROR(INDEX(TableDSTCalcPts[PLAYER],MATCH(TableDSTRanks[[#This Row],[RK]],TableDSTCalcPts[RK],0)),"")</f>
        <v>Steelers</v>
      </c>
      <c r="AE16">
        <f>IFERROR(INDEX(TableDSTCalcPts[BYE],MATCH(TableDSTRanks[[#This Row],[RK]],TableDSTCalcPts[RK],0)),"")</f>
        <v>0</v>
      </c>
      <c r="AF16" s="57">
        <f>IFERROR(INDEX(TableDSTCalcPts[Custom],MATCH(TableDSTRanks[[#This Row],[RK]],TableDSTCalcPts[RK],0)),"")</f>
        <v>115.99999999999999</v>
      </c>
      <c r="AG16" s="125">
        <v>0</v>
      </c>
    </row>
    <row r="17" spans="1:33" x14ac:dyDescent="0.2">
      <c r="A17">
        <v>16</v>
      </c>
      <c r="B17" t="str">
        <f>IFERROR(INDEX(TableQBCalcPts[PLAYER],MATCH(TableQBRanks[[#This Row],[RK]],TableQBCalcPts[RK],0)),"")</f>
        <v>Jared Goff</v>
      </c>
      <c r="C17" t="str">
        <f>IFERROR(INDEX(TableQBCalcPts[TM],MATCH(TableQBRanks[[#This Row],[RK]],TableQBCalcPts[RK],0)),"")</f>
        <v>DET</v>
      </c>
      <c r="D17">
        <f>IFERROR(INDEX(TableQBCalcPts[BYE],MATCH(TableQBRanks[[#This Row],[RK]],TableQBCalcPts[RK],0)),"")</f>
        <v>9</v>
      </c>
      <c r="E17" s="57">
        <f>IFERROR(INDEX(TableQBCalcPts[Custom],MATCH(TableQBRanks[[#This Row],[RK]],TableQBCalcPts[RK],0)),"")</f>
        <v>306.24531786967998</v>
      </c>
      <c r="F17" s="125">
        <f>(((VLOOKUP(TableQBRanks[[#This Row],[Player]],'OVR &amp; VORP Ranks'!$B:$F,5,FALSE)))/('OVR &amp; VORP Ranks'!$BM$6))*(Settings!$E$10*TEAMS)</f>
        <v>5.9768423327885722</v>
      </c>
      <c r="H17">
        <v>16</v>
      </c>
      <c r="I17" t="str">
        <f>IFERROR(INDEX(TableRBCalcPts[PLAYER],MATCH(TableRBRanks[[#This Row],[RK]],TableRBCalcPts[RK],0)),"")</f>
        <v>Travis Etienne</v>
      </c>
      <c r="J17" t="str">
        <f>IFERROR(INDEX(TableRBCalcPts[TM],MATCH(TableRBRanks[[#This Row],[RK]],TableRBCalcPts[RK],0)),"")</f>
        <v>JAX</v>
      </c>
      <c r="K17">
        <f>IFERROR(INDEX(TableRBCalcPts[BYE],MATCH(TableRBRanks[[#This Row],[RK]],TableRBCalcPts[RK],0)),"")</f>
        <v>9</v>
      </c>
      <c r="L17" s="57">
        <f>IFERROR(INDEX(TableRBCalcPts[Custom],MATCH(TableRBRanks[[#This Row],[RK]],TableRBCalcPts[RK],0)),"")</f>
        <v>191.02926081876004</v>
      </c>
      <c r="M17" s="125">
        <f>(((VLOOKUP(TableRBRanks[[#This Row],[Player]],'OVR &amp; VORP Ranks'!$I:$M,5,FALSE)))/('OVR &amp; VORP Ranks'!$BM$6))*(Settings!$E$10*TEAMS)</f>
        <v>32.459322562844797</v>
      </c>
      <c r="O17">
        <v>16</v>
      </c>
      <c r="P17" t="str">
        <f>IFERROR(INDEX(TableWRCalcPts[PLAYER],MATCH(TableWRRanks[[#This Row],[RK]],TableWRCalcPts[RK],0)),"")</f>
        <v>Drake London</v>
      </c>
      <c r="Q17" t="str">
        <f>IFERROR(INDEX(TableWRCalcPts[TM],MATCH(TableWRRanks[[#This Row],[RK]],TableWRCalcPts[RK],0)),"")</f>
        <v>ATL</v>
      </c>
      <c r="R17">
        <f>IFERROR(INDEX(TableWRCalcPts[BYE],MATCH(TableWRRanks[[#This Row],[RK]],TableWRCalcPts[RK],0)),"")</f>
        <v>11</v>
      </c>
      <c r="S17" s="57">
        <f>IFERROR(INDEX(TableWRCalcPts[Custom],MATCH(TableWRRanks[[#This Row],[RK]],TableWRCalcPts[RK],0)),"")</f>
        <v>196.45429046443195</v>
      </c>
      <c r="T17" s="125">
        <f>(((VLOOKUP(TableWRRanks[[#This Row],[Player]],'OVR &amp; VORP Ranks'!$P:$T,5,FALSE)))/('OVR &amp; VORP Ranks'!$BM$6))*(Settings!$E$10*TEAMS)</f>
        <v>16.841016294374281</v>
      </c>
      <c r="V17">
        <v>16</v>
      </c>
      <c r="W17" t="str">
        <f>IFERROR(INDEX(TableTECalcPts[PLAYER],MATCH(TableTERanks[[#This Row],[RK]],TableTECalcPts[RK],0)),"")</f>
        <v>Taysom Hill</v>
      </c>
      <c r="X17" t="str">
        <f>IFERROR(INDEX(TableTECalcPts[TM],MATCH(TableTERanks[[#This Row],[RK]],TableTECalcPts[RK],0)),"")</f>
        <v>NO</v>
      </c>
      <c r="Y17">
        <f>IFERROR(INDEX(TableTECalcPts[BYE],MATCH(TableTERanks[[#This Row],[RK]],TableTECalcPts[RK],0)),"")</f>
        <v>11</v>
      </c>
      <c r="Z17" s="57">
        <f>IFERROR(INDEX(TableTECalcPts[Custom],MATCH(TableTERanks[[#This Row],[RK]],TableTECalcPts[RK],0)),"")</f>
        <v>109.30098272834891</v>
      </c>
      <c r="AA17" s="125">
        <f>(((VLOOKUP(TableTERanks[[#This Row],[Player]],'OVR &amp; VORP Ranks'!$W:$AA,5,FALSE)))/('OVR &amp; VORP Ranks'!$BM$6))*(Settings!$E$10*TEAMS)</f>
        <v>-7.840552251397038</v>
      </c>
      <c r="AC17">
        <v>16</v>
      </c>
      <c r="AD17" t="str">
        <f>IFERROR(INDEX(TableDSTCalcPts[PLAYER],MATCH(TableDSTRanks[[#This Row],[RK]],TableDSTCalcPts[RK],0)),"")</f>
        <v>Commanders</v>
      </c>
      <c r="AE17">
        <f>IFERROR(INDEX(TableDSTCalcPts[BYE],MATCH(TableDSTRanks[[#This Row],[RK]],TableDSTCalcPts[RK],0)),"")</f>
        <v>0</v>
      </c>
      <c r="AF17" s="57">
        <f>IFERROR(INDEX(TableDSTCalcPts[Custom],MATCH(TableDSTRanks[[#This Row],[RK]],TableDSTCalcPts[RK],0)),"")</f>
        <v>115.85</v>
      </c>
      <c r="AG17" s="125">
        <v>0</v>
      </c>
    </row>
    <row r="18" spans="1:33" x14ac:dyDescent="0.2">
      <c r="A18">
        <v>17</v>
      </c>
      <c r="B18" t="str">
        <f>IFERROR(INDEX(TableQBCalcPts[PLAYER],MATCH(TableQBRanks[[#This Row],[RK]],TableQBCalcPts[RK],0)),"")</f>
        <v>Tua Tagovailoa</v>
      </c>
      <c r="C18" t="str">
        <f>IFERROR(INDEX(TableQBCalcPts[TM],MATCH(TableQBRanks[[#This Row],[RK]],TableQBCalcPts[RK],0)),"")</f>
        <v>MIA</v>
      </c>
      <c r="D18">
        <f>IFERROR(INDEX(TableQBCalcPts[BYE],MATCH(TableQBRanks[[#This Row],[RK]],TableQBCalcPts[RK],0)),"")</f>
        <v>10</v>
      </c>
      <c r="E18" s="57">
        <f>IFERROR(INDEX(TableQBCalcPts[Custom],MATCH(TableQBRanks[[#This Row],[RK]],TableQBCalcPts[RK],0)),"")</f>
        <v>302.2407970072</v>
      </c>
      <c r="F18" s="125">
        <f>(((VLOOKUP(TableQBRanks[[#This Row],[Player]],'OVR &amp; VORP Ranks'!$B:$F,5,FALSE)))/('OVR &amp; VORP Ranks'!$BM$6))*(Settings!$E$10*TEAMS)</f>
        <v>5.4125811742677525</v>
      </c>
      <c r="H18">
        <v>17</v>
      </c>
      <c r="I18" t="str">
        <f>IFERROR(INDEX(TableRBCalcPts[PLAYER],MATCH(TableRBRanks[[#This Row],[RK]],TableRBCalcPts[RK],0)),"")</f>
        <v>Kenneth Walker</v>
      </c>
      <c r="J18" t="str">
        <f>IFERROR(INDEX(TableRBCalcPts[TM],MATCH(TableRBRanks[[#This Row],[RK]],TableRBCalcPts[RK],0)),"")</f>
        <v>SEA</v>
      </c>
      <c r="K18">
        <f>IFERROR(INDEX(TableRBCalcPts[BYE],MATCH(TableRBRanks[[#This Row],[RK]],TableRBCalcPts[RK],0)),"")</f>
        <v>5</v>
      </c>
      <c r="L18" s="57">
        <f>IFERROR(INDEX(TableRBCalcPts[Custom],MATCH(TableRBRanks[[#This Row],[RK]],TableRBCalcPts[RK],0)),"")</f>
        <v>190.67445786002884</v>
      </c>
      <c r="M18" s="125">
        <f>(((VLOOKUP(TableRBRanks[[#This Row],[Player]],'OVR &amp; VORP Ranks'!$I:$M,5,FALSE)))/('OVR &amp; VORP Ranks'!$BM$6))*(Settings!$E$10*TEAMS)</f>
        <v>32.312259737970273</v>
      </c>
      <c r="O18">
        <v>17</v>
      </c>
      <c r="P18" t="str">
        <f>IFERROR(INDEX(TableWRCalcPts[PLAYER],MATCH(TableWRRanks[[#This Row],[RK]],TableWRCalcPts[RK],0)),"")</f>
        <v>Garrett Wilson</v>
      </c>
      <c r="Q18" t="str">
        <f>IFERROR(INDEX(TableWRCalcPts[TM],MATCH(TableWRRanks[[#This Row],[RK]],TableWRCalcPts[RK],0)),"")</f>
        <v>NYJ</v>
      </c>
      <c r="R18">
        <f>IFERROR(INDEX(TableWRCalcPts[BYE],MATCH(TableWRRanks[[#This Row],[RK]],TableWRCalcPts[RK],0)),"")</f>
        <v>7</v>
      </c>
      <c r="S18" s="57">
        <f>IFERROR(INDEX(TableWRCalcPts[Custom],MATCH(TableWRRanks[[#This Row],[RK]],TableWRCalcPts[RK],0)),"")</f>
        <v>193.57599061120317</v>
      </c>
      <c r="T18" s="125">
        <f>(((VLOOKUP(TableWRRanks[[#This Row],[Player]],'OVR &amp; VORP Ranks'!$P:$T,5,FALSE)))/('OVR &amp; VORP Ranks'!$BM$6))*(Settings!$E$10*TEAMS)</f>
        <v>15.909758191200286</v>
      </c>
      <c r="V18">
        <v>17</v>
      </c>
      <c r="W18" t="str">
        <f>IFERROR(INDEX(TableTECalcPts[PLAYER],MATCH(TableTERanks[[#This Row],[RK]],TableTECalcPts[RK],0)),"")</f>
        <v>Chigoziem Okonkwo</v>
      </c>
      <c r="X18" t="str">
        <f>IFERROR(INDEX(TableTECalcPts[TM],MATCH(TableTERanks[[#This Row],[RK]],TableTECalcPts[RK],0)),"")</f>
        <v>TEN</v>
      </c>
      <c r="Y18">
        <f>IFERROR(INDEX(TableTECalcPts[BYE],MATCH(TableTERanks[[#This Row],[RK]],TableTECalcPts[RK],0)),"")</f>
        <v>7</v>
      </c>
      <c r="Z18" s="57">
        <f>IFERROR(INDEX(TableTECalcPts[Custom],MATCH(TableTERanks[[#This Row],[RK]],TableTECalcPts[RK],0)),"")</f>
        <v>105.83006106172496</v>
      </c>
      <c r="AA18" s="125">
        <f>(((VLOOKUP(TableTERanks[[#This Row],[Player]],'OVR &amp; VORP Ranks'!$W:$AA,5,FALSE)))/('OVR &amp; VORP Ranks'!$BM$6))*(Settings!$E$10*TEAMS)</f>
        <v>-9.07521555583069</v>
      </c>
      <c r="AC18">
        <v>17</v>
      </c>
      <c r="AD18" t="str">
        <f>IFERROR(INDEX(TableDSTCalcPts[PLAYER],MATCH(TableDSTRanks[[#This Row],[RK]],TableDSTCalcPts[RK],0)),"")</f>
        <v>Lions</v>
      </c>
      <c r="AE18">
        <f>IFERROR(INDEX(TableDSTCalcPts[BYE],MATCH(TableDSTRanks[[#This Row],[RK]],TableDSTCalcPts[RK],0)),"")</f>
        <v>0</v>
      </c>
      <c r="AF18" s="57">
        <f>IFERROR(INDEX(TableDSTCalcPts[Custom],MATCH(TableDSTRanks[[#This Row],[RK]],TableDSTCalcPts[RK],0)),"")</f>
        <v>115.60000000000001</v>
      </c>
      <c r="AG18" s="125">
        <v>0</v>
      </c>
    </row>
    <row r="19" spans="1:33" x14ac:dyDescent="0.2">
      <c r="A19">
        <v>18</v>
      </c>
      <c r="B19" t="str">
        <f>IFERROR(INDEX(TableQBCalcPts[PLAYER],MATCH(TableQBRanks[[#This Row],[RK]],TableQBCalcPts[RK],0)),"")</f>
        <v>Aaron Rodgers</v>
      </c>
      <c r="C19" t="str">
        <f>IFERROR(INDEX(TableQBCalcPts[TM],MATCH(TableQBRanks[[#This Row],[RK]],TableQBCalcPts[RK],0)),"")</f>
        <v>NYJ</v>
      </c>
      <c r="D19">
        <f>IFERROR(INDEX(TableQBCalcPts[BYE],MATCH(TableQBRanks[[#This Row],[RK]],TableQBCalcPts[RK],0)),"")</f>
        <v>7</v>
      </c>
      <c r="E19" s="57">
        <f>IFERROR(INDEX(TableQBCalcPts[Custom],MATCH(TableQBRanks[[#This Row],[RK]],TableQBCalcPts[RK],0)),"")</f>
        <v>299.34462933983997</v>
      </c>
      <c r="F19" s="125">
        <f>(((VLOOKUP(TableQBRanks[[#This Row],[Player]],'OVR &amp; VORP Ranks'!$B:$F,5,FALSE)))/('OVR &amp; VORP Ranks'!$BM$6))*(Settings!$E$10*TEAMS)</f>
        <v>4.9262972509720262</v>
      </c>
      <c r="H19">
        <v>18</v>
      </c>
      <c r="I19" t="str">
        <f>IFERROR(INDEX(TableRBCalcPts[PLAYER],MATCH(TableRBRanks[[#This Row],[RK]],TableRBCalcPts[RK],0)),"")</f>
        <v>Zamir White</v>
      </c>
      <c r="J19" t="str">
        <f>IFERROR(INDEX(TableRBCalcPts[TM],MATCH(TableRBRanks[[#This Row],[RK]],TableRBCalcPts[RK],0)),"")</f>
        <v>LV</v>
      </c>
      <c r="K19">
        <f>IFERROR(INDEX(TableRBCalcPts[BYE],MATCH(TableRBRanks[[#This Row],[RK]],TableRBCalcPts[RK],0)),"")</f>
        <v>13</v>
      </c>
      <c r="L19" s="57">
        <f>IFERROR(INDEX(TableRBCalcPts[Custom],MATCH(TableRBRanks[[#This Row],[RK]],TableRBCalcPts[RK],0)),"")</f>
        <v>189.99861955200001</v>
      </c>
      <c r="M19" s="125">
        <f>(((VLOOKUP(TableRBRanks[[#This Row],[Player]],'OVR &amp; VORP Ranks'!$I:$M,5,FALSE)))/('OVR &amp; VORP Ranks'!$BM$6))*(Settings!$E$10*TEAMS)</f>
        <v>32.032130476668257</v>
      </c>
      <c r="O19">
        <v>18</v>
      </c>
      <c r="P19" t="str">
        <f>IFERROR(INDEX(TableWRCalcPts[PLAYER],MATCH(TableWRRanks[[#This Row],[RK]],TableWRCalcPts[RK],0)),"")</f>
        <v>Jayden Reed</v>
      </c>
      <c r="Q19" t="str">
        <f>IFERROR(INDEX(TableWRCalcPts[TM],MATCH(TableWRRanks[[#This Row],[RK]],TableWRCalcPts[RK],0)),"")</f>
        <v>GB</v>
      </c>
      <c r="R19">
        <f>IFERROR(INDEX(TableWRCalcPts[BYE],MATCH(TableWRRanks[[#This Row],[RK]],TableWRCalcPts[RK],0)),"")</f>
        <v>6</v>
      </c>
      <c r="S19" s="57">
        <f>IFERROR(INDEX(TableWRCalcPts[Custom],MATCH(TableWRRanks[[#This Row],[RK]],TableWRCalcPts[RK],0)),"")</f>
        <v>191.81540749896001</v>
      </c>
      <c r="T19" s="125">
        <f>(((VLOOKUP(TableWRRanks[[#This Row],[Player]],'OVR &amp; VORP Ranks'!$P:$T,5,FALSE)))/('OVR &amp; VORP Ranks'!$BM$6))*(Settings!$E$10*TEAMS)</f>
        <v>15.340131198464096</v>
      </c>
      <c r="V19">
        <v>18</v>
      </c>
      <c r="W19" t="str">
        <f>IFERROR(INDEX(TableTECalcPts[PLAYER],MATCH(TableTERanks[[#This Row],[RK]],TableTECalcPts[RK],0)),"")</f>
        <v>Luke Musgrave</v>
      </c>
      <c r="X19" t="str">
        <f>IFERROR(INDEX(TableTECalcPts[TM],MATCH(TableTERanks[[#This Row],[RK]],TableTECalcPts[RK],0)),"")</f>
        <v>GB</v>
      </c>
      <c r="Y19">
        <f>IFERROR(INDEX(TableTECalcPts[BYE],MATCH(TableTERanks[[#This Row],[RK]],TableTECalcPts[RK],0)),"")</f>
        <v>6</v>
      </c>
      <c r="Z19" s="57">
        <f>IFERROR(INDEX(TableTECalcPts[Custom],MATCH(TableTERanks[[#This Row],[RK]],TableTECalcPts[RK],0)),"")</f>
        <v>99.969667209216013</v>
      </c>
      <c r="AA19" s="125">
        <f>(((VLOOKUP(TableTERanks[[#This Row],[Player]],'OVR &amp; VORP Ranks'!$W:$AA,5,FALSE)))/('OVR &amp; VORP Ranks'!$BM$6))*(Settings!$E$10*TEAMS)</f>
        <v>-11.159852990549634</v>
      </c>
      <c r="AC19">
        <v>18</v>
      </c>
      <c r="AD19" t="str">
        <f>IFERROR(INDEX(TableDSTCalcPts[PLAYER],MATCH(TableDSTRanks[[#This Row],[RK]],TableDSTCalcPts[RK],0)),"")</f>
        <v>49ers</v>
      </c>
      <c r="AE19">
        <f>IFERROR(INDEX(TableDSTCalcPts[BYE],MATCH(TableDSTRanks[[#This Row],[RK]],TableDSTCalcPts[RK],0)),"")</f>
        <v>0</v>
      </c>
      <c r="AF19" s="57">
        <f>IFERROR(INDEX(TableDSTCalcPts[Custom],MATCH(TableDSTRanks[[#This Row],[RK]],TableDSTCalcPts[RK],0)),"")</f>
        <v>115.14999999999999</v>
      </c>
      <c r="AG19" s="125">
        <v>0</v>
      </c>
    </row>
    <row r="20" spans="1:33" x14ac:dyDescent="0.2">
      <c r="A20">
        <v>19</v>
      </c>
      <c r="B20" t="str">
        <f>IFERROR(INDEX(TableQBCalcPts[PLAYER],MATCH(TableQBRanks[[#This Row],[RK]],TableQBCalcPts[RK],0)),"")</f>
        <v>Kirk Cousins</v>
      </c>
      <c r="C20" t="str">
        <f>IFERROR(INDEX(TableQBCalcPts[TM],MATCH(TableQBRanks[[#This Row],[RK]],TableQBCalcPts[RK],0)),"")</f>
        <v>ATL</v>
      </c>
      <c r="D20">
        <f>IFERROR(INDEX(TableQBCalcPts[BYE],MATCH(TableQBRanks[[#This Row],[RK]],TableQBCalcPts[RK],0)),"")</f>
        <v>11</v>
      </c>
      <c r="E20" s="57">
        <f>IFERROR(INDEX(TableQBCalcPts[Custom],MATCH(TableQBRanks[[#This Row],[RK]],TableQBCalcPts[RK],0)),"")</f>
        <v>296.18510429087996</v>
      </c>
      <c r="F20" s="125">
        <f>(((VLOOKUP(TableQBRanks[[#This Row],[Player]],'OVR &amp; VORP Ranks'!$B:$F,5,FALSE)))/('OVR &amp; VORP Ranks'!$BM$6))*(Settings!$E$10*TEAMS)</f>
        <v>3.8786114801852283</v>
      </c>
      <c r="H20">
        <v>19</v>
      </c>
      <c r="I20" t="str">
        <f>IFERROR(INDEX(TableRBCalcPts[PLAYER],MATCH(TableRBRanks[[#This Row],[RK]],TableRBCalcPts[RK],0)),"")</f>
        <v>Nick Chubb</v>
      </c>
      <c r="J20" t="str">
        <f>IFERROR(INDEX(TableRBCalcPts[TM],MATCH(TableRBRanks[[#This Row],[RK]],TableRBCalcPts[RK],0)),"")</f>
        <v>CLE</v>
      </c>
      <c r="K20">
        <f>IFERROR(INDEX(TableRBCalcPts[BYE],MATCH(TableRBRanks[[#This Row],[RK]],TableRBCalcPts[RK],0)),"")</f>
        <v>5</v>
      </c>
      <c r="L20" s="57">
        <f>IFERROR(INDEX(TableRBCalcPts[Custom],MATCH(TableRBRanks[[#This Row],[RK]],TableRBCalcPts[RK],0)),"")</f>
        <v>186.48854343350001</v>
      </c>
      <c r="M20" s="125">
        <f>(((VLOOKUP(TableRBRanks[[#This Row],[Player]],'OVR &amp; VORP Ranks'!$I:$M,5,FALSE)))/('OVR &amp; VORP Ranks'!$BM$6))*(Settings!$E$10*TEAMS)</f>
        <v>30.577233619671368</v>
      </c>
      <c r="O20">
        <v>19</v>
      </c>
      <c r="P20" t="str">
        <f>IFERROR(INDEX(TableWRCalcPts[PLAYER],MATCH(TableWRRanks[[#This Row],[RK]],TableWRCalcPts[RK],0)),"")</f>
        <v>DJ Moore</v>
      </c>
      <c r="Q20" t="str">
        <f>IFERROR(INDEX(TableWRCalcPts[TM],MATCH(TableWRRanks[[#This Row],[RK]],TableWRCalcPts[RK],0)),"")</f>
        <v>CHI</v>
      </c>
      <c r="R20">
        <f>IFERROR(INDEX(TableWRCalcPts[BYE],MATCH(TableWRRanks[[#This Row],[RK]],TableWRCalcPts[RK],0)),"")</f>
        <v>13</v>
      </c>
      <c r="S20" s="57">
        <f>IFERROR(INDEX(TableWRCalcPts[Custom],MATCH(TableWRRanks[[#This Row],[RK]],TableWRCalcPts[RK],0)),"")</f>
        <v>190.97919337139996</v>
      </c>
      <c r="T20" s="125">
        <f>(((VLOOKUP(TableWRRanks[[#This Row],[Player]],'OVR &amp; VORP Ranks'!$P:$T,5,FALSE)))/('OVR &amp; VORP Ranks'!$BM$6))*(Settings!$E$10*TEAMS)</f>
        <v>15.069578711931007</v>
      </c>
      <c r="V20">
        <v>19</v>
      </c>
      <c r="W20" t="str">
        <f>IFERROR(INDEX(TableTECalcPts[PLAYER],MATCH(TableTERanks[[#This Row],[RK]],TableTECalcPts[RK],0)),"")</f>
        <v>Hunter Henry</v>
      </c>
      <c r="X20" t="str">
        <f>IFERROR(INDEX(TableTECalcPts[TM],MATCH(TableTERanks[[#This Row],[RK]],TableTECalcPts[RK],0)),"")</f>
        <v>NE</v>
      </c>
      <c r="Y20">
        <f>IFERROR(INDEX(TableTECalcPts[BYE],MATCH(TableTERanks[[#This Row],[RK]],TableTECalcPts[RK],0)),"")</f>
        <v>11</v>
      </c>
      <c r="Z20" s="57">
        <f>IFERROR(INDEX(TableTECalcPts[Custom],MATCH(TableTERanks[[#This Row],[RK]],TableTECalcPts[RK],0)),"")</f>
        <v>96.809080357735198</v>
      </c>
      <c r="AA20" s="125">
        <f>(((VLOOKUP(TableTERanks[[#This Row],[Player]],'OVR &amp; VORP Ranks'!$W:$AA,5,FALSE)))/('OVR &amp; VORP Ranks'!$BM$6))*(Settings!$E$10*TEAMS)</f>
        <v>-12.284125152472104</v>
      </c>
      <c r="AC20">
        <v>19</v>
      </c>
      <c r="AD20" t="str">
        <f>IFERROR(INDEX(TableDSTCalcPts[PLAYER],MATCH(TableDSTRanks[[#This Row],[RK]],TableDSTCalcPts[RK],0)),"")</f>
        <v>Jaguars</v>
      </c>
      <c r="AE20">
        <f>IFERROR(INDEX(TableDSTCalcPts[BYE],MATCH(TableDSTRanks[[#This Row],[RK]],TableDSTCalcPts[RK],0)),"")</f>
        <v>0</v>
      </c>
      <c r="AF20" s="57">
        <f>IFERROR(INDEX(TableDSTCalcPts[Custom],MATCH(TableDSTRanks[[#This Row],[RK]],TableDSTCalcPts[RK],0)),"")</f>
        <v>113.45</v>
      </c>
      <c r="AG20" s="125">
        <v>0</v>
      </c>
    </row>
    <row r="21" spans="1:33" x14ac:dyDescent="0.2">
      <c r="A21">
        <v>20</v>
      </c>
      <c r="B21" t="str">
        <f>IFERROR(INDEX(TableQBCalcPts[PLAYER],MATCH(TableQBRanks[[#This Row],[RK]],TableQBCalcPts[RK],0)),"")</f>
        <v>Deshaun Watson</v>
      </c>
      <c r="C21" t="str">
        <f>IFERROR(INDEX(TableQBCalcPts[TM],MATCH(TableQBRanks[[#This Row],[RK]],TableQBCalcPts[RK],0)),"")</f>
        <v>CLE</v>
      </c>
      <c r="D21">
        <f>IFERROR(INDEX(TableQBCalcPts[BYE],MATCH(TableQBRanks[[#This Row],[RK]],TableQBCalcPts[RK],0)),"")</f>
        <v>5</v>
      </c>
      <c r="E21" s="57">
        <f>IFERROR(INDEX(TableQBCalcPts[Custom],MATCH(TableQBRanks[[#This Row],[RK]],TableQBCalcPts[RK],0)),"")</f>
        <v>292.97794439760003</v>
      </c>
      <c r="F21" s="125">
        <f>(((VLOOKUP(TableQBRanks[[#This Row],[Player]],'OVR &amp; VORP Ranks'!$B:$F,5,FALSE)))/('OVR &amp; VORP Ranks'!$BM$6))*(Settings!$E$10*TEAMS)</f>
        <v>3.4459749722154447</v>
      </c>
      <c r="H21">
        <v>20</v>
      </c>
      <c r="I21" t="str">
        <f>IFERROR(INDEX(TableRBCalcPts[PLAYER],MATCH(TableRBRanks[[#This Row],[RK]],TableRBCalcPts[RK],0)),"")</f>
        <v>Alvin Kamara</v>
      </c>
      <c r="J21" t="str">
        <f>IFERROR(INDEX(TableRBCalcPts[TM],MATCH(TableRBRanks[[#This Row],[RK]],TableRBCalcPts[RK],0)),"")</f>
        <v>NO</v>
      </c>
      <c r="K21">
        <f>IFERROR(INDEX(TableRBCalcPts[BYE],MATCH(TableRBRanks[[#This Row],[RK]],TableRBCalcPts[RK],0)),"")</f>
        <v>11</v>
      </c>
      <c r="L21" s="57">
        <f>IFERROR(INDEX(TableRBCalcPts[Custom],MATCH(TableRBRanks[[#This Row],[RK]],TableRBCalcPts[RK],0)),"")</f>
        <v>186.30770878732321</v>
      </c>
      <c r="M21" s="125">
        <f>(((VLOOKUP(TableRBRanks[[#This Row],[Player]],'OVR &amp; VORP Ranks'!$I:$M,5,FALSE)))/('OVR &amp; VORP Ranks'!$BM$6))*(Settings!$E$10*TEAMS)</f>
        <v>30.502279188634354</v>
      </c>
      <c r="O21">
        <v>20</v>
      </c>
      <c r="P21" t="str">
        <f>IFERROR(INDEX(TableWRCalcPts[PLAYER],MATCH(TableWRRanks[[#This Row],[RK]],TableWRCalcPts[RK],0)),"")</f>
        <v>Chris Olave</v>
      </c>
      <c r="Q21" t="str">
        <f>IFERROR(INDEX(TableWRCalcPts[TM],MATCH(TableWRRanks[[#This Row],[RK]],TableWRCalcPts[RK],0)),"")</f>
        <v>NO</v>
      </c>
      <c r="R21">
        <f>IFERROR(INDEX(TableWRCalcPts[BYE],MATCH(TableWRRanks[[#This Row],[RK]],TableWRCalcPts[RK],0)),"")</f>
        <v>11</v>
      </c>
      <c r="S21" s="57">
        <f>IFERROR(INDEX(TableWRCalcPts[Custom],MATCH(TableWRRanks[[#This Row],[RK]],TableWRCalcPts[RK],0)),"")</f>
        <v>190.09510405256719</v>
      </c>
      <c r="T21" s="125">
        <f>(((VLOOKUP(TableWRRanks[[#This Row],[Player]],'OVR &amp; VORP Ranks'!$P:$T,5,FALSE)))/('OVR &amp; VORP Ranks'!$BM$6))*(Settings!$E$10*TEAMS)</f>
        <v>14.783536470303881</v>
      </c>
      <c r="V21">
        <v>20</v>
      </c>
      <c r="W21" t="str">
        <f>IFERROR(INDEX(TableTECalcPts[PLAYER],MATCH(TableTERanks[[#This Row],[RK]],TableTECalcPts[RK],0)),"")</f>
        <v>Tyler Higbee</v>
      </c>
      <c r="X21" t="str">
        <f>IFERROR(INDEX(TableTECalcPts[TM],MATCH(TableTERanks[[#This Row],[RK]],TableTECalcPts[RK],0)),"")</f>
        <v>LAR</v>
      </c>
      <c r="Y21">
        <f>IFERROR(INDEX(TableTECalcPts[BYE],MATCH(TableTERanks[[#This Row],[RK]],TableTECalcPts[RK],0)),"")</f>
        <v>10</v>
      </c>
      <c r="Z21" s="57">
        <f>IFERROR(INDEX(TableTECalcPts[Custom],MATCH(TableTERanks[[#This Row],[RK]],TableTECalcPts[RK],0)),"")</f>
        <v>94.274959189353581</v>
      </c>
      <c r="AA21" s="125">
        <f>(((VLOOKUP(TableTERanks[[#This Row],[Player]],'OVR &amp; VORP Ranks'!$W:$AA,5,FALSE)))/('OVR &amp; VORP Ranks'!$BM$6))*(Settings!$E$10*TEAMS)</f>
        <v>-13.185553279092021</v>
      </c>
      <c r="AC21">
        <v>20</v>
      </c>
      <c r="AD21" t="str">
        <f>IFERROR(INDEX(TableDSTCalcPts[PLAYER],MATCH(TableDSTRanks[[#This Row],[RK]],TableDSTCalcPts[RK],0)),"")</f>
        <v>Packers</v>
      </c>
      <c r="AE21">
        <f>IFERROR(INDEX(TableDSTCalcPts[BYE],MATCH(TableDSTRanks[[#This Row],[RK]],TableDSTCalcPts[RK],0)),"")</f>
        <v>0</v>
      </c>
      <c r="AF21" s="57">
        <f>IFERROR(INDEX(TableDSTCalcPts[Custom],MATCH(TableDSTRanks[[#This Row],[RK]],TableDSTCalcPts[RK],0)),"")</f>
        <v>113.35</v>
      </c>
      <c r="AG21" s="125">
        <v>0</v>
      </c>
    </row>
    <row r="22" spans="1:33" x14ac:dyDescent="0.2">
      <c r="A22">
        <v>21</v>
      </c>
      <c r="B22" t="str">
        <f>IFERROR(INDEX(TableQBCalcPts[PLAYER],MATCH(TableQBRanks[[#This Row],[RK]],TableQBCalcPts[RK],0)),"")</f>
        <v>Matthew Stafford</v>
      </c>
      <c r="C22" t="str">
        <f>IFERROR(INDEX(TableQBCalcPts[TM],MATCH(TableQBRanks[[#This Row],[RK]],TableQBCalcPts[RK],0)),"")</f>
        <v>LAR</v>
      </c>
      <c r="D22">
        <f>IFERROR(INDEX(TableQBCalcPts[BYE],MATCH(TableQBRanks[[#This Row],[RK]],TableQBCalcPts[RK],0)),"")</f>
        <v>10</v>
      </c>
      <c r="E22" s="57">
        <f>IFERROR(INDEX(TableQBCalcPts[Custom],MATCH(TableQBRanks[[#This Row],[RK]],TableQBCalcPts[RK],0)),"")</f>
        <v>290.96319501864951</v>
      </c>
      <c r="F22" s="125">
        <f>(((VLOOKUP(TableQBRanks[[#This Row],[Player]],'OVR &amp; VORP Ranks'!$B:$F,5,FALSE)))/('OVR &amp; VORP Ranks'!$BM$6))*(Settings!$E$10*TEAMS)</f>
        <v>2.6565794358366315</v>
      </c>
      <c r="H22">
        <v>21</v>
      </c>
      <c r="I22" t="str">
        <f>IFERROR(INDEX(TableRBCalcPts[PLAYER],MATCH(TableRBRanks[[#This Row],[RK]],TableRBCalcPts[RK],0)),"")</f>
        <v>James Conner</v>
      </c>
      <c r="J22" t="str">
        <f>IFERROR(INDEX(TableRBCalcPts[TM],MATCH(TableRBRanks[[#This Row],[RK]],TableRBCalcPts[RK],0)),"")</f>
        <v>ARI</v>
      </c>
      <c r="K22">
        <f>IFERROR(INDEX(TableRBCalcPts[BYE],MATCH(TableRBRanks[[#This Row],[RK]],TableRBCalcPts[RK],0)),"")</f>
        <v>14</v>
      </c>
      <c r="L22" s="57">
        <f>IFERROR(INDEX(TableRBCalcPts[Custom],MATCH(TableRBRanks[[#This Row],[RK]],TableRBCalcPts[RK],0)),"")</f>
        <v>183.41902516644001</v>
      </c>
      <c r="M22" s="125">
        <f>(((VLOOKUP(TableRBRanks[[#This Row],[Player]],'OVR &amp; VORP Ranks'!$I:$M,5,FALSE)))/('OVR &amp; VORP Ranks'!$BM$6))*(Settings!$E$10*TEAMS)</f>
        <v>29.304944265117832</v>
      </c>
      <c r="O22">
        <v>21</v>
      </c>
      <c r="P22" t="str">
        <f>IFERROR(INDEX(TableWRCalcPts[PLAYER],MATCH(TableWRRanks[[#This Row],[RK]],TableWRCalcPts[RK],0)),"")</f>
        <v>George Pickens</v>
      </c>
      <c r="Q22" t="str">
        <f>IFERROR(INDEX(TableWRCalcPts[TM],MATCH(TableWRRanks[[#This Row],[RK]],TableWRCalcPts[RK],0)),"")</f>
        <v>PIT</v>
      </c>
      <c r="R22">
        <f>IFERROR(INDEX(TableWRCalcPts[BYE],MATCH(TableWRRanks[[#This Row],[RK]],TableWRCalcPts[RK],0)),"")</f>
        <v>6</v>
      </c>
      <c r="S22" s="57">
        <f>IFERROR(INDEX(TableWRCalcPts[Custom],MATCH(TableWRRanks[[#This Row],[RK]],TableWRCalcPts[RK],0)),"")</f>
        <v>189.09800485379998</v>
      </c>
      <c r="T22" s="125">
        <f>(((VLOOKUP(TableWRRanks[[#This Row],[Player]],'OVR &amp; VORP Ranks'!$P:$T,5,FALSE)))/('OVR &amp; VORP Ranks'!$BM$6))*(Settings!$E$10*TEAMS)</f>
        <v>14.460930502937886</v>
      </c>
      <c r="V22">
        <v>21</v>
      </c>
      <c r="W22" t="str">
        <f>IFERROR(INDEX(TableTECalcPts[PLAYER],MATCH(TableTERanks[[#This Row],[RK]],TableTECalcPts[RK],0)),"")</f>
        <v>Jelani Woods</v>
      </c>
      <c r="X22" t="str">
        <f>IFERROR(INDEX(TableTECalcPts[TM],MATCH(TableTERanks[[#This Row],[RK]],TableTECalcPts[RK],0)),"")</f>
        <v>IND</v>
      </c>
      <c r="Y22">
        <f>IFERROR(INDEX(TableTECalcPts[BYE],MATCH(TableTERanks[[#This Row],[RK]],TableTECalcPts[RK],0)),"")</f>
        <v>11</v>
      </c>
      <c r="Z22" s="57">
        <f>IFERROR(INDEX(TableTECalcPts[Custom],MATCH(TableTERanks[[#This Row],[RK]],TableTECalcPts[RK],0)),"")</f>
        <v>89.963733537216015</v>
      </c>
      <c r="AA22" s="125">
        <f>(((VLOOKUP(TableTERanks[[#This Row],[Player]],'OVR &amp; VORP Ranks'!$W:$AA,5,FALSE)))/('OVR &amp; VORP Ranks'!$BM$6))*(Settings!$E$10*TEAMS)</f>
        <v>-14.719126381882528</v>
      </c>
      <c r="AC22">
        <v>21</v>
      </c>
      <c r="AD22" t="str">
        <f>IFERROR(INDEX(TableDSTCalcPts[PLAYER],MATCH(TableDSTRanks[[#This Row],[RK]],TableDSTCalcPts[RK],0)),"")</f>
        <v>Vikings</v>
      </c>
      <c r="AE22">
        <f>IFERROR(INDEX(TableDSTCalcPts[BYE],MATCH(TableDSTRanks[[#This Row],[RK]],TableDSTCalcPts[RK],0)),"")</f>
        <v>0</v>
      </c>
      <c r="AF22" s="57">
        <f>IFERROR(INDEX(TableDSTCalcPts[Custom],MATCH(TableDSTRanks[[#This Row],[RK]],TableDSTCalcPts[RK],0)),"")</f>
        <v>113.30000000000001</v>
      </c>
      <c r="AG22" s="125">
        <v>0</v>
      </c>
    </row>
    <row r="23" spans="1:33" x14ac:dyDescent="0.2">
      <c r="A23">
        <v>22</v>
      </c>
      <c r="B23" t="str">
        <f>IFERROR(INDEX(TableQBCalcPts[PLAYER],MATCH(TableQBRanks[[#This Row],[RK]],TableQBCalcPts[RK],0)),"")</f>
        <v>Baker Mayfield</v>
      </c>
      <c r="C23" t="str">
        <f>IFERROR(INDEX(TableQBCalcPts[TM],MATCH(TableQBRanks[[#This Row],[RK]],TableQBCalcPts[RK],0)),"")</f>
        <v>TB</v>
      </c>
      <c r="D23">
        <f>IFERROR(INDEX(TableQBCalcPts[BYE],MATCH(TableQBRanks[[#This Row],[RK]],TableQBCalcPts[RK],0)),"")</f>
        <v>5</v>
      </c>
      <c r="E23" s="57">
        <f>IFERROR(INDEX(TableQBCalcPts[Custom],MATCH(TableQBRanks[[#This Row],[RK]],TableQBCalcPts[RK],0)),"")</f>
        <v>284.69249361643199</v>
      </c>
      <c r="F23" s="125">
        <f>(((VLOOKUP(TableQBRanks[[#This Row],[Player]],'OVR &amp; VORP Ranks'!$B:$F,5,FALSE)))/('OVR &amp; VORP Ranks'!$BM$6))*(Settings!$E$10*TEAMS)</f>
        <v>1.7441193726555853</v>
      </c>
      <c r="H23">
        <v>22</v>
      </c>
      <c r="I23" t="str">
        <f>IFERROR(INDEX(TableRBCalcPts[PLAYER],MATCH(TableRBRanks[[#This Row],[RK]],TableRBCalcPts[RK],0)),"")</f>
        <v>Ezekiel Elliott</v>
      </c>
      <c r="J23" t="str">
        <f>IFERROR(INDEX(TableRBCalcPts[TM],MATCH(TableRBRanks[[#This Row],[RK]],TableRBCalcPts[RK],0)),"")</f>
        <v>DAL</v>
      </c>
      <c r="K23">
        <f>IFERROR(INDEX(TableRBCalcPts[BYE],MATCH(TableRBRanks[[#This Row],[RK]],TableRBCalcPts[RK],0)),"")</f>
        <v>7</v>
      </c>
      <c r="L23" s="57">
        <f>IFERROR(INDEX(TableRBCalcPts[Custom],MATCH(TableRBRanks[[#This Row],[RK]],TableRBCalcPts[RK],0)),"")</f>
        <v>182.70860020896004</v>
      </c>
      <c r="M23" s="125">
        <f>(((VLOOKUP(TableRBRanks[[#This Row],[Player]],'OVR &amp; VORP Ranks'!$I:$M,5,FALSE)))/('OVR &amp; VORP Ranks'!$BM$6))*(Settings!$E$10*TEAMS)</f>
        <v>29.01047913021031</v>
      </c>
      <c r="O23">
        <v>22</v>
      </c>
      <c r="P23" t="str">
        <f>IFERROR(INDEX(TableWRCalcPts[PLAYER],MATCH(TableWRRanks[[#This Row],[RK]],TableWRCalcPts[RK],0)),"")</f>
        <v>Amari Cooper</v>
      </c>
      <c r="Q23" t="str">
        <f>IFERROR(INDEX(TableWRCalcPts[TM],MATCH(TableWRRanks[[#This Row],[RK]],TableWRCalcPts[RK],0)),"")</f>
        <v>CLE</v>
      </c>
      <c r="R23">
        <f>IFERROR(INDEX(TableWRCalcPts[BYE],MATCH(TableWRRanks[[#This Row],[RK]],TableWRCalcPts[RK],0)),"")</f>
        <v>5</v>
      </c>
      <c r="S23" s="57">
        <f>IFERROR(INDEX(TableWRCalcPts[Custom],MATCH(TableWRRanks[[#This Row],[RK]],TableWRCalcPts[RK],0)),"")</f>
        <v>185.65527934799999</v>
      </c>
      <c r="T23" s="125">
        <f>(((VLOOKUP(TableWRRanks[[#This Row],[Player]],'OVR &amp; VORP Ranks'!$P:$T,5,FALSE)))/('OVR &amp; VORP Ranks'!$BM$6))*(Settings!$E$10*TEAMS)</f>
        <v>13.347055581017031</v>
      </c>
      <c r="V23">
        <v>22</v>
      </c>
      <c r="W23" t="str">
        <f>IFERROR(INDEX(TableTECalcPts[PLAYER],MATCH(TableTERanks[[#This Row],[RK]],TableTECalcPts[RK],0)),"")</f>
        <v>Juwan Johnson</v>
      </c>
      <c r="X23" t="str">
        <f>IFERROR(INDEX(TableTECalcPts[TM],MATCH(TableTERanks[[#This Row],[RK]],TableTECalcPts[RK],0)),"")</f>
        <v>NO</v>
      </c>
      <c r="Y23">
        <f>IFERROR(INDEX(TableTECalcPts[BYE],MATCH(TableTERanks[[#This Row],[RK]],TableTECalcPts[RK],0)),"")</f>
        <v>11</v>
      </c>
      <c r="Z23" s="57">
        <f>IFERROR(INDEX(TableTECalcPts[Custom],MATCH(TableTERanks[[#This Row],[RK]],TableTECalcPts[RK],0)),"")</f>
        <v>88.505673243704607</v>
      </c>
      <c r="AA23" s="125">
        <f>(((VLOOKUP(TableTERanks[[#This Row],[Player]],'OVR &amp; VORP Ranks'!$W:$AA,5,FALSE)))/('OVR &amp; VORP Ranks'!$BM$6))*(Settings!$E$10*TEAMS)</f>
        <v>-15.237782149127574</v>
      </c>
      <c r="AC23">
        <v>22</v>
      </c>
      <c r="AD23" t="str">
        <f>IFERROR(INDEX(TableDSTCalcPts[PLAYER],MATCH(TableDSTRanks[[#This Row],[RK]],TableDSTCalcPts[RK],0)),"")</f>
        <v>Seahawks</v>
      </c>
      <c r="AE23">
        <f>IFERROR(INDEX(TableDSTCalcPts[BYE],MATCH(TableDSTRanks[[#This Row],[RK]],TableDSTCalcPts[RK],0)),"")</f>
        <v>0</v>
      </c>
      <c r="AF23" s="57">
        <f>IFERROR(INDEX(TableDSTCalcPts[Custom],MATCH(TableDSTRanks[[#This Row],[RK]],TableDSTCalcPts[RK],0)),"")</f>
        <v>113.20000000000002</v>
      </c>
      <c r="AG23" s="125">
        <v>0</v>
      </c>
    </row>
    <row r="24" spans="1:33" x14ac:dyDescent="0.2">
      <c r="A24">
        <v>23</v>
      </c>
      <c r="B24" t="str">
        <f>IFERROR(INDEX(TableQBCalcPts[PLAYER],MATCH(TableQBRanks[[#This Row],[RK]],TableQBCalcPts[RK],0)),"")</f>
        <v>J.J. McCarthy</v>
      </c>
      <c r="C24" t="str">
        <f>IFERROR(INDEX(TableQBCalcPts[TM],MATCH(TableQBRanks[[#This Row],[RK]],TableQBCalcPts[RK],0)),"")</f>
        <v>MIN</v>
      </c>
      <c r="D24">
        <f>IFERROR(INDEX(TableQBCalcPts[BYE],MATCH(TableQBRanks[[#This Row],[RK]],TableQBCalcPts[RK],0)),"")</f>
        <v>13</v>
      </c>
      <c r="E24" s="57">
        <f>IFERROR(INDEX(TableQBCalcPts[Custom],MATCH(TableQBRanks[[#This Row],[RK]],TableQBCalcPts[RK],0)),"")</f>
        <v>284.59812010240006</v>
      </c>
      <c r="F24" s="125">
        <f>(((VLOOKUP(TableQBRanks[[#This Row],[Player]],'OVR &amp; VORP Ranks'!$B:$F,5,FALSE)))/('OVR &amp; VORP Ranks'!$BM$6))*(Settings!$E$10*TEAMS)</f>
        <v>1.5882342026571465</v>
      </c>
      <c r="H24">
        <v>23</v>
      </c>
      <c r="I24" t="str">
        <f>IFERROR(INDEX(TableRBCalcPts[PLAYER],MATCH(TableRBRanks[[#This Row],[RK]],TableRBCalcPts[RK],0)),"")</f>
        <v>D'Andre Swift</v>
      </c>
      <c r="J24" t="str">
        <f>IFERROR(INDEX(TableRBCalcPts[TM],MATCH(TableRBRanks[[#This Row],[RK]],TableRBCalcPts[RK],0)),"")</f>
        <v>CHI</v>
      </c>
      <c r="K24">
        <f>IFERROR(INDEX(TableRBCalcPts[BYE],MATCH(TableRBRanks[[#This Row],[RK]],TableRBCalcPts[RK],0)),"")</f>
        <v>13</v>
      </c>
      <c r="L24" s="57">
        <f>IFERROR(INDEX(TableRBCalcPts[Custom],MATCH(TableRBRanks[[#This Row],[RK]],TableRBCalcPts[RK],0)),"")</f>
        <v>181.93578197759999</v>
      </c>
      <c r="M24" s="125">
        <f>(((VLOOKUP(TableRBRanks[[#This Row],[Player]],'OVR &amp; VORP Ranks'!$I:$M,5,FALSE)))/('OVR &amp; VORP Ranks'!$BM$6))*(Settings!$E$10*TEAMS)</f>
        <v>28.690152511106643</v>
      </c>
      <c r="O24">
        <v>23</v>
      </c>
      <c r="P24" t="str">
        <f>IFERROR(INDEX(TableWRCalcPts[PLAYER],MATCH(TableWRRanks[[#This Row],[RK]],TableWRCalcPts[RK],0)),"")</f>
        <v>DeVonta Smith</v>
      </c>
      <c r="Q24" t="str">
        <f>IFERROR(INDEX(TableWRCalcPts[TM],MATCH(TableWRRanks[[#This Row],[RK]],TableWRCalcPts[RK],0)),"")</f>
        <v>PHI</v>
      </c>
      <c r="R24">
        <f>IFERROR(INDEX(TableWRCalcPts[BYE],MATCH(TableWRRanks[[#This Row],[RK]],TableWRCalcPts[RK],0)),"")</f>
        <v>10</v>
      </c>
      <c r="S24" s="57">
        <f>IFERROR(INDEX(TableWRCalcPts[Custom],MATCH(TableWRRanks[[#This Row],[RK]],TableWRCalcPts[RK],0)),"")</f>
        <v>184.12883214768004</v>
      </c>
      <c r="T24" s="125">
        <f>(((VLOOKUP(TableWRRanks[[#This Row],[Player]],'OVR &amp; VORP Ranks'!$P:$T,5,FALSE)))/('OVR &amp; VORP Ranks'!$BM$6))*(Settings!$E$10*TEAMS)</f>
        <v>12.853181976162903</v>
      </c>
      <c r="V24">
        <v>23</v>
      </c>
      <c r="W24" t="str">
        <f>IFERROR(INDEX(TableTECalcPts[PLAYER],MATCH(TableTERanks[[#This Row],[RK]],TableTECalcPts[RK],0)),"")</f>
        <v>Daniel Bellinger</v>
      </c>
      <c r="X24" t="str">
        <f>IFERROR(INDEX(TableTECalcPts[TM],MATCH(TableTERanks[[#This Row],[RK]],TableTECalcPts[RK],0)),"")</f>
        <v>NYG</v>
      </c>
      <c r="Y24">
        <f>IFERROR(INDEX(TableTECalcPts[BYE],MATCH(TableTERanks[[#This Row],[RK]],TableTECalcPts[RK],0)),"")</f>
        <v>13</v>
      </c>
      <c r="Z24" s="57">
        <f>IFERROR(INDEX(TableTECalcPts[Custom],MATCH(TableTERanks[[#This Row],[RK]],TableTECalcPts[RK],0)),"")</f>
        <v>87.870440020271985</v>
      </c>
      <c r="AA24" s="125">
        <f>(((VLOOKUP(TableTERanks[[#This Row],[Player]],'OVR &amp; VORP Ranks'!$W:$AA,5,FALSE)))/('OVR &amp; VORP Ranks'!$BM$6))*(Settings!$E$10*TEAMS)</f>
        <v>-15.463744941163794</v>
      </c>
      <c r="AC24">
        <v>23</v>
      </c>
      <c r="AD24" t="str">
        <f>IFERROR(INDEX(TableDSTCalcPts[PLAYER],MATCH(TableDSTRanks[[#This Row],[RK]],TableDSTCalcPts[RK],0)),"")</f>
        <v>Saints</v>
      </c>
      <c r="AE24">
        <f>IFERROR(INDEX(TableDSTCalcPts[BYE],MATCH(TableDSTRanks[[#This Row],[RK]],TableDSTCalcPts[RK],0)),"")</f>
        <v>0</v>
      </c>
      <c r="AF24" s="57">
        <f>IFERROR(INDEX(TableDSTCalcPts[Custom],MATCH(TableDSTRanks[[#This Row],[RK]],TableDSTCalcPts[RK],0)),"")</f>
        <v>112.5</v>
      </c>
      <c r="AG24" s="125">
        <v>0</v>
      </c>
    </row>
    <row r="25" spans="1:33" x14ac:dyDescent="0.2">
      <c r="A25">
        <v>24</v>
      </c>
      <c r="B25" t="str">
        <f>IFERROR(INDEX(TableQBCalcPts[PLAYER],MATCH(TableQBRanks[[#This Row],[RK]],TableQBCalcPts[RK],0)),"")</f>
        <v>Geno Smith</v>
      </c>
      <c r="C25" t="str">
        <f>IFERROR(INDEX(TableQBCalcPts[TM],MATCH(TableQBRanks[[#This Row],[RK]],TableQBCalcPts[RK],0)),"")</f>
        <v>SEA</v>
      </c>
      <c r="D25">
        <f>IFERROR(INDEX(TableQBCalcPts[BYE],MATCH(TableQBRanks[[#This Row],[RK]],TableQBCalcPts[RK],0)),"")</f>
        <v>5</v>
      </c>
      <c r="E25" s="57">
        <f>IFERROR(INDEX(TableQBCalcPts[Custom],MATCH(TableQBRanks[[#This Row],[RK]],TableQBCalcPts[RK],0)),"")</f>
        <v>278.21474601614403</v>
      </c>
      <c r="F25" s="125">
        <f>(((VLOOKUP(TableQBRanks[[#This Row],[Player]],'OVR &amp; VORP Ranks'!$B:$F,5,FALSE)))/('OVR &amp; VORP Ranks'!$BM$6))*(Settings!$E$10*TEAMS)</f>
        <v>0.40204785963838163</v>
      </c>
      <c r="H25">
        <v>24</v>
      </c>
      <c r="I25" t="str">
        <f>IFERROR(INDEX(TableRBCalcPts[PLAYER],MATCH(TableRBRanks[[#This Row],[RK]],TableRBCalcPts[RK],0)),"")</f>
        <v>James Cook</v>
      </c>
      <c r="J25" t="str">
        <f>IFERROR(INDEX(TableRBCalcPts[TM],MATCH(TableRBRanks[[#This Row],[RK]],TableRBCalcPts[RK],0)),"")</f>
        <v>BUF</v>
      </c>
      <c r="K25">
        <f>IFERROR(INDEX(TableRBCalcPts[BYE],MATCH(TableRBRanks[[#This Row],[RK]],TableRBCalcPts[RK],0)),"")</f>
        <v>13</v>
      </c>
      <c r="L25" s="57">
        <f>IFERROR(INDEX(TableRBCalcPts[Custom],MATCH(TableRBRanks[[#This Row],[RK]],TableRBCalcPts[RK],0)),"")</f>
        <v>179.83295741859843</v>
      </c>
      <c r="M25" s="125">
        <f>(((VLOOKUP(TableRBRanks[[#This Row],[Player]],'OVR &amp; VORP Ranks'!$I:$M,5,FALSE)))/('OVR &amp; VORP Ranks'!$BM$6))*(Settings!$E$10*TEAMS)</f>
        <v>27.818549520623737</v>
      </c>
      <c r="O25">
        <v>24</v>
      </c>
      <c r="P25" t="str">
        <f>IFERROR(INDEX(TableWRCalcPts[PLAYER],MATCH(TableWRRanks[[#This Row],[RK]],TableWRCalcPts[RK],0)),"")</f>
        <v>Malik Nabers</v>
      </c>
      <c r="Q25" t="str">
        <f>IFERROR(INDEX(TableWRCalcPts[TM],MATCH(TableWRRanks[[#This Row],[RK]],TableWRCalcPts[RK],0)),"")</f>
        <v>NYG</v>
      </c>
      <c r="R25">
        <f>IFERROR(INDEX(TableWRCalcPts[BYE],MATCH(TableWRRanks[[#This Row],[RK]],TableWRCalcPts[RK],0)),"")</f>
        <v>13</v>
      </c>
      <c r="S25" s="57">
        <f>IFERROR(INDEX(TableWRCalcPts[Custom],MATCH(TableWRRanks[[#This Row],[RK]],TableWRCalcPts[RK],0)),"")</f>
        <v>183.31286653088634</v>
      </c>
      <c r="T25" s="125">
        <f>(((VLOOKUP(TableWRRanks[[#This Row],[Player]],'OVR &amp; VORP Ranks'!$P:$T,5,FALSE)))/('OVR &amp; VORP Ranks'!$BM$6))*(Settings!$E$10*TEAMS)</f>
        <v>12.5891807840362</v>
      </c>
      <c r="V25">
        <v>24</v>
      </c>
      <c r="W25" t="str">
        <f>IFERROR(INDEX(TableTECalcPts[PLAYER],MATCH(TableTERanks[[#This Row],[RK]],TableTECalcPts[RK],0)),"")</f>
        <v>Cade Otton</v>
      </c>
      <c r="X25" t="str">
        <f>IFERROR(INDEX(TableTECalcPts[TM],MATCH(TableTERanks[[#This Row],[RK]],TableTECalcPts[RK],0)),"")</f>
        <v>TB</v>
      </c>
      <c r="Y25">
        <f>IFERROR(INDEX(TableTECalcPts[BYE],MATCH(TableTERanks[[#This Row],[RK]],TableTECalcPts[RK],0)),"")</f>
        <v>5</v>
      </c>
      <c r="Z25" s="57">
        <f>IFERROR(INDEX(TableTECalcPts[Custom],MATCH(TableTERanks[[#This Row],[RK]],TableTECalcPts[RK],0)),"")</f>
        <v>87.511587115490997</v>
      </c>
      <c r="AA25" s="125">
        <f>(((VLOOKUP(TableTERanks[[#This Row],[Player]],'OVR &amp; VORP Ranks'!$W:$AA,5,FALSE)))/('OVR &amp; VORP Ranks'!$BM$6))*(Settings!$E$10*TEAMS)</f>
        <v>-15.591394757488651</v>
      </c>
      <c r="AC25">
        <v>24</v>
      </c>
      <c r="AD25" t="str">
        <f>IFERROR(INDEX(TableDSTCalcPts[PLAYER],MATCH(TableDSTRanks[[#This Row],[RK]],TableDSTCalcPts[RK],0)),"")</f>
        <v>Broncos</v>
      </c>
      <c r="AE25">
        <f>IFERROR(INDEX(TableDSTCalcPts[BYE],MATCH(TableDSTRanks[[#This Row],[RK]],TableDSTCalcPts[RK],0)),"")</f>
        <v>0</v>
      </c>
      <c r="AF25" s="57">
        <f>IFERROR(INDEX(TableDSTCalcPts[Custom],MATCH(TableDSTRanks[[#This Row],[RK]],TableDSTCalcPts[RK],0)),"")</f>
        <v>110.45</v>
      </c>
      <c r="AG25" s="125">
        <v>0</v>
      </c>
    </row>
    <row r="26" spans="1:33" x14ac:dyDescent="0.2">
      <c r="A26">
        <v>25</v>
      </c>
      <c r="B26" t="str">
        <f>IFERROR(INDEX(TableQBCalcPts[PLAYER],MATCH(TableQBRanks[[#This Row],[RK]],TableQBCalcPts[RK],0)),"")</f>
        <v>Bryce Young</v>
      </c>
      <c r="C26" t="str">
        <f>IFERROR(INDEX(TableQBCalcPts[TM],MATCH(TableQBRanks[[#This Row],[RK]],TableQBCalcPts[RK],0)),"")</f>
        <v>CAR</v>
      </c>
      <c r="D26">
        <f>IFERROR(INDEX(TableQBCalcPts[BYE],MATCH(TableQBRanks[[#This Row],[RK]],TableQBCalcPts[RK],0)),"")</f>
        <v>7</v>
      </c>
      <c r="E26" s="57">
        <f>IFERROR(INDEX(TableQBCalcPts[Custom],MATCH(TableQBRanks[[#This Row],[RK]],TableQBCalcPts[RK],0)),"")</f>
        <v>277.64474536199998</v>
      </c>
      <c r="F26" s="125">
        <f>(((VLOOKUP(TableQBRanks[[#This Row],[Player]],'OVR &amp; VORP Ranks'!$B:$F,5,FALSE)))/('OVR &amp; VORP Ranks'!$BM$6))*(Settings!$E$10*TEAMS)</f>
        <v>0.31565814663570663</v>
      </c>
      <c r="H26">
        <v>25</v>
      </c>
      <c r="I26" t="str">
        <f>IFERROR(INDEX(TableRBCalcPts[PLAYER],MATCH(TableRBRanks[[#This Row],[RK]],TableRBCalcPts[RK],0)),"")</f>
        <v>Tyjae Spears</v>
      </c>
      <c r="J26" t="str">
        <f>IFERROR(INDEX(TableRBCalcPts[TM],MATCH(TableRBRanks[[#This Row],[RK]],TableRBCalcPts[RK],0)),"")</f>
        <v>TEN</v>
      </c>
      <c r="K26">
        <f>IFERROR(INDEX(TableRBCalcPts[BYE],MATCH(TableRBRanks[[#This Row],[RK]],TableRBCalcPts[RK],0)),"")</f>
        <v>7</v>
      </c>
      <c r="L26" s="57">
        <f>IFERROR(INDEX(TableRBCalcPts[Custom],MATCH(TableRBRanks[[#This Row],[RK]],TableRBCalcPts[RK],0)),"")</f>
        <v>179.74989474634501</v>
      </c>
      <c r="M26" s="125">
        <f>(((VLOOKUP(TableRBRanks[[#This Row],[Player]],'OVR &amp; VORP Ranks'!$I:$M,5,FALSE)))/('OVR &amp; VORP Ranks'!$BM$6))*(Settings!$E$10*TEAMS)</f>
        <v>27.784120745658331</v>
      </c>
      <c r="O26">
        <v>25</v>
      </c>
      <c r="P26" t="str">
        <f>IFERROR(INDEX(TableWRCalcPts[PLAYER],MATCH(TableWRRanks[[#This Row],[RK]],TableWRCalcPts[RK],0)),"")</f>
        <v>Stefon Diggs</v>
      </c>
      <c r="Q26" t="str">
        <f>IFERROR(INDEX(TableWRCalcPts[TM],MATCH(TableWRRanks[[#This Row],[RK]],TableWRCalcPts[RK],0)),"")</f>
        <v>HOU</v>
      </c>
      <c r="R26">
        <f>IFERROR(INDEX(TableWRCalcPts[BYE],MATCH(TableWRRanks[[#This Row],[RK]],TableWRCalcPts[RK],0)),"")</f>
        <v>7</v>
      </c>
      <c r="S26" s="57">
        <f>IFERROR(INDEX(TableWRCalcPts[Custom],MATCH(TableWRRanks[[#This Row],[RK]],TableWRCalcPts[RK],0)),"")</f>
        <v>181.51740331712003</v>
      </c>
      <c r="T26" s="125">
        <f>(((VLOOKUP(TableWRRanks[[#This Row],[Player]],'OVR &amp; VORP Ranks'!$P:$T,5,FALSE)))/('OVR &amp; VORP Ranks'!$BM$6))*(Settings!$E$10*TEAMS)</f>
        <v>12.008268526095092</v>
      </c>
      <c r="V26">
        <v>25</v>
      </c>
      <c r="W26" t="str">
        <f>IFERROR(INDEX(TableTECalcPts[PLAYER],MATCH(TableTERanks[[#This Row],[RK]],TableTECalcPts[RK],0)),"")</f>
        <v>Dalton Schultz</v>
      </c>
      <c r="X26" t="str">
        <f>IFERROR(INDEX(TableTECalcPts[TM],MATCH(TableTERanks[[#This Row],[RK]],TableTECalcPts[RK],0)),"")</f>
        <v>HOU</v>
      </c>
      <c r="Y26">
        <f>IFERROR(INDEX(TableTECalcPts[BYE],MATCH(TableTERanks[[#This Row],[RK]],TableTECalcPts[RK],0)),"")</f>
        <v>7</v>
      </c>
      <c r="Z26" s="57">
        <f>IFERROR(INDEX(TableTECalcPts[Custom],MATCH(TableTERanks[[#This Row],[RK]],TableTECalcPts[RK],0)),"")</f>
        <v>86.800296892108804</v>
      </c>
      <c r="AA26" s="125">
        <f>(((VLOOKUP(TableTERanks[[#This Row],[Player]],'OVR &amp; VORP Ranks'!$W:$AA,5,FALSE)))/('OVR &amp; VORP Ranks'!$BM$6))*(Settings!$E$10*TEAMS)</f>
        <v>-15.844412261760535</v>
      </c>
      <c r="AC26">
        <v>25</v>
      </c>
      <c r="AD26" t="str">
        <f>IFERROR(INDEX(TableDSTCalcPts[PLAYER],MATCH(TableDSTRanks[[#This Row],[RK]],TableDSTCalcPts[RK],0)),"")</f>
        <v>Patriots</v>
      </c>
      <c r="AE26">
        <f>IFERROR(INDEX(TableDSTCalcPts[BYE],MATCH(TableDSTRanks[[#This Row],[RK]],TableDSTCalcPts[RK],0)),"")</f>
        <v>0</v>
      </c>
      <c r="AF26" s="57">
        <f>IFERROR(INDEX(TableDSTCalcPts[Custom],MATCH(TableDSTRanks[[#This Row],[RK]],TableDSTCalcPts[RK],0)),"")</f>
        <v>107.64999999999999</v>
      </c>
      <c r="AG26" s="125">
        <v>0</v>
      </c>
    </row>
    <row r="27" spans="1:33" x14ac:dyDescent="0.2">
      <c r="A27">
        <v>26</v>
      </c>
      <c r="B27" t="str">
        <f>IFERROR(INDEX(TableQBCalcPts[PLAYER],MATCH(TableQBRanks[[#This Row],[RK]],TableQBCalcPts[RK],0)),"")</f>
        <v>Will Levis</v>
      </c>
      <c r="C27" t="str">
        <f>IFERROR(INDEX(TableQBCalcPts[TM],MATCH(TableQBRanks[[#This Row],[RK]],TableQBCalcPts[RK],0)),"")</f>
        <v>TEN</v>
      </c>
      <c r="D27">
        <f>IFERROR(INDEX(TableQBCalcPts[BYE],MATCH(TableQBRanks[[#This Row],[RK]],TableQBCalcPts[RK],0)),"")</f>
        <v>7</v>
      </c>
      <c r="E27" s="57">
        <f>IFERROR(INDEX(TableQBCalcPts[Custom],MATCH(TableQBRanks[[#This Row],[RK]],TableQBCalcPts[RK],0)),"")</f>
        <v>272.57225312459991</v>
      </c>
      <c r="F27" s="125">
        <f>(((VLOOKUP(TableQBRanks[[#This Row],[Player]],'OVR &amp; VORP Ranks'!$B:$F,5,FALSE)))/('OVR &amp; VORP Ranks'!$BM$6))*(Settings!$E$10*TEAMS)</f>
        <v>-2.2891972039623862</v>
      </c>
      <c r="H27">
        <v>26</v>
      </c>
      <c r="I27" t="str">
        <f>IFERROR(INDEX(TableRBCalcPts[PLAYER],MATCH(TableRBRanks[[#This Row],[RK]],TableRBCalcPts[RK],0)),"")</f>
        <v>David Montgomery</v>
      </c>
      <c r="J27" t="str">
        <f>IFERROR(INDEX(TableRBCalcPts[TM],MATCH(TableRBRanks[[#This Row],[RK]],TableRBCalcPts[RK],0)),"")</f>
        <v>DET</v>
      </c>
      <c r="K27">
        <f>IFERROR(INDEX(TableRBCalcPts[BYE],MATCH(TableRBRanks[[#This Row],[RK]],TableRBCalcPts[RK],0)),"")</f>
        <v>9</v>
      </c>
      <c r="L27" s="57">
        <f>IFERROR(INDEX(TableRBCalcPts[Custom],MATCH(TableRBRanks[[#This Row],[RK]],TableRBCalcPts[RK],0)),"")</f>
        <v>169.16697923389603</v>
      </c>
      <c r="M27" s="125">
        <f>(((VLOOKUP(TableRBRanks[[#This Row],[Player]],'OVR &amp; VORP Ranks'!$I:$M,5,FALSE)))/('OVR &amp; VORP Ranks'!$BM$6))*(Settings!$E$10*TEAMS)</f>
        <v>23.397591793828802</v>
      </c>
      <c r="O27">
        <v>26</v>
      </c>
      <c r="P27" t="str">
        <f>IFERROR(INDEX(TableWRCalcPts[PLAYER],MATCH(TableWRRanks[[#This Row],[RK]],TableWRCalcPts[RK],0)),"")</f>
        <v>Davante Adams</v>
      </c>
      <c r="Q27" t="str">
        <f>IFERROR(INDEX(TableWRCalcPts[TM],MATCH(TableWRRanks[[#This Row],[RK]],TableWRCalcPts[RK],0)),"")</f>
        <v>LV</v>
      </c>
      <c r="R27">
        <f>IFERROR(INDEX(TableWRCalcPts[BYE],MATCH(TableWRRanks[[#This Row],[RK]],TableWRCalcPts[RK],0)),"")</f>
        <v>13</v>
      </c>
      <c r="S27" s="57">
        <f>IFERROR(INDEX(TableWRCalcPts[Custom],MATCH(TableWRRanks[[#This Row],[RK]],TableWRCalcPts[RK],0)),"")</f>
        <v>181.43058009999996</v>
      </c>
      <c r="T27" s="125">
        <f>(((VLOOKUP(TableWRRanks[[#This Row],[Player]],'OVR &amp; VORP Ranks'!$P:$T,5,FALSE)))/('OVR &amp; VORP Ranks'!$BM$6))*(Settings!$E$10*TEAMS)</f>
        <v>11.980177351231569</v>
      </c>
      <c r="V27">
        <v>26</v>
      </c>
      <c r="W27" t="str">
        <f>IFERROR(INDEX(TableTECalcPts[PLAYER],MATCH(TableTERanks[[#This Row],[RK]],TableTECalcPts[RK],0)),"")</f>
        <v>Tyler Conklin</v>
      </c>
      <c r="X27" t="str">
        <f>IFERROR(INDEX(TableTECalcPts[TM],MATCH(TableTERanks[[#This Row],[RK]],TableTECalcPts[RK],0)),"")</f>
        <v>NYJ</v>
      </c>
      <c r="Y27">
        <f>IFERROR(INDEX(TableTECalcPts[BYE],MATCH(TableTERanks[[#This Row],[RK]],TableTECalcPts[RK],0)),"")</f>
        <v>7</v>
      </c>
      <c r="Z27" s="57">
        <f>IFERROR(INDEX(TableTECalcPts[Custom],MATCH(TableTERanks[[#This Row],[RK]],TableTECalcPts[RK],0)),"")</f>
        <v>82.599242709983983</v>
      </c>
      <c r="AA27" s="125">
        <f>(((VLOOKUP(TableTERanks[[#This Row],[Player]],'OVR &amp; VORP Ranks'!$W:$AA,5,FALSE)))/('OVR &amp; VORP Ranks'!$BM$6))*(Settings!$E$10*TEAMS)</f>
        <v>-17.338795580313544</v>
      </c>
      <c r="AC27">
        <v>26</v>
      </c>
      <c r="AD27" t="str">
        <f>IFERROR(INDEX(TableDSTCalcPts[PLAYER],MATCH(TableDSTRanks[[#This Row],[RK]],TableDSTCalcPts[RK],0)),"")</f>
        <v>Raiders</v>
      </c>
      <c r="AE27">
        <f>IFERROR(INDEX(TableDSTCalcPts[BYE],MATCH(TableDSTRanks[[#This Row],[RK]],TableDSTCalcPts[RK],0)),"")</f>
        <v>0</v>
      </c>
      <c r="AF27" s="57">
        <f>IFERROR(INDEX(TableDSTCalcPts[Custom],MATCH(TableDSTRanks[[#This Row],[RK]],TableDSTCalcPts[RK],0)),"")</f>
        <v>107.6</v>
      </c>
      <c r="AG27" s="125">
        <v>0</v>
      </c>
    </row>
    <row r="28" spans="1:33" x14ac:dyDescent="0.2">
      <c r="A28">
        <v>27</v>
      </c>
      <c r="B28" t="str">
        <f>IFERROR(INDEX(TableQBCalcPts[PLAYER],MATCH(TableQBRanks[[#This Row],[RK]],TableQBCalcPts[RK],0)),"")</f>
        <v>Derek Carr</v>
      </c>
      <c r="C28" t="str">
        <f>IFERROR(INDEX(TableQBCalcPts[TM],MATCH(TableQBRanks[[#This Row],[RK]],TableQBCalcPts[RK],0)),"")</f>
        <v>NO</v>
      </c>
      <c r="D28">
        <f>IFERROR(INDEX(TableQBCalcPts[BYE],MATCH(TableQBRanks[[#This Row],[RK]],TableQBCalcPts[RK],0)),"")</f>
        <v>11</v>
      </c>
      <c r="E28" s="57">
        <f>IFERROR(INDEX(TableQBCalcPts[Custom],MATCH(TableQBRanks[[#This Row],[RK]],TableQBCalcPts[RK],0)),"")</f>
        <v>257.64070224111998</v>
      </c>
      <c r="F28" s="125">
        <f>(((VLOOKUP(TableQBRanks[[#This Row],[Player]],'OVR &amp; VORP Ranks'!$B:$F,5,FALSE)))/('OVR &amp; VORP Ranks'!$BM$6))*(Settings!$E$10*TEAMS)</f>
        <v>-4.8582125881962739</v>
      </c>
      <c r="H28">
        <v>27</v>
      </c>
      <c r="I28" t="str">
        <f>IFERROR(INDEX(TableRBCalcPts[PLAYER],MATCH(TableRBRanks[[#This Row],[RK]],TableRBCalcPts[RK],0)),"")</f>
        <v>Brian Robinson</v>
      </c>
      <c r="J28" t="str">
        <f>IFERROR(INDEX(TableRBCalcPts[TM],MATCH(TableRBRanks[[#This Row],[RK]],TableRBCalcPts[RK],0)),"")</f>
        <v>WSH</v>
      </c>
      <c r="K28">
        <f>IFERROR(INDEX(TableRBCalcPts[BYE],MATCH(TableRBRanks[[#This Row],[RK]],TableRBCalcPts[RK],0)),"")</f>
        <v>14</v>
      </c>
      <c r="L28" s="57">
        <f>IFERROR(INDEX(TableRBCalcPts[Custom],MATCH(TableRBRanks[[#This Row],[RK]],TableRBCalcPts[RK],0)),"")</f>
        <v>165.35064661466396</v>
      </c>
      <c r="M28" s="125">
        <f>(((VLOOKUP(TableRBRanks[[#This Row],[Player]],'OVR &amp; VORP Ranks'!$I:$M,5,FALSE)))/('OVR &amp; VORP Ranks'!$BM$6))*(Settings!$E$10*TEAMS)</f>
        <v>21.815754208110516</v>
      </c>
      <c r="O28">
        <v>27</v>
      </c>
      <c r="P28" t="str">
        <f>IFERROR(INDEX(TableWRCalcPts[PLAYER],MATCH(TableWRRanks[[#This Row],[RK]],TableWRCalcPts[RK],0)),"")</f>
        <v>DeAndre Hopkins</v>
      </c>
      <c r="Q28" t="str">
        <f>IFERROR(INDEX(TableWRCalcPts[TM],MATCH(TableWRRanks[[#This Row],[RK]],TableWRCalcPts[RK],0)),"")</f>
        <v>TEN</v>
      </c>
      <c r="R28">
        <f>IFERROR(INDEX(TableWRCalcPts[BYE],MATCH(TableWRRanks[[#This Row],[RK]],TableWRCalcPts[RK],0)),"")</f>
        <v>7</v>
      </c>
      <c r="S28" s="57">
        <f>IFERROR(INDEX(TableWRCalcPts[Custom],MATCH(TableWRRanks[[#This Row],[RK]],TableWRCalcPts[RK],0)),"")</f>
        <v>180.79272407195992</v>
      </c>
      <c r="T28" s="125">
        <f>(((VLOOKUP(TableWRRanks[[#This Row],[Player]],'OVR &amp; VORP Ranks'!$P:$T,5,FALSE)))/('OVR &amp; VORP Ranks'!$BM$6))*(Settings!$E$10*TEAMS)</f>
        <v>11.77380253795271</v>
      </c>
      <c r="V28">
        <v>27</v>
      </c>
      <c r="W28" t="str">
        <f>IFERROR(INDEX(TableTECalcPts[PLAYER],MATCH(TableTERanks[[#This Row],[RK]],TableTECalcPts[RK],0)),"")</f>
        <v>Noah Fant</v>
      </c>
      <c r="X28" t="str">
        <f>IFERROR(INDEX(TableTECalcPts[TM],MATCH(TableTERanks[[#This Row],[RK]],TableTECalcPts[RK],0)),"")</f>
        <v>SEA</v>
      </c>
      <c r="Y28">
        <f>IFERROR(INDEX(TableTECalcPts[BYE],MATCH(TableTERanks[[#This Row],[RK]],TableTECalcPts[RK],0)),"")</f>
        <v>5</v>
      </c>
      <c r="Z28" s="57">
        <f>IFERROR(INDEX(TableTECalcPts[Custom],MATCH(TableTERanks[[#This Row],[RK]],TableTECalcPts[RK],0)),"")</f>
        <v>77.518260897461985</v>
      </c>
      <c r="AA28" s="125">
        <f>(((VLOOKUP(TableTERanks[[#This Row],[Player]],'OVR &amp; VORP Ranks'!$W:$AA,5,FALSE)))/('OVR &amp; VORP Ranks'!$BM$6))*(Settings!$E$10*TEAMS)</f>
        <v>-19.146183472336336</v>
      </c>
      <c r="AC28">
        <v>27</v>
      </c>
      <c r="AD28" t="str">
        <f>IFERROR(INDEX(TableDSTCalcPts[PLAYER],MATCH(TableDSTRanks[[#This Row],[RK]],TableDSTCalcPts[RK],0)),"")</f>
        <v>Falcons</v>
      </c>
      <c r="AE28">
        <f>IFERROR(INDEX(TableDSTCalcPts[BYE],MATCH(TableDSTRanks[[#This Row],[RK]],TableDSTCalcPts[RK],0)),"")</f>
        <v>0</v>
      </c>
      <c r="AF28" s="57">
        <f>IFERROR(INDEX(TableDSTCalcPts[Custom],MATCH(TableDSTRanks[[#This Row],[RK]],TableDSTCalcPts[RK],0)),"")</f>
        <v>107.50000000000001</v>
      </c>
      <c r="AG28" s="125">
        <v>0</v>
      </c>
    </row>
    <row r="29" spans="1:33" x14ac:dyDescent="0.2">
      <c r="A29">
        <v>28</v>
      </c>
      <c r="B29" t="str">
        <f>IFERROR(INDEX(TableQBCalcPts[PLAYER],MATCH(TableQBRanks[[#This Row],[RK]],TableQBCalcPts[RK],0)),"")</f>
        <v>Drake Maye</v>
      </c>
      <c r="C29" t="str">
        <f>IFERROR(INDEX(TableQBCalcPts[TM],MATCH(TableQBRanks[[#This Row],[RK]],TableQBCalcPts[RK],0)),"")</f>
        <v>NE</v>
      </c>
      <c r="D29">
        <f>IFERROR(INDEX(TableQBCalcPts[BYE],MATCH(TableQBRanks[[#This Row],[RK]],TableQBCalcPts[RK],0)),"")</f>
        <v>11</v>
      </c>
      <c r="E29" s="57">
        <f>IFERROR(INDEX(TableQBCalcPts[Custom],MATCH(TableQBRanks[[#This Row],[RK]],TableQBCalcPts[RK],0)),"")</f>
        <v>239.09473180042801</v>
      </c>
      <c r="F29" s="125">
        <f>(((VLOOKUP(TableQBRanks[[#This Row],[Player]],'OVR &amp; VORP Ranks'!$B:$F,5,FALSE)))/('OVR &amp; VORP Ranks'!$BM$6))*(Settings!$E$10*TEAMS)</f>
        <v>-7.3392917313895536</v>
      </c>
      <c r="H29">
        <v>28</v>
      </c>
      <c r="I29" t="str">
        <f>IFERROR(INDEX(TableRBCalcPts[PLAYER],MATCH(TableRBRanks[[#This Row],[RK]],TableRBCalcPts[RK],0)),"")</f>
        <v>Gus Edwards</v>
      </c>
      <c r="J29" t="str">
        <f>IFERROR(INDEX(TableRBCalcPts[TM],MATCH(TableRBRanks[[#This Row],[RK]],TableRBCalcPts[RK],0)),"")</f>
        <v>LAC</v>
      </c>
      <c r="K29">
        <f>IFERROR(INDEX(TableRBCalcPts[BYE],MATCH(TableRBRanks[[#This Row],[RK]],TableRBCalcPts[RK],0)),"")</f>
        <v>5</v>
      </c>
      <c r="L29" s="57">
        <f>IFERROR(INDEX(TableRBCalcPts[Custom],MATCH(TableRBRanks[[#This Row],[RK]],TableRBCalcPts[RK],0)),"")</f>
        <v>164.41601479424801</v>
      </c>
      <c r="M29" s="125">
        <f>(((VLOOKUP(TableRBRanks[[#This Row],[Player]],'OVR &amp; VORP Ranks'!$I:$M,5,FALSE)))/('OVR &amp; VORP Ranks'!$BM$6))*(Settings!$E$10*TEAMS)</f>
        <v>21.428357225234389</v>
      </c>
      <c r="O29">
        <v>28</v>
      </c>
      <c r="P29" t="str">
        <f>IFERROR(INDEX(TableWRCalcPts[PLAYER],MATCH(TableWRRanks[[#This Row],[RK]],TableWRCalcPts[RK],0)),"")</f>
        <v>Jordan Addison</v>
      </c>
      <c r="Q29" t="str">
        <f>IFERROR(INDEX(TableWRCalcPts[TM],MATCH(TableWRRanks[[#This Row],[RK]],TableWRCalcPts[RK],0)),"")</f>
        <v>MIN</v>
      </c>
      <c r="R29">
        <f>IFERROR(INDEX(TableWRCalcPts[BYE],MATCH(TableWRRanks[[#This Row],[RK]],TableWRCalcPts[RK],0)),"")</f>
        <v>13</v>
      </c>
      <c r="S29" s="57">
        <f>IFERROR(INDEX(TableWRCalcPts[Custom],MATCH(TableWRRanks[[#This Row],[RK]],TableWRCalcPts[RK],0)),"")</f>
        <v>179.59176974591995</v>
      </c>
      <c r="T29" s="125">
        <f>(((VLOOKUP(TableWRRanks[[#This Row],[Player]],'OVR &amp; VORP Ranks'!$P:$T,5,FALSE)))/('OVR &amp; VORP Ranks'!$BM$6))*(Settings!$E$10*TEAMS)</f>
        <v>11.385240364205591</v>
      </c>
      <c r="V29">
        <v>28</v>
      </c>
      <c r="W29" t="str">
        <f>IFERROR(INDEX(TableTECalcPts[PLAYER],MATCH(TableTERanks[[#This Row],[RK]],TableTECalcPts[RK],0)),"")</f>
        <v>Jonnu Smith</v>
      </c>
      <c r="X29" t="str">
        <f>IFERROR(INDEX(TableTECalcPts[TM],MATCH(TableTERanks[[#This Row],[RK]],TableTECalcPts[RK],0)),"")</f>
        <v>MIA</v>
      </c>
      <c r="Y29">
        <f>IFERROR(INDEX(TableTECalcPts[BYE],MATCH(TableTERanks[[#This Row],[RK]],TableTECalcPts[RK],0)),"")</f>
        <v>10</v>
      </c>
      <c r="Z29" s="57">
        <f>IFERROR(INDEX(TableTECalcPts[Custom],MATCH(TableTERanks[[#This Row],[RK]],TableTECalcPts[RK],0)),"")</f>
        <v>69.270961745512807</v>
      </c>
      <c r="AA29" s="125">
        <f>(((VLOOKUP(TableTERanks[[#This Row],[Player]],'OVR &amp; VORP Ranks'!$W:$AA,5,FALSE)))/('OVR &amp; VORP Ranks'!$BM$6))*(Settings!$E$10*TEAMS)</f>
        <v>-22.079881954072089</v>
      </c>
      <c r="AC29">
        <v>28</v>
      </c>
      <c r="AD29" t="str">
        <f>IFERROR(INDEX(TableDSTCalcPts[PLAYER],MATCH(TableDSTRanks[[#This Row],[RK]],TableDSTCalcPts[RK],0)),"")</f>
        <v>Rams</v>
      </c>
      <c r="AE29">
        <f>IFERROR(INDEX(TableDSTCalcPts[BYE],MATCH(TableDSTRanks[[#This Row],[RK]],TableDSTCalcPts[RK],0)),"")</f>
        <v>0</v>
      </c>
      <c r="AF29" s="57">
        <f>IFERROR(INDEX(TableDSTCalcPts[Custom],MATCH(TableDSTRanks[[#This Row],[RK]],TableDSTCalcPts[RK],0)),"")</f>
        <v>107.15</v>
      </c>
      <c r="AG29" s="125">
        <v>0</v>
      </c>
    </row>
    <row r="30" spans="1:33" x14ac:dyDescent="0.2">
      <c r="A30">
        <v>29</v>
      </c>
      <c r="B30" t="str">
        <f>IFERROR(INDEX(TableQBCalcPts[PLAYER],MATCH(TableQBRanks[[#This Row],[RK]],TableQBCalcPts[RK],0)),"")</f>
        <v>Daniel Jones</v>
      </c>
      <c r="C30" t="str">
        <f>IFERROR(INDEX(TableQBCalcPts[TM],MATCH(TableQBRanks[[#This Row],[RK]],TableQBCalcPts[RK],0)),"")</f>
        <v>NYG</v>
      </c>
      <c r="D30">
        <f>IFERROR(INDEX(TableQBCalcPts[BYE],MATCH(TableQBRanks[[#This Row],[RK]],TableQBCalcPts[RK],0)),"")</f>
        <v>13</v>
      </c>
      <c r="E30" s="57">
        <f>IFERROR(INDEX(TableQBCalcPts[Custom],MATCH(TableQBRanks[[#This Row],[RK]],TableQBCalcPts[RK],0)),"")</f>
        <v>222.10489002455995</v>
      </c>
      <c r="F30" s="125">
        <f>(((VLOOKUP(TableQBRanks[[#This Row],[Player]],'OVR &amp; VORP Ranks'!$B:$F,5,FALSE)))/('OVR &amp; VORP Ranks'!$BM$6))*(Settings!$E$10*TEAMS)</f>
        <v>-9.9065227065912609</v>
      </c>
      <c r="H30">
        <v>29</v>
      </c>
      <c r="I30" t="str">
        <f>IFERROR(INDEX(TableRBCalcPts[PLAYER],MATCH(TableRBRanks[[#This Row],[RK]],TableRBCalcPts[RK],0)),"")</f>
        <v>Raheem Mostert</v>
      </c>
      <c r="J30" t="str">
        <f>IFERROR(INDEX(TableRBCalcPts[TM],MATCH(TableRBRanks[[#This Row],[RK]],TableRBCalcPts[RK],0)),"")</f>
        <v>MIA</v>
      </c>
      <c r="K30">
        <f>IFERROR(INDEX(TableRBCalcPts[BYE],MATCH(TableRBRanks[[#This Row],[RK]],TableRBCalcPts[RK],0)),"")</f>
        <v>10</v>
      </c>
      <c r="L30" s="57">
        <f>IFERROR(INDEX(TableRBCalcPts[Custom],MATCH(TableRBRanks[[#This Row],[RK]],TableRBCalcPts[RK],0)),"")</f>
        <v>161.98180355896005</v>
      </c>
      <c r="M30" s="125">
        <f>(((VLOOKUP(TableRBRanks[[#This Row],[Player]],'OVR &amp; VORP Ranks'!$I:$M,5,FALSE)))/('OVR &amp; VORP Ranks'!$BM$6))*(Settings!$E$10*TEAMS)</f>
        <v>20.419397260856062</v>
      </c>
      <c r="O30">
        <v>29</v>
      </c>
      <c r="P30" t="str">
        <f>IFERROR(INDEX(TableWRCalcPts[PLAYER],MATCH(TableWRRanks[[#This Row],[RK]],TableWRCalcPts[RK],0)),"")</f>
        <v>Cooper Kupp</v>
      </c>
      <c r="Q30" t="str">
        <f>IFERROR(INDEX(TableWRCalcPts[TM],MATCH(TableWRRanks[[#This Row],[RK]],TableWRCalcPts[RK],0)),"")</f>
        <v>LAR</v>
      </c>
      <c r="R30">
        <f>IFERROR(INDEX(TableWRCalcPts[BYE],MATCH(TableWRRanks[[#This Row],[RK]],TableWRCalcPts[RK],0)),"")</f>
        <v>10</v>
      </c>
      <c r="S30" s="57">
        <f>IFERROR(INDEX(TableWRCalcPts[Custom],MATCH(TableWRRanks[[#This Row],[RK]],TableWRCalcPts[RK],0)),"")</f>
        <v>178.52334044159994</v>
      </c>
      <c r="T30" s="125">
        <f>(((VLOOKUP(TableWRRanks[[#This Row],[Player]],'OVR &amp; VORP Ranks'!$P:$T,5,FALSE)))/('OVR &amp; VORP Ranks'!$BM$6))*(Settings!$E$10*TEAMS)</f>
        <v>11.039555933099352</v>
      </c>
      <c r="V30">
        <v>29</v>
      </c>
      <c r="W30" t="str">
        <f>IFERROR(INDEX(TableTECalcPts[PLAYER],MATCH(TableTERanks[[#This Row],[RK]],TableTECalcPts[RK],0)),"")</f>
        <v>Zach Ertz</v>
      </c>
      <c r="X30" t="str">
        <f>IFERROR(INDEX(TableTECalcPts[TM],MATCH(TableTERanks[[#This Row],[RK]],TableTECalcPts[RK],0)),"")</f>
        <v>WSH</v>
      </c>
      <c r="Y30">
        <f>IFERROR(INDEX(TableTECalcPts[BYE],MATCH(TableTERanks[[#This Row],[RK]],TableTECalcPts[RK],0)),"")</f>
        <v>14</v>
      </c>
      <c r="Z30" s="57">
        <f>IFERROR(INDEX(TableTECalcPts[Custom],MATCH(TableTERanks[[#This Row],[RK]],TableTECalcPts[RK],0)),"")</f>
        <v>68.546385770939992</v>
      </c>
      <c r="AA30" s="125">
        <f>(((VLOOKUP(TableTERanks[[#This Row],[Player]],'OVR &amp; VORP Ranks'!$W:$AA,5,FALSE)))/('OVR &amp; VORP Ranks'!$BM$6))*(Settings!$E$10*TEAMS)</f>
        <v>-22.337625416185272</v>
      </c>
      <c r="AC30">
        <v>29</v>
      </c>
      <c r="AD30" t="str">
        <f>IFERROR(INDEX(TableDSTCalcPts[PLAYER],MATCH(TableDSTRanks[[#This Row],[RK]],TableDSTCalcPts[RK],0)),"")</f>
        <v>Bears</v>
      </c>
      <c r="AE30">
        <f>IFERROR(INDEX(TableDSTCalcPts[BYE],MATCH(TableDSTRanks[[#This Row],[RK]],TableDSTCalcPts[RK],0)),"")</f>
        <v>0</v>
      </c>
      <c r="AF30" s="57">
        <f>IFERROR(INDEX(TableDSTCalcPts[Custom],MATCH(TableDSTRanks[[#This Row],[RK]],TableDSTCalcPts[RK],0)),"")</f>
        <v>105.5</v>
      </c>
      <c r="AG30" s="125">
        <v>0</v>
      </c>
    </row>
    <row r="31" spans="1:33" x14ac:dyDescent="0.2">
      <c r="A31">
        <v>30</v>
      </c>
      <c r="B31" t="str">
        <f>IFERROR(INDEX(TableQBCalcPts[PLAYER],MATCH(TableQBRanks[[#This Row],[RK]],TableQBCalcPts[RK],0)),"")</f>
        <v>Russell Wilson</v>
      </c>
      <c r="C31" t="str">
        <f>IFERROR(INDEX(TableQBCalcPts[TM],MATCH(TableQBRanks[[#This Row],[RK]],TableQBCalcPts[RK],0)),"")</f>
        <v>PIT</v>
      </c>
      <c r="D31">
        <f>IFERROR(INDEX(TableQBCalcPts[BYE],MATCH(TableQBRanks[[#This Row],[RK]],TableQBCalcPts[RK],0)),"")</f>
        <v>6</v>
      </c>
      <c r="E31" s="57">
        <f>IFERROR(INDEX(TableQBCalcPts[Custom],MATCH(TableQBRanks[[#This Row],[RK]],TableQBCalcPts[RK],0)),"")</f>
        <v>201.532956324</v>
      </c>
      <c r="F31" s="125">
        <f>(((VLOOKUP(TableQBRanks[[#This Row],[Player]],'OVR &amp; VORP Ranks'!$B:$F,5,FALSE)))/('OVR &amp; VORP Ranks'!$BM$6))*(Settings!$E$10*TEAMS)</f>
        <v>-12.56792780645528</v>
      </c>
      <c r="H31">
        <v>30</v>
      </c>
      <c r="I31" t="str">
        <f>IFERROR(INDEX(TableRBCalcPts[PLAYER],MATCH(TableRBRanks[[#This Row],[RK]],TableRBCalcPts[RK],0)),"")</f>
        <v>Zack Moss</v>
      </c>
      <c r="J31" t="str">
        <f>IFERROR(INDEX(TableRBCalcPts[TM],MATCH(TableRBRanks[[#This Row],[RK]],TableRBCalcPts[RK],0)),"")</f>
        <v>CIN</v>
      </c>
      <c r="K31">
        <f>IFERROR(INDEX(TableRBCalcPts[BYE],MATCH(TableRBRanks[[#This Row],[RK]],TableRBCalcPts[RK],0)),"")</f>
        <v>7</v>
      </c>
      <c r="L31" s="57">
        <f>IFERROR(INDEX(TableRBCalcPts[Custom],MATCH(TableRBRanks[[#This Row],[RK]],TableRBCalcPts[RK],0)),"")</f>
        <v>161.43138356486401</v>
      </c>
      <c r="M31" s="125">
        <f>(((VLOOKUP(TableRBRanks[[#This Row],[Player]],'OVR &amp; VORP Ranks'!$I:$M,5,FALSE)))/('OVR &amp; VORP Ranks'!$BM$6))*(Settings!$E$10*TEAMS)</f>
        <v>20.191252829680366</v>
      </c>
      <c r="O31">
        <v>30</v>
      </c>
      <c r="P31" t="str">
        <f>IFERROR(INDEX(TableWRCalcPts[PLAYER],MATCH(TableWRRanks[[#This Row],[RK]],TableWRCalcPts[RK],0)),"")</f>
        <v>Christian Kirk</v>
      </c>
      <c r="Q31" t="str">
        <f>IFERROR(INDEX(TableWRCalcPts[TM],MATCH(TableWRRanks[[#This Row],[RK]],TableWRCalcPts[RK],0)),"")</f>
        <v>JAX</v>
      </c>
      <c r="R31">
        <f>IFERROR(INDEX(TableWRCalcPts[BYE],MATCH(TableWRRanks[[#This Row],[RK]],TableWRCalcPts[RK],0)),"")</f>
        <v>9</v>
      </c>
      <c r="S31" s="57">
        <f>IFERROR(INDEX(TableWRCalcPts[Custom],MATCH(TableWRRanks[[#This Row],[RK]],TableWRCalcPts[RK],0)),"")</f>
        <v>178.08309643672794</v>
      </c>
      <c r="T31" s="125">
        <f>(((VLOOKUP(TableWRRanks[[#This Row],[Player]],'OVR &amp; VORP Ranks'!$P:$T,5,FALSE)))/('OVR &amp; VORP Ranks'!$BM$6))*(Settings!$E$10*TEAMS)</f>
        <v>10.897117404170229</v>
      </c>
      <c r="V31">
        <v>30</v>
      </c>
      <c r="W31" t="str">
        <f>IFERROR(INDEX(TableTECalcPts[PLAYER],MATCH(TableTERanks[[#This Row],[RK]],TableTECalcPts[RK],0)),"")</f>
        <v>Mike Gesicki</v>
      </c>
      <c r="X31" t="str">
        <f>IFERROR(INDEX(TableTECalcPts[TM],MATCH(TableTERanks[[#This Row],[RK]],TableTECalcPts[RK],0)),"")</f>
        <v>CIN</v>
      </c>
      <c r="Y31">
        <f>IFERROR(INDEX(TableTECalcPts[BYE],MATCH(TableTERanks[[#This Row],[RK]],TableTECalcPts[RK],0)),"")</f>
        <v>7</v>
      </c>
      <c r="Z31" s="57">
        <f>IFERROR(INDEX(TableTECalcPts[Custom],MATCH(TableTERanks[[#This Row],[RK]],TableTECalcPts[RK],0)),"")</f>
        <v>67.972915915967988</v>
      </c>
      <c r="AA31" s="125">
        <f>(((VLOOKUP(TableTERanks[[#This Row],[Player]],'OVR &amp; VORP Ranks'!$W:$AA,5,FALSE)))/('OVR &amp; VORP Ranks'!$BM$6))*(Settings!$E$10*TEAMS)</f>
        <v>-22.541617973246201</v>
      </c>
      <c r="AC31">
        <v>30</v>
      </c>
      <c r="AD31" t="str">
        <f>IFERROR(INDEX(TableDSTCalcPts[PLAYER],MATCH(TableDSTRanks[[#This Row],[RK]],TableDSTCalcPts[RK],0)),"")</f>
        <v>Titans</v>
      </c>
      <c r="AE31">
        <f>IFERROR(INDEX(TableDSTCalcPts[BYE],MATCH(TableDSTRanks[[#This Row],[RK]],TableDSTCalcPts[RK],0)),"")</f>
        <v>0</v>
      </c>
      <c r="AF31" s="57">
        <f>IFERROR(INDEX(TableDSTCalcPts[Custom],MATCH(TableDSTRanks[[#This Row],[RK]],TableDSTCalcPts[RK],0)),"")</f>
        <v>105.35</v>
      </c>
      <c r="AG31" s="125">
        <v>0</v>
      </c>
    </row>
    <row r="32" spans="1:33" x14ac:dyDescent="0.2">
      <c r="A32">
        <v>31</v>
      </c>
      <c r="B32" t="str">
        <f>IFERROR(INDEX(TableQBCalcPts[PLAYER],MATCH(TableQBRanks[[#This Row],[RK]],TableQBCalcPts[RK],0)),"")</f>
        <v>Bo Nix</v>
      </c>
      <c r="C32" t="str">
        <f>IFERROR(INDEX(TableQBCalcPts[TM],MATCH(TableQBRanks[[#This Row],[RK]],TableQBCalcPts[RK],0)),"")</f>
        <v>DEN</v>
      </c>
      <c r="D32">
        <f>IFERROR(INDEX(TableQBCalcPts[BYE],MATCH(TableQBRanks[[#This Row],[RK]],TableQBCalcPts[RK],0)),"")</f>
        <v>9</v>
      </c>
      <c r="E32" s="57">
        <f>IFERROR(INDEX(TableQBCalcPts[Custom],MATCH(TableQBRanks[[#This Row],[RK]],TableQBCalcPts[RK],0)),"")</f>
        <v>201.03964756350001</v>
      </c>
      <c r="F32" s="125">
        <f>(((VLOOKUP(TableQBRanks[[#This Row],[Player]],'OVR &amp; VORP Ranks'!$B:$F,5,FALSE)))/('OVR &amp; VORP Ranks'!$BM$6))*(Settings!$E$10*TEAMS)</f>
        <v>-12.777615962029323</v>
      </c>
      <c r="H32">
        <v>31</v>
      </c>
      <c r="I32" t="str">
        <f>IFERROR(INDEX(TableRBCalcPts[PLAYER],MATCH(TableRBRanks[[#This Row],[RK]],TableRBCalcPts[RK],0)),"")</f>
        <v>Devin Singletary</v>
      </c>
      <c r="J32" t="str">
        <f>IFERROR(INDEX(TableRBCalcPts[TM],MATCH(TableRBRanks[[#This Row],[RK]],TableRBCalcPts[RK],0)),"")</f>
        <v>NYG</v>
      </c>
      <c r="K32">
        <f>IFERROR(INDEX(TableRBCalcPts[BYE],MATCH(TableRBRanks[[#This Row],[RK]],TableRBCalcPts[RK],0)),"")</f>
        <v>13</v>
      </c>
      <c r="L32" s="57">
        <f>IFERROR(INDEX(TableRBCalcPts[Custom],MATCH(TableRBRanks[[#This Row],[RK]],TableRBCalcPts[RK],0)),"")</f>
        <v>160.63613698890239</v>
      </c>
      <c r="M32" s="125">
        <f>(((VLOOKUP(TableRBRanks[[#This Row],[Player]],'OVR &amp; VORP Ranks'!$I:$M,5,FALSE)))/('OVR &amp; VORP Ranks'!$BM$6))*(Settings!$E$10*TEAMS)</f>
        <v>19.861629851475968</v>
      </c>
      <c r="O32">
        <v>31</v>
      </c>
      <c r="P32" t="str">
        <f>IFERROR(INDEX(TableWRCalcPts[PLAYER],MATCH(TableWRRanks[[#This Row],[RK]],TableWRCalcPts[RK],0)),"")</f>
        <v>Tank Dell</v>
      </c>
      <c r="Q32" t="str">
        <f>IFERROR(INDEX(TableWRCalcPts[TM],MATCH(TableWRRanks[[#This Row],[RK]],TableWRCalcPts[RK],0)),"")</f>
        <v>HOU</v>
      </c>
      <c r="R32">
        <f>IFERROR(INDEX(TableWRCalcPts[BYE],MATCH(TableWRRanks[[#This Row],[RK]],TableWRCalcPts[RK],0)),"")</f>
        <v>7</v>
      </c>
      <c r="S32" s="57">
        <f>IFERROR(INDEX(TableWRCalcPts[Custom],MATCH(TableWRRanks[[#This Row],[RK]],TableWRCalcPts[RK],0)),"")</f>
        <v>177.76265426399999</v>
      </c>
      <c r="T32" s="125">
        <f>(((VLOOKUP(TableWRRanks[[#This Row],[Player]],'OVR &amp; VORP Ranks'!$P:$T,5,FALSE)))/('OVR &amp; VORP Ranks'!$BM$6))*(Settings!$E$10*TEAMS)</f>
        <v>10.79344009980014</v>
      </c>
      <c r="V32">
        <v>31</v>
      </c>
      <c r="W32" t="str">
        <f>IFERROR(INDEX(TableTECalcPts[PLAYER],MATCH(TableTERanks[[#This Row],[RK]],TableTECalcPts[RK],0)),"")</f>
        <v>Tucker Kraft</v>
      </c>
      <c r="X32" t="str">
        <f>IFERROR(INDEX(TableTECalcPts[TM],MATCH(TableTERanks[[#This Row],[RK]],TableTECalcPts[RK],0)),"")</f>
        <v>GB</v>
      </c>
      <c r="Y32">
        <f>IFERROR(INDEX(TableTECalcPts[BYE],MATCH(TableTERanks[[#This Row],[RK]],TableTECalcPts[RK],0)),"")</f>
        <v>6</v>
      </c>
      <c r="Z32" s="57">
        <f>IFERROR(INDEX(TableTECalcPts[Custom],MATCH(TableTERanks[[#This Row],[RK]],TableTECalcPts[RK],0)),"")</f>
        <v>67.057766586496001</v>
      </c>
      <c r="AA32" s="125">
        <f>(((VLOOKUP(TableTERanks[[#This Row],[Player]],'OVR &amp; VORP Ranks'!$W:$AA,5,FALSE)))/('OVR &amp; VORP Ranks'!$BM$6))*(Settings!$E$10*TEAMS)</f>
        <v>-22.867151478090509</v>
      </c>
      <c r="AC32">
        <v>31</v>
      </c>
      <c r="AD32" t="str">
        <f>IFERROR(INDEX(TableDSTCalcPts[PLAYER],MATCH(TableDSTRanks[[#This Row],[RK]],TableDSTCalcPts[RK],0)),"")</f>
        <v>Panthers</v>
      </c>
      <c r="AE32">
        <f>IFERROR(INDEX(TableDSTCalcPts[BYE],MATCH(TableDSTRanks[[#This Row],[RK]],TableDSTCalcPts[RK],0)),"")</f>
        <v>0</v>
      </c>
      <c r="AF32" s="57">
        <f>IFERROR(INDEX(TableDSTCalcPts[Custom],MATCH(TableDSTRanks[[#This Row],[RK]],TableDSTCalcPts[RK],0)),"")</f>
        <v>104.30000000000001</v>
      </c>
      <c r="AG32" s="125">
        <v>0</v>
      </c>
    </row>
    <row r="33" spans="1:33" x14ac:dyDescent="0.2">
      <c r="A33">
        <v>32</v>
      </c>
      <c r="B33" t="str">
        <f>IFERROR(INDEX(TableQBCalcPts[PLAYER],MATCH(TableQBRanks[[#This Row],[RK]],TableQBCalcPts[RK],0)),"")</f>
        <v>Gardner Minshew</v>
      </c>
      <c r="C33" t="str">
        <f>IFERROR(INDEX(TableQBCalcPts[TM],MATCH(TableQBRanks[[#This Row],[RK]],TableQBCalcPts[RK],0)),"")</f>
        <v>LV</v>
      </c>
      <c r="D33">
        <f>IFERROR(INDEX(TableQBCalcPts[BYE],MATCH(TableQBRanks[[#This Row],[RK]],TableQBCalcPts[RK],0)),"")</f>
        <v>13</v>
      </c>
      <c r="E33" s="57">
        <f>IFERROR(INDEX(TableQBCalcPts[Custom],MATCH(TableQBRanks[[#This Row],[RK]],TableQBCalcPts[RK],0)),"")</f>
        <v>162.41279159999999</v>
      </c>
      <c r="F33" s="125">
        <f>(((VLOOKUP(TableQBRanks[[#This Row],[Player]],'OVR &amp; VORP Ranks'!$B:$F,5,FALSE)))/('OVR &amp; VORP Ranks'!$BM$6))*(Settings!$E$10*TEAMS)</f>
        <v>-18.051570117280555</v>
      </c>
      <c r="H33">
        <v>32</v>
      </c>
      <c r="I33" t="str">
        <f>IFERROR(INDEX(TableRBCalcPts[PLAYER],MATCH(TableRBRanks[[#This Row],[RK]],TableRBCalcPts[RK],0)),"")</f>
        <v>Tony Pollard</v>
      </c>
      <c r="J33" t="str">
        <f>IFERROR(INDEX(TableRBCalcPts[TM],MATCH(TableRBRanks[[#This Row],[RK]],TableRBCalcPts[RK],0)),"")</f>
        <v>TEN</v>
      </c>
      <c r="K33">
        <f>IFERROR(INDEX(TableRBCalcPts[BYE],MATCH(TableRBRanks[[#This Row],[RK]],TableRBCalcPts[RK],0)),"")</f>
        <v>7</v>
      </c>
      <c r="L33" s="57">
        <f>IFERROR(INDEX(TableRBCalcPts[Custom],MATCH(TableRBRanks[[#This Row],[RK]],TableRBCalcPts[RK],0)),"")</f>
        <v>158.11878126983396</v>
      </c>
      <c r="M33" s="125">
        <f>(((VLOOKUP(TableRBRanks[[#This Row],[Player]],'OVR &amp; VORP Ranks'!$I:$M,5,FALSE)))/('OVR &amp; VORP Ranks'!$BM$6))*(Settings!$E$10*TEAMS)</f>
        <v>18.818207201946375</v>
      </c>
      <c r="O33">
        <v>32</v>
      </c>
      <c r="P33" t="str">
        <f>IFERROR(INDEX(TableWRCalcPts[PLAYER],MATCH(TableWRRanks[[#This Row],[RK]],TableWRCalcPts[RK],0)),"")</f>
        <v>Brian Thomas</v>
      </c>
      <c r="Q33" t="str">
        <f>IFERROR(INDEX(TableWRCalcPts[TM],MATCH(TableWRRanks[[#This Row],[RK]],TableWRCalcPts[RK],0)),"")</f>
        <v>JAX</v>
      </c>
      <c r="R33">
        <f>IFERROR(INDEX(TableWRCalcPts[BYE],MATCH(TableWRRanks[[#This Row],[RK]],TableWRCalcPts[RK],0)),"")</f>
        <v>9</v>
      </c>
      <c r="S33" s="57">
        <f>IFERROR(INDEX(TableWRCalcPts[Custom],MATCH(TableWRRanks[[#This Row],[RK]],TableWRCalcPts[RK],0)),"")</f>
        <v>177.04765259999994</v>
      </c>
      <c r="T33" s="125">
        <f>(((VLOOKUP(TableWRRanks[[#This Row],[Player]],'OVR &amp; VORP Ranks'!$P:$T,5,FALSE)))/('OVR &amp; VORP Ranks'!$BM$6))*(Settings!$E$10*TEAMS)</f>
        <v>10.562105239870236</v>
      </c>
      <c r="V33">
        <v>32</v>
      </c>
      <c r="W33" t="str">
        <f>IFERROR(INDEX(TableTECalcPts[PLAYER],MATCH(TableTERanks[[#This Row],[RK]],TableTECalcPts[RK],0)),"")</f>
        <v>Michael Mayer</v>
      </c>
      <c r="X33" t="str">
        <f>IFERROR(INDEX(TableTECalcPts[TM],MATCH(TableTERanks[[#This Row],[RK]],TableTECalcPts[RK],0)),"")</f>
        <v>LV</v>
      </c>
      <c r="Y33">
        <f>IFERROR(INDEX(TableTECalcPts[BYE],MATCH(TableTERanks[[#This Row],[RK]],TableTECalcPts[RK],0)),"")</f>
        <v>13</v>
      </c>
      <c r="Z33" s="57">
        <f>IFERROR(INDEX(TableTECalcPts[Custom],MATCH(TableTERanks[[#This Row],[RK]],TableTECalcPts[RK],0)),"")</f>
        <v>61.206676159999986</v>
      </c>
      <c r="AA33" s="125">
        <f>(((VLOOKUP(TableTERanks[[#This Row],[Player]],'OVR &amp; VORP Ranks'!$W:$AA,5,FALSE)))/('OVR &amp; VORP Ranks'!$BM$6))*(Settings!$E$10*TEAMS)</f>
        <v>-24.948479532821381</v>
      </c>
      <c r="AC33">
        <v>32</v>
      </c>
      <c r="AD33" t="str">
        <f>IFERROR(INDEX(TableDSTCalcPts[PLAYER],MATCH(TableDSTRanks[[#This Row],[RK]],TableDSTCalcPts[RK],0)),"")</f>
        <v>Cardinals</v>
      </c>
      <c r="AE33">
        <f>IFERROR(INDEX(TableDSTCalcPts[BYE],MATCH(TableDSTRanks[[#This Row],[RK]],TableDSTCalcPts[RK],0)),"")</f>
        <v>0</v>
      </c>
      <c r="AF33" s="57">
        <f>IFERROR(INDEX(TableDSTCalcPts[Custom],MATCH(TableDSTRanks[[#This Row],[RK]],TableDSTCalcPts[RK],0)),"")</f>
        <v>104</v>
      </c>
      <c r="AG33" s="125">
        <v>0</v>
      </c>
    </row>
    <row r="34" spans="1:33" x14ac:dyDescent="0.2">
      <c r="A34">
        <v>33</v>
      </c>
      <c r="B34" t="str">
        <f>IFERROR(INDEX(TableQBCalcPts[PLAYER],MATCH(TableQBRanks[[#This Row],[RK]],TableQBCalcPts[RK],0)),"")</f>
        <v>Justin Fields</v>
      </c>
      <c r="C34" t="str">
        <f>IFERROR(INDEX(TableQBCalcPts[TM],MATCH(TableQBRanks[[#This Row],[RK]],TableQBCalcPts[RK],0)),"")</f>
        <v>PIT</v>
      </c>
      <c r="D34">
        <f>IFERROR(INDEX(TableQBCalcPts[BYE],MATCH(TableQBRanks[[#This Row],[RK]],TableQBCalcPts[RK],0)),"")</f>
        <v>6</v>
      </c>
      <c r="E34" s="57">
        <f>IFERROR(INDEX(TableQBCalcPts[Custom],MATCH(TableQBRanks[[#This Row],[RK]],TableQBCalcPts[RK],0)),"")</f>
        <v>100.70848563300001</v>
      </c>
      <c r="F34" s="125">
        <f>(((VLOOKUP(TableQBRanks[[#This Row],[Player]],'OVR &amp; VORP Ranks'!$B:$F,5,FALSE)))/('OVR &amp; VORP Ranks'!$BM$6))*(Settings!$E$10*TEAMS)</f>
        <v>-26.228357577009071</v>
      </c>
      <c r="H34">
        <v>33</v>
      </c>
      <c r="I34" t="str">
        <f>IFERROR(INDEX(TableRBCalcPts[PLAYER],MATCH(TableRBRanks[[#This Row],[RK]],TableRBCalcPts[RK],0)),"")</f>
        <v>Chuba Hubbard</v>
      </c>
      <c r="J34" t="str">
        <f>IFERROR(INDEX(TableRBCalcPts[TM],MATCH(TableRBRanks[[#This Row],[RK]],TableRBCalcPts[RK],0)),"")</f>
        <v>CAR</v>
      </c>
      <c r="K34">
        <f>IFERROR(INDEX(TableRBCalcPts[BYE],MATCH(TableRBRanks[[#This Row],[RK]],TableRBCalcPts[RK],0)),"")</f>
        <v>7</v>
      </c>
      <c r="L34" s="57">
        <f>IFERROR(INDEX(TableRBCalcPts[Custom],MATCH(TableRBRanks[[#This Row],[RK]],TableRBCalcPts[RK],0)),"")</f>
        <v>155.42741467344004</v>
      </c>
      <c r="M34" s="125">
        <f>(((VLOOKUP(TableRBRanks[[#This Row],[Player]],'OVR &amp; VORP Ranks'!$I:$M,5,FALSE)))/('OVR &amp; VORP Ranks'!$BM$6))*(Settings!$E$10*TEAMS)</f>
        <v>17.70265851584174</v>
      </c>
      <c r="O34">
        <v>33</v>
      </c>
      <c r="P34" t="str">
        <f>IFERROR(INDEX(TableWRCalcPts[PLAYER],MATCH(TableWRRanks[[#This Row],[RK]],TableWRCalcPts[RK],0)),"")</f>
        <v>Courtland Sutton</v>
      </c>
      <c r="Q34" t="str">
        <f>IFERROR(INDEX(TableWRCalcPts[TM],MATCH(TableWRRanks[[#This Row],[RK]],TableWRCalcPts[RK],0)),"")</f>
        <v>DEN</v>
      </c>
      <c r="R34">
        <f>IFERROR(INDEX(TableWRCalcPts[BYE],MATCH(TableWRRanks[[#This Row],[RK]],TableWRCalcPts[RK],0)),"")</f>
        <v>9</v>
      </c>
      <c r="S34" s="57">
        <f>IFERROR(INDEX(TableWRCalcPts[Custom],MATCH(TableWRRanks[[#This Row],[RK]],TableWRCalcPts[RK],0)),"")</f>
        <v>176.02978377907999</v>
      </c>
      <c r="T34" s="125">
        <f>(((VLOOKUP(TableWRRanks[[#This Row],[Player]],'OVR &amp; VORP Ranks'!$P:$T,5,FALSE)))/('OVR &amp; VORP Ranks'!$BM$6))*(Settings!$E$10*TEAMS)</f>
        <v>10.232779375371951</v>
      </c>
      <c r="V34">
        <v>33</v>
      </c>
      <c r="W34" t="str">
        <f>IFERROR(INDEX(TableTECalcPts[PLAYER],MATCH(TableTERanks[[#This Row],[RK]],TableTECalcPts[RK],0)),"")</f>
        <v>Will Dissly</v>
      </c>
      <c r="X34" t="str">
        <f>IFERROR(INDEX(TableTECalcPts[TM],MATCH(TableTERanks[[#This Row],[RK]],TableTECalcPts[RK],0)),"")</f>
        <v>LAC</v>
      </c>
      <c r="Y34">
        <f>IFERROR(INDEX(TableTECalcPts[BYE],MATCH(TableTERanks[[#This Row],[RK]],TableTECalcPts[RK],0)),"")</f>
        <v>5</v>
      </c>
      <c r="Z34" s="57">
        <f>IFERROR(INDEX(TableTECalcPts[Custom],MATCH(TableTERanks[[#This Row],[RK]],TableTECalcPts[RK],0)),"")</f>
        <v>59.707462324891488</v>
      </c>
      <c r="AA34" s="125">
        <f>(((VLOOKUP(TableTERanks[[#This Row],[Player]],'OVR &amp; VORP Ranks'!$W:$AA,5,FALSE)))/('OVR &amp; VORP Ranks'!$BM$6))*(Settings!$E$10*TEAMS)</f>
        <v>-25.481774284329891</v>
      </c>
    </row>
    <row r="35" spans="1:33" x14ac:dyDescent="0.2">
      <c r="A35">
        <v>34</v>
      </c>
      <c r="B35" t="str">
        <f>IFERROR(INDEX(TableQBCalcPts[PLAYER],MATCH(TableQBRanks[[#This Row],[RK]],TableQBCalcPts[RK],0)),"")</f>
        <v>Aidan O'Connell</v>
      </c>
      <c r="C35" t="str">
        <f>IFERROR(INDEX(TableQBCalcPts[TM],MATCH(TableQBRanks[[#This Row],[RK]],TableQBCalcPts[RK],0)),"")</f>
        <v>LV</v>
      </c>
      <c r="D35">
        <f>IFERROR(INDEX(TableQBCalcPts[BYE],MATCH(TableQBRanks[[#This Row],[RK]],TableQBCalcPts[RK],0)),"")</f>
        <v>13</v>
      </c>
      <c r="E35" s="57">
        <f>IFERROR(INDEX(TableQBCalcPts[Custom],MATCH(TableQBRanks[[#This Row],[RK]],TableQBCalcPts[RK],0)),"")</f>
        <v>98.655392280000015</v>
      </c>
      <c r="F35" s="125">
        <f>(((VLOOKUP(TableQBRanks[[#This Row],[Player]],'OVR &amp; VORP Ranks'!$B:$F,5,FALSE)))/('OVR &amp; VORP Ranks'!$BM$6))*(Settings!$E$10*TEAMS)</f>
        <v>-27.078472411882551</v>
      </c>
      <c r="H35">
        <v>34</v>
      </c>
      <c r="I35" t="str">
        <f>IFERROR(INDEX(TableRBCalcPts[PLAYER],MATCH(TableRBRanks[[#This Row],[RK]],TableRBCalcPts[RK],0)),"")</f>
        <v>Najee Harris</v>
      </c>
      <c r="J35" t="str">
        <f>IFERROR(INDEX(TableRBCalcPts[TM],MATCH(TableRBRanks[[#This Row],[RK]],TableRBCalcPts[RK],0)),"")</f>
        <v>PIT</v>
      </c>
      <c r="K35">
        <f>IFERROR(INDEX(TableRBCalcPts[BYE],MATCH(TableRBRanks[[#This Row],[RK]],TableRBCalcPts[RK],0)),"")</f>
        <v>6</v>
      </c>
      <c r="L35" s="57">
        <f>IFERROR(INDEX(TableRBCalcPts[Custom],MATCH(TableRBRanks[[#This Row],[RK]],TableRBCalcPts[RK],0)),"")</f>
        <v>152.23876476732002</v>
      </c>
      <c r="M35" s="125">
        <f>(((VLOOKUP(TableRBRanks[[#This Row],[Player]],'OVR &amp; VORP Ranks'!$I:$M,5,FALSE)))/('OVR &amp; VORP Ranks'!$BM$6))*(Settings!$E$10*TEAMS)</f>
        <v>16.380990104713394</v>
      </c>
      <c r="O35">
        <v>34</v>
      </c>
      <c r="P35" t="str">
        <f>IFERROR(INDEX(TableWRCalcPts[PLAYER],MATCH(TableWRRanks[[#This Row],[RK]],TableWRCalcPts[RK],0)),"")</f>
        <v>Rashee Rice</v>
      </c>
      <c r="Q35" t="str">
        <f>IFERROR(INDEX(TableWRCalcPts[TM],MATCH(TableWRRanks[[#This Row],[RK]],TableWRCalcPts[RK],0)),"")</f>
        <v>KC</v>
      </c>
      <c r="R35">
        <f>IFERROR(INDEX(TableWRCalcPts[BYE],MATCH(TableWRRanks[[#This Row],[RK]],TableWRCalcPts[RK],0)),"")</f>
        <v>10</v>
      </c>
      <c r="S35" s="57">
        <f>IFERROR(INDEX(TableWRCalcPts[Custom],MATCH(TableWRRanks[[#This Row],[RK]],TableWRCalcPts[RK],0)),"")</f>
        <v>174.33131313919995</v>
      </c>
      <c r="T35" s="125">
        <f>(((VLOOKUP(TableWRRanks[[#This Row],[Player]],'OVR &amp; VORP Ranks'!$P:$T,5,FALSE)))/('OVR &amp; VORP Ranks'!$BM$6))*(Settings!$E$10*TEAMS)</f>
        <v>9.6832485318022332</v>
      </c>
      <c r="V35">
        <v>34</v>
      </c>
      <c r="W35" t="str">
        <f>IFERROR(INDEX(TableTECalcPts[PLAYER],MATCH(TableTERanks[[#This Row],[RK]],TableTECalcPts[RK],0)),"")</f>
        <v>Ja'Tavion Sanders</v>
      </c>
      <c r="X35" t="str">
        <f>IFERROR(INDEX(TableTECalcPts[TM],MATCH(TableTERanks[[#This Row],[RK]],TableTECalcPts[RK],0)),"")</f>
        <v>CAR</v>
      </c>
      <c r="Y35">
        <f>IFERROR(INDEX(TableTECalcPts[BYE],MATCH(TableTERanks[[#This Row],[RK]],TableTECalcPts[RK],0)),"")</f>
        <v>7</v>
      </c>
      <c r="Z35" s="57">
        <f>IFERROR(INDEX(TableTECalcPts[Custom],MATCH(TableTERanks[[#This Row],[RK]],TableTECalcPts[RK],0)),"")</f>
        <v>59.068966360991993</v>
      </c>
      <c r="AA35" s="125">
        <f>(((VLOOKUP(TableTERanks[[#This Row],[Player]],'OVR &amp; VORP Ranks'!$W:$AA,5,FALSE)))/('OVR &amp; VORP Ranks'!$BM$6))*(Settings!$E$10*TEAMS)</f>
        <v>-25.708897686230937</v>
      </c>
    </row>
    <row r="36" spans="1:33" x14ac:dyDescent="0.2">
      <c r="A36">
        <v>35</v>
      </c>
      <c r="B36" t="str">
        <f>IFERROR(INDEX(TableQBCalcPts[PLAYER],MATCH(TableQBRanks[[#This Row],[RK]],TableQBCalcPts[RK],0)),"")</f>
        <v>Drew Lock</v>
      </c>
      <c r="C36" t="str">
        <f>IFERROR(INDEX(TableQBCalcPts[TM],MATCH(TableQBRanks[[#This Row],[RK]],TableQBCalcPts[RK],0)),"")</f>
        <v>NYG</v>
      </c>
      <c r="D36">
        <f>IFERROR(INDEX(TableQBCalcPts[BYE],MATCH(TableQBRanks[[#This Row],[RK]],TableQBCalcPts[RK],0)),"")</f>
        <v>13</v>
      </c>
      <c r="E36" s="57">
        <f>IFERROR(INDEX(TableQBCalcPts[Custom],MATCH(TableQBRanks[[#This Row],[RK]],TableQBCalcPts[RK],0)),"")</f>
        <v>64.911786210399995</v>
      </c>
      <c r="F36" s="125">
        <f>(((VLOOKUP(TableQBRanks[[#This Row],[Player]],'OVR &amp; VORP Ranks'!$B:$F,5,FALSE)))/('OVR &amp; VORP Ranks'!$BM$6))*(Settings!$E$10*TEAMS)</f>
        <v>-32.301760667019174</v>
      </c>
      <c r="H36">
        <v>35</v>
      </c>
      <c r="I36" t="str">
        <f>IFERROR(INDEX(TableRBCalcPts[PLAYER],MATCH(TableRBRanks[[#This Row],[RK]],TableRBCalcPts[RK],0)),"")</f>
        <v>Javonte Williams</v>
      </c>
      <c r="J36" t="str">
        <f>IFERROR(INDEX(TableRBCalcPts[TM],MATCH(TableRBRanks[[#This Row],[RK]],TableRBCalcPts[RK],0)),"")</f>
        <v>DEN</v>
      </c>
      <c r="K36">
        <f>IFERROR(INDEX(TableRBCalcPts[BYE],MATCH(TableRBRanks[[#This Row],[RK]],TableRBCalcPts[RK],0)),"")</f>
        <v>9</v>
      </c>
      <c r="L36" s="57">
        <f>IFERROR(INDEX(TableRBCalcPts[Custom],MATCH(TableRBRanks[[#This Row],[RK]],TableRBCalcPts[RK],0)),"")</f>
        <v>146.73668960395202</v>
      </c>
      <c r="M36" s="125">
        <f>(((VLOOKUP(TableRBRanks[[#This Row],[Player]],'OVR &amp; VORP Ranks'!$I:$M,5,FALSE)))/('OVR &amp; VORP Ranks'!$BM$6))*(Settings!$E$10*TEAMS)</f>
        <v>14.100426495293547</v>
      </c>
      <c r="O36">
        <v>35</v>
      </c>
      <c r="P36" t="str">
        <f>IFERROR(INDEX(TableWRCalcPts[PLAYER],MATCH(TableWRRanks[[#This Row],[RK]],TableWRCalcPts[RK],0)),"")</f>
        <v>Terry McLaurin</v>
      </c>
      <c r="Q36" t="str">
        <f>IFERROR(INDEX(TableWRCalcPts[TM],MATCH(TableWRRanks[[#This Row],[RK]],TableWRCalcPts[RK],0)),"")</f>
        <v>WSH</v>
      </c>
      <c r="R36">
        <f>IFERROR(INDEX(TableWRCalcPts[BYE],MATCH(TableWRRanks[[#This Row],[RK]],TableWRCalcPts[RK],0)),"")</f>
        <v>14</v>
      </c>
      <c r="S36" s="57">
        <f>IFERROR(INDEX(TableWRCalcPts[Custom],MATCH(TableWRRanks[[#This Row],[RK]],TableWRCalcPts[RK],0)),"")</f>
        <v>172.97674860746699</v>
      </c>
      <c r="T36" s="125">
        <f>(((VLOOKUP(TableWRRanks[[#This Row],[Player]],'OVR &amp; VORP Ranks'!$P:$T,5,FALSE)))/('OVR &amp; VORP Ranks'!$BM$6))*(Settings!$E$10*TEAMS)</f>
        <v>9.2449866199887865</v>
      </c>
      <c r="V36">
        <v>35</v>
      </c>
      <c r="W36" t="str">
        <f>IFERROR(INDEX(TableTECalcPts[PLAYER],MATCH(TableTERanks[[#This Row],[RK]],TableTECalcPts[RK],0)),"")</f>
        <v>Dawson Knox</v>
      </c>
      <c r="X36" t="str">
        <f>IFERROR(INDEX(TableTECalcPts[TM],MATCH(TableTERanks[[#This Row],[RK]],TableTECalcPts[RK],0)),"")</f>
        <v>BUF</v>
      </c>
      <c r="Y36">
        <f>IFERROR(INDEX(TableTECalcPts[BYE],MATCH(TableTERanks[[#This Row],[RK]],TableTECalcPts[RK],0)),"")</f>
        <v>13</v>
      </c>
      <c r="Z36" s="57">
        <f>IFERROR(INDEX(TableTECalcPts[Custom],MATCH(TableTERanks[[#This Row],[RK]],TableTECalcPts[RK],0)),"")</f>
        <v>58.365559107071988</v>
      </c>
      <c r="AA36" s="125">
        <f>(((VLOOKUP(TableTERanks[[#This Row],[Player]],'OVR &amp; VORP Ranks'!$W:$AA,5,FALSE)))/('OVR &amp; VORP Ranks'!$BM$6))*(Settings!$E$10*TEAMS)</f>
        <v>-25.959111090018933</v>
      </c>
    </row>
    <row r="37" spans="1:33" x14ac:dyDescent="0.2">
      <c r="A37">
        <v>36</v>
      </c>
      <c r="B37" t="str">
        <f>IFERROR(INDEX(TableQBCalcPts[PLAYER],MATCH(TableQBRanks[[#This Row],[RK]],TableQBCalcPts[RK],0)),"")</f>
        <v>Jacoby Brissett</v>
      </c>
      <c r="C37" t="str">
        <f>IFERROR(INDEX(TableQBCalcPts[TM],MATCH(TableQBRanks[[#This Row],[RK]],TableQBCalcPts[RK],0)),"")</f>
        <v>NE</v>
      </c>
      <c r="D37">
        <f>IFERROR(INDEX(TableQBCalcPts[BYE],MATCH(TableQBRanks[[#This Row],[RK]],TableQBCalcPts[RK],0)),"")</f>
        <v>11</v>
      </c>
      <c r="E37" s="57">
        <f>IFERROR(INDEX(TableQBCalcPts[Custom],MATCH(TableQBRanks[[#This Row],[RK]],TableQBCalcPts[RK],0)),"")</f>
        <v>38.742384955344001</v>
      </c>
      <c r="F37" s="125">
        <f>(((VLOOKUP(TableQBRanks[[#This Row],[Player]],'OVR &amp; VORP Ranks'!$B:$F,5,FALSE)))/('OVR &amp; VORP Ranks'!$BM$6))*(Settings!$E$10*TEAMS)</f>
        <v>-36.342655093294681</v>
      </c>
      <c r="H37">
        <v>36</v>
      </c>
      <c r="I37" t="str">
        <f>IFERROR(INDEX(TableRBCalcPts[PLAYER],MATCH(TableRBRanks[[#This Row],[RK]],TableRBCalcPts[RK],0)),"")</f>
        <v>Austin Ekeler</v>
      </c>
      <c r="J37" t="str">
        <f>IFERROR(INDEX(TableRBCalcPts[TM],MATCH(TableRBRanks[[#This Row],[RK]],TableRBCalcPts[RK],0)),"")</f>
        <v>WSH</v>
      </c>
      <c r="K37">
        <f>IFERROR(INDEX(TableRBCalcPts[BYE],MATCH(TableRBRanks[[#This Row],[RK]],TableRBCalcPts[RK],0)),"")</f>
        <v>14</v>
      </c>
      <c r="L37" s="57">
        <f>IFERROR(INDEX(TableRBCalcPts[Custom],MATCH(TableRBRanks[[#This Row],[RK]],TableRBCalcPts[RK],0)),"")</f>
        <v>142.52301029694701</v>
      </c>
      <c r="M37" s="125">
        <f>(((VLOOKUP(TableRBRanks[[#This Row],[Player]],'OVR &amp; VORP Ranks'!$I:$M,5,FALSE)))/('OVR &amp; VORP Ranks'!$BM$6))*(Settings!$E$10*TEAMS)</f>
        <v>12.353892068919272</v>
      </c>
      <c r="O37">
        <v>36</v>
      </c>
      <c r="P37" t="str">
        <f>IFERROR(INDEX(TableWRCalcPts[PLAYER],MATCH(TableWRRanks[[#This Row],[RK]],TableWRCalcPts[RK],0)),"")</f>
        <v>Chris Godwin</v>
      </c>
      <c r="Q37" t="str">
        <f>IFERROR(INDEX(TableWRCalcPts[TM],MATCH(TableWRRanks[[#This Row],[RK]],TableWRCalcPts[RK],0)),"")</f>
        <v>TB</v>
      </c>
      <c r="R37">
        <f>IFERROR(INDEX(TableWRCalcPts[BYE],MATCH(TableWRRanks[[#This Row],[RK]],TableWRCalcPts[RK],0)),"")</f>
        <v>5</v>
      </c>
      <c r="S37" s="57">
        <f>IFERROR(INDEX(TableWRCalcPts[Custom],MATCH(TableWRRanks[[#This Row],[RK]],TableWRCalcPts[RK],0)),"")</f>
        <v>172.82871671083197</v>
      </c>
      <c r="T37" s="125">
        <f>(((VLOOKUP(TableWRRanks[[#This Row],[Player]],'OVR &amp; VORP Ranks'!$P:$T,5,FALSE)))/('OVR &amp; VORP Ranks'!$BM$6))*(Settings!$E$10*TEAMS)</f>
        <v>9.1970917131690779</v>
      </c>
      <c r="V37">
        <v>36</v>
      </c>
      <c r="W37" t="str">
        <f>IFERROR(INDEX(TableTECalcPts[PLAYER],MATCH(TableTERanks[[#This Row],[RK]],TableTECalcPts[RK],0)),"")</f>
        <v>Colby Parkinson</v>
      </c>
      <c r="X37" t="str">
        <f>IFERROR(INDEX(TableTECalcPts[TM],MATCH(TableTERanks[[#This Row],[RK]],TableTECalcPts[RK],0)),"")</f>
        <v>LAR</v>
      </c>
      <c r="Y37">
        <f>IFERROR(INDEX(TableTECalcPts[BYE],MATCH(TableTERanks[[#This Row],[RK]],TableTECalcPts[RK],0)),"")</f>
        <v>10</v>
      </c>
      <c r="Z37" s="57">
        <f>IFERROR(INDEX(TableTECalcPts[Custom],MATCH(TableTERanks[[#This Row],[RK]],TableTECalcPts[RK],0)),"")</f>
        <v>55.509939280947187</v>
      </c>
      <c r="AA37" s="125">
        <f>(((VLOOKUP(TableTERanks[[#This Row],[Player]],'OVR &amp; VORP Ranks'!$W:$AA,5,FALSE)))/('OVR &amp; VORP Ranks'!$BM$6))*(Settings!$E$10*TEAMS)</f>
        <v>-26.974901519584826</v>
      </c>
    </row>
    <row r="38" spans="1:33" x14ac:dyDescent="0.2">
      <c r="A38">
        <v>37</v>
      </c>
      <c r="B38" t="str">
        <f>IFERROR(INDEX(TableQBCalcPts[PLAYER],MATCH(TableQBRanks[[#This Row],[RK]],TableQBCalcPts[RK],0)),"")</f>
        <v>Zach Wilson</v>
      </c>
      <c r="C38" t="str">
        <f>IFERROR(INDEX(TableQBCalcPts[TM],MATCH(TableQBRanks[[#This Row],[RK]],TableQBCalcPts[RK],0)),"")</f>
        <v>DEN</v>
      </c>
      <c r="D38">
        <f>IFERROR(INDEX(TableQBCalcPts[BYE],MATCH(TableQBRanks[[#This Row],[RK]],TableQBCalcPts[RK],0)),"")</f>
        <v>9</v>
      </c>
      <c r="E38" s="57">
        <f>IFERROR(INDEX(TableQBCalcPts[Custom],MATCH(TableQBRanks[[#This Row],[RK]],TableQBCalcPts[RK],0)),"")</f>
        <v>36.205431316199991</v>
      </c>
      <c r="F38" s="125">
        <f>(((VLOOKUP(TableQBRanks[[#This Row],[Player]],'OVR &amp; VORP Ranks'!$B:$F,5,FALSE)))/('OVR &amp; VORP Ranks'!$BM$6))*(Settings!$E$10*TEAMS)</f>
        <v>-36.918327897466476</v>
      </c>
      <c r="H38">
        <v>37</v>
      </c>
      <c r="I38" t="str">
        <f>IFERROR(INDEX(TableRBCalcPts[PLAYER],MATCH(TableRBRanks[[#This Row],[RK]],TableRBCalcPts[RK],0)),"")</f>
        <v>Zach Charbonnet</v>
      </c>
      <c r="J38" t="str">
        <f>IFERROR(INDEX(TableRBCalcPts[TM],MATCH(TableRBRanks[[#This Row],[RK]],TableRBCalcPts[RK],0)),"")</f>
        <v>SEA</v>
      </c>
      <c r="K38">
        <f>IFERROR(INDEX(TableRBCalcPts[BYE],MATCH(TableRBRanks[[#This Row],[RK]],TableRBCalcPts[RK],0)),"")</f>
        <v>5</v>
      </c>
      <c r="L38" s="57">
        <f>IFERROR(INDEX(TableRBCalcPts[Custom],MATCH(TableRBRanks[[#This Row],[RK]],TableRBCalcPts[RK],0)),"")</f>
        <v>141.12839053736855</v>
      </c>
      <c r="M38" s="125">
        <f>(((VLOOKUP(TableRBRanks[[#This Row],[Player]],'OVR &amp; VORP Ranks'!$I:$M,5,FALSE)))/('OVR &amp; VORP Ranks'!$BM$6))*(Settings!$E$10*TEAMS)</f>
        <v>11.775833976611134</v>
      </c>
      <c r="O38">
        <v>37</v>
      </c>
      <c r="P38" t="str">
        <f>IFERROR(INDEX(TableWRCalcPts[PLAYER],MATCH(TableWRRanks[[#This Row],[RK]],TableWRCalcPts[RK],0)),"")</f>
        <v>Zay Flowers</v>
      </c>
      <c r="Q38" t="str">
        <f>IFERROR(INDEX(TableWRCalcPts[TM],MATCH(TableWRRanks[[#This Row],[RK]],TableWRCalcPts[RK],0)),"")</f>
        <v>BAL</v>
      </c>
      <c r="R38">
        <f>IFERROR(INDEX(TableWRCalcPts[BYE],MATCH(TableWRRanks[[#This Row],[RK]],TableWRCalcPts[RK],0)),"")</f>
        <v>13</v>
      </c>
      <c r="S38" s="57">
        <f>IFERROR(INDEX(TableWRCalcPts[Custom],MATCH(TableWRRanks[[#This Row],[RK]],TableWRCalcPts[RK],0)),"")</f>
        <v>171.6694996834272</v>
      </c>
      <c r="T38" s="125">
        <f>(((VLOOKUP(TableWRRanks[[#This Row],[Player]],'OVR &amp; VORP Ranks'!$P:$T,5,FALSE)))/('OVR &amp; VORP Ranks'!$BM$6))*(Settings!$E$10*TEAMS)</f>
        <v>8.8220334130767597</v>
      </c>
      <c r="V38">
        <v>37</v>
      </c>
      <c r="W38" t="str">
        <f>IFERROR(INDEX(TableTECalcPts[PLAYER],MATCH(TableTERanks[[#This Row],[RK]],TableTECalcPts[RK],0)),"")</f>
        <v>Isaiah Likely</v>
      </c>
      <c r="X38" t="str">
        <f>IFERROR(INDEX(TableTECalcPts[TM],MATCH(TableTERanks[[#This Row],[RK]],TableTECalcPts[RK],0)),"")</f>
        <v>BAL</v>
      </c>
      <c r="Y38">
        <f>IFERROR(INDEX(TableTECalcPts[BYE],MATCH(TableTERanks[[#This Row],[RK]],TableTECalcPts[RK],0)),"")</f>
        <v>13</v>
      </c>
      <c r="Z38" s="57">
        <f>IFERROR(INDEX(TableTECalcPts[Custom],MATCH(TableTERanks[[#This Row],[RK]],TableTECalcPts[RK],0)),"")</f>
        <v>55.486040377824011</v>
      </c>
      <c r="AA38" s="125">
        <f>(((VLOOKUP(TableTERanks[[#This Row],[Player]],'OVR &amp; VORP Ranks'!$W:$AA,5,FALSE)))/('OVR &amp; VORP Ranks'!$BM$6))*(Settings!$E$10*TEAMS)</f>
        <v>-26.98340274823142</v>
      </c>
    </row>
    <row r="39" spans="1:33" x14ac:dyDescent="0.2">
      <c r="A39">
        <v>38</v>
      </c>
      <c r="B39" t="str">
        <f>IFERROR(INDEX(TableQBCalcPts[PLAYER],MATCH(TableQBRanks[[#This Row],[RK]],TableQBCalcPts[RK],0)),"")</f>
        <v>Sam Howell</v>
      </c>
      <c r="C39" t="str">
        <f>IFERROR(INDEX(TableQBCalcPts[TM],MATCH(TableQBRanks[[#This Row],[RK]],TableQBCalcPts[RK],0)),"")</f>
        <v>SEA</v>
      </c>
      <c r="D39">
        <f>IFERROR(INDEX(TableQBCalcPts[BYE],MATCH(TableQBRanks[[#This Row],[RK]],TableQBCalcPts[RK],0)),"")</f>
        <v>5</v>
      </c>
      <c r="E39" s="57">
        <f>IFERROR(INDEX(TableQBCalcPts[Custom],MATCH(TableQBRanks[[#This Row],[RK]],TableQBCalcPts[RK],0)),"")</f>
        <v>27.710476903968001</v>
      </c>
      <c r="F39" s="125">
        <f>(((VLOOKUP(TableQBRanks[[#This Row],[Player]],'OVR &amp; VORP Ranks'!$B:$F,5,FALSE)))/('OVR &amp; VORP Ranks'!$BM$6))*(Settings!$E$10*TEAMS)</f>
        <v>-38.264709554112393</v>
      </c>
      <c r="H39">
        <v>38</v>
      </c>
      <c r="I39" t="str">
        <f>IFERROR(INDEX(TableRBCalcPts[PLAYER],MATCH(TableRBRanks[[#This Row],[RK]],TableRBCalcPts[RK],0)),"")</f>
        <v>Jaylen Warren</v>
      </c>
      <c r="J39" t="str">
        <f>IFERROR(INDEX(TableRBCalcPts[TM],MATCH(TableRBRanks[[#This Row],[RK]],TableRBCalcPts[RK],0)),"")</f>
        <v>PIT</v>
      </c>
      <c r="K39">
        <f>IFERROR(INDEX(TableRBCalcPts[BYE],MATCH(TableRBRanks[[#This Row],[RK]],TableRBCalcPts[RK],0)),"")</f>
        <v>6</v>
      </c>
      <c r="L39" s="57">
        <f>IFERROR(INDEX(TableRBCalcPts[Custom],MATCH(TableRBRanks[[#This Row],[RK]],TableRBCalcPts[RK],0)),"")</f>
        <v>139.57479769148998</v>
      </c>
      <c r="M39" s="125">
        <f>(((VLOOKUP(TableRBRanks[[#This Row],[Player]],'OVR &amp; VORP Ranks'!$I:$M,5,FALSE)))/('OVR &amp; VORP Ranks'!$BM$6))*(Settings!$E$10*TEAMS)</f>
        <v>11.131882884893068</v>
      </c>
      <c r="O39">
        <v>38</v>
      </c>
      <c r="P39" t="str">
        <f>IFERROR(INDEX(TableWRCalcPts[PLAYER],MATCH(TableWRRanks[[#This Row],[RK]],TableWRCalcPts[RK],0)),"")</f>
        <v>Jameson Williams</v>
      </c>
      <c r="Q39" t="str">
        <f>IFERROR(INDEX(TableWRCalcPts[TM],MATCH(TableWRRanks[[#This Row],[RK]],TableWRCalcPts[RK],0)),"")</f>
        <v>DET</v>
      </c>
      <c r="R39">
        <f>IFERROR(INDEX(TableWRCalcPts[BYE],MATCH(TableWRRanks[[#This Row],[RK]],TableWRCalcPts[RK],0)),"")</f>
        <v>9</v>
      </c>
      <c r="S39" s="57">
        <f>IFERROR(INDEX(TableWRCalcPts[Custom],MATCH(TableWRRanks[[#This Row],[RK]],TableWRCalcPts[RK],0)),"")</f>
        <v>170.67243936779397</v>
      </c>
      <c r="T39" s="125">
        <f>(((VLOOKUP(TableWRRanks[[#This Row],[Player]],'OVR &amp; VORP Ranks'!$P:$T,5,FALSE)))/('OVR &amp; VORP Ranks'!$BM$6))*(Settings!$E$10*TEAMS)</f>
        <v>8.4994400261351295</v>
      </c>
      <c r="V39">
        <v>38</v>
      </c>
      <c r="W39" t="str">
        <f>IFERROR(INDEX(TableTECalcPts[PLAYER],MATCH(TableTERanks[[#This Row],[RK]],TableTECalcPts[RK],0)),"")</f>
        <v>Austin Hooper</v>
      </c>
      <c r="X39" t="str">
        <f>IFERROR(INDEX(TableTECalcPts[TM],MATCH(TableTERanks[[#This Row],[RK]],TableTECalcPts[RK],0)),"")</f>
        <v>NE</v>
      </c>
      <c r="Y39">
        <f>IFERROR(INDEX(TableTECalcPts[BYE],MATCH(TableTERanks[[#This Row],[RK]],TableTECalcPts[RK],0)),"")</f>
        <v>11</v>
      </c>
      <c r="Z39" s="57">
        <f>IFERROR(INDEX(TableTECalcPts[Custom],MATCH(TableTERanks[[#This Row],[RK]],TableTECalcPts[RK],0)),"")</f>
        <v>55.186056155999992</v>
      </c>
      <c r="AA39" s="125">
        <f>(((VLOOKUP(TableTERanks[[#This Row],[Player]],'OVR &amp; VORP Ranks'!$W:$AA,5,FALSE)))/('OVR &amp; VORP Ranks'!$BM$6))*(Settings!$E$10*TEAMS)</f>
        <v>-27.090112016307604</v>
      </c>
    </row>
    <row r="40" spans="1:33" x14ac:dyDescent="0.2">
      <c r="A40">
        <v>39</v>
      </c>
      <c r="B40" t="str">
        <f>IFERROR(INDEX(TableQBCalcPts[PLAYER],MATCH(TableQBRanks[[#This Row],[RK]],TableQBCalcPts[RK],0)),"")</f>
        <v>Desmond Ridder</v>
      </c>
      <c r="C40" t="str">
        <f>IFERROR(INDEX(TableQBCalcPts[TM],MATCH(TableQBRanks[[#This Row],[RK]],TableQBCalcPts[RK],0)),"")</f>
        <v>ARI</v>
      </c>
      <c r="D40">
        <f>IFERROR(INDEX(TableQBCalcPts[BYE],MATCH(TableQBRanks[[#This Row],[RK]],TableQBCalcPts[RK],0)),"")</f>
        <v>14</v>
      </c>
      <c r="E40" s="57">
        <f>IFERROR(INDEX(TableQBCalcPts[Custom],MATCH(TableQBRanks[[#This Row],[RK]],TableQBCalcPts[RK],0)),"")</f>
        <v>18.56071909125</v>
      </c>
      <c r="F40" s="125">
        <f>(((VLOOKUP(TableQBRanks[[#This Row],[Player]],'OVR &amp; VORP Ranks'!$B:$F,5,FALSE)))/('OVR &amp; VORP Ranks'!$BM$6))*(Settings!$E$10*TEAMS)</f>
        <v>-42.567890378367174</v>
      </c>
      <c r="H40">
        <v>39</v>
      </c>
      <c r="I40" t="str">
        <f>IFERROR(INDEX(TableRBCalcPts[PLAYER],MATCH(TableRBRanks[[#This Row],[RK]],TableRBCalcPts[RK],0)),"")</f>
        <v>Rico Dowdle</v>
      </c>
      <c r="J40" t="str">
        <f>IFERROR(INDEX(TableRBCalcPts[TM],MATCH(TableRBRanks[[#This Row],[RK]],TableRBCalcPts[RK],0)),"")</f>
        <v>DAL</v>
      </c>
      <c r="K40">
        <f>IFERROR(INDEX(TableRBCalcPts[BYE],MATCH(TableRBRanks[[#This Row],[RK]],TableRBCalcPts[RK],0)),"")</f>
        <v>7</v>
      </c>
      <c r="L40" s="57">
        <f>IFERROR(INDEX(TableRBCalcPts[Custom],MATCH(TableRBRanks[[#This Row],[RK]],TableRBCalcPts[RK],0)),"")</f>
        <v>122.60550555187201</v>
      </c>
      <c r="M40" s="125">
        <f>(((VLOOKUP(TableRBRanks[[#This Row],[Player]],'OVR &amp; VORP Ranks'!$I:$M,5,FALSE)))/('OVR &amp; VORP Ranks'!$BM$6))*(Settings!$E$10*TEAMS)</f>
        <v>4.0982548478057454</v>
      </c>
      <c r="O40">
        <v>39</v>
      </c>
      <c r="P40" t="str">
        <f>IFERROR(INDEX(TableWRCalcPts[PLAYER],MATCH(TableWRRanks[[#This Row],[RK]],TableWRCalcPts[RK],0)),"")</f>
        <v>Curtis Samuel</v>
      </c>
      <c r="Q40" t="str">
        <f>IFERROR(INDEX(TableWRCalcPts[TM],MATCH(TableWRRanks[[#This Row],[RK]],TableWRCalcPts[RK],0)),"")</f>
        <v>BUF</v>
      </c>
      <c r="R40">
        <f>IFERROR(INDEX(TableWRCalcPts[BYE],MATCH(TableWRRanks[[#This Row],[RK]],TableWRCalcPts[RK],0)),"")</f>
        <v>13</v>
      </c>
      <c r="S40" s="57">
        <f>IFERROR(INDEX(TableWRCalcPts[Custom],MATCH(TableWRRanks[[#This Row],[RK]],TableWRCalcPts[RK],0)),"")</f>
        <v>167.65626644121596</v>
      </c>
      <c r="T40" s="125">
        <f>(((VLOOKUP(TableWRRanks[[#This Row],[Player]],'OVR &amp; VORP Ranks'!$P:$T,5,FALSE)))/('OVR &amp; VORP Ranks'!$BM$6))*(Settings!$E$10*TEAMS)</f>
        <v>7.523573847599585</v>
      </c>
      <c r="V40">
        <v>39</v>
      </c>
      <c r="W40" t="str">
        <f>IFERROR(INDEX(TableTECalcPts[PLAYER],MATCH(TableTERanks[[#This Row],[RK]],TableTECalcPts[RK],0)),"")</f>
        <v>Tommy Tremble</v>
      </c>
      <c r="X40" t="str">
        <f>IFERROR(INDEX(TableTECalcPts[TM],MATCH(TableTERanks[[#This Row],[RK]],TableTECalcPts[RK],0)),"")</f>
        <v>CAR</v>
      </c>
      <c r="Y40">
        <f>IFERROR(INDEX(TableTECalcPts[BYE],MATCH(TableTERanks[[#This Row],[RK]],TableTECalcPts[RK],0)),"")</f>
        <v>7</v>
      </c>
      <c r="Z40" s="57">
        <f>IFERROR(INDEX(TableTECalcPts[Custom],MATCH(TableTERanks[[#This Row],[RK]],TableTECalcPts[RK],0)),"")</f>
        <v>54.994295502719993</v>
      </c>
      <c r="AA40" s="125">
        <f>(((VLOOKUP(TableTERanks[[#This Row],[Player]],'OVR &amp; VORP Ranks'!$W:$AA,5,FALSE)))/('OVR &amp; VORP Ranks'!$BM$6))*(Settings!$E$10*TEAMS)</f>
        <v>-27.158324400388661</v>
      </c>
    </row>
    <row r="41" spans="1:33" x14ac:dyDescent="0.2">
      <c r="A41">
        <v>40</v>
      </c>
      <c r="B41" t="str">
        <f>IFERROR(INDEX(TableQBCalcPts[PLAYER],MATCH(TableQBRanks[[#This Row],[RK]],TableQBCalcPts[RK],0)),"")</f>
        <v>Sam Darnold</v>
      </c>
      <c r="C41" t="str">
        <f>IFERROR(INDEX(TableQBCalcPts[TM],MATCH(TableQBRanks[[#This Row],[RK]],TableQBCalcPts[RK],0)),"")</f>
        <v>MIN</v>
      </c>
      <c r="D41">
        <f>IFERROR(INDEX(TableQBCalcPts[BYE],MATCH(TableQBRanks[[#This Row],[RK]],TableQBCalcPts[RK],0)),"")</f>
        <v>13</v>
      </c>
      <c r="E41" s="57">
        <f>IFERROR(INDEX(TableQBCalcPts[Custom],MATCH(TableQBRanks[[#This Row],[RK]],TableQBCalcPts[RK],0)),"")</f>
        <v>17.303615899839997</v>
      </c>
      <c r="F41" s="125">
        <f>(((VLOOKUP(TableQBRanks[[#This Row],[Player]],'OVR &amp; VORP Ranks'!$B:$F,5,FALSE)))/('OVR &amp; VORP Ranks'!$BM$6))*(Settings!$E$10*TEAMS)</f>
        <v>-43.720975192209501</v>
      </c>
      <c r="H41">
        <v>40</v>
      </c>
      <c r="I41" t="str">
        <f>IFERROR(INDEX(TableRBCalcPts[PLAYER],MATCH(TableRBRanks[[#This Row],[RK]],TableRBCalcPts[RK],0)),"")</f>
        <v>Tyler Allgeier</v>
      </c>
      <c r="J41" t="str">
        <f>IFERROR(INDEX(TableRBCalcPts[TM],MATCH(TableRBRanks[[#This Row],[RK]],TableRBCalcPts[RK],0)),"")</f>
        <v>ATL</v>
      </c>
      <c r="K41">
        <f>IFERROR(INDEX(TableRBCalcPts[BYE],MATCH(TableRBRanks[[#This Row],[RK]],TableRBCalcPts[RK],0)),"")</f>
        <v>11</v>
      </c>
      <c r="L41" s="57">
        <f>IFERROR(INDEX(TableRBCalcPts[Custom],MATCH(TableRBRanks[[#This Row],[RK]],TableRBCalcPts[RK],0)),"")</f>
        <v>117.2617367326272</v>
      </c>
      <c r="M41" s="125">
        <f>(((VLOOKUP(TableRBRanks[[#This Row],[Player]],'OVR &amp; VORP Ranks'!$I:$M,5,FALSE)))/('OVR &amp; VORP Ranks'!$BM$6))*(Settings!$E$10*TEAMS)</f>
        <v>1.883307878803917</v>
      </c>
      <c r="O41">
        <v>40</v>
      </c>
      <c r="P41" t="str">
        <f>IFERROR(INDEX(TableWRCalcPts[PLAYER],MATCH(TableWRRanks[[#This Row],[RK]],TableWRCalcPts[RK],0)),"")</f>
        <v>Keon Coleman</v>
      </c>
      <c r="Q41" t="str">
        <f>IFERROR(INDEX(TableWRCalcPts[TM],MATCH(TableWRRanks[[#This Row],[RK]],TableWRCalcPts[RK],0)),"")</f>
        <v>BUF</v>
      </c>
      <c r="R41">
        <f>IFERROR(INDEX(TableWRCalcPts[BYE],MATCH(TableWRRanks[[#This Row],[RK]],TableWRCalcPts[RK],0)),"")</f>
        <v>13</v>
      </c>
      <c r="S41" s="57">
        <f>IFERROR(INDEX(TableWRCalcPts[Custom],MATCH(TableWRRanks[[#This Row],[RK]],TableWRCalcPts[RK],0)),"")</f>
        <v>166.64394539519995</v>
      </c>
      <c r="T41" s="125">
        <f>(((VLOOKUP(TableWRRanks[[#This Row],[Player]],'OVR &amp; VORP Ranks'!$P:$T,5,FALSE)))/('OVR &amp; VORP Ranks'!$BM$6))*(Settings!$E$10*TEAMS)</f>
        <v>7.1960429351901425</v>
      </c>
      <c r="V41">
        <v>40</v>
      </c>
      <c r="W41" t="str">
        <f>IFERROR(INDEX(TableTECalcPts[PLAYER],MATCH(TableTERanks[[#This Row],[RK]],TableTECalcPts[RK],0)),"")</f>
        <v>Greg Dulcich</v>
      </c>
      <c r="X41" t="str">
        <f>IFERROR(INDEX(TableTECalcPts[TM],MATCH(TableTERanks[[#This Row],[RK]],TableTECalcPts[RK],0)),"")</f>
        <v>DEN</v>
      </c>
      <c r="Y41">
        <f>IFERROR(INDEX(TableTECalcPts[BYE],MATCH(TableTERanks[[#This Row],[RK]],TableTECalcPts[RK],0)),"")</f>
        <v>9</v>
      </c>
      <c r="Z41" s="57">
        <f>IFERROR(INDEX(TableTECalcPts[Custom],MATCH(TableTERanks[[#This Row],[RK]],TableTECalcPts[RK],0)),"")</f>
        <v>52.664460695448014</v>
      </c>
      <c r="AA41" s="125">
        <f>(((VLOOKUP(TableTERanks[[#This Row],[Player]],'OVR &amp; VORP Ranks'!$W:$AA,5,FALSE)))/('OVR &amp; VORP Ranks'!$BM$6))*(Settings!$E$10*TEAMS)</f>
        <v>-27.987084544874691</v>
      </c>
    </row>
    <row r="42" spans="1:33" x14ac:dyDescent="0.2">
      <c r="A42">
        <v>41</v>
      </c>
      <c r="B42" t="str">
        <f>IFERROR(INDEX(TableQBCalcPts[PLAYER],MATCH(TableQBRanks[[#This Row],[RK]],TableQBCalcPts[RK],0)),"")</f>
        <v>Marcus Mariota</v>
      </c>
      <c r="C42" t="str">
        <f>IFERROR(INDEX(TableQBCalcPts[TM],MATCH(TableQBRanks[[#This Row],[RK]],TableQBCalcPts[RK],0)),"")</f>
        <v>WSH</v>
      </c>
      <c r="D42">
        <f>IFERROR(INDEX(TableQBCalcPts[BYE],MATCH(TableQBRanks[[#This Row],[RK]],TableQBCalcPts[RK],0)),"")</f>
        <v>14</v>
      </c>
      <c r="E42" s="57">
        <f>IFERROR(INDEX(TableQBCalcPts[Custom],MATCH(TableQBRanks[[#This Row],[RK]],TableQBCalcPts[RK],0)),"")</f>
        <v>13.192682096700002</v>
      </c>
      <c r="F42" s="125">
        <f>(((VLOOKUP(TableQBRanks[[#This Row],[Player]],'OVR &amp; VORP Ranks'!$B:$F,5,FALSE)))/('OVR &amp; VORP Ranks'!$BM$6))*(Settings!$E$10*TEAMS)</f>
        <v>-44.312313743208001</v>
      </c>
      <c r="H42">
        <v>41</v>
      </c>
      <c r="I42" t="str">
        <f>IFERROR(INDEX(TableRBCalcPts[PLAYER],MATCH(TableRBRanks[[#This Row],[RK]],TableRBCalcPts[RK],0)),"")</f>
        <v>Ty Chandler</v>
      </c>
      <c r="J42" t="str">
        <f>IFERROR(INDEX(TableRBCalcPts[TM],MATCH(TableRBRanks[[#This Row],[RK]],TableRBCalcPts[RK],0)),"")</f>
        <v>MIN</v>
      </c>
      <c r="K42">
        <f>IFERROR(INDEX(TableRBCalcPts[BYE],MATCH(TableRBRanks[[#This Row],[RK]],TableRBCalcPts[RK],0)),"")</f>
        <v>13</v>
      </c>
      <c r="L42" s="57">
        <f>IFERROR(INDEX(TableRBCalcPts[Custom],MATCH(TableRBRanks[[#This Row],[RK]],TableRBCalcPts[RK],0)),"")</f>
        <v>116.83272378624001</v>
      </c>
      <c r="M42" s="125">
        <f>(((VLOOKUP(TableRBRanks[[#This Row],[Player]],'OVR &amp; VORP Ranks'!$I:$M,5,FALSE)))/('OVR &amp; VORP Ranks'!$BM$6))*(Settings!$E$10*TEAMS)</f>
        <v>1.705485641838745</v>
      </c>
      <c r="O42">
        <v>41</v>
      </c>
      <c r="P42" t="str">
        <f>IFERROR(INDEX(TableWRCalcPts[PLAYER],MATCH(TableWRRanks[[#This Row],[RK]],TableWRCalcPts[RK],0)),"")</f>
        <v>Ladd McConkey</v>
      </c>
      <c r="Q42" t="str">
        <f>IFERROR(INDEX(TableWRCalcPts[TM],MATCH(TableWRRanks[[#This Row],[RK]],TableWRCalcPts[RK],0)),"")</f>
        <v>LAC</v>
      </c>
      <c r="R42">
        <f>IFERROR(INDEX(TableWRCalcPts[BYE],MATCH(TableWRRanks[[#This Row],[RK]],TableWRCalcPts[RK],0)),"")</f>
        <v>5</v>
      </c>
      <c r="S42" s="57">
        <f>IFERROR(INDEX(TableWRCalcPts[Custom],MATCH(TableWRRanks[[#This Row],[RK]],TableWRCalcPts[RK],0)),"")</f>
        <v>166.25112709127995</v>
      </c>
      <c r="T42" s="125">
        <f>(((VLOOKUP(TableWRRanks[[#This Row],[Player]],'OVR &amp; VORP Ranks'!$P:$T,5,FALSE)))/('OVR &amp; VORP Ranks'!$BM$6))*(Settings!$E$10*TEAMS)</f>
        <v>7.0689487312314405</v>
      </c>
      <c r="V42">
        <v>41</v>
      </c>
      <c r="W42" t="str">
        <f>IFERROR(INDEX(TableTECalcPts[PLAYER],MATCH(TableTERanks[[#This Row],[RK]],TableTECalcPts[RK],0)),"")</f>
        <v>Ben Sinnott</v>
      </c>
      <c r="X42" t="str">
        <f>IFERROR(INDEX(TableTECalcPts[TM],MATCH(TableTERanks[[#This Row],[RK]],TableTECalcPts[RK],0)),"")</f>
        <v>WSH</v>
      </c>
      <c r="Y42">
        <f>IFERROR(INDEX(TableTECalcPts[BYE],MATCH(TableTERanks[[#This Row],[RK]],TableTECalcPts[RK],0)),"")</f>
        <v>14</v>
      </c>
      <c r="Z42" s="57">
        <f>IFERROR(INDEX(TableTECalcPts[Custom],MATCH(TableTERanks[[#This Row],[RK]],TableTECalcPts[RK],0)),"")</f>
        <v>48.575699465383998</v>
      </c>
      <c r="AA42" s="125">
        <f>(((VLOOKUP(TableTERanks[[#This Row],[Player]],'OVR &amp; VORP Ranks'!$W:$AA,5,FALSE)))/('OVR &amp; VORP Ranks'!$BM$6))*(Settings!$E$10*TEAMS)</f>
        <v>-29.441523433511815</v>
      </c>
    </row>
    <row r="43" spans="1:33" x14ac:dyDescent="0.2">
      <c r="A43">
        <v>42</v>
      </c>
      <c r="B43" t="str">
        <f>IFERROR(INDEX(TableQBCalcPts[PLAYER],MATCH(TableQBRanks[[#This Row],[RK]],TableQBCalcPts[RK],0)),"")</f>
        <v>Jake Browning</v>
      </c>
      <c r="C43" t="str">
        <f>IFERROR(INDEX(TableQBCalcPts[TM],MATCH(TableQBRanks[[#This Row],[RK]],TableQBCalcPts[RK],0)),"")</f>
        <v>CIN</v>
      </c>
      <c r="D43">
        <f>IFERROR(INDEX(TableQBCalcPts[BYE],MATCH(TableQBRanks[[#This Row],[RK]],TableQBCalcPts[RK],0)),"")</f>
        <v>7</v>
      </c>
      <c r="E43" s="57">
        <f>IFERROR(INDEX(TableQBCalcPts[Custom],MATCH(TableQBRanks[[#This Row],[RK]],TableQBCalcPts[RK],0)),"")</f>
        <v>12.32176968060001</v>
      </c>
      <c r="F43" s="125">
        <f>(((VLOOKUP(TableQBRanks[[#This Row],[Player]],'OVR &amp; VORP Ranks'!$B:$F,5,FALSE)))/('OVR &amp; VORP Ranks'!$BM$6))*(Settings!$E$10*TEAMS)</f>
        <v>-44.984198699102542</v>
      </c>
      <c r="H43">
        <v>42</v>
      </c>
      <c r="I43" t="str">
        <f>IFERROR(INDEX(TableRBCalcPts[PLAYER],MATCH(TableRBRanks[[#This Row],[RK]],TableRBCalcPts[RK],0)),"")</f>
        <v>Trey Benson</v>
      </c>
      <c r="J43" t="str">
        <f>IFERROR(INDEX(TableRBCalcPts[TM],MATCH(TableRBRanks[[#This Row],[RK]],TableRBCalcPts[RK],0)),"")</f>
        <v>ARI</v>
      </c>
      <c r="K43">
        <f>IFERROR(INDEX(TableRBCalcPts[BYE],MATCH(TableRBRanks[[#This Row],[RK]],TableRBCalcPts[RK],0)),"")</f>
        <v>14</v>
      </c>
      <c r="L43" s="57">
        <f>IFERROR(INDEX(TableRBCalcPts[Custom],MATCH(TableRBRanks[[#This Row],[RK]],TableRBCalcPts[RK],0)),"")</f>
        <v>113.81129370954001</v>
      </c>
      <c r="M43" s="125">
        <f>(((VLOOKUP(TableRBRanks[[#This Row],[Player]],'OVR &amp; VORP Ranks'!$I:$M,5,FALSE)))/('OVR &amp; VORP Ranks'!$BM$6))*(Settings!$E$10*TEAMS)</f>
        <v>0.45312843537871977</v>
      </c>
      <c r="O43">
        <v>42</v>
      </c>
      <c r="P43" t="str">
        <f>IFERROR(INDEX(TableWRCalcPts[PLAYER],MATCH(TableWRRanks[[#This Row],[RK]],TableWRCalcPts[RK],0)),"")</f>
        <v>Christian Watson</v>
      </c>
      <c r="Q43" t="str">
        <f>IFERROR(INDEX(TableWRCalcPts[TM],MATCH(TableWRRanks[[#This Row],[RK]],TableWRCalcPts[RK],0)),"")</f>
        <v>GB</v>
      </c>
      <c r="R43">
        <f>IFERROR(INDEX(TableWRCalcPts[BYE],MATCH(TableWRRanks[[#This Row],[RK]],TableWRCalcPts[RK],0)),"")</f>
        <v>6</v>
      </c>
      <c r="S43" s="57">
        <f>IFERROR(INDEX(TableWRCalcPts[Custom],MATCH(TableWRRanks[[#This Row],[RK]],TableWRCalcPts[RK],0)),"")</f>
        <v>165.95201752729599</v>
      </c>
      <c r="T43" s="125">
        <f>(((VLOOKUP(TableWRRanks[[#This Row],[Player]],'OVR &amp; VORP Ranks'!$P:$T,5,FALSE)))/('OVR &amp; VORP Ranks'!$BM$6))*(Settings!$E$10*TEAMS)</f>
        <v>6.9721734752120108</v>
      </c>
      <c r="V43">
        <v>42</v>
      </c>
      <c r="W43" t="str">
        <f>IFERROR(INDEX(TableTECalcPts[PLAYER],MATCH(TableTERanks[[#This Row],[RK]],TableTECalcPts[RK],0)),"")</f>
        <v>Jeremy Ruckert</v>
      </c>
      <c r="X43" t="str">
        <f>IFERROR(INDEX(TableTECalcPts[TM],MATCH(TableTERanks[[#This Row],[RK]],TableTECalcPts[RK],0)),"")</f>
        <v>NYJ</v>
      </c>
      <c r="Y43">
        <f>IFERROR(INDEX(TableTECalcPts[BYE],MATCH(TableTERanks[[#This Row],[RK]],TableTECalcPts[RK],0)),"")</f>
        <v>7</v>
      </c>
      <c r="Z43" s="57">
        <f>IFERROR(INDEX(TableTECalcPts[Custom],MATCH(TableTERanks[[#This Row],[RK]],TableTECalcPts[RK],0)),"")</f>
        <v>47.942912402985584</v>
      </c>
      <c r="AA43" s="125">
        <f>(((VLOOKUP(TableTERanks[[#This Row],[Player]],'OVR &amp; VORP Ranks'!$W:$AA,5,FALSE)))/('OVR &amp; VORP Ranks'!$BM$6))*(Settings!$E$10*TEAMS)</f>
        <v>-29.666616086272143</v>
      </c>
    </row>
    <row r="44" spans="1:33" x14ac:dyDescent="0.2">
      <c r="A44">
        <v>43</v>
      </c>
      <c r="B44" t="str">
        <f>IFERROR(INDEX(TableQBCalcPts[PLAYER],MATCH(TableQBRanks[[#This Row],[RK]],TableQBCalcPts[RK],0)),"")</f>
        <v>Joe Flacco</v>
      </c>
      <c r="C44" t="str">
        <f>IFERROR(INDEX(TableQBCalcPts[TM],MATCH(TableQBRanks[[#This Row],[RK]],TableQBCalcPts[RK],0)),"")</f>
        <v>IND</v>
      </c>
      <c r="D44">
        <f>IFERROR(INDEX(TableQBCalcPts[BYE],MATCH(TableQBRanks[[#This Row],[RK]],TableQBCalcPts[RK],0)),"")</f>
        <v>11</v>
      </c>
      <c r="E44" s="57">
        <f>IFERROR(INDEX(TableQBCalcPts[Custom],MATCH(TableQBRanks[[#This Row],[RK]],TableQBCalcPts[RK],0)),"")</f>
        <v>11.991640597200011</v>
      </c>
      <c r="F44" s="125">
        <f>(((VLOOKUP(TableQBRanks[[#This Row],[Player]],'OVR &amp; VORP Ranks'!$B:$F,5,FALSE)))/('OVR &amp; VORP Ranks'!$BM$6))*(Settings!$E$10*TEAMS)</f>
        <v>-45.194649120255377</v>
      </c>
      <c r="H44">
        <v>43</v>
      </c>
      <c r="I44" t="str">
        <f>IFERROR(INDEX(TableRBCalcPts[PLAYER],MATCH(TableRBRanks[[#This Row],[RK]],TableRBCalcPts[RK],0)),"")</f>
        <v>Chase Brown</v>
      </c>
      <c r="J44" t="str">
        <f>IFERROR(INDEX(TableRBCalcPts[TM],MATCH(TableRBRanks[[#This Row],[RK]],TableRBCalcPts[RK],0)),"")</f>
        <v>CIN</v>
      </c>
      <c r="K44">
        <f>IFERROR(INDEX(TableRBCalcPts[BYE],MATCH(TableRBRanks[[#This Row],[RK]],TableRBCalcPts[RK],0)),"")</f>
        <v>7</v>
      </c>
      <c r="L44" s="57">
        <f>IFERROR(INDEX(TableRBCalcPts[Custom],MATCH(TableRBRanks[[#This Row],[RK]],TableRBCalcPts[RK],0)),"")</f>
        <v>112.90314533836799</v>
      </c>
      <c r="M44" s="125">
        <f>(((VLOOKUP(TableRBRanks[[#This Row],[Player]],'OVR &amp; VORP Ranks'!$I:$M,5,FALSE)))/('OVR &amp; VORP Ranks'!$BM$6))*(Settings!$E$10*TEAMS)</f>
        <v>7.6708618172691131E-2</v>
      </c>
      <c r="O44">
        <v>43</v>
      </c>
      <c r="P44" t="str">
        <f>IFERROR(INDEX(TableWRCalcPts[PLAYER],MATCH(TableWRRanks[[#This Row],[RK]],TableWRCalcPts[RK],0)),"")</f>
        <v>Xavier Legette</v>
      </c>
      <c r="Q44" t="str">
        <f>IFERROR(INDEX(TableWRCalcPts[TM],MATCH(TableWRRanks[[#This Row],[RK]],TableWRCalcPts[RK],0)),"")</f>
        <v>CAR</v>
      </c>
      <c r="R44">
        <f>IFERROR(INDEX(TableWRCalcPts[BYE],MATCH(TableWRRanks[[#This Row],[RK]],TableWRCalcPts[RK],0)),"")</f>
        <v>7</v>
      </c>
      <c r="S44" s="57">
        <f>IFERROR(INDEX(TableWRCalcPts[Custom],MATCH(TableWRRanks[[#This Row],[RK]],TableWRCalcPts[RK],0)),"")</f>
        <v>163.16862053171394</v>
      </c>
      <c r="T44" s="125">
        <f>(((VLOOKUP(TableWRRanks[[#This Row],[Player]],'OVR &amp; VORP Ranks'!$P:$T,5,FALSE)))/('OVR &amp; VORP Ranks'!$BM$6))*(Settings!$E$10*TEAMS)</f>
        <v>6.0716206702017033</v>
      </c>
      <c r="V44">
        <v>43</v>
      </c>
      <c r="W44" t="str">
        <f>IFERROR(INDEX(TableTECalcPts[PLAYER],MATCH(TableTERanks[[#This Row],[RK]],TableTECalcPts[RK],0)),"")</f>
        <v>Donald Parham</v>
      </c>
      <c r="X44" t="str">
        <f>IFERROR(INDEX(TableTECalcPts[TM],MATCH(TableTERanks[[#This Row],[RK]],TableTECalcPts[RK],0)),"")</f>
        <v>LAC</v>
      </c>
      <c r="Y44">
        <f>IFERROR(INDEX(TableTECalcPts[BYE],MATCH(TableTERanks[[#This Row],[RK]],TableTECalcPts[RK],0)),"")</f>
        <v>5</v>
      </c>
      <c r="Z44" s="57">
        <f>IFERROR(INDEX(TableTECalcPts[Custom],MATCH(TableTERanks[[#This Row],[RK]],TableTECalcPts[RK],0)),"")</f>
        <v>47.064153670841982</v>
      </c>
      <c r="AA44" s="125">
        <f>(((VLOOKUP(TableTERanks[[#This Row],[Player]],'OVR &amp; VORP Ranks'!$W:$AA,5,FALSE)))/('OVR &amp; VORP Ranks'!$BM$6))*(Settings!$E$10*TEAMS)</f>
        <v>-29.979204863616587</v>
      </c>
    </row>
    <row r="45" spans="1:33" x14ac:dyDescent="0.2">
      <c r="A45">
        <v>44</v>
      </c>
      <c r="B45" t="str">
        <f>IFERROR(INDEX(TableQBCalcPts[PLAYER],MATCH(TableQBRanks[[#This Row],[RK]],TableQBCalcPts[RK],0)),"")</f>
        <v>Andy Dalton</v>
      </c>
      <c r="C45" t="str">
        <f>IFERROR(INDEX(TableQBCalcPts[TM],MATCH(TableQBRanks[[#This Row],[RK]],TableQBCalcPts[RK],0)),"")</f>
        <v>CAR</v>
      </c>
      <c r="D45">
        <f>IFERROR(INDEX(TableQBCalcPts[BYE],MATCH(TableQBRanks[[#This Row],[RK]],TableQBCalcPts[RK],0)),"")</f>
        <v>7</v>
      </c>
      <c r="E45" s="57">
        <f>IFERROR(INDEX(TableQBCalcPts[Custom],MATCH(TableQBRanks[[#This Row],[RK]],TableQBCalcPts[RK],0)),"")</f>
        <v>11.884636309999998</v>
      </c>
      <c r="F45" s="125">
        <f>(((VLOOKUP(TableQBRanks[[#This Row],[Player]],'OVR &amp; VORP Ranks'!$B:$F,5,FALSE)))/('OVR &amp; VORP Ranks'!$BM$6))*(Settings!$E$10*TEAMS)</f>
        <v>-45.242477207238643</v>
      </c>
      <c r="H45">
        <v>44</v>
      </c>
      <c r="I45" t="str">
        <f>IFERROR(INDEX(TableRBCalcPts[PLAYER],MATCH(TableRBRanks[[#This Row],[RK]],TableRBCalcPts[RK],0)),"")</f>
        <v>Jerome Ford</v>
      </c>
      <c r="J45" t="str">
        <f>IFERROR(INDEX(TableRBCalcPts[TM],MATCH(TableRBRanks[[#This Row],[RK]],TableRBCalcPts[RK],0)),"")</f>
        <v>CLE</v>
      </c>
      <c r="K45">
        <f>IFERROR(INDEX(TableRBCalcPts[BYE],MATCH(TableRBRanks[[#This Row],[RK]],TableRBCalcPts[RK],0)),"")</f>
        <v>5</v>
      </c>
      <c r="L45" s="57">
        <f>IFERROR(INDEX(TableRBCalcPts[Custom],MATCH(TableRBRanks[[#This Row],[RK]],TableRBCalcPts[RK],0)),"")</f>
        <v>112.71807855</v>
      </c>
      <c r="M45" s="125">
        <f>(((VLOOKUP(TableRBRanks[[#This Row],[Player]],'OVR &amp; VORP Ranks'!$I:$M,5,FALSE)))/('OVR &amp; VORP Ranks'!$BM$6))*(Settings!$E$10*TEAMS)</f>
        <v>0</v>
      </c>
      <c r="O45">
        <v>44</v>
      </c>
      <c r="P45" t="str">
        <f>IFERROR(INDEX(TableWRCalcPts[PLAYER],MATCH(TableWRRanks[[#This Row],[RK]],TableWRCalcPts[RK],0)),"")</f>
        <v>Michael Pittman</v>
      </c>
      <c r="Q45" t="str">
        <f>IFERROR(INDEX(TableWRCalcPts[TM],MATCH(TableWRRanks[[#This Row],[RK]],TableWRCalcPts[RK],0)),"")</f>
        <v>IND</v>
      </c>
      <c r="R45">
        <f>IFERROR(INDEX(TableWRCalcPts[BYE],MATCH(TableWRRanks[[#This Row],[RK]],TableWRCalcPts[RK],0)),"")</f>
        <v>11</v>
      </c>
      <c r="S45" s="57">
        <f>IFERROR(INDEX(TableWRCalcPts[Custom],MATCH(TableWRRanks[[#This Row],[RK]],TableWRCalcPts[RK],0)),"")</f>
        <v>161.37858230487842</v>
      </c>
      <c r="T45" s="125">
        <f>(((VLOOKUP(TableWRRanks[[#This Row],[Player]],'OVR &amp; VORP Ranks'!$P:$T,5,FALSE)))/('OVR &amp; VORP Ranks'!$BM$6))*(Settings!$E$10*TEAMS)</f>
        <v>5.4924636369753648</v>
      </c>
      <c r="V45">
        <v>44</v>
      </c>
      <c r="W45" t="str">
        <f>IFERROR(INDEX(TableTECalcPts[PLAYER],MATCH(TableTERanks[[#This Row],[RK]],TableTECalcPts[RK],0)),"")</f>
        <v>Josh Oliver</v>
      </c>
      <c r="X45" t="str">
        <f>IFERROR(INDEX(TableTECalcPts[TM],MATCH(TableTERanks[[#This Row],[RK]],TableTECalcPts[RK],0)),"")</f>
        <v>MIN</v>
      </c>
      <c r="Y45">
        <f>IFERROR(INDEX(TableTECalcPts[BYE],MATCH(TableTERanks[[#This Row],[RK]],TableTECalcPts[RK],0)),"")</f>
        <v>13</v>
      </c>
      <c r="Z45" s="57">
        <f>IFERROR(INDEX(TableTECalcPts[Custom],MATCH(TableTERanks[[#This Row],[RK]],TableTECalcPts[RK],0)),"")</f>
        <v>46.24948826064</v>
      </c>
      <c r="AA45" s="125">
        <f>(((VLOOKUP(TableTERanks[[#This Row],[Player]],'OVR &amp; VORP Ranks'!$W:$AA,5,FALSE)))/('OVR &amp; VORP Ranks'!$BM$6))*(Settings!$E$10*TEAMS)</f>
        <v>-30.268994603627096</v>
      </c>
    </row>
    <row r="46" spans="1:33" x14ac:dyDescent="0.2">
      <c r="A46">
        <v>45</v>
      </c>
      <c r="B46" t="str">
        <f>IFERROR(INDEX(TableQBCalcPts[PLAYER],MATCH(TableQBRanks[[#This Row],[RK]],TableQBCalcPts[RK],0)),"")</f>
        <v>Kyle Trask</v>
      </c>
      <c r="C46" t="str">
        <f>IFERROR(INDEX(TableQBCalcPts[TM],MATCH(TableQBRanks[[#This Row],[RK]],TableQBCalcPts[RK],0)),"")</f>
        <v>TB</v>
      </c>
      <c r="D46">
        <f>IFERROR(INDEX(TableQBCalcPts[BYE],MATCH(TableQBRanks[[#This Row],[RK]],TableQBCalcPts[RK],0)),"")</f>
        <v>5</v>
      </c>
      <c r="E46" s="57">
        <f>IFERROR(INDEX(TableQBCalcPts[Custom],MATCH(TableQBRanks[[#This Row],[RK]],TableQBCalcPts[RK],0)),"")</f>
        <v>11.746668500160002</v>
      </c>
      <c r="F46" s="125">
        <f>(((VLOOKUP(TableQBRanks[[#This Row],[Player]],'OVR &amp; VORP Ranks'!$B:$F,5,FALSE)))/('OVR &amp; VORP Ranks'!$BM$6))*(Settings!$E$10*TEAMS)</f>
        <v>-45.326791300192781</v>
      </c>
      <c r="H46">
        <v>45</v>
      </c>
      <c r="I46" t="str">
        <f>IFERROR(INDEX(TableRBCalcPts[PLAYER],MATCH(TableRBRanks[[#This Row],[RK]],TableRBCalcPts[RK],0)),"")</f>
        <v>Antonio Gibson</v>
      </c>
      <c r="J46" t="str">
        <f>IFERROR(INDEX(TableRBCalcPts[TM],MATCH(TableRBRanks[[#This Row],[RK]],TableRBCalcPts[RK],0)),"")</f>
        <v>NE</v>
      </c>
      <c r="K46">
        <f>IFERROR(INDEX(TableRBCalcPts[BYE],MATCH(TableRBRanks[[#This Row],[RK]],TableRBCalcPts[RK],0)),"")</f>
        <v>11</v>
      </c>
      <c r="L46" s="57">
        <f>IFERROR(INDEX(TableRBCalcPts[Custom],MATCH(TableRBRanks[[#This Row],[RK]],TableRBCalcPts[RK],0)),"")</f>
        <v>112.358046343648</v>
      </c>
      <c r="M46" s="125">
        <f>(((VLOOKUP(TableRBRanks[[#This Row],[Player]],'OVR &amp; VORP Ranks'!$I:$M,5,FALSE)))/('OVR &amp; VORP Ranks'!$BM$6))*(Settings!$E$10*TEAMS)</f>
        <v>-0.14923030377558605</v>
      </c>
      <c r="O46">
        <v>45</v>
      </c>
      <c r="P46" t="str">
        <f>IFERROR(INDEX(TableWRCalcPts[PLAYER],MATCH(TableWRRanks[[#This Row],[RK]],TableWRCalcPts[RK],0)),"")</f>
        <v>Brandin Cooks</v>
      </c>
      <c r="Q46" t="str">
        <f>IFERROR(INDEX(TableWRCalcPts[TM],MATCH(TableWRRanks[[#This Row],[RK]],TableWRCalcPts[RK],0)),"")</f>
        <v>DAL</v>
      </c>
      <c r="R46">
        <f>IFERROR(INDEX(TableWRCalcPts[BYE],MATCH(TableWRRanks[[#This Row],[RK]],TableWRCalcPts[RK],0)),"")</f>
        <v>7</v>
      </c>
      <c r="S46" s="57">
        <f>IFERROR(INDEX(TableWRCalcPts[Custom],MATCH(TableWRRanks[[#This Row],[RK]],TableWRCalcPts[RK],0)),"")</f>
        <v>159.86001222374398</v>
      </c>
      <c r="T46" s="125">
        <f>(((VLOOKUP(TableWRRanks[[#This Row],[Player]],'OVR &amp; VORP Ranks'!$P:$T,5,FALSE)))/('OVR &amp; VORP Ranks'!$BM$6))*(Settings!$E$10*TEAMS)</f>
        <v>5.0011386307541903</v>
      </c>
      <c r="V46">
        <v>45</v>
      </c>
      <c r="W46" t="str">
        <f>IFERROR(INDEX(TableTECalcPts[PLAYER],MATCH(TableTERanks[[#This Row],[RK]],TableTECalcPts[RK],0)),"")</f>
        <v>Theo Johnson</v>
      </c>
      <c r="X46" t="str">
        <f>IFERROR(INDEX(TableTECalcPts[TM],MATCH(TableTERanks[[#This Row],[RK]],TableTECalcPts[RK],0)),"")</f>
        <v>NYG</v>
      </c>
      <c r="Y46">
        <f>IFERROR(INDEX(TableTECalcPts[BYE],MATCH(TableTERanks[[#This Row],[RK]],TableTECalcPts[RK],0)),"")</f>
        <v>13</v>
      </c>
      <c r="Z46" s="57">
        <f>IFERROR(INDEX(TableTECalcPts[Custom],MATCH(TableTERanks[[#This Row],[RK]],TableTECalcPts[RK],0)),"")</f>
        <v>43.712904661977589</v>
      </c>
      <c r="AA46" s="125">
        <f>(((VLOOKUP(TableTERanks[[#This Row],[Player]],'OVR &amp; VORP Ranks'!$W:$AA,5,FALSE)))/('OVR &amp; VORP Ranks'!$BM$6))*(Settings!$E$10*TEAMS)</f>
        <v>-31.171298656758594</v>
      </c>
    </row>
    <row r="47" spans="1:33" x14ac:dyDescent="0.2">
      <c r="A47">
        <v>46</v>
      </c>
      <c r="B47" t="str">
        <f>IFERROR(INDEX(TableQBCalcPts[PLAYER],MATCH(TableQBRanks[[#This Row],[RK]],TableQBCalcPts[RK],0)),"")</f>
        <v>Jimmy Garoppolo</v>
      </c>
      <c r="C47" t="str">
        <f>IFERROR(INDEX(TableQBCalcPts[TM],MATCH(TableQBRanks[[#This Row],[RK]],TableQBCalcPts[RK],0)),"")</f>
        <v>LAR</v>
      </c>
      <c r="D47">
        <f>IFERROR(INDEX(TableQBCalcPts[BYE],MATCH(TableQBRanks[[#This Row],[RK]],TableQBCalcPts[RK],0)),"")</f>
        <v>10</v>
      </c>
      <c r="E47" s="57">
        <f>IFERROR(INDEX(TableQBCalcPts[Custom],MATCH(TableQBRanks[[#This Row],[RK]],TableQBCalcPts[RK],0)),"")</f>
        <v>11.27498843144001</v>
      </c>
      <c r="F47" s="125">
        <f>(((VLOOKUP(TableQBRanks[[#This Row],[Player]],'OVR &amp; VORP Ranks'!$B:$F,5,FALSE)))/('OVR &amp; VORP Ranks'!$BM$6))*(Settings!$E$10*TEAMS)</f>
        <v>-45.609213240646916</v>
      </c>
      <c r="H47">
        <v>46</v>
      </c>
      <c r="I47" t="str">
        <f>IFERROR(INDEX(TableRBCalcPts[PLAYER],MATCH(TableRBRanks[[#This Row],[RK]],TableRBCalcPts[RK],0)),"")</f>
        <v>Jonathon Brooks</v>
      </c>
      <c r="J47" t="str">
        <f>IFERROR(INDEX(TableRBCalcPts[TM],MATCH(TableRBRanks[[#This Row],[RK]],TableRBCalcPts[RK],0)),"")</f>
        <v>CAR</v>
      </c>
      <c r="K47">
        <f>IFERROR(INDEX(TableRBCalcPts[BYE],MATCH(TableRBRanks[[#This Row],[RK]],TableRBCalcPts[RK],0)),"")</f>
        <v>7</v>
      </c>
      <c r="L47" s="57">
        <f>IFERROR(INDEX(TableRBCalcPts[Custom],MATCH(TableRBRanks[[#This Row],[RK]],TableRBCalcPts[RK],0)),"")</f>
        <v>111.15842767764001</v>
      </c>
      <c r="M47" s="125">
        <f>(((VLOOKUP(TableRBRanks[[#This Row],[Player]],'OVR &amp; VORP Ranks'!$I:$M,5,FALSE)))/('OVR &amp; VORP Ranks'!$BM$6))*(Settings!$E$10*TEAMS)</f>
        <v>-0.64646209244565089</v>
      </c>
      <c r="O47">
        <v>46</v>
      </c>
      <c r="P47" t="str">
        <f>IFERROR(INDEX(TableWRCalcPts[PLAYER],MATCH(TableWRRanks[[#This Row],[RK]],TableWRCalcPts[RK],0)),"")</f>
        <v>Jaxon Smith-Njigba</v>
      </c>
      <c r="Q47" t="str">
        <f>IFERROR(INDEX(TableWRCalcPts[TM],MATCH(TableWRRanks[[#This Row],[RK]],TableWRCalcPts[RK],0)),"")</f>
        <v>SEA</v>
      </c>
      <c r="R47">
        <f>IFERROR(INDEX(TableWRCalcPts[BYE],MATCH(TableWRRanks[[#This Row],[RK]],TableWRCalcPts[RK],0)),"")</f>
        <v>5</v>
      </c>
      <c r="S47" s="57">
        <f>IFERROR(INDEX(TableWRCalcPts[Custom],MATCH(TableWRRanks[[#This Row],[RK]],TableWRCalcPts[RK],0)),"")</f>
        <v>159.726471459072</v>
      </c>
      <c r="T47" s="125">
        <f>(((VLOOKUP(TableWRRanks[[#This Row],[Player]],'OVR &amp; VORP Ranks'!$P:$T,5,FALSE)))/('OVR &amp; VORP Ranks'!$BM$6))*(Settings!$E$10*TEAMS)</f>
        <v>4.9579322500620169</v>
      </c>
      <c r="V47">
        <v>46</v>
      </c>
      <c r="W47" t="str">
        <f>IFERROR(INDEX(TableTECalcPts[PLAYER],MATCH(TableTERanks[[#This Row],[RK]],TableTECalcPts[RK],0)),"")</f>
        <v>Mo Alie-Cox</v>
      </c>
      <c r="X47" t="str">
        <f>IFERROR(INDEX(TableTECalcPts[TM],MATCH(TableTERanks[[#This Row],[RK]],TableTECalcPts[RK],0)),"")</f>
        <v>IND</v>
      </c>
      <c r="Y47">
        <f>IFERROR(INDEX(TableTECalcPts[BYE],MATCH(TableTERanks[[#This Row],[RK]],TableTECalcPts[RK],0)),"")</f>
        <v>11</v>
      </c>
      <c r="Z47" s="57">
        <f>IFERROR(INDEX(TableTECalcPts[Custom],MATCH(TableTERanks[[#This Row],[RK]],TableTECalcPts[RK],0)),"")</f>
        <v>36.596044523500012</v>
      </c>
      <c r="AA47" s="125">
        <f>(((VLOOKUP(TableTERanks[[#This Row],[Player]],'OVR &amp; VORP Ranks'!$W:$AA,5,FALSE)))/('OVR &amp; VORP Ranks'!$BM$6))*(Settings!$E$10*TEAMS)</f>
        <v>-33.702881590553702</v>
      </c>
    </row>
    <row r="48" spans="1:33" x14ac:dyDescent="0.2">
      <c r="A48">
        <v>47</v>
      </c>
      <c r="B48" t="str">
        <f>IFERROR(INDEX(TableQBCalcPts[PLAYER],MATCH(TableQBRanks[[#This Row],[RK]],TableQBCalcPts[RK],0)),"")</f>
        <v>Jameis Winston</v>
      </c>
      <c r="C48" t="str">
        <f>IFERROR(INDEX(TableQBCalcPts[TM],MATCH(TableQBRanks[[#This Row],[RK]],TableQBCalcPts[RK],0)),"")</f>
        <v>CLE</v>
      </c>
      <c r="D48">
        <f>IFERROR(INDEX(TableQBCalcPts[BYE],MATCH(TableQBRanks[[#This Row],[RK]],TableQBCalcPts[RK],0)),"")</f>
        <v>5</v>
      </c>
      <c r="E48" s="57">
        <f>IFERROR(INDEX(TableQBCalcPts[Custom],MATCH(TableQBRanks[[#This Row],[RK]],TableQBCalcPts[RK],0)),"")</f>
        <v>7.1280318186000038</v>
      </c>
      <c r="F48" s="125">
        <f>(((VLOOKUP(TableQBRanks[[#This Row],[Player]],'OVR &amp; VORP Ranks'!$B:$F,5,FALSE)))/('OVR &amp; VORP Ranks'!$BM$6))*(Settings!$E$10*TEAMS)</f>
        <v>-46.296224728431277</v>
      </c>
      <c r="H48">
        <v>47</v>
      </c>
      <c r="I48" t="str">
        <f>IFERROR(INDEX(TableRBCalcPts[PLAYER],MATCH(TableRBRanks[[#This Row],[RK]],TableRBCalcPts[RK],0)),"")</f>
        <v>J.K. Dobbins</v>
      </c>
      <c r="J48" t="str">
        <f>IFERROR(INDEX(TableRBCalcPts[TM],MATCH(TableRBRanks[[#This Row],[RK]],TableRBCalcPts[RK],0)),"")</f>
        <v>LAC</v>
      </c>
      <c r="K48">
        <f>IFERROR(INDEX(TableRBCalcPts[BYE],MATCH(TableRBRanks[[#This Row],[RK]],TableRBCalcPts[RK],0)),"")</f>
        <v>5</v>
      </c>
      <c r="L48" s="57">
        <f>IFERROR(INDEX(TableRBCalcPts[Custom],MATCH(TableRBRanks[[#This Row],[RK]],TableRBCalcPts[RK],0)),"")</f>
        <v>110.24050291947</v>
      </c>
      <c r="M48" s="125">
        <f>(((VLOOKUP(TableRBRanks[[#This Row],[Player]],'OVR &amp; VORP Ranks'!$I:$M,5,FALSE)))/('OVR &amp; VORP Ranks'!$BM$6))*(Settings!$E$10*TEAMS)</f>
        <v>-1.0269341393572369</v>
      </c>
      <c r="O48">
        <v>47</v>
      </c>
      <c r="P48" t="str">
        <f>IFERROR(INDEX(TableWRCalcPts[PLAYER],MATCH(TableWRRanks[[#This Row],[RK]],TableWRCalcPts[RK],0)),"")</f>
        <v>Xavier Worthy</v>
      </c>
      <c r="Q48" t="str">
        <f>IFERROR(INDEX(TableWRCalcPts[TM],MATCH(TableWRRanks[[#This Row],[RK]],TableWRCalcPts[RK],0)),"")</f>
        <v>KC</v>
      </c>
      <c r="R48">
        <f>IFERROR(INDEX(TableWRCalcPts[BYE],MATCH(TableWRRanks[[#This Row],[RK]],TableWRCalcPts[RK],0)),"")</f>
        <v>10</v>
      </c>
      <c r="S48" s="57">
        <f>IFERROR(INDEX(TableWRCalcPts[Custom],MATCH(TableWRRanks[[#This Row],[RK]],TableWRCalcPts[RK],0)),"")</f>
        <v>159.24169963519995</v>
      </c>
      <c r="T48" s="125">
        <f>(((VLOOKUP(TableWRRanks[[#This Row],[Player]],'OVR &amp; VORP Ranks'!$P:$T,5,FALSE)))/('OVR &amp; VORP Ranks'!$BM$6))*(Settings!$E$10*TEAMS)</f>
        <v>4.8010869899460955</v>
      </c>
      <c r="V48">
        <v>47</v>
      </c>
      <c r="W48" t="str">
        <f>IFERROR(INDEX(TableTECalcPts[PLAYER],MATCH(TableTERanks[[#This Row],[RK]],TableTECalcPts[RK],0)),"")</f>
        <v>Adam Trautman</v>
      </c>
      <c r="X48" t="str">
        <f>IFERROR(INDEX(TableTECalcPts[TM],MATCH(TableTERanks[[#This Row],[RK]],TableTECalcPts[RK],0)),"")</f>
        <v>DEN</v>
      </c>
      <c r="Y48">
        <f>IFERROR(INDEX(TableTECalcPts[BYE],MATCH(TableTERanks[[#This Row],[RK]],TableTECalcPts[RK],0)),"")</f>
        <v>9</v>
      </c>
      <c r="Z48" s="57">
        <f>IFERROR(INDEX(TableTECalcPts[Custom],MATCH(TableTERanks[[#This Row],[RK]],TableTECalcPts[RK],0)),"")</f>
        <v>31.824565295600003</v>
      </c>
      <c r="AA48" s="125">
        <f>(((VLOOKUP(TableTERanks[[#This Row],[Player]],'OVR &amp; VORP Ranks'!$W:$AA,5,FALSE)))/('OVR &amp; VORP Ranks'!$BM$6))*(Settings!$E$10*TEAMS)</f>
        <v>-35.400174378001047</v>
      </c>
    </row>
    <row r="49" spans="1:27" x14ac:dyDescent="0.2">
      <c r="A49">
        <v>48</v>
      </c>
      <c r="B49" t="str">
        <f>IFERROR(INDEX(TableQBCalcPts[PLAYER],MATCH(TableQBRanks[[#This Row],[RK]],TableQBCalcPts[RK],0)),"")</f>
        <v>Mike White</v>
      </c>
      <c r="C49" t="str">
        <f>IFERROR(INDEX(TableQBCalcPts[TM],MATCH(TableQBRanks[[#This Row],[RK]],TableQBCalcPts[RK],0)),"")</f>
        <v>MIA</v>
      </c>
      <c r="D49">
        <f>IFERROR(INDEX(TableQBCalcPts[BYE],MATCH(TableQBRanks[[#This Row],[RK]],TableQBCalcPts[RK],0)),"")</f>
        <v>10</v>
      </c>
      <c r="E49" s="57">
        <f>IFERROR(INDEX(TableQBCalcPts[Custom],MATCH(TableQBRanks[[#This Row],[RK]],TableQBCalcPts[RK],0)),"")</f>
        <v>6.8469736127040051</v>
      </c>
      <c r="F49" s="125">
        <f>(((VLOOKUP(TableQBRanks[[#This Row],[Player]],'OVR &amp; VORP Ranks'!$B:$F,5,FALSE)))/('OVR &amp; VORP Ranks'!$BM$6))*(Settings!$E$10*TEAMS)</f>
        <v>-46.770085331836164</v>
      </c>
      <c r="H49">
        <v>48</v>
      </c>
      <c r="I49" t="str">
        <f>IFERROR(INDEX(TableRBCalcPts[PLAYER],MATCH(TableRBRanks[[#This Row],[RK]],TableRBCalcPts[RK],0)),"")</f>
        <v>Blake Corum</v>
      </c>
      <c r="J49" t="str">
        <f>IFERROR(INDEX(TableRBCalcPts[TM],MATCH(TableRBRanks[[#This Row],[RK]],TableRBCalcPts[RK],0)),"")</f>
        <v>LAR</v>
      </c>
      <c r="K49">
        <f>IFERROR(INDEX(TableRBCalcPts[BYE],MATCH(TableRBRanks[[#This Row],[RK]],TableRBCalcPts[RK],0)),"")</f>
        <v>10</v>
      </c>
      <c r="L49" s="57">
        <f>IFERROR(INDEX(TableRBCalcPts[Custom],MATCH(TableRBRanks[[#This Row],[RK]],TableRBCalcPts[RK],0)),"")</f>
        <v>107.8874054752704</v>
      </c>
      <c r="M49" s="125">
        <f>(((VLOOKUP(TableRBRanks[[#This Row],[Player]],'OVR &amp; VORP Ranks'!$I:$M,5,FALSE)))/('OVR &amp; VORP Ranks'!$BM$6))*(Settings!$E$10*TEAMS)</f>
        <v>-2.0022731235261708</v>
      </c>
      <c r="O49">
        <v>48</v>
      </c>
      <c r="P49" t="str">
        <f>IFERROR(INDEX(TableWRCalcPts[PLAYER],MATCH(TableWRRanks[[#This Row],[RK]],TableWRCalcPts[RK],0)),"")</f>
        <v>Diontae Johnson</v>
      </c>
      <c r="Q49" t="str">
        <f>IFERROR(INDEX(TableWRCalcPts[TM],MATCH(TableWRRanks[[#This Row],[RK]],TableWRCalcPts[RK],0)),"")</f>
        <v>CAR</v>
      </c>
      <c r="R49">
        <f>IFERROR(INDEX(TableWRCalcPts[BYE],MATCH(TableWRRanks[[#This Row],[RK]],TableWRCalcPts[RK],0)),"")</f>
        <v>7</v>
      </c>
      <c r="S49" s="57">
        <f>IFERROR(INDEX(TableWRCalcPts[Custom],MATCH(TableWRRanks[[#This Row],[RK]],TableWRCalcPts[RK],0)),"")</f>
        <v>157.09497063649198</v>
      </c>
      <c r="T49" s="125">
        <f>(((VLOOKUP(TableWRRanks[[#This Row],[Player]],'OVR &amp; VORP Ranks'!$P:$T,5,FALSE)))/('OVR &amp; VORP Ranks'!$BM$6))*(Settings!$E$10*TEAMS)</f>
        <v>4.1065246172583434</v>
      </c>
      <c r="V49">
        <v>48</v>
      </c>
      <c r="W49" t="str">
        <f>IFERROR(INDEX(TableTECalcPts[PLAYER],MATCH(TableTERanks[[#This Row],[RK]],TableTECalcPts[RK],0)),"")</f>
        <v>Gerald Everett</v>
      </c>
      <c r="X49" t="str">
        <f>IFERROR(INDEX(TableTECalcPts[TM],MATCH(TableTERanks[[#This Row],[RK]],TableTECalcPts[RK],0)),"")</f>
        <v>CHI</v>
      </c>
      <c r="Y49">
        <f>IFERROR(INDEX(TableTECalcPts[BYE],MATCH(TableTERanks[[#This Row],[RK]],TableTECalcPts[RK],0)),"")</f>
        <v>13</v>
      </c>
      <c r="Z49" s="57">
        <f>IFERROR(INDEX(TableTECalcPts[Custom],MATCH(TableTERanks[[#This Row],[RK]],TableTECalcPts[RK],0)),"")</f>
        <v>31.095113212799991</v>
      </c>
      <c r="AA49" s="125">
        <f>(((VLOOKUP(TableTERanks[[#This Row],[Player]],'OVR &amp; VORP Ranks'!$W:$AA,5,FALSE)))/('OVR &amp; VORP Ranks'!$BM$6))*(Settings!$E$10*TEAMS)</f>
        <v>-35.659652351138909</v>
      </c>
    </row>
    <row r="50" spans="1:27" x14ac:dyDescent="0.2">
      <c r="A50">
        <v>49</v>
      </c>
      <c r="B50" t="str">
        <f>IFERROR(INDEX(TableQBCalcPts[PLAYER],MATCH(TableQBRanks[[#This Row],[RK]],TableQBCalcPts[RK],0)),"")</f>
        <v>Mason Rudolph</v>
      </c>
      <c r="C50" t="str">
        <f>IFERROR(INDEX(TableQBCalcPts[TM],MATCH(TableQBRanks[[#This Row],[RK]],TableQBCalcPts[RK],0)),"")</f>
        <v>TEN</v>
      </c>
      <c r="D50">
        <f>IFERROR(INDEX(TableQBCalcPts[BYE],MATCH(TableQBRanks[[#This Row],[RK]],TableQBCalcPts[RK],0)),"")</f>
        <v>7</v>
      </c>
      <c r="E50" s="57">
        <f>IFERROR(INDEX(TableQBCalcPts[Custom],MATCH(TableQBRanks[[#This Row],[RK]],TableQBCalcPts[RK],0)),"")</f>
        <v>6.6373866058499988</v>
      </c>
      <c r="F50" s="125">
        <f>(((VLOOKUP(TableQBRanks[[#This Row],[Player]],'OVR &amp; VORP Ranks'!$B:$F,5,FALSE)))/('OVR &amp; VORP Ranks'!$BM$6))*(Settings!$E$10*TEAMS)</f>
        <v>-47.092616310443695</v>
      </c>
      <c r="H50">
        <v>49</v>
      </c>
      <c r="I50" t="str">
        <f>IFERROR(INDEX(TableRBCalcPts[PLAYER],MATCH(TableRBRanks[[#This Row],[RK]],TableRBCalcPts[RK],0)),"")</f>
        <v>Kendre Miller</v>
      </c>
      <c r="J50" t="str">
        <f>IFERROR(INDEX(TableRBCalcPts[TM],MATCH(TableRBRanks[[#This Row],[RK]],TableRBCalcPts[RK],0)),"")</f>
        <v>NO</v>
      </c>
      <c r="K50">
        <f>IFERROR(INDEX(TableRBCalcPts[BYE],MATCH(TableRBRanks[[#This Row],[RK]],TableRBCalcPts[RK],0)),"")</f>
        <v>11</v>
      </c>
      <c r="L50" s="57">
        <f>IFERROR(INDEX(TableRBCalcPts[Custom],MATCH(TableRBRanks[[#This Row],[RK]],TableRBCalcPts[RK],0)),"")</f>
        <v>106.29797474510063</v>
      </c>
      <c r="M50" s="125">
        <f>(((VLOOKUP(TableRBRanks[[#This Row],[Player]],'OVR &amp; VORP Ranks'!$I:$M,5,FALSE)))/('OVR &amp; VORP Ranks'!$BM$6))*(Settings!$E$10*TEAMS)</f>
        <v>-2.6610787151058992</v>
      </c>
      <c r="O50">
        <v>49</v>
      </c>
      <c r="P50" t="str">
        <f>IFERROR(INDEX(TableWRCalcPts[PLAYER],MATCH(TableWRRanks[[#This Row],[RK]],TableWRCalcPts[RK],0)),"")</f>
        <v>Calvin Ridley</v>
      </c>
      <c r="Q50" t="str">
        <f>IFERROR(INDEX(TableWRCalcPts[TM],MATCH(TableWRRanks[[#This Row],[RK]],TableWRCalcPts[RK],0)),"")</f>
        <v>TEN</v>
      </c>
      <c r="R50">
        <f>IFERROR(INDEX(TableWRCalcPts[BYE],MATCH(TableWRRanks[[#This Row],[RK]],TableWRCalcPts[RK],0)),"")</f>
        <v>7</v>
      </c>
      <c r="S50" s="57">
        <f>IFERROR(INDEX(TableWRCalcPts[Custom],MATCH(TableWRRanks[[#This Row],[RK]],TableWRCalcPts[RK],0)),"")</f>
        <v>154.50712981703998</v>
      </c>
      <c r="T50" s="125">
        <f>(((VLOOKUP(TableWRRanks[[#This Row],[Player]],'OVR &amp; VORP Ranks'!$P:$T,5,FALSE)))/('OVR &amp; VORP Ranks'!$BM$6))*(Settings!$E$10*TEAMS)</f>
        <v>3.2692429385841426</v>
      </c>
      <c r="V50">
        <v>49</v>
      </c>
      <c r="W50" t="str">
        <f>IFERROR(INDEX(TableTECalcPts[PLAYER],MATCH(TableTERanks[[#This Row],[RK]],TableTECalcPts[RK],0)),"")</f>
        <v>Charlie Woerner</v>
      </c>
      <c r="X50" t="str">
        <f>IFERROR(INDEX(TableTECalcPts[TM],MATCH(TableTERanks[[#This Row],[RK]],TableTECalcPts[RK],0)),"")</f>
        <v>ATL</v>
      </c>
      <c r="Y50">
        <f>IFERROR(INDEX(TableTECalcPts[BYE],MATCH(TableTERanks[[#This Row],[RK]],TableTECalcPts[RK],0)),"")</f>
        <v>11</v>
      </c>
      <c r="Z50" s="57">
        <f>IFERROR(INDEX(TableTECalcPts[Custom],MATCH(TableTERanks[[#This Row],[RK]],TableTECalcPts[RK],0)),"")</f>
        <v>27.385607208959996</v>
      </c>
      <c r="AA50" s="125">
        <f>(((VLOOKUP(TableTERanks[[#This Row],[Player]],'OVR &amp; VORP Ranks'!$W:$AA,5,FALSE)))/('OVR &amp; VORP Ranks'!$BM$6))*(Settings!$E$10*TEAMS)</f>
        <v>-36.97918398579327</v>
      </c>
    </row>
    <row r="51" spans="1:27" x14ac:dyDescent="0.2">
      <c r="A51">
        <v>50</v>
      </c>
      <c r="B51" t="str">
        <f>IFERROR(INDEX(TableQBCalcPts[PLAYER],MATCH(TableQBRanks[[#This Row],[RK]],TableQBCalcPts[RK],0)),"")</f>
        <v>Josh Johnson</v>
      </c>
      <c r="C51" t="str">
        <f>IFERROR(INDEX(TableQBCalcPts[TM],MATCH(TableQBRanks[[#This Row],[RK]],TableQBCalcPts[RK],0)),"")</f>
        <v>BAL</v>
      </c>
      <c r="D51">
        <f>IFERROR(INDEX(TableQBCalcPts[BYE],MATCH(TableQBRanks[[#This Row],[RK]],TableQBCalcPts[RK],0)),"")</f>
        <v>13</v>
      </c>
      <c r="E51" s="57">
        <f>IFERROR(INDEX(TableQBCalcPts[Custom],MATCH(TableQBRanks[[#This Row],[RK]],TableQBCalcPts[RK],0)),"")</f>
        <v>6.452833848480001</v>
      </c>
      <c r="F51" s="125">
        <f>(((VLOOKUP(TableQBRanks[[#This Row],[Player]],'OVR &amp; VORP Ranks'!$B:$F,5,FALSE)))/('OVR &amp; VORP Ranks'!$BM$6))*(Settings!$E$10*TEAMS)</f>
        <v>-49.144178704894898</v>
      </c>
      <c r="H51">
        <v>50</v>
      </c>
      <c r="I51" t="str">
        <f>IFERROR(INDEX(TableRBCalcPts[PLAYER],MATCH(TableRBRanks[[#This Row],[RK]],TableRBCalcPts[RK],0)),"")</f>
        <v>Ray Davis</v>
      </c>
      <c r="J51" t="str">
        <f>IFERROR(INDEX(TableRBCalcPts[TM],MATCH(TableRBRanks[[#This Row],[RK]],TableRBCalcPts[RK],0)),"")</f>
        <v>BUF</v>
      </c>
      <c r="K51">
        <f>IFERROR(INDEX(TableRBCalcPts[BYE],MATCH(TableRBRanks[[#This Row],[RK]],TableRBCalcPts[RK],0)),"")</f>
        <v>13</v>
      </c>
      <c r="L51" s="57">
        <f>IFERROR(INDEX(TableRBCalcPts[Custom],MATCH(TableRBRanks[[#This Row],[RK]],TableRBCalcPts[RK],0)),"")</f>
        <v>95.421957594163203</v>
      </c>
      <c r="M51" s="125">
        <f>(((VLOOKUP(TableRBRanks[[#This Row],[Player]],'OVR &amp; VORP Ranks'!$I:$M,5,FALSE)))/('OVR &amp; VORP Ranks'!$BM$6))*(Settings!$E$10*TEAMS)</f>
        <v>-7.1690958165427716</v>
      </c>
      <c r="O51">
        <v>50</v>
      </c>
      <c r="P51" t="str">
        <f>IFERROR(INDEX(TableWRCalcPts[PLAYER],MATCH(TableWRRanks[[#This Row],[RK]],TableWRCalcPts[RK],0)),"")</f>
        <v>Mike Williams</v>
      </c>
      <c r="Q51" t="str">
        <f>IFERROR(INDEX(TableWRCalcPts[TM],MATCH(TableWRRanks[[#This Row],[RK]],TableWRCalcPts[RK],0)),"")</f>
        <v>NYJ</v>
      </c>
      <c r="R51">
        <f>IFERROR(INDEX(TableWRCalcPts[BYE],MATCH(TableWRRanks[[#This Row],[RK]],TableWRCalcPts[RK],0)),"")</f>
        <v>7</v>
      </c>
      <c r="S51" s="57">
        <f>IFERROR(INDEX(TableWRCalcPts[Custom],MATCH(TableWRRanks[[#This Row],[RK]],TableWRCalcPts[RK],0)),"")</f>
        <v>154.22685332053999</v>
      </c>
      <c r="T51" s="125">
        <f>(((VLOOKUP(TableWRRanks[[#This Row],[Player]],'OVR &amp; VORP Ranks'!$P:$T,5,FALSE)))/('OVR &amp; VORP Ranks'!$BM$6))*(Settings!$E$10*TEAMS)</f>
        <v>3.1785610180740038</v>
      </c>
      <c r="V51">
        <v>50</v>
      </c>
      <c r="W51" t="str">
        <f>IFERROR(INDEX(TableTECalcPts[PLAYER],MATCH(TableTERanks[[#This Row],[RK]],TableTECalcPts[RK],0)),"")</f>
        <v>Pharoah Brown</v>
      </c>
      <c r="X51" t="str">
        <f>IFERROR(INDEX(TableTECalcPts[TM],MATCH(TableTERanks[[#This Row],[RK]],TableTECalcPts[RK],0)),"")</f>
        <v>SEA</v>
      </c>
      <c r="Y51">
        <f>IFERROR(INDEX(TableTECalcPts[BYE],MATCH(TableTERanks[[#This Row],[RK]],TableTECalcPts[RK],0)),"")</f>
        <v>5</v>
      </c>
      <c r="Z51" s="57">
        <f>IFERROR(INDEX(TableTECalcPts[Custom],MATCH(TableTERanks[[#This Row],[RK]],TableTECalcPts[RK],0)),"")</f>
        <v>26.411950109999999</v>
      </c>
      <c r="AA51" s="125">
        <f>(((VLOOKUP(TableTERanks[[#This Row],[Player]],'OVR &amp; VORP Ranks'!$W:$AA,5,FALSE)))/('OVR &amp; VORP Ranks'!$BM$6))*(Settings!$E$10*TEAMS)</f>
        <v>-37.325529656093728</v>
      </c>
    </row>
    <row r="52" spans="1:27" x14ac:dyDescent="0.2">
      <c r="A52">
        <v>51</v>
      </c>
      <c r="B52" t="str">
        <f>IFERROR(INDEX(TableQBCalcPts[PLAYER],MATCH(TableQBRanks[[#This Row],[RK]],TableQBCalcPts[RK],0)),"")</f>
        <v>Taylor Heinicke</v>
      </c>
      <c r="C52" t="str">
        <f>IFERROR(INDEX(TableQBCalcPts[TM],MATCH(TableQBRanks[[#This Row],[RK]],TableQBCalcPts[RK],0)),"")</f>
        <v>ATL</v>
      </c>
      <c r="D52">
        <f>IFERROR(INDEX(TableQBCalcPts[BYE],MATCH(TableQBRanks[[#This Row],[RK]],TableQBCalcPts[RK],0)),"")</f>
        <v>11</v>
      </c>
      <c r="E52" s="57">
        <f>IFERROR(INDEX(TableQBCalcPts[Custom],MATCH(TableQBRanks[[#This Row],[RK]],TableQBCalcPts[RK],0)),"")</f>
        <v>6.4204729228800002</v>
      </c>
      <c r="F52" s="125">
        <f>(((VLOOKUP(TableQBRanks[[#This Row],[Player]],'OVR &amp; VORP Ranks'!$B:$F,5,FALSE)))/('OVR &amp; VORP Ranks'!$BM$6))*(Settings!$E$10*TEAMS)</f>
        <v>-49.208584237556146</v>
      </c>
      <c r="H52">
        <v>51</v>
      </c>
      <c r="I52" t="str">
        <f>IFERROR(INDEX(TableRBCalcPts[PLAYER],MATCH(TableRBRanks[[#This Row],[RK]],TableRBCalcPts[RK],0)),"")</f>
        <v>Samaje Perine</v>
      </c>
      <c r="J52" t="str">
        <f>IFERROR(INDEX(TableRBCalcPts[TM],MATCH(TableRBRanks[[#This Row],[RK]],TableRBCalcPts[RK],0)),"")</f>
        <v>DEN</v>
      </c>
      <c r="K52">
        <f>IFERROR(INDEX(TableRBCalcPts[BYE],MATCH(TableRBRanks[[#This Row],[RK]],TableRBCalcPts[RK],0)),"")</f>
        <v>9</v>
      </c>
      <c r="L52" s="57">
        <f>IFERROR(INDEX(TableRBCalcPts[Custom],MATCH(TableRBRanks[[#This Row],[RK]],TableRBCalcPts[RK],0)),"")</f>
        <v>95.098238476724006</v>
      </c>
      <c r="M52" s="125">
        <f>(((VLOOKUP(TableRBRanks[[#This Row],[Player]],'OVR &amp; VORP Ranks'!$I:$M,5,FALSE)))/('OVR &amp; VORP Ranks'!$BM$6))*(Settings!$E$10*TEAMS)</f>
        <v>-7.3032746521611189</v>
      </c>
      <c r="O52">
        <v>51</v>
      </c>
      <c r="P52" t="str">
        <f>IFERROR(INDEX(TableWRCalcPts[PLAYER],MATCH(TableWRRanks[[#This Row],[RK]],TableWRCalcPts[RK],0)),"")</f>
        <v>Jakobi Meyers</v>
      </c>
      <c r="Q52" t="str">
        <f>IFERROR(INDEX(TableWRCalcPts[TM],MATCH(TableWRRanks[[#This Row],[RK]],TableWRCalcPts[RK],0)),"")</f>
        <v>LV</v>
      </c>
      <c r="R52">
        <f>IFERROR(INDEX(TableWRCalcPts[BYE],MATCH(TableWRRanks[[#This Row],[RK]],TableWRCalcPts[RK],0)),"")</f>
        <v>13</v>
      </c>
      <c r="S52" s="57">
        <f>IFERROR(INDEX(TableWRCalcPts[Custom],MATCH(TableWRRanks[[#This Row],[RK]],TableWRCalcPts[RK],0)),"")</f>
        <v>152.92230757999994</v>
      </c>
      <c r="T52" s="125">
        <f>(((VLOOKUP(TableWRRanks[[#This Row],[Player]],'OVR &amp; VORP Ranks'!$P:$T,5,FALSE)))/('OVR &amp; VORP Ranks'!$BM$6))*(Settings!$E$10*TEAMS)</f>
        <v>2.7564824113311239</v>
      </c>
      <c r="V52">
        <v>51</v>
      </c>
      <c r="W52" t="str">
        <f>IFERROR(INDEX(TableTECalcPts[PLAYER],MATCH(TableTERanks[[#This Row],[RK]],TableTECalcPts[RK],0)),"")</f>
        <v>Chris Manhertz</v>
      </c>
      <c r="X52" t="str">
        <f>IFERROR(INDEX(TableTECalcPts[TM],MATCH(TableTERanks[[#This Row],[RK]],TableTECalcPts[RK],0)),"")</f>
        <v>NYG</v>
      </c>
      <c r="Y52">
        <f>IFERROR(INDEX(TableTECalcPts[BYE],MATCH(TableTERanks[[#This Row],[RK]],TableTECalcPts[RK],0)),"")</f>
        <v>13</v>
      </c>
      <c r="Z52" s="57">
        <f>IFERROR(INDEX(TableTECalcPts[Custom],MATCH(TableTERanks[[#This Row],[RK]],TableTECalcPts[RK],0)),"")</f>
        <v>26.011431263999992</v>
      </c>
      <c r="AA52" s="125">
        <f>(((VLOOKUP(TableTERanks[[#This Row],[Player]],'OVR &amp; VORP Ranks'!$W:$AA,5,FALSE)))/('OVR &amp; VORP Ranks'!$BM$6))*(Settings!$E$10*TEAMS)</f>
        <v>-37.468000725563677</v>
      </c>
    </row>
    <row r="53" spans="1:27" x14ac:dyDescent="0.2">
      <c r="A53">
        <v>52</v>
      </c>
      <c r="B53" t="str">
        <f>IFERROR(INDEX(TableQBCalcPts[PLAYER],MATCH(TableQBRanks[[#This Row],[RK]],TableQBCalcPts[RK],0)),"")</f>
        <v>Trey Lance</v>
      </c>
      <c r="C53" t="str">
        <f>IFERROR(INDEX(TableQBCalcPts[TM],MATCH(TableQBRanks[[#This Row],[RK]],TableQBCalcPts[RK],0)),"")</f>
        <v>DAL</v>
      </c>
      <c r="D53">
        <f>IFERROR(INDEX(TableQBCalcPts[BYE],MATCH(TableQBRanks[[#This Row],[RK]],TableQBCalcPts[RK],0)),"")</f>
        <v>7</v>
      </c>
      <c r="E53" s="57">
        <f>IFERROR(INDEX(TableQBCalcPts[Custom],MATCH(TableQBRanks[[#This Row],[RK]],TableQBCalcPts[RK],0)),"")</f>
        <v>5.697326827800004</v>
      </c>
      <c r="F53" s="125">
        <f>(((VLOOKUP(TableQBRanks[[#This Row],[Player]],'OVR &amp; VORP Ranks'!$B:$F,5,FALSE)))/('OVR &amp; VORP Ranks'!$BM$6))*(Settings!$E$10*TEAMS)</f>
        <v>-49.840543348354863</v>
      </c>
      <c r="H53">
        <v>52</v>
      </c>
      <c r="I53" t="str">
        <f>IFERROR(INDEX(TableRBCalcPts[PLAYER],MATCH(TableRBRanks[[#This Row],[RK]],TableRBCalcPts[RK],0)),"")</f>
        <v>MarShawn Lloyd</v>
      </c>
      <c r="J53" t="str">
        <f>IFERROR(INDEX(TableRBCalcPts[TM],MATCH(TableRBRanks[[#This Row],[RK]],TableRBCalcPts[RK],0)),"")</f>
        <v>GB</v>
      </c>
      <c r="K53">
        <f>IFERROR(INDEX(TableRBCalcPts[BYE],MATCH(TableRBRanks[[#This Row],[RK]],TableRBCalcPts[RK],0)),"")</f>
        <v>6</v>
      </c>
      <c r="L53" s="57">
        <f>IFERROR(INDEX(TableRBCalcPts[Custom],MATCH(TableRBRanks[[#This Row],[RK]],TableRBCalcPts[RK],0)),"")</f>
        <v>92.192326900800012</v>
      </c>
      <c r="M53" s="125">
        <f>(((VLOOKUP(TableRBRanks[[#This Row],[Player]],'OVR &amp; VORP Ranks'!$I:$M,5,FALSE)))/('OVR &amp; VORP Ranks'!$BM$6))*(Settings!$E$10*TEAMS)</f>
        <v>-8.5077504172990608</v>
      </c>
      <c r="O53">
        <v>52</v>
      </c>
      <c r="P53" t="str">
        <f>IFERROR(INDEX(TableWRCalcPts[PLAYER],MATCH(TableWRRanks[[#This Row],[RK]],TableWRCalcPts[RK],0)),"")</f>
        <v>Keenan Allen</v>
      </c>
      <c r="Q53" t="str">
        <f>IFERROR(INDEX(TableWRCalcPts[TM],MATCH(TableWRRanks[[#This Row],[RK]],TableWRCalcPts[RK],0)),"")</f>
        <v>CHI</v>
      </c>
      <c r="R53">
        <f>IFERROR(INDEX(TableWRCalcPts[BYE],MATCH(TableWRRanks[[#This Row],[RK]],TableWRCalcPts[RK],0)),"")</f>
        <v>13</v>
      </c>
      <c r="S53" s="57">
        <f>IFERROR(INDEX(TableWRCalcPts[Custom],MATCH(TableWRRanks[[#This Row],[RK]],TableWRCalcPts[RK],0)),"")</f>
        <v>151.05445991999994</v>
      </c>
      <c r="T53" s="125">
        <f>(((VLOOKUP(TableWRRanks[[#This Row],[Player]],'OVR &amp; VORP Ranks'!$P:$T,5,FALSE)))/('OVR &amp; VORP Ranks'!$BM$6))*(Settings!$E$10*TEAMS)</f>
        <v>2.1521505635153644</v>
      </c>
      <c r="V53">
        <v>52</v>
      </c>
      <c r="W53" t="str">
        <f>IFERROR(INDEX(TableTECalcPts[PLAYER],MATCH(TableTERanks[[#This Row],[RK]],TableTECalcPts[RK],0)),"")</f>
        <v>Harrison Bryant</v>
      </c>
      <c r="X53" t="str">
        <f>IFERROR(INDEX(TableTECalcPts[TM],MATCH(TableTERanks[[#This Row],[RK]],TableTECalcPts[RK],0)),"")</f>
        <v>LV</v>
      </c>
      <c r="Y53">
        <f>IFERROR(INDEX(TableTECalcPts[BYE],MATCH(TableTERanks[[#This Row],[RK]],TableTECalcPts[RK],0)),"")</f>
        <v>13</v>
      </c>
      <c r="Z53" s="57">
        <f>IFERROR(INDEX(TableTECalcPts[Custom],MATCH(TableTERanks[[#This Row],[RK]],TableTECalcPts[RK],0)),"")</f>
        <v>25.738369796999997</v>
      </c>
      <c r="AA53" s="125">
        <f>(((VLOOKUP(TableTERanks[[#This Row],[Player]],'OVR &amp; VORP Ranks'!$W:$AA,5,FALSE)))/('OVR &amp; VORP Ranks'!$BM$6))*(Settings!$E$10*TEAMS)</f>
        <v>-37.565133131748929</v>
      </c>
    </row>
    <row r="54" spans="1:27" x14ac:dyDescent="0.2">
      <c r="A54">
        <v>53</v>
      </c>
      <c r="B54" t="str">
        <f>IFERROR(INDEX(TableQBCalcPts[PLAYER],MATCH(TableQBRanks[[#This Row],[RK]],TableQBCalcPts[RK],0)),"")</f>
        <v>Kenny Pickett</v>
      </c>
      <c r="C54" t="str">
        <f>IFERROR(INDEX(TableQBCalcPts[TM],MATCH(TableQBRanks[[#This Row],[RK]],TableQBCalcPts[RK],0)),"")</f>
        <v>PHI</v>
      </c>
      <c r="D54">
        <f>IFERROR(INDEX(TableQBCalcPts[BYE],MATCH(TableQBRanks[[#This Row],[RK]],TableQBCalcPts[RK],0)),"")</f>
        <v>10</v>
      </c>
      <c r="E54" s="57">
        <f>IFERROR(INDEX(TableQBCalcPts[Custom],MATCH(TableQBRanks[[#This Row],[RK]],TableQBCalcPts[RK],0)),"")</f>
        <v>5.3997111671040043</v>
      </c>
      <c r="F54" s="125">
        <f>(((VLOOKUP(TableQBRanks[[#This Row],[Player]],'OVR &amp; VORP Ranks'!$B:$F,5,FALSE)))/('OVR &amp; VORP Ranks'!$BM$6))*(Settings!$E$10*TEAMS)</f>
        <v>-50.039762122929929</v>
      </c>
      <c r="H54">
        <v>53</v>
      </c>
      <c r="I54" t="str">
        <f>IFERROR(INDEX(TableRBCalcPts[PLAYER],MATCH(TableRBRanks[[#This Row],[RK]],TableRBCalcPts[RK],0)),"")</f>
        <v>Jaylen Wright</v>
      </c>
      <c r="J54" t="str">
        <f>IFERROR(INDEX(TableRBCalcPts[TM],MATCH(TableRBRanks[[#This Row],[RK]],TableRBCalcPts[RK],0)),"")</f>
        <v>MIA</v>
      </c>
      <c r="K54">
        <f>IFERROR(INDEX(TableRBCalcPts[BYE],MATCH(TableRBRanks[[#This Row],[RK]],TableRBCalcPts[RK],0)),"")</f>
        <v>10</v>
      </c>
      <c r="L54" s="57">
        <f>IFERROR(INDEX(TableRBCalcPts[Custom],MATCH(TableRBRanks[[#This Row],[RK]],TableRBCalcPts[RK],0)),"")</f>
        <v>91.322713680576001</v>
      </c>
      <c r="M54" s="125">
        <f>(((VLOOKUP(TableRBRanks[[#This Row],[Player]],'OVR &amp; VORP Ranks'!$I:$M,5,FALSE)))/('OVR &amp; VORP Ranks'!$BM$6))*(Settings!$E$10*TEAMS)</f>
        <v>-8.8681977404321941</v>
      </c>
      <c r="O54">
        <v>53</v>
      </c>
      <c r="P54" t="str">
        <f>IFERROR(INDEX(TableWRCalcPts[PLAYER],MATCH(TableWRRanks[[#This Row],[RK]],TableWRCalcPts[RK],0)),"")</f>
        <v>Tyler Lockett</v>
      </c>
      <c r="Q54" t="str">
        <f>IFERROR(INDEX(TableWRCalcPts[TM],MATCH(TableWRRanks[[#This Row],[RK]],TableWRCalcPts[RK],0)),"")</f>
        <v>SEA</v>
      </c>
      <c r="R54">
        <f>IFERROR(INDEX(TableWRCalcPts[BYE],MATCH(TableWRRanks[[#This Row],[RK]],TableWRCalcPts[RK],0)),"")</f>
        <v>5</v>
      </c>
      <c r="S54" s="57">
        <f>IFERROR(INDEX(TableWRCalcPts[Custom],MATCH(TableWRRanks[[#This Row],[RK]],TableWRCalcPts[RK],0)),"")</f>
        <v>149.2854967056096</v>
      </c>
      <c r="T54" s="125">
        <f>(((VLOOKUP(TableWRRanks[[#This Row],[Player]],'OVR &amp; VORP Ranks'!$P:$T,5,FALSE)))/('OVR &amp; VORP Ranks'!$BM$6))*(Settings!$E$10*TEAMS)</f>
        <v>1.5798122347725259</v>
      </c>
      <c r="V54">
        <v>53</v>
      </c>
      <c r="W54" t="str">
        <f>IFERROR(INDEX(TableTECalcPts[PLAYER],MATCH(TableTERanks[[#This Row],[RK]],TableTECalcPts[RK],0)),"")</f>
        <v>Irv Smith</v>
      </c>
      <c r="X54" t="str">
        <f>IFERROR(INDEX(TableTECalcPts[TM],MATCH(TableTERanks[[#This Row],[RK]],TableTECalcPts[RK],0)),"")</f>
        <v>KC</v>
      </c>
      <c r="Y54">
        <f>IFERROR(INDEX(TableTECalcPts[BYE],MATCH(TableTERanks[[#This Row],[RK]],TableTECalcPts[RK],0)),"")</f>
        <v>10</v>
      </c>
      <c r="Z54" s="57">
        <f>IFERROR(INDEX(TableTECalcPts[Custom],MATCH(TableTERanks[[#This Row],[RK]],TableTECalcPts[RK],0)),"")</f>
        <v>25.696037848319992</v>
      </c>
      <c r="AA54" s="125">
        <f>(((VLOOKUP(TableTERanks[[#This Row],[Player]],'OVR &amp; VORP Ranks'!$W:$AA,5,FALSE)))/('OVR &amp; VORP Ranks'!$BM$6))*(Settings!$E$10*TEAMS)</f>
        <v>-37.58019129458301</v>
      </c>
    </row>
    <row r="55" spans="1:27" x14ac:dyDescent="0.2">
      <c r="A55">
        <v>54</v>
      </c>
      <c r="B55" t="str">
        <f>IFERROR(INDEX(TableQBCalcPts[PLAYER],MATCH(TableQBRanks[[#This Row],[RK]],TableQBCalcPts[RK],0)),"")</f>
        <v>Hendon Hooker</v>
      </c>
      <c r="C55" t="str">
        <f>IFERROR(INDEX(TableQBCalcPts[TM],MATCH(TableQBRanks[[#This Row],[RK]],TableQBCalcPts[RK],0)),"")</f>
        <v>DET</v>
      </c>
      <c r="D55">
        <f>IFERROR(INDEX(TableQBCalcPts[BYE],MATCH(TableQBRanks[[#This Row],[RK]],TableQBCalcPts[RK],0)),"")</f>
        <v>9</v>
      </c>
      <c r="E55" s="57">
        <f>IFERROR(INDEX(TableQBCalcPts[Custom],MATCH(TableQBRanks[[#This Row],[RK]],TableQBCalcPts[RK],0)),"")</f>
        <v>5.3230360408560049</v>
      </c>
      <c r="F55" s="125">
        <f>(((VLOOKUP(TableQBRanks[[#This Row],[Player]],'OVR &amp; VORP Ranks'!$B:$F,5,FALSE)))/('OVR &amp; VORP Ranks'!$BM$6))*(Settings!$E$10*TEAMS)</f>
        <v>-50.191012862396171</v>
      </c>
      <c r="H55">
        <v>54</v>
      </c>
      <c r="I55" t="str">
        <f>IFERROR(INDEX(TableRBCalcPts[PLAYER],MATCH(TableRBRanks[[#This Row],[RK]],TableRBCalcPts[RK],0)),"")</f>
        <v>Roschon Johnson</v>
      </c>
      <c r="J55" t="str">
        <f>IFERROR(INDEX(TableRBCalcPts[TM],MATCH(TableRBRanks[[#This Row],[RK]],TableRBCalcPts[RK],0)),"")</f>
        <v>CHI</v>
      </c>
      <c r="K55">
        <f>IFERROR(INDEX(TableRBCalcPts[BYE],MATCH(TableRBRanks[[#This Row],[RK]],TableRBCalcPts[RK],0)),"")</f>
        <v>13</v>
      </c>
      <c r="L55" s="57">
        <f>IFERROR(INDEX(TableRBCalcPts[Custom],MATCH(TableRBRanks[[#This Row],[RK]],TableRBCalcPts[RK],0)),"")</f>
        <v>90.562940092799991</v>
      </c>
      <c r="M55" s="125">
        <f>(((VLOOKUP(TableRBRanks[[#This Row],[Player]],'OVR &amp; VORP Ranks'!$I:$M,5,FALSE)))/('OVR &amp; VORP Ranks'!$BM$6))*(Settings!$E$10*TEAMS)</f>
        <v>-9.1831174651237912</v>
      </c>
      <c r="O55">
        <v>54</v>
      </c>
      <c r="P55" t="str">
        <f>IFERROR(INDEX(TableWRCalcPts[PLAYER],MATCH(TableWRRanks[[#This Row],[RK]],TableWRCalcPts[RK],0)),"")</f>
        <v>Marquise Brown</v>
      </c>
      <c r="Q55" t="str">
        <f>IFERROR(INDEX(TableWRCalcPts[TM],MATCH(TableWRRanks[[#This Row],[RK]],TableWRCalcPts[RK],0)),"")</f>
        <v>KC</v>
      </c>
      <c r="R55">
        <f>IFERROR(INDEX(TableWRCalcPts[BYE],MATCH(TableWRRanks[[#This Row],[RK]],TableWRCalcPts[RK],0)),"")</f>
        <v>10</v>
      </c>
      <c r="S55" s="57">
        <f>IFERROR(INDEX(TableWRCalcPts[Custom],MATCH(TableWRRanks[[#This Row],[RK]],TableWRCalcPts[RK],0)),"")</f>
        <v>147.63615491071997</v>
      </c>
      <c r="T55" s="125">
        <f>(((VLOOKUP(TableWRRanks[[#This Row],[Player]],'OVR &amp; VORP Ranks'!$P:$T,5,FALSE)))/('OVR &amp; VORP Ranks'!$BM$6))*(Settings!$E$10*TEAMS)</f>
        <v>1.0461767590692139</v>
      </c>
      <c r="V55">
        <v>54</v>
      </c>
      <c r="W55" t="str">
        <f>IFERROR(INDEX(TableTECalcPts[PLAYER],MATCH(TableTERanks[[#This Row],[RK]],TableTECalcPts[RK],0)),"")</f>
        <v>Hayden Hurst</v>
      </c>
      <c r="X55" t="str">
        <f>IFERROR(INDEX(TableTECalcPts[TM],MATCH(TableTERanks[[#This Row],[RK]],TableTECalcPts[RK],0)),"")</f>
        <v>LAC</v>
      </c>
      <c r="Y55">
        <f>IFERROR(INDEX(TableTECalcPts[BYE],MATCH(TableTERanks[[#This Row],[RK]],TableTECalcPts[RK],0)),"")</f>
        <v>5</v>
      </c>
      <c r="Z55" s="57">
        <f>IFERROR(INDEX(TableTECalcPts[Custom],MATCH(TableTERanks[[#This Row],[RK]],TableTECalcPts[RK],0)),"")</f>
        <v>25.211992245510004</v>
      </c>
      <c r="AA55" s="125">
        <f>(((VLOOKUP(TableTERanks[[#This Row],[Player]],'OVR &amp; VORP Ranks'!$W:$AA,5,FALSE)))/('OVR &amp; VORP Ranks'!$BM$6))*(Settings!$E$10*TEAMS)</f>
        <v>-37.7523741903276</v>
      </c>
    </row>
    <row r="56" spans="1:27" x14ac:dyDescent="0.2">
      <c r="A56">
        <v>55</v>
      </c>
      <c r="B56" t="str">
        <f>IFERROR(INDEX(TableQBCalcPts[PLAYER],MATCH(TableQBRanks[[#This Row],[RK]],TableQBCalcPts[RK],0)),"")</f>
        <v>Tyrod Taylor</v>
      </c>
      <c r="C56" t="str">
        <f>IFERROR(INDEX(TableQBCalcPts[TM],MATCH(TableQBRanks[[#This Row],[RK]],TableQBCalcPts[RK],0)),"")</f>
        <v>NYJ</v>
      </c>
      <c r="D56">
        <f>IFERROR(INDEX(TableQBCalcPts[BYE],MATCH(TableQBRanks[[#This Row],[RK]],TableQBCalcPts[RK],0)),"")</f>
        <v>7</v>
      </c>
      <c r="E56" s="57">
        <f>IFERROR(INDEX(TableQBCalcPts[Custom],MATCH(TableQBRanks[[#This Row],[RK]],TableQBCalcPts[RK],0)),"")</f>
        <v>5.1004583192640007</v>
      </c>
      <c r="F56" s="125">
        <f>(((VLOOKUP(TableQBRanks[[#This Row],[Player]],'OVR &amp; VORP Ranks'!$B:$F,5,FALSE)))/('OVR &amp; VORP Ranks'!$BM$6))*(Settings!$E$10*TEAMS)</f>
        <v>-51.853573311329292</v>
      </c>
      <c r="H56">
        <v>55</v>
      </c>
      <c r="I56" t="str">
        <f>IFERROR(INDEX(TableRBCalcPts[PLAYER],MATCH(TableRBRanks[[#This Row],[RK]],TableRBCalcPts[RK],0)),"")</f>
        <v>Audric Estime</v>
      </c>
      <c r="J56" t="str">
        <f>IFERROR(INDEX(TableRBCalcPts[TM],MATCH(TableRBRanks[[#This Row],[RK]],TableRBCalcPts[RK],0)),"")</f>
        <v>DEN</v>
      </c>
      <c r="K56">
        <f>IFERROR(INDEX(TableRBCalcPts[BYE],MATCH(TableRBRanks[[#This Row],[RK]],TableRBCalcPts[RK],0)),"")</f>
        <v>9</v>
      </c>
      <c r="L56" s="57">
        <f>IFERROR(INDEX(TableRBCalcPts[Custom],MATCH(TableRBRanks[[#This Row],[RK]],TableRBCalcPts[RK],0)),"")</f>
        <v>81.797843901900023</v>
      </c>
      <c r="M56" s="125">
        <f>(((VLOOKUP(TableRBRanks[[#This Row],[Player]],'OVR &amp; VORP Ranks'!$I:$M,5,FALSE)))/('OVR &amp; VORP Ranks'!$BM$6))*(Settings!$E$10*TEAMS)</f>
        <v>-12.816175686341335</v>
      </c>
      <c r="O56">
        <v>55</v>
      </c>
      <c r="P56" t="str">
        <f>IFERROR(INDEX(TableWRCalcPts[PLAYER],MATCH(TableWRRanks[[#This Row],[RK]],TableWRCalcPts[RK],0)),"")</f>
        <v>Michael Wilson</v>
      </c>
      <c r="Q56" t="str">
        <f>IFERROR(INDEX(TableWRCalcPts[TM],MATCH(TableWRRanks[[#This Row],[RK]],TableWRCalcPts[RK],0)),"")</f>
        <v>ARI</v>
      </c>
      <c r="R56">
        <f>IFERROR(INDEX(TableWRCalcPts[BYE],MATCH(TableWRRanks[[#This Row],[RK]],TableWRCalcPts[RK],0)),"")</f>
        <v>14</v>
      </c>
      <c r="S56" s="57">
        <f>IFERROR(INDEX(TableWRCalcPts[Custom],MATCH(TableWRRanks[[#This Row],[RK]],TableWRCalcPts[RK],0)),"")</f>
        <v>144.59086635304499</v>
      </c>
      <c r="T56" s="125">
        <f>(((VLOOKUP(TableWRRanks[[#This Row],[Player]],'OVR &amp; VORP Ranks'!$P:$T,5,FALSE)))/('OVR &amp; VORP Ranks'!$BM$6))*(Settings!$E$10*TEAMS)</f>
        <v>6.0890378063220486E-2</v>
      </c>
      <c r="V56">
        <v>55</v>
      </c>
      <c r="W56" t="str">
        <f>IFERROR(INDEX(TableTECalcPts[PLAYER],MATCH(TableTERanks[[#This Row],[RK]],TableTECalcPts[RK],0)),"")</f>
        <v>Cade Stover</v>
      </c>
      <c r="X56" t="str">
        <f>IFERROR(INDEX(TableTECalcPts[TM],MATCH(TableTERanks[[#This Row],[RK]],TableTECalcPts[RK],0)),"")</f>
        <v>HOU</v>
      </c>
      <c r="Y56">
        <f>IFERROR(INDEX(TableTECalcPts[BYE],MATCH(TableTERanks[[#This Row],[RK]],TableTECalcPts[RK],0)),"")</f>
        <v>7</v>
      </c>
      <c r="Z56" s="57">
        <f>IFERROR(INDEX(TableTECalcPts[Custom],MATCH(TableTERanks[[#This Row],[RK]],TableTECalcPts[RK],0)),"")</f>
        <v>23.553999006720002</v>
      </c>
      <c r="AA56" s="125">
        <f>(((VLOOKUP(TableTERanks[[#This Row],[Player]],'OVR &amp; VORP Ranks'!$W:$AA,5,FALSE)))/('OVR &amp; VORP Ranks'!$BM$6))*(Settings!$E$10*TEAMS)</f>
        <v>-38.342149358870728</v>
      </c>
    </row>
    <row r="57" spans="1:27" x14ac:dyDescent="0.2">
      <c r="A57">
        <v>56</v>
      </c>
      <c r="B57" t="str">
        <f>IFERROR(INDEX(TableQBCalcPts[PLAYER],MATCH(TableQBRanks[[#This Row],[RK]],TableQBCalcPts[RK],0)),"")</f>
        <v>Nathan Peterman</v>
      </c>
      <c r="C57" t="str">
        <f>IFERROR(INDEX(TableQBCalcPts[TM],MATCH(TableQBRanks[[#This Row],[RK]],TableQBCalcPts[RK],0)),"")</f>
        <v>NO</v>
      </c>
      <c r="D57">
        <f>IFERROR(INDEX(TableQBCalcPts[BYE],MATCH(TableQBRanks[[#This Row],[RK]],TableQBCalcPts[RK],0)),"")</f>
        <v>11</v>
      </c>
      <c r="E57" s="57">
        <f>IFERROR(INDEX(TableQBCalcPts[Custom],MATCH(TableQBRanks[[#This Row],[RK]],TableQBCalcPts[RK],0)),"")</f>
        <v>4.8003418979999992</v>
      </c>
      <c r="F57" s="125">
        <f>(((VLOOKUP(TableQBRanks[[#This Row],[Player]],'OVR &amp; VORP Ranks'!$B:$F,5,FALSE)))/('OVR &amp; VORP Ranks'!$BM$6))*(Settings!$E$10*TEAMS)</f>
        <v>-52.092491782823089</v>
      </c>
      <c r="H57">
        <v>56</v>
      </c>
      <c r="I57" t="str">
        <f>IFERROR(INDEX(TableRBCalcPts[PLAYER],MATCH(TableRBRanks[[#This Row],[RK]],TableRBCalcPts[RK],0)),"")</f>
        <v>Cordarrelle Patterson</v>
      </c>
      <c r="J57" t="str">
        <f>IFERROR(INDEX(TableRBCalcPts[TM],MATCH(TableRBRanks[[#This Row],[RK]],TableRBCalcPts[RK],0)),"")</f>
        <v>PIT</v>
      </c>
      <c r="K57">
        <f>IFERROR(INDEX(TableRBCalcPts[BYE],MATCH(TableRBRanks[[#This Row],[RK]],TableRBCalcPts[RK],0)),"")</f>
        <v>6</v>
      </c>
      <c r="L57" s="57">
        <f>IFERROR(INDEX(TableRBCalcPts[Custom],MATCH(TableRBRanks[[#This Row],[RK]],TableRBCalcPts[RK],0)),"")</f>
        <v>80.717055472620004</v>
      </c>
      <c r="M57" s="125">
        <f>(((VLOOKUP(TableRBRanks[[#This Row],[Player]],'OVR &amp; VORP Ranks'!$I:$M,5,FALSE)))/('OVR &amp; VORP Ranks'!$BM$6))*(Settings!$E$10*TEAMS)</f>
        <v>-13.264153347153453</v>
      </c>
      <c r="O57">
        <v>56</v>
      </c>
      <c r="P57" t="str">
        <f>IFERROR(INDEX(TableWRCalcPts[PLAYER],MATCH(TableWRRanks[[#This Row],[RK]],TableWRCalcPts[RK],0)),"")</f>
        <v>Roman Wilson</v>
      </c>
      <c r="Q57" t="str">
        <f>IFERROR(INDEX(TableWRCalcPts[TM],MATCH(TableWRRanks[[#This Row],[RK]],TableWRCalcPts[RK],0)),"")</f>
        <v>PIT</v>
      </c>
      <c r="R57">
        <f>IFERROR(INDEX(TableWRCalcPts[BYE],MATCH(TableWRRanks[[#This Row],[RK]],TableWRCalcPts[RK],0)),"")</f>
        <v>6</v>
      </c>
      <c r="S57" s="57">
        <f>IFERROR(INDEX(TableWRCalcPts[Custom],MATCH(TableWRRanks[[#This Row],[RK]],TableWRCalcPts[RK],0)),"")</f>
        <v>144.40403499564002</v>
      </c>
      <c r="T57" s="125">
        <f>(((VLOOKUP(TableWRRanks[[#This Row],[Player]],'OVR &amp; VORP Ranks'!$P:$T,5,FALSE)))/('OVR &amp; VORP Ranks'!$BM$6))*(Settings!$E$10*TEAMS)</f>
        <v>4.4211888855525842E-4</v>
      </c>
      <c r="V57">
        <v>56</v>
      </c>
      <c r="W57" t="str">
        <f>IFERROR(INDEX(TableTECalcPts[PLAYER],MATCH(TableTERanks[[#This Row],[RK]],TableTECalcPts[RK],0)),"")</f>
        <v>Peyton Hendershot</v>
      </c>
      <c r="X57" t="str">
        <f>IFERROR(INDEX(TableTECalcPts[TM],MATCH(TableTERanks[[#This Row],[RK]],TableTECalcPts[RK],0)),"")</f>
        <v>DAL</v>
      </c>
      <c r="Y57">
        <f>IFERROR(INDEX(TableTECalcPts[BYE],MATCH(TableTERanks[[#This Row],[RK]],TableTECalcPts[RK],0)),"")</f>
        <v>7</v>
      </c>
      <c r="Z57" s="57">
        <f>IFERROR(INDEX(TableTECalcPts[Custom],MATCH(TableTERanks[[#This Row],[RK]],TableTECalcPts[RK],0)),"")</f>
        <v>23.209625030608795</v>
      </c>
      <c r="AA57" s="125">
        <f>(((VLOOKUP(TableTERanks[[#This Row],[Player]],'OVR &amp; VORP Ranks'!$W:$AA,5,FALSE)))/('OVR &amp; VORP Ranks'!$BM$6))*(Settings!$E$10*TEAMS)</f>
        <v>-38.464648784713425</v>
      </c>
    </row>
    <row r="58" spans="1:27" x14ac:dyDescent="0.2">
      <c r="A58">
        <v>57</v>
      </c>
      <c r="B58" t="str">
        <f>IFERROR(INDEX(TableQBCalcPts[PLAYER],MATCH(TableQBRanks[[#This Row],[RK]],TableQBCalcPts[RK],0)),"")</f>
        <v>Tyson Bagent</v>
      </c>
      <c r="C58" t="str">
        <f>IFERROR(INDEX(TableQBCalcPts[TM],MATCH(TableQBRanks[[#This Row],[RK]],TableQBCalcPts[RK],0)),"")</f>
        <v>CHI</v>
      </c>
      <c r="D58">
        <f>IFERROR(INDEX(TableQBCalcPts[BYE],MATCH(TableQBRanks[[#This Row],[RK]],TableQBCalcPts[RK],0)),"")</f>
        <v>13</v>
      </c>
      <c r="E58" s="57">
        <f>IFERROR(INDEX(TableQBCalcPts[Custom],MATCH(TableQBRanks[[#This Row],[RK]],TableQBCalcPts[RK],0)),"")</f>
        <v>4.2553898524800013</v>
      </c>
      <c r="F58" s="125">
        <f>(((VLOOKUP(TableQBRanks[[#This Row],[Player]],'OVR &amp; VORP Ranks'!$B:$F,5,FALSE)))/('OVR &amp; VORP Ranks'!$BM$6))*(Settings!$E$10*TEAMS)</f>
        <v>-52.24281885395424</v>
      </c>
      <c r="H58">
        <v>57</v>
      </c>
      <c r="I58" t="str">
        <f>IFERROR(INDEX(TableRBCalcPts[PLAYER],MATCH(TableRBRanks[[#This Row],[RK]],TableRBCalcPts[RK],0)),"")</f>
        <v>Bucky Irving</v>
      </c>
      <c r="J58" t="str">
        <f>IFERROR(INDEX(TableRBCalcPts[TM],MATCH(TableRBRanks[[#This Row],[RK]],TableRBCalcPts[RK],0)),"")</f>
        <v>TB</v>
      </c>
      <c r="K58">
        <f>IFERROR(INDEX(TableRBCalcPts[BYE],MATCH(TableRBRanks[[#This Row],[RK]],TableRBCalcPts[RK],0)),"")</f>
        <v>5</v>
      </c>
      <c r="L58" s="57">
        <f>IFERROR(INDEX(TableRBCalcPts[Custom],MATCH(TableRBRanks[[#This Row],[RK]],TableRBCalcPts[RK],0)),"")</f>
        <v>80.274500634451215</v>
      </c>
      <c r="M58" s="125">
        <f>(((VLOOKUP(TableRBRanks[[#This Row],[Player]],'OVR &amp; VORP Ranks'!$I:$M,5,FALSE)))/('OVR &amp; VORP Ranks'!$BM$6))*(Settings!$E$10*TEAMS)</f>
        <v>-13.447588583702025</v>
      </c>
      <c r="O58">
        <v>57</v>
      </c>
      <c r="P58" t="str">
        <f>IFERROR(INDEX(TableWRCalcPts[PLAYER],MATCH(TableWRRanks[[#This Row],[RK]],TableWRCalcPts[RK],0)),"")</f>
        <v>Demarcus Robinson</v>
      </c>
      <c r="Q58" t="str">
        <f>IFERROR(INDEX(TableWRCalcPts[TM],MATCH(TableWRRanks[[#This Row],[RK]],TableWRCalcPts[RK],0)),"")</f>
        <v>LAR</v>
      </c>
      <c r="R58">
        <f>IFERROR(INDEX(TableWRCalcPts[BYE],MATCH(TableWRRanks[[#This Row],[RK]],TableWRCalcPts[RK],0)),"")</f>
        <v>10</v>
      </c>
      <c r="S58" s="57">
        <f>IFERROR(INDEX(TableWRCalcPts[Custom],MATCH(TableWRRanks[[#This Row],[RK]],TableWRCalcPts[RK],0)),"")</f>
        <v>144.40266851009997</v>
      </c>
      <c r="T58" s="125">
        <f>(((VLOOKUP(TableWRRanks[[#This Row],[Player]],'OVR &amp; VORP Ranks'!$P:$T,5,FALSE)))/('OVR &amp; VORP Ranks'!$BM$6))*(Settings!$E$10*TEAMS)</f>
        <v>0</v>
      </c>
      <c r="V58">
        <v>57</v>
      </c>
      <c r="W58" t="str">
        <f>IFERROR(INDEX(TableTECalcPts[PLAYER],MATCH(TableTERanks[[#This Row],[RK]],TableTECalcPts[RK],0)),"")</f>
        <v>Brenton Strange</v>
      </c>
      <c r="X58" t="str">
        <f>IFERROR(INDEX(TableTECalcPts[TM],MATCH(TableTERanks[[#This Row],[RK]],TableTECalcPts[RK],0)),"")</f>
        <v>JAX</v>
      </c>
      <c r="Y58">
        <f>IFERROR(INDEX(TableTECalcPts[BYE],MATCH(TableTERanks[[#This Row],[RK]],TableTECalcPts[RK],0)),"")</f>
        <v>9</v>
      </c>
      <c r="Z58" s="57">
        <f>IFERROR(INDEX(TableTECalcPts[Custom],MATCH(TableTERanks[[#This Row],[RK]],TableTECalcPts[RK],0)),"")</f>
        <v>22.138437291515991</v>
      </c>
      <c r="AA58" s="125">
        <f>(((VLOOKUP(TableTERanks[[#This Row],[Player]],'OVR &amp; VORP Ranks'!$W:$AA,5,FALSE)))/('OVR &amp; VORP Ranks'!$BM$6))*(Settings!$E$10*TEAMS)</f>
        <v>-38.845687690412362</v>
      </c>
    </row>
    <row r="59" spans="1:27" x14ac:dyDescent="0.2">
      <c r="A59">
        <v>58</v>
      </c>
      <c r="B59" t="str">
        <f>IFERROR(INDEX(TableQBCalcPts[PLAYER],MATCH(TableQBRanks[[#This Row],[RK]],TableQBCalcPts[RK],0)),"")</f>
        <v>Josh Dobbs</v>
      </c>
      <c r="C59" t="str">
        <f>IFERROR(INDEX(TableQBCalcPts[TM],MATCH(TableQBRanks[[#This Row],[RK]],TableQBCalcPts[RK],0)),"")</f>
        <v>SF</v>
      </c>
      <c r="D59">
        <f>IFERROR(INDEX(TableQBCalcPts[BYE],MATCH(TableQBRanks[[#This Row],[RK]],TableQBCalcPts[RK],0)),"")</f>
        <v>9</v>
      </c>
      <c r="E59" s="57">
        <f>IFERROR(INDEX(TableQBCalcPts[Custom],MATCH(TableQBRanks[[#This Row],[RK]],TableQBCalcPts[RK],0)),"")</f>
        <v>4.2144476761439993</v>
      </c>
      <c r="F59" s="125">
        <f>(((VLOOKUP(TableQBRanks[[#This Row],[Player]],'OVR &amp; VORP Ranks'!$B:$F,5,FALSE)))/('OVR &amp; VORP Ranks'!$BM$6))*(Settings!$E$10*TEAMS)</f>
        <v>-52.349709792589202</v>
      </c>
      <c r="H59">
        <v>58</v>
      </c>
      <c r="I59" t="str">
        <f>IFERROR(INDEX(TableRBCalcPts[PLAYER],MATCH(TableRBRanks[[#This Row],[RK]],TableRBCalcPts[RK],0)),"")</f>
        <v>Tank Bigsby</v>
      </c>
      <c r="J59" t="str">
        <f>IFERROR(INDEX(TableRBCalcPts[TM],MATCH(TableRBRanks[[#This Row],[RK]],TableRBCalcPts[RK],0)),"")</f>
        <v>JAX</v>
      </c>
      <c r="K59">
        <f>IFERROR(INDEX(TableRBCalcPts[BYE],MATCH(TableRBRanks[[#This Row],[RK]],TableRBCalcPts[RK],0)),"")</f>
        <v>9</v>
      </c>
      <c r="L59" s="57">
        <f>IFERROR(INDEX(TableRBCalcPts[Custom],MATCH(TableRBRanks[[#This Row],[RK]],TableRBCalcPts[RK],0)),"")</f>
        <v>79.728725952917998</v>
      </c>
      <c r="M59" s="125">
        <f>(((VLOOKUP(TableRBRanks[[#This Row],[Player]],'OVR &amp; VORP Ranks'!$I:$M,5,FALSE)))/('OVR &amp; VORP Ranks'!$BM$6))*(Settings!$E$10*TEAMS)</f>
        <v>-13.673807572118291</v>
      </c>
      <c r="O59">
        <v>58</v>
      </c>
      <c r="P59" t="str">
        <f>IFERROR(INDEX(TableWRCalcPts[PLAYER],MATCH(TableWRRanks[[#This Row],[RK]],TableWRCalcPts[RK],0)),"")</f>
        <v>Jahan Dotson</v>
      </c>
      <c r="Q59" t="str">
        <f>IFERROR(INDEX(TableWRCalcPts[TM],MATCH(TableWRRanks[[#This Row],[RK]],TableWRCalcPts[RK],0)),"")</f>
        <v>WSH</v>
      </c>
      <c r="R59">
        <f>IFERROR(INDEX(TableWRCalcPts[BYE],MATCH(TableWRRanks[[#This Row],[RK]],TableWRCalcPts[RK],0)),"")</f>
        <v>14</v>
      </c>
      <c r="S59" s="57">
        <f>IFERROR(INDEX(TableWRCalcPts[Custom],MATCH(TableWRRanks[[#This Row],[RK]],TableWRCalcPts[RK],0)),"")</f>
        <v>139.82779951274537</v>
      </c>
      <c r="T59" s="125">
        <f>(((VLOOKUP(TableWRRanks[[#This Row],[Player]],'OVR &amp; VORP Ranks'!$P:$T,5,FALSE)))/('OVR &amp; VORP Ranks'!$BM$6))*(Settings!$E$10*TEAMS)</f>
        <v>-1.4801737282398835</v>
      </c>
      <c r="V59">
        <v>58</v>
      </c>
      <c r="W59" t="str">
        <f>IFERROR(INDEX(TableTECalcPts[PLAYER],MATCH(TableTERanks[[#This Row],[RK]],TableTECalcPts[RK],0)),"")</f>
        <v>Josh Whyle</v>
      </c>
      <c r="X59" t="str">
        <f>IFERROR(INDEX(TableTECalcPts[TM],MATCH(TableTERanks[[#This Row],[RK]],TableTECalcPts[RK],0)),"")</f>
        <v>TEN</v>
      </c>
      <c r="Y59">
        <f>IFERROR(INDEX(TableTECalcPts[BYE],MATCH(TableTERanks[[#This Row],[RK]],TableTECalcPts[RK],0)),"")</f>
        <v>7</v>
      </c>
      <c r="Z59" s="57">
        <f>IFERROR(INDEX(TableTECalcPts[Custom],MATCH(TableTERanks[[#This Row],[RK]],TableTECalcPts[RK],0)),"")</f>
        <v>21.713238746198993</v>
      </c>
      <c r="AA59" s="125">
        <f>(((VLOOKUP(TableTERanks[[#This Row],[Player]],'OVR &amp; VORP Ranks'!$W:$AA,5,FALSE)))/('OVR &amp; VORP Ranks'!$BM$6))*(Settings!$E$10*TEAMS)</f>
        <v>-38.996937730437637</v>
      </c>
    </row>
    <row r="60" spans="1:27" x14ac:dyDescent="0.2">
      <c r="A60">
        <v>59</v>
      </c>
      <c r="B60" t="str">
        <f>IFERROR(INDEX(TableQBCalcPts[PLAYER],MATCH(TableQBRanks[[#This Row],[RK]],TableQBCalcPts[RK],0)),"")</f>
        <v>Mac Jones</v>
      </c>
      <c r="C60" t="str">
        <f>IFERROR(INDEX(TableQBCalcPts[TM],MATCH(TableQBRanks[[#This Row],[RK]],TableQBCalcPts[RK],0)),"")</f>
        <v>JAX</v>
      </c>
      <c r="D60">
        <f>IFERROR(INDEX(TableQBCalcPts[BYE],MATCH(TableQBRanks[[#This Row],[RK]],TableQBCalcPts[RK],0)),"")</f>
        <v>9</v>
      </c>
      <c r="E60" s="57">
        <f>IFERROR(INDEX(TableQBCalcPts[Custom],MATCH(TableQBRanks[[#This Row],[RK]],TableQBCalcPts[RK],0)),"")</f>
        <v>2.5996852557000025</v>
      </c>
      <c r="F60" s="125">
        <f>(((VLOOKUP(TableQBRanks[[#This Row],[Player]],'OVR &amp; VORP Ranks'!$B:$F,5,FALSE)))/('OVR &amp; VORP Ranks'!$BM$6))*(Settings!$E$10*TEAMS)</f>
        <v>-53.238982916546462</v>
      </c>
      <c r="H60">
        <v>59</v>
      </c>
      <c r="I60" t="str">
        <f>IFERROR(INDEX(TableRBCalcPts[PLAYER],MATCH(TableRBRanks[[#This Row],[RK]],TableRBCalcPts[RK],0)),"")</f>
        <v>Khalil Herbert</v>
      </c>
      <c r="J60" t="str">
        <f>IFERROR(INDEX(TableRBCalcPts[TM],MATCH(TableRBRanks[[#This Row],[RK]],TableRBCalcPts[RK],0)),"")</f>
        <v>CHI</v>
      </c>
      <c r="K60">
        <f>IFERROR(INDEX(TableRBCalcPts[BYE],MATCH(TableRBRanks[[#This Row],[RK]],TableRBCalcPts[RK],0)),"")</f>
        <v>13</v>
      </c>
      <c r="L60" s="57">
        <f>IFERROR(INDEX(TableRBCalcPts[Custom],MATCH(TableRBRanks[[#This Row],[RK]],TableRBCalcPts[RK],0)),"")</f>
        <v>76.037838458399975</v>
      </c>
      <c r="M60" s="125">
        <f>(((VLOOKUP(TableRBRanks[[#This Row],[Player]],'OVR &amp; VORP Ranks'!$I:$M,5,FALSE)))/('OVR &amp; VORP Ranks'!$BM$6))*(Settings!$E$10*TEAMS)</f>
        <v>-15.203649214868237</v>
      </c>
      <c r="O60">
        <v>59</v>
      </c>
      <c r="P60" t="str">
        <f>IFERROR(INDEX(TableWRCalcPts[PLAYER],MATCH(TableWRRanks[[#This Row],[RK]],TableWRCalcPts[RK],0)),"")</f>
        <v>Darnell Mooney</v>
      </c>
      <c r="Q60" t="str">
        <f>IFERROR(INDEX(TableWRCalcPts[TM],MATCH(TableWRRanks[[#This Row],[RK]],TableWRCalcPts[RK],0)),"")</f>
        <v>ATL</v>
      </c>
      <c r="R60">
        <f>IFERROR(INDEX(TableWRCalcPts[BYE],MATCH(TableWRRanks[[#This Row],[RK]],TableWRCalcPts[RK],0)),"")</f>
        <v>11</v>
      </c>
      <c r="S60" s="57">
        <f>IFERROR(INDEX(TableWRCalcPts[Custom],MATCH(TableWRRanks[[#This Row],[RK]],TableWRCalcPts[RK],0)),"")</f>
        <v>138.39669965721598</v>
      </c>
      <c r="T60" s="125">
        <f>(((VLOOKUP(TableWRRanks[[#This Row],[Player]],'OVR &amp; VORP Ranks'!$P:$T,5,FALSE)))/('OVR &amp; VORP Ranks'!$BM$6))*(Settings!$E$10*TEAMS)</f>
        <v>-1.9431982235571026</v>
      </c>
      <c r="V60">
        <v>59</v>
      </c>
      <c r="W60" t="str">
        <f>IFERROR(INDEX(TableTECalcPts[PLAYER],MATCH(TableTERanks[[#This Row],[RK]],TableTECalcPts[RK],0)),"")</f>
        <v>Ko Kieft</v>
      </c>
      <c r="X60" t="str">
        <f>IFERROR(INDEX(TableTECalcPts[TM],MATCH(TableTERanks[[#This Row],[RK]],TableTECalcPts[RK],0)),"")</f>
        <v>TB</v>
      </c>
      <c r="Y60">
        <f>IFERROR(INDEX(TableTECalcPts[BYE],MATCH(TableTERanks[[#This Row],[RK]],TableTECalcPts[RK],0)),"")</f>
        <v>5</v>
      </c>
      <c r="Z60" s="57">
        <f>IFERROR(INDEX(TableTECalcPts[Custom],MATCH(TableTERanks[[#This Row],[RK]],TableTECalcPts[RK],0)),"")</f>
        <v>21.524783141400004</v>
      </c>
      <c r="AA60" s="125">
        <f>(((VLOOKUP(TableTERanks[[#This Row],[Player]],'OVR &amp; VORP Ranks'!$W:$AA,5,FALSE)))/('OVR &amp; VORP Ranks'!$BM$6))*(Settings!$E$10*TEAMS)</f>
        <v>-39.063974455004946</v>
      </c>
    </row>
    <row r="61" spans="1:27" x14ac:dyDescent="0.2">
      <c r="A61">
        <v>60</v>
      </c>
      <c r="B61" t="str">
        <f>IFERROR(INDEX(TableQBCalcPts[PLAYER],MATCH(TableQBRanks[[#This Row],[RK]],TableQBCalcPts[RK],0)),"")</f>
        <v>Carson Wentz</v>
      </c>
      <c r="C61" t="str">
        <f>IFERROR(INDEX(TableQBCalcPts[TM],MATCH(TableQBRanks[[#This Row],[RK]],TableQBCalcPts[RK],0)),"")</f>
        <v>KC</v>
      </c>
      <c r="D61">
        <f>IFERROR(INDEX(TableQBCalcPts[BYE],MATCH(TableQBRanks[[#This Row],[RK]],TableQBCalcPts[RK],0)),"")</f>
        <v>10</v>
      </c>
      <c r="E61" s="57">
        <f>IFERROR(INDEX(TableQBCalcPts[Custom],MATCH(TableQBRanks[[#This Row],[RK]],TableQBCalcPts[RK],0)),"")</f>
        <v>2.4426883584000016</v>
      </c>
      <c r="F61" s="125">
        <f>(((VLOOKUP(TableQBRanks[[#This Row],[Player]],'OVR &amp; VORP Ranks'!$B:$F,5,FALSE)))/('OVR &amp; VORP Ranks'!$BM$6))*(Settings!$E$10*TEAMS)</f>
        <v>-53.736650757956234</v>
      </c>
      <c r="H61">
        <v>60</v>
      </c>
      <c r="I61" t="str">
        <f>IFERROR(INDEX(TableRBCalcPts[PLAYER],MATCH(TableRBRanks[[#This Row],[RK]],TableRBCalcPts[RK],0)),"")</f>
        <v>Alexander Mattison</v>
      </c>
      <c r="J61" t="str">
        <f>IFERROR(INDEX(TableRBCalcPts[TM],MATCH(TableRBRanks[[#This Row],[RK]],TableRBCalcPts[RK],0)),"")</f>
        <v>LV</v>
      </c>
      <c r="K61">
        <f>IFERROR(INDEX(TableRBCalcPts[BYE],MATCH(TableRBRanks[[#This Row],[RK]],TableRBCalcPts[RK],0)),"")</f>
        <v>13</v>
      </c>
      <c r="L61" s="57">
        <f>IFERROR(INDEX(TableRBCalcPts[Custom],MATCH(TableRBRanks[[#This Row],[RK]],TableRBCalcPts[RK],0)),"")</f>
        <v>73.474373489999991</v>
      </c>
      <c r="M61" s="125">
        <f>(((VLOOKUP(TableRBRanks[[#This Row],[Player]],'OVR &amp; VORP Ranks'!$I:$M,5,FALSE)))/('OVR &amp; VORP Ranks'!$BM$6))*(Settings!$E$10*TEAMS)</f>
        <v>-16.266183758176254</v>
      </c>
      <c r="O61">
        <v>60</v>
      </c>
      <c r="P61" t="str">
        <f>IFERROR(INDEX(TableWRCalcPts[PLAYER],MATCH(TableWRRanks[[#This Row],[RK]],TableWRCalcPts[RK],0)),"")</f>
        <v>Khalil Shakir</v>
      </c>
      <c r="Q61" t="str">
        <f>IFERROR(INDEX(TableWRCalcPts[TM],MATCH(TableWRRanks[[#This Row],[RK]],TableWRCalcPts[RK],0)),"")</f>
        <v>BUF</v>
      </c>
      <c r="R61">
        <f>IFERROR(INDEX(TableWRCalcPts[BYE],MATCH(TableWRRanks[[#This Row],[RK]],TableWRCalcPts[RK],0)),"")</f>
        <v>13</v>
      </c>
      <c r="S61" s="57">
        <f>IFERROR(INDEX(TableWRCalcPts[Custom],MATCH(TableWRRanks[[#This Row],[RK]],TableWRCalcPts[RK],0)),"")</f>
        <v>138.1168361067264</v>
      </c>
      <c r="T61" s="125">
        <f>(((VLOOKUP(TableWRRanks[[#This Row],[Player]],'OVR &amp; VORP Ranks'!$P:$T,5,FALSE)))/('OVR &amp; VORP Ranks'!$BM$6))*(Settings!$E$10*TEAMS)</f>
        <v>-2.033746537654435</v>
      </c>
      <c r="V61">
        <v>60</v>
      </c>
      <c r="W61" t="str">
        <f>IFERROR(INDEX(TableTECalcPts[PLAYER],MATCH(TableTERanks[[#This Row],[RK]],TableTECalcPts[RK],0)),"")</f>
        <v>Darnell Washington</v>
      </c>
      <c r="X61" t="str">
        <f>IFERROR(INDEX(TableTECalcPts[TM],MATCH(TableTERanks[[#This Row],[RK]],TableTECalcPts[RK],0)),"")</f>
        <v>PIT</v>
      </c>
      <c r="Y61">
        <f>IFERROR(INDEX(TableTECalcPts[BYE],MATCH(TableTERanks[[#This Row],[RK]],TableTECalcPts[RK],0)),"")</f>
        <v>6</v>
      </c>
      <c r="Z61" s="57">
        <f>IFERROR(INDEX(TableTECalcPts[Custom],MATCH(TableTERanks[[#This Row],[RK]],TableTECalcPts[RK],0)),"")</f>
        <v>20.924662263749997</v>
      </c>
      <c r="AA61" s="125">
        <f>(((VLOOKUP(TableTERanks[[#This Row],[Player]],'OVR &amp; VORP Ranks'!$W:$AA,5,FALSE)))/('OVR &amp; VORP Ranks'!$BM$6))*(Settings!$E$10*TEAMS)</f>
        <v>-39.277447214411723</v>
      </c>
    </row>
    <row r="62" spans="1:27" x14ac:dyDescent="0.2">
      <c r="A62">
        <v>61</v>
      </c>
      <c r="B62" t="str">
        <f>IFERROR(INDEX(TableQBCalcPts[PLAYER],MATCH(TableQBRanks[[#This Row],[RK]],TableQBCalcPts[RK],0)),"")</f>
        <v>Mitch Trubisky</v>
      </c>
      <c r="C62" t="str">
        <f>IFERROR(INDEX(TableQBCalcPts[TM],MATCH(TableQBRanks[[#This Row],[RK]],TableQBCalcPts[RK],0)),"")</f>
        <v>BUF</v>
      </c>
      <c r="D62">
        <f>IFERROR(INDEX(TableQBCalcPts[BYE],MATCH(TableQBRanks[[#This Row],[RK]],TableQBCalcPts[RK],0)),"")</f>
        <v>13</v>
      </c>
      <c r="E62" s="57">
        <f>IFERROR(INDEX(TableQBCalcPts[Custom],MATCH(TableQBRanks[[#This Row],[RK]],TableQBCalcPts[RK],0)),"")</f>
        <v>2.2387300761600017</v>
      </c>
      <c r="F62" s="125">
        <f>(((VLOOKUP(TableQBRanks[[#This Row],[Player]],'OVR &amp; VORP Ranks'!$B:$F,5,FALSE)))/('OVR &amp; VORP Ranks'!$BM$6))*(Settings!$E$10*TEAMS)</f>
        <v>-53.924153333210647</v>
      </c>
      <c r="H62">
        <v>61</v>
      </c>
      <c r="I62" t="str">
        <f>IFERROR(INDEX(TableRBCalcPts[PLAYER],MATCH(TableRBRanks[[#This Row],[RK]],TableRBCalcPts[RK],0)),"")</f>
        <v>Braelon Allen</v>
      </c>
      <c r="J62" t="str">
        <f>IFERROR(INDEX(TableRBCalcPts[TM],MATCH(TableRBRanks[[#This Row],[RK]],TableRBCalcPts[RK],0)),"")</f>
        <v>NYJ</v>
      </c>
      <c r="K62">
        <f>IFERROR(INDEX(TableRBCalcPts[BYE],MATCH(TableRBRanks[[#This Row],[RK]],TableRBCalcPts[RK],0)),"")</f>
        <v>7</v>
      </c>
      <c r="L62" s="57">
        <f>IFERROR(INDEX(TableRBCalcPts[Custom],MATCH(TableRBRanks[[#This Row],[RK]],TableRBCalcPts[RK],0)),"")</f>
        <v>72.605119912371222</v>
      </c>
      <c r="M62" s="125">
        <f>(((VLOOKUP(TableRBRanks[[#This Row],[Player]],'OVR &amp; VORP Ranks'!$I:$M,5,FALSE)))/('OVR &amp; VORP Ranks'!$BM$6))*(Settings!$E$10*TEAMS)</f>
        <v>-16.626482012496119</v>
      </c>
      <c r="O62">
        <v>61</v>
      </c>
      <c r="P62" t="str">
        <f>IFERROR(INDEX(TableWRCalcPts[PLAYER],MATCH(TableWRRanks[[#This Row],[RK]],TableWRCalcPts[RK],0)),"")</f>
        <v>Rashid Shaheed</v>
      </c>
      <c r="Q62" t="str">
        <f>IFERROR(INDEX(TableWRCalcPts[TM],MATCH(TableWRRanks[[#This Row],[RK]],TableWRCalcPts[RK],0)),"")</f>
        <v>NO</v>
      </c>
      <c r="R62">
        <f>IFERROR(INDEX(TableWRCalcPts[BYE],MATCH(TableWRRanks[[#This Row],[RK]],TableWRCalcPts[RK],0)),"")</f>
        <v>11</v>
      </c>
      <c r="S62" s="57">
        <f>IFERROR(INDEX(TableWRCalcPts[Custom],MATCH(TableWRRanks[[#This Row],[RK]],TableWRCalcPts[RK],0)),"")</f>
        <v>137.90885669345585</v>
      </c>
      <c r="T62" s="125">
        <f>(((VLOOKUP(TableWRRanks[[#This Row],[Player]],'OVR &amp; VORP Ranks'!$P:$T,5,FALSE)))/('OVR &amp; VORP Ranks'!$BM$6))*(Settings!$E$10*TEAMS)</f>
        <v>-2.1010371341099452</v>
      </c>
      <c r="V62">
        <v>61</v>
      </c>
      <c r="W62" t="str">
        <f>IFERROR(INDEX(TableTECalcPts[PLAYER],MATCH(TableTERanks[[#This Row],[RK]],TableTECalcPts[RK],0)),"")</f>
        <v>Johnny Mundt</v>
      </c>
      <c r="X62" t="str">
        <f>IFERROR(INDEX(TableTECalcPts[TM],MATCH(TableTERanks[[#This Row],[RK]],TableTECalcPts[RK],0)),"")</f>
        <v>MIN</v>
      </c>
      <c r="Y62">
        <f>IFERROR(INDEX(TableTECalcPts[BYE],MATCH(TableTERanks[[#This Row],[RK]],TableTECalcPts[RK],0)),"")</f>
        <v>13</v>
      </c>
      <c r="Z62" s="57">
        <f>IFERROR(INDEX(TableTECalcPts[Custom],MATCH(TableTERanks[[#This Row],[RK]],TableTECalcPts[RK],0)),"")</f>
        <v>19.988201519999997</v>
      </c>
      <c r="AA62" s="125">
        <f>(((VLOOKUP(TableTERanks[[#This Row],[Player]],'OVR &amp; VORP Ranks'!$W:$AA,5,FALSE)))/('OVR &amp; VORP Ranks'!$BM$6))*(Settings!$E$10*TEAMS)</f>
        <v>-39.610561536025145</v>
      </c>
    </row>
    <row r="63" spans="1:27" x14ac:dyDescent="0.2">
      <c r="A63">
        <v>62</v>
      </c>
      <c r="B63" t="str">
        <f>IFERROR(INDEX(TableQBCalcPts[PLAYER],MATCH(TableQBRanks[[#This Row],[RK]],TableQBCalcPts[RK],0)),"")</f>
        <v>Sean Clifford</v>
      </c>
      <c r="C63" t="str">
        <f>IFERROR(INDEX(TableQBCalcPts[TM],MATCH(TableQBRanks[[#This Row],[RK]],TableQBCalcPts[RK],0)),"")</f>
        <v>GB</v>
      </c>
      <c r="D63">
        <f>IFERROR(INDEX(TableQBCalcPts[BYE],MATCH(TableQBRanks[[#This Row],[RK]],TableQBCalcPts[RK],0)),"")</f>
        <v>6</v>
      </c>
      <c r="E63" s="57">
        <f>IFERROR(INDEX(TableQBCalcPts[Custom],MATCH(TableQBRanks[[#This Row],[RK]],TableQBCalcPts[RK],0)),"")</f>
        <v>2.1737542400000023</v>
      </c>
      <c r="F63" s="125">
        <f>(((VLOOKUP(TableQBRanks[[#This Row],[Player]],'OVR &amp; VORP Ranks'!$B:$F,5,FALSE)))/('OVR &amp; VORP Ranks'!$BM$6))*(Settings!$E$10*TEAMS)</f>
        <v>-54.237189010205121</v>
      </c>
      <c r="H63">
        <v>62</v>
      </c>
      <c r="I63" t="str">
        <f>IFERROR(INDEX(TableRBCalcPts[PLAYER],MATCH(TableRBRanks[[#This Row],[RK]],TableRBCalcPts[RK],0)),"")</f>
        <v>Kenneth Gainwell</v>
      </c>
      <c r="J63" t="str">
        <f>IFERROR(INDEX(TableRBCalcPts[TM],MATCH(TableRBRanks[[#This Row],[RK]],TableRBCalcPts[RK],0)),"")</f>
        <v>PHI</v>
      </c>
      <c r="K63">
        <f>IFERROR(INDEX(TableRBCalcPts[BYE],MATCH(TableRBRanks[[#This Row],[RK]],TableRBCalcPts[RK],0)),"")</f>
        <v>10</v>
      </c>
      <c r="L63" s="57">
        <f>IFERROR(INDEX(TableRBCalcPts[Custom],MATCH(TableRBRanks[[#This Row],[RK]],TableRBCalcPts[RK],0)),"")</f>
        <v>70.970163755904011</v>
      </c>
      <c r="M63" s="125">
        <f>(((VLOOKUP(TableRBRanks[[#This Row],[Player]],'OVR &amp; VORP Ranks'!$I:$M,5,FALSE)))/('OVR &amp; VORP Ranks'!$BM$6))*(Settings!$E$10*TEAMS)</f>
        <v>-17.304157508145597</v>
      </c>
      <c r="O63">
        <v>62</v>
      </c>
      <c r="P63" t="str">
        <f>IFERROR(INDEX(TableWRCalcPts[PLAYER],MATCH(TableWRRanks[[#This Row],[RK]],TableWRCalcPts[RK],0)),"")</f>
        <v>Romeo Doubs</v>
      </c>
      <c r="Q63" t="str">
        <f>IFERROR(INDEX(TableWRCalcPts[TM],MATCH(TableWRRanks[[#This Row],[RK]],TableWRCalcPts[RK],0)),"")</f>
        <v>GB</v>
      </c>
      <c r="R63">
        <f>IFERROR(INDEX(TableWRCalcPts[BYE],MATCH(TableWRRanks[[#This Row],[RK]],TableWRCalcPts[RK],0)),"")</f>
        <v>6</v>
      </c>
      <c r="S63" s="57">
        <f>IFERROR(INDEX(TableWRCalcPts[Custom],MATCH(TableWRRanks[[#This Row],[RK]],TableWRCalcPts[RK],0)),"")</f>
        <v>136.87196386617603</v>
      </c>
      <c r="T63" s="125">
        <f>(((VLOOKUP(TableWRRanks[[#This Row],[Player]],'OVR &amp; VORP Ranks'!$P:$T,5,FALSE)))/('OVR &amp; VORP Ranks'!$BM$6))*(Settings!$E$10*TEAMS)</f>
        <v>-2.4365181113417385</v>
      </c>
      <c r="V63">
        <v>62</v>
      </c>
      <c r="W63" t="str">
        <f>IFERROR(INDEX(TableTECalcPts[PLAYER],MATCH(TableTERanks[[#This Row],[RK]],TableTECalcPts[RK],0)),"")</f>
        <v>Jordan Akins</v>
      </c>
      <c r="X63" t="str">
        <f>IFERROR(INDEX(TableTECalcPts[TM],MATCH(TableTERanks[[#This Row],[RK]],TableTECalcPts[RK],0)),"")</f>
        <v>CLE</v>
      </c>
      <c r="Y63">
        <f>IFERROR(INDEX(TableTECalcPts[BYE],MATCH(TableTERanks[[#This Row],[RK]],TableTECalcPts[RK],0)),"")</f>
        <v>5</v>
      </c>
      <c r="Z63" s="57">
        <f>IFERROR(INDEX(TableTECalcPts[Custom],MATCH(TableTERanks[[#This Row],[RK]],TableTECalcPts[RK],0)),"")</f>
        <v>19.760745571875002</v>
      </c>
      <c r="AA63" s="125">
        <f>(((VLOOKUP(TableTERanks[[#This Row],[Player]],'OVR &amp; VORP Ranks'!$W:$AA,5,FALSE)))/('OVR &amp; VORP Ranks'!$BM$6))*(Settings!$E$10*TEAMS)</f>
        <v>-39.691471317201</v>
      </c>
    </row>
    <row r="64" spans="1:27" x14ac:dyDescent="0.2">
      <c r="A64">
        <v>63</v>
      </c>
      <c r="B64" t="str">
        <f>IFERROR(INDEX(TableQBCalcPts[PLAYER],MATCH(TableQBRanks[[#This Row],[RK]],TableQBCalcPts[RK],0)),"")</f>
        <v>Easton Stick</v>
      </c>
      <c r="C64" t="str">
        <f>IFERROR(INDEX(TableQBCalcPts[TM],MATCH(TableQBRanks[[#This Row],[RK]],TableQBCalcPts[RK],0)),"")</f>
        <v>LAC</v>
      </c>
      <c r="D64">
        <f>IFERROR(INDEX(TableQBCalcPts[BYE],MATCH(TableQBRanks[[#This Row],[RK]],TableQBCalcPts[RK],0)),"")</f>
        <v>5</v>
      </c>
      <c r="E64" s="57">
        <f>IFERROR(INDEX(TableQBCalcPts[Custom],MATCH(TableQBRanks[[#This Row],[RK]],TableQBCalcPts[RK],0)),"")</f>
        <v>2.1720732159600025</v>
      </c>
      <c r="F64" s="125">
        <f>(((VLOOKUP(TableQBRanks[[#This Row],[Player]],'OVR &amp; VORP Ranks'!$B:$F,5,FALSE)))/('OVR &amp; VORP Ranks'!$BM$6))*(Settings!$E$10*TEAMS)</f>
        <v>-54.399187390009629</v>
      </c>
      <c r="H64">
        <v>63</v>
      </c>
      <c r="I64" t="str">
        <f>IFERROR(INDEX(TableRBCalcPts[PLAYER],MATCH(TableRBRanks[[#This Row],[RK]],TableRBCalcPts[RK],0)),"")</f>
        <v>Clyde Edwards-Helaire</v>
      </c>
      <c r="J64" t="str">
        <f>IFERROR(INDEX(TableRBCalcPts[TM],MATCH(TableRBRanks[[#This Row],[RK]],TableRBCalcPts[RK],0)),"")</f>
        <v>KC</v>
      </c>
      <c r="K64">
        <f>IFERROR(INDEX(TableRBCalcPts[BYE],MATCH(TableRBRanks[[#This Row],[RK]],TableRBCalcPts[RK],0)),"")</f>
        <v>10</v>
      </c>
      <c r="L64" s="57">
        <f>IFERROR(INDEX(TableRBCalcPts[Custom],MATCH(TableRBRanks[[#This Row],[RK]],TableRBCalcPts[RK],0)),"")</f>
        <v>70.102759408639983</v>
      </c>
      <c r="M64" s="125">
        <f>(((VLOOKUP(TableRBRanks[[#This Row],[Player]],'OVR &amp; VORP Ranks'!$I:$M,5,FALSE)))/('OVR &amp; VORP Ranks'!$BM$6))*(Settings!$E$10*TEAMS)</f>
        <v>-17.663689272123172</v>
      </c>
      <c r="O64">
        <v>63</v>
      </c>
      <c r="P64" t="str">
        <f>IFERROR(INDEX(TableWRCalcPts[PLAYER],MATCH(TableWRRanks[[#This Row],[RK]],TableWRCalcPts[RK],0)),"")</f>
        <v>Rome Odunze</v>
      </c>
      <c r="Q64" t="str">
        <f>IFERROR(INDEX(TableWRCalcPts[TM],MATCH(TableWRRanks[[#This Row],[RK]],TableWRCalcPts[RK],0)),"")</f>
        <v>CHI</v>
      </c>
      <c r="R64">
        <f>IFERROR(INDEX(TableWRCalcPts[BYE],MATCH(TableWRRanks[[#This Row],[RK]],TableWRCalcPts[RK],0)),"")</f>
        <v>13</v>
      </c>
      <c r="S64" s="57">
        <f>IFERROR(INDEX(TableWRCalcPts[Custom],MATCH(TableWRRanks[[#This Row],[RK]],TableWRCalcPts[RK],0)),"")</f>
        <v>135.18949056479997</v>
      </c>
      <c r="T64" s="125">
        <f>(((VLOOKUP(TableWRRanks[[#This Row],[Player]],'OVR &amp; VORP Ranks'!$P:$T,5,FALSE)))/('OVR &amp; VORP Ranks'!$BM$6))*(Settings!$E$10*TEAMS)</f>
        <v>-2.9808731039332002</v>
      </c>
      <c r="V64">
        <v>63</v>
      </c>
      <c r="W64" t="str">
        <f>IFERROR(INDEX(TableTECalcPts[PLAYER],MATCH(TableTERanks[[#This Row],[RK]],TableTECalcPts[RK],0)),"")</f>
        <v>James Mitchell</v>
      </c>
      <c r="X64" t="str">
        <f>IFERROR(INDEX(TableTECalcPts[TM],MATCH(TableTERanks[[#This Row],[RK]],TableTECalcPts[RK],0)),"")</f>
        <v>DET</v>
      </c>
      <c r="Y64">
        <f>IFERROR(INDEX(TableTECalcPts[BYE],MATCH(TableTERanks[[#This Row],[RK]],TableTECalcPts[RK],0)),"")</f>
        <v>9</v>
      </c>
      <c r="Z64" s="57">
        <f>IFERROR(INDEX(TableTECalcPts[Custom],MATCH(TableTERanks[[#This Row],[RK]],TableTECalcPts[RK],0)),"")</f>
        <v>17.717118155099996</v>
      </c>
      <c r="AA64" s="125">
        <f>(((VLOOKUP(TableTERanks[[#This Row],[Player]],'OVR &amp; VORP Ranks'!$W:$AA,5,FALSE)))/('OVR &amp; VORP Ranks'!$BM$6))*(Settings!$E$10*TEAMS)</f>
        <v>-40.418422836645938</v>
      </c>
    </row>
    <row r="65" spans="1:27" x14ac:dyDescent="0.2">
      <c r="A65">
        <v>64</v>
      </c>
      <c r="B65" t="str">
        <f>IFERROR(INDEX(TableQBCalcPts[PLAYER],MATCH(TableQBRanks[[#This Row],[RK]],TableQBCalcPts[RK],0)),"")</f>
        <v>Case Keenum</v>
      </c>
      <c r="C65" t="str">
        <f>IFERROR(INDEX(TableQBCalcPts[TM],MATCH(TableQBRanks[[#This Row],[RK]],TableQBCalcPts[RK],0)),"")</f>
        <v>HOU</v>
      </c>
      <c r="D65">
        <f>IFERROR(INDEX(TableQBCalcPts[BYE],MATCH(TableQBRanks[[#This Row],[RK]],TableQBCalcPts[RK],0)),"")</f>
        <v>7</v>
      </c>
      <c r="E65" s="57">
        <f>IFERROR(INDEX(TableQBCalcPts[Custom],MATCH(TableQBRanks[[#This Row],[RK]],TableQBCalcPts[RK],0)),"")</f>
        <v>2.072494528</v>
      </c>
      <c r="F65" s="125">
        <f>(((VLOOKUP(TableQBRanks[[#This Row],[Player]],'OVR &amp; VORP Ranks'!$B:$F,5,FALSE)))/('OVR &amp; VORP Ranks'!$BM$6))*(Settings!$E$10*TEAMS)</f>
        <v>-54.761943192837585</v>
      </c>
      <c r="H65">
        <v>64</v>
      </c>
      <c r="I65" t="str">
        <f>IFERROR(INDEX(TableRBCalcPts[PLAYER],MATCH(TableRBRanks[[#This Row],[RK]],TableRBCalcPts[RK],0)),"")</f>
        <v>Elijah Mitchell</v>
      </c>
      <c r="J65" t="str">
        <f>IFERROR(INDEX(TableRBCalcPts[TM],MATCH(TableRBRanks[[#This Row],[RK]],TableRBCalcPts[RK],0)),"")</f>
        <v>SF</v>
      </c>
      <c r="K65">
        <f>IFERROR(INDEX(TableRBCalcPts[BYE],MATCH(TableRBRanks[[#This Row],[RK]],TableRBCalcPts[RK],0)),"")</f>
        <v>9</v>
      </c>
      <c r="L65" s="57">
        <f>IFERROR(INDEX(TableRBCalcPts[Custom],MATCH(TableRBRanks[[#This Row],[RK]],TableRBCalcPts[RK],0)),"")</f>
        <v>68.224312325870386</v>
      </c>
      <c r="M65" s="125">
        <f>(((VLOOKUP(TableRBRanks[[#This Row],[Player]],'OVR &amp; VORP Ranks'!$I:$M,5,FALSE)))/('OVR &amp; VORP Ranks'!$BM$6))*(Settings!$E$10*TEAMS)</f>
        <v>-18.442289696869622</v>
      </c>
      <c r="O65">
        <v>64</v>
      </c>
      <c r="P65" t="str">
        <f>IFERROR(INDEX(TableWRCalcPts[PLAYER],MATCH(TableWRRanks[[#This Row],[RK]],TableWRCalcPts[RK],0)),"")</f>
        <v>Joshua Palmer</v>
      </c>
      <c r="Q65" t="str">
        <f>IFERROR(INDEX(TableWRCalcPts[TM],MATCH(TableWRRanks[[#This Row],[RK]],TableWRCalcPts[RK],0)),"")</f>
        <v>LAC</v>
      </c>
      <c r="R65">
        <f>IFERROR(INDEX(TableWRCalcPts[BYE],MATCH(TableWRRanks[[#This Row],[RK]],TableWRCalcPts[RK],0)),"")</f>
        <v>5</v>
      </c>
      <c r="S65" s="57">
        <f>IFERROR(INDEX(TableWRCalcPts[Custom],MATCH(TableWRRanks[[#This Row],[RK]],TableWRCalcPts[RK],0)),"")</f>
        <v>135.15931644627722</v>
      </c>
      <c r="T65" s="125">
        <f>(((VLOOKUP(TableWRRanks[[#This Row],[Player]],'OVR &amp; VORP Ranks'!$P:$T,5,FALSE)))/('OVR &amp; VORP Ranks'!$BM$6))*(Settings!$E$10*TEAMS)</f>
        <v>-2.9906357741945788</v>
      </c>
      <c r="V65">
        <v>64</v>
      </c>
      <c r="W65" t="str">
        <f>IFERROR(INDEX(TableTECalcPts[PLAYER],MATCH(TableTERanks[[#This Row],[RK]],TableTECalcPts[RK],0)),"")</f>
        <v>Noah Gray</v>
      </c>
      <c r="X65" t="str">
        <f>IFERROR(INDEX(TableTECalcPts[TM],MATCH(TableTERanks[[#This Row],[RK]],TableTECalcPts[RK],0)),"")</f>
        <v>KC</v>
      </c>
      <c r="Y65">
        <f>IFERROR(INDEX(TableTECalcPts[BYE],MATCH(TableTERanks[[#This Row],[RK]],TableTECalcPts[RK],0)),"")</f>
        <v>10</v>
      </c>
      <c r="Z65" s="57">
        <f>IFERROR(INDEX(TableTECalcPts[Custom],MATCH(TableTERanks[[#This Row],[RK]],TableTECalcPts[RK],0)),"")</f>
        <v>17.649029798399997</v>
      </c>
      <c r="AA65" s="125">
        <f>(((VLOOKUP(TableTERanks[[#This Row],[Player]],'OVR &amp; VORP Ranks'!$W:$AA,5,FALSE)))/('OVR &amp; VORP Ranks'!$BM$6))*(Settings!$E$10*TEAMS)</f>
        <v>-40.442642972837731</v>
      </c>
    </row>
    <row r="66" spans="1:27" x14ac:dyDescent="0.2">
      <c r="A66">
        <v>65</v>
      </c>
      <c r="B66" t="str">
        <f>IFERROR(INDEX(TableQBCalcPts[PLAYER],MATCH(TableQBRanks[[#This Row],[RK]],TableQBCalcPts[RK],0)),"")</f>
        <v/>
      </c>
      <c r="C66" t="str">
        <f>IFERROR(INDEX(TableQBCalcPts[TM],MATCH(TableQBRanks[[#This Row],[RK]],TableQBCalcPts[RK],0)),"")</f>
        <v/>
      </c>
      <c r="D66" t="str">
        <f>IFERROR(INDEX(TableQBCalcPts[BYE],MATCH(TableQBRanks[[#This Row],[RK]],TableQBCalcPts[RK],0)),"")</f>
        <v/>
      </c>
      <c r="E66" s="57" t="str">
        <f>IFERROR(INDEX(TableQBCalcPts[Custom],MATCH(TableQBRanks[[#This Row],[RK]],TableQBCalcPts[RK],0)),"")</f>
        <v/>
      </c>
      <c r="F66" s="125" t="e">
        <f>(((VLOOKUP(TableQBRanks[[#This Row],[Player]],'OVR &amp; VORP Ranks'!$B:$F,5,FALSE)))/('OVR &amp; VORP Ranks'!$BM$6))*(Settings!$E$10*TEAMS)</f>
        <v>#VALUE!</v>
      </c>
      <c r="H66">
        <v>65</v>
      </c>
      <c r="I66" t="str">
        <f>IFERROR(INDEX(TableRBCalcPts[PLAYER],MATCH(TableRBRanks[[#This Row],[RK]],TableRBCalcPts[RK],0)),"")</f>
        <v>Jawhar Jordan</v>
      </c>
      <c r="J66" t="str">
        <f>IFERROR(INDEX(TableRBCalcPts[TM],MATCH(TableRBRanks[[#This Row],[RK]],TableRBCalcPts[RK],0)),"")</f>
        <v>HOU</v>
      </c>
      <c r="K66">
        <f>IFERROR(INDEX(TableRBCalcPts[BYE],MATCH(TableRBRanks[[#This Row],[RK]],TableRBCalcPts[RK],0)),"")</f>
        <v>7</v>
      </c>
      <c r="L66" s="57">
        <f>IFERROR(INDEX(TableRBCalcPts[Custom],MATCH(TableRBRanks[[#This Row],[RK]],TableRBCalcPts[RK],0)),"")</f>
        <v>66.159671968000012</v>
      </c>
      <c r="M66" s="125">
        <f>(((VLOOKUP(TableRBRanks[[#This Row],[Player]],'OVR &amp; VORP Ranks'!$I:$M,5,FALSE)))/('OVR &amp; VORP Ranks'!$BM$6))*(Settings!$E$10*TEAMS)</f>
        <v>-19.298065659009783</v>
      </c>
      <c r="O66">
        <v>65</v>
      </c>
      <c r="P66" t="str">
        <f>IFERROR(INDEX(TableWRCalcPts[PLAYER],MATCH(TableWRRanks[[#This Row],[RK]],TableWRCalcPts[RK],0)),"")</f>
        <v>Gabe Davis</v>
      </c>
      <c r="Q66" t="str">
        <f>IFERROR(INDEX(TableWRCalcPts[TM],MATCH(TableWRRanks[[#This Row],[RK]],TableWRCalcPts[RK],0)),"")</f>
        <v>JAX</v>
      </c>
      <c r="R66">
        <f>IFERROR(INDEX(TableWRCalcPts[BYE],MATCH(TableWRRanks[[#This Row],[RK]],TableWRCalcPts[RK],0)),"")</f>
        <v>9</v>
      </c>
      <c r="S66" s="57">
        <f>IFERROR(INDEX(TableWRCalcPts[Custom],MATCH(TableWRRanks[[#This Row],[RK]],TableWRCalcPts[RK],0)),"")</f>
        <v>134.01963469439997</v>
      </c>
      <c r="T66" s="125">
        <f>(((VLOOKUP(TableWRRanks[[#This Row],[Player]],'OVR &amp; VORP Ranks'!$P:$T,5,FALSE)))/('OVR &amp; VORP Ranks'!$BM$6))*(Settings!$E$10*TEAMS)</f>
        <v>-3.3593735432232803</v>
      </c>
      <c r="V66">
        <v>65</v>
      </c>
      <c r="W66" t="str">
        <f>IFERROR(INDEX(TableTECalcPts[PLAYER],MATCH(TableTERanks[[#This Row],[RK]],TableTECalcPts[RK],0)),"")</f>
        <v>Tanner Hudson</v>
      </c>
      <c r="X66" t="str">
        <f>IFERROR(INDEX(TableTECalcPts[TM],MATCH(TableTERanks[[#This Row],[RK]],TableTECalcPts[RK],0)),"")</f>
        <v>CIN</v>
      </c>
      <c r="Y66">
        <f>IFERROR(INDEX(TableTECalcPts[BYE],MATCH(TableTERanks[[#This Row],[RK]],TableTECalcPts[RK],0)),"")</f>
        <v>7</v>
      </c>
      <c r="Z66" s="57">
        <f>IFERROR(INDEX(TableTECalcPts[Custom],MATCH(TableTERanks[[#This Row],[RK]],TableTECalcPts[RK],0)),"")</f>
        <v>16.453780198379999</v>
      </c>
      <c r="AA66" s="125">
        <f>(((VLOOKUP(TableTERanks[[#This Row],[Player]],'OVR &amp; VORP Ranks'!$W:$AA,5,FALSE)))/('OVR &amp; VORP Ranks'!$BM$6))*(Settings!$E$10*TEAMS)</f>
        <v>-40.86781270080197</v>
      </c>
    </row>
    <row r="67" spans="1:27" x14ac:dyDescent="0.2">
      <c r="A67">
        <v>66</v>
      </c>
      <c r="B67" t="str">
        <f>IFERROR(INDEX(TableQBCalcPts[PLAYER],MATCH(TableQBRanks[[#This Row],[RK]],TableQBCalcPts[RK],0)),"")</f>
        <v/>
      </c>
      <c r="C67" t="str">
        <f>IFERROR(INDEX(TableQBCalcPts[TM],MATCH(TableQBRanks[[#This Row],[RK]],TableQBCalcPts[RK],0)),"")</f>
        <v/>
      </c>
      <c r="D67" t="str">
        <f>IFERROR(INDEX(TableQBCalcPts[BYE],MATCH(TableQBRanks[[#This Row],[RK]],TableQBCalcPts[RK],0)),"")</f>
        <v/>
      </c>
      <c r="E67" s="57" t="str">
        <f>IFERROR(INDEX(TableQBCalcPts[Custom],MATCH(TableQBRanks[[#This Row],[RK]],TableQBCalcPts[RK],0)),"")</f>
        <v/>
      </c>
      <c r="F67" s="125" t="e">
        <f>(((VLOOKUP(TableQBRanks[[#This Row],[Player]],'OVR &amp; VORP Ranks'!$B:$F,5,FALSE)))/('OVR &amp; VORP Ranks'!$BM$6))*(Settings!$E$10*TEAMS)</f>
        <v>#VALUE!</v>
      </c>
      <c r="H67">
        <v>66</v>
      </c>
      <c r="I67" t="str">
        <f>IFERROR(INDEX(TableRBCalcPts[PLAYER],MATCH(TableRBRanks[[#This Row],[RK]],TableRBCalcPts[RK],0)),"")</f>
        <v>Isaac Guerendo</v>
      </c>
      <c r="J67" t="str">
        <f>IFERROR(INDEX(TableRBCalcPts[TM],MATCH(TableRBRanks[[#This Row],[RK]],TableRBCalcPts[RK],0)),"")</f>
        <v>SF</v>
      </c>
      <c r="K67">
        <f>IFERROR(INDEX(TableRBCalcPts[BYE],MATCH(TableRBRanks[[#This Row],[RK]],TableRBCalcPts[RK],0)),"")</f>
        <v>9</v>
      </c>
      <c r="L67" s="57">
        <f>IFERROR(INDEX(TableRBCalcPts[Custom],MATCH(TableRBRanks[[#This Row],[RK]],TableRBCalcPts[RK],0)),"")</f>
        <v>65.973710530123185</v>
      </c>
      <c r="M67" s="125">
        <f>(((VLOOKUP(TableRBRanks[[#This Row],[Player]],'OVR &amp; VORP Ranks'!$I:$M,5,FALSE)))/('OVR &amp; VORP Ranks'!$BM$6))*(Settings!$E$10*TEAMS)</f>
        <v>-19.375145101835439</v>
      </c>
      <c r="O67">
        <v>66</v>
      </c>
      <c r="P67" t="str">
        <f>IFERROR(INDEX(TableWRCalcPts[PLAYER],MATCH(TableWRRanks[[#This Row],[RK]],TableWRCalcPts[RK],0)),"")</f>
        <v>Jerry Jeudy</v>
      </c>
      <c r="Q67" t="str">
        <f>IFERROR(INDEX(TableWRCalcPts[TM],MATCH(TableWRRanks[[#This Row],[RK]],TableWRCalcPts[RK],0)),"")</f>
        <v>CLE</v>
      </c>
      <c r="R67">
        <f>IFERROR(INDEX(TableWRCalcPts[BYE],MATCH(TableWRRanks[[#This Row],[RK]],TableWRCalcPts[RK],0)),"")</f>
        <v>5</v>
      </c>
      <c r="S67" s="57">
        <f>IFERROR(INDEX(TableWRCalcPts[Custom],MATCH(TableWRRanks[[#This Row],[RK]],TableWRCalcPts[RK],0)),"")</f>
        <v>128.455263234375</v>
      </c>
      <c r="T67" s="125">
        <f>(((VLOOKUP(TableWRRanks[[#This Row],[Player]],'OVR &amp; VORP Ranks'!$P:$T,5,FALSE)))/('OVR &amp; VORP Ranks'!$BM$6))*(Settings!$E$10*TEAMS)</f>
        <v>-5.159695356604022</v>
      </c>
      <c r="V67">
        <v>66</v>
      </c>
      <c r="W67" t="str">
        <f>IFERROR(INDEX(TableTECalcPts[PLAYER],MATCH(TableTERanks[[#This Row],[RK]],TableTECalcPts[RK],0)),"")</f>
        <v>Luke Schoonmaker</v>
      </c>
      <c r="X67" t="str">
        <f>IFERROR(INDEX(TableTECalcPts[TM],MATCH(TableTERanks[[#This Row],[RK]],TableTECalcPts[RK],0)),"")</f>
        <v>DAL</v>
      </c>
      <c r="Y67">
        <f>IFERROR(INDEX(TableTECalcPts[BYE],MATCH(TableTERanks[[#This Row],[RK]],TableTECalcPts[RK],0)),"")</f>
        <v>7</v>
      </c>
      <c r="Z67" s="57">
        <f>IFERROR(INDEX(TableTECalcPts[Custom],MATCH(TableTERanks[[#This Row],[RK]],TableTECalcPts[RK],0)),"")</f>
        <v>16.188977851703996</v>
      </c>
      <c r="AA67" s="125">
        <f>(((VLOOKUP(TableTERanks[[#This Row],[Player]],'OVR &amp; VORP Ranks'!$W:$AA,5,FALSE)))/('OVR &amp; VORP Ranks'!$BM$6))*(Settings!$E$10*TEAMS)</f>
        <v>-40.962007203522276</v>
      </c>
    </row>
    <row r="68" spans="1:27" x14ac:dyDescent="0.2">
      <c r="A68">
        <v>67</v>
      </c>
      <c r="B68" t="str">
        <f>IFERROR(INDEX(TableQBCalcPts[PLAYER],MATCH(TableQBRanks[[#This Row],[RK]],TableQBCalcPts[RK],0)),"")</f>
        <v/>
      </c>
      <c r="C68" t="str">
        <f>IFERROR(INDEX(TableQBCalcPts[TM],MATCH(TableQBRanks[[#This Row],[RK]],TableQBCalcPts[RK],0)),"")</f>
        <v/>
      </c>
      <c r="D68" t="str">
        <f>IFERROR(INDEX(TableQBCalcPts[BYE],MATCH(TableQBRanks[[#This Row],[RK]],TableQBCalcPts[RK],0)),"")</f>
        <v/>
      </c>
      <c r="E68" s="57" t="str">
        <f>IFERROR(INDEX(TableQBCalcPts[Custom],MATCH(TableQBRanks[[#This Row],[RK]],TableQBCalcPts[RK],0)),"")</f>
        <v/>
      </c>
      <c r="F68" s="125" t="e">
        <f>(((VLOOKUP(TableQBRanks[[#This Row],[Player]],'OVR &amp; VORP Ranks'!$B:$F,5,FALSE)))/('OVR &amp; VORP Ranks'!$BM$6))*(Settings!$E$10*TEAMS)</f>
        <v>#VALUE!</v>
      </c>
      <c r="H68">
        <v>67</v>
      </c>
      <c r="I68" t="str">
        <f>IFERROR(INDEX(TableRBCalcPts[PLAYER],MATCH(TableRBRanks[[#This Row],[RK]],TableRBCalcPts[RK],0)),"")</f>
        <v>Dylan Laube</v>
      </c>
      <c r="J68" t="str">
        <f>IFERROR(INDEX(TableRBCalcPts[TM],MATCH(TableRBRanks[[#This Row],[RK]],TableRBCalcPts[RK],0)),"")</f>
        <v>LV</v>
      </c>
      <c r="K68">
        <f>IFERROR(INDEX(TableRBCalcPts[BYE],MATCH(TableRBRanks[[#This Row],[RK]],TableRBCalcPts[RK],0)),"")</f>
        <v>13</v>
      </c>
      <c r="L68" s="57">
        <f>IFERROR(INDEX(TableRBCalcPts[Custom],MATCH(TableRBRanks[[#This Row],[RK]],TableRBCalcPts[RK],0)),"")</f>
        <v>65.827752244799996</v>
      </c>
      <c r="M68" s="125">
        <f>(((VLOOKUP(TableRBRanks[[#This Row],[Player]],'OVR &amp; VORP Ranks'!$I:$M,5,FALSE)))/('OVR &amp; VORP Ranks'!$BM$6))*(Settings!$E$10*TEAMS)</f>
        <v>-19.435643576341491</v>
      </c>
      <c r="O68">
        <v>67</v>
      </c>
      <c r="P68" t="str">
        <f>IFERROR(INDEX(TableWRCalcPts[PLAYER],MATCH(TableWRRanks[[#This Row],[RK]],TableWRCalcPts[RK],0)),"")</f>
        <v>Josh Downs</v>
      </c>
      <c r="Q68" t="str">
        <f>IFERROR(INDEX(TableWRCalcPts[TM],MATCH(TableWRRanks[[#This Row],[RK]],TableWRCalcPts[RK],0)),"")</f>
        <v>IND</v>
      </c>
      <c r="R68">
        <f>IFERROR(INDEX(TableWRCalcPts[BYE],MATCH(TableWRRanks[[#This Row],[RK]],TableWRCalcPts[RK],0)),"")</f>
        <v>11</v>
      </c>
      <c r="S68" s="57">
        <f>IFERROR(INDEX(TableWRCalcPts[Custom],MATCH(TableWRRanks[[#This Row],[RK]],TableWRCalcPts[RK],0)),"")</f>
        <v>127.45963412582404</v>
      </c>
      <c r="T68" s="125">
        <f>(((VLOOKUP(TableWRRanks[[#This Row],[Player]],'OVR &amp; VORP Ranks'!$P:$T,5,FALSE)))/('OVR &amp; VORP Ranks'!$BM$6))*(Settings!$E$10*TEAMS)</f>
        <v>-5.4818256843577089</v>
      </c>
      <c r="V68">
        <v>67</v>
      </c>
      <c r="W68" t="str">
        <f>IFERROR(INDEX(TableTECalcPts[PLAYER],MATCH(TableTERanks[[#This Row],[RK]],TableTECalcPts[RK],0)),"")</f>
        <v>Erick All</v>
      </c>
      <c r="X68" t="str">
        <f>IFERROR(INDEX(TableTECalcPts[TM],MATCH(TableTERanks[[#This Row],[RK]],TableTECalcPts[RK],0)),"")</f>
        <v>CIN</v>
      </c>
      <c r="Y68">
        <f>IFERROR(INDEX(TableTECalcPts[BYE],MATCH(TableTERanks[[#This Row],[RK]],TableTECalcPts[RK],0)),"")</f>
        <v>7</v>
      </c>
      <c r="Z68" s="57">
        <f>IFERROR(INDEX(TableTECalcPts[Custom],MATCH(TableTERanks[[#This Row],[RK]],TableTECalcPts[RK],0)),"")</f>
        <v>16.098907581288</v>
      </c>
      <c r="AA68" s="125">
        <f>(((VLOOKUP(TableTERanks[[#This Row],[Player]],'OVR &amp; VORP Ranks'!$W:$AA,5,FALSE)))/('OVR &amp; VORP Ranks'!$BM$6))*(Settings!$E$10*TEAMS)</f>
        <v>-40.994046664041484</v>
      </c>
    </row>
    <row r="69" spans="1:27" x14ac:dyDescent="0.2">
      <c r="A69">
        <v>68</v>
      </c>
      <c r="B69" t="str">
        <f>IFERROR(INDEX(TableQBCalcPts[PLAYER],MATCH(TableQBRanks[[#This Row],[RK]],TableQBCalcPts[RK],0)),"")</f>
        <v/>
      </c>
      <c r="C69" t="str">
        <f>IFERROR(INDEX(TableQBCalcPts[TM],MATCH(TableQBRanks[[#This Row],[RK]],TableQBCalcPts[RK],0)),"")</f>
        <v/>
      </c>
      <c r="D69" t="str">
        <f>IFERROR(INDEX(TableQBCalcPts[BYE],MATCH(TableQBRanks[[#This Row],[RK]],TableQBCalcPts[RK],0)),"")</f>
        <v/>
      </c>
      <c r="E69" s="57" t="str">
        <f>IFERROR(INDEX(TableQBCalcPts[Custom],MATCH(TableQBRanks[[#This Row],[RK]],TableQBCalcPts[RK],0)),"")</f>
        <v/>
      </c>
      <c r="F69" s="125" t="e">
        <f>(((VLOOKUP(TableQBRanks[[#This Row],[Player]],'OVR &amp; VORP Ranks'!$B:$F,5,FALSE)))/('OVR &amp; VORP Ranks'!$BM$6))*(Settings!$E$10*TEAMS)</f>
        <v>#VALUE!</v>
      </c>
      <c r="H69">
        <v>68</v>
      </c>
      <c r="I69" t="str">
        <f>IFERROR(INDEX(TableRBCalcPts[PLAYER],MATCH(TableRBRanks[[#This Row],[RK]],TableRBCalcPts[RK],0)),"")</f>
        <v>Eric Gray</v>
      </c>
      <c r="J69" t="str">
        <f>IFERROR(INDEX(TableRBCalcPts[TM],MATCH(TableRBRanks[[#This Row],[RK]],TableRBCalcPts[RK],0)),"")</f>
        <v>NYG</v>
      </c>
      <c r="K69">
        <f>IFERROR(INDEX(TableRBCalcPts[BYE],MATCH(TableRBRanks[[#This Row],[RK]],TableRBCalcPts[RK],0)),"")</f>
        <v>13</v>
      </c>
      <c r="L69" s="57">
        <f>IFERROR(INDEX(TableRBCalcPts[Custom],MATCH(TableRBRanks[[#This Row],[RK]],TableRBCalcPts[RK],0)),"")</f>
        <v>62.589561267430412</v>
      </c>
      <c r="M69" s="125">
        <f>(((VLOOKUP(TableRBRanks[[#This Row],[Player]],'OVR &amp; VORP Ranks'!$I:$M,5,FALSE)))/('OVR &amp; VORP Ranks'!$BM$6))*(Settings!$E$10*TEAMS)</f>
        <v>-20.777846342401158</v>
      </c>
      <c r="O69">
        <v>68</v>
      </c>
      <c r="P69" t="str">
        <f>IFERROR(INDEX(TableWRCalcPts[PLAYER],MATCH(TableWRRanks[[#This Row],[RK]],TableWRCalcPts[RK],0)),"")</f>
        <v>Quentin Johnston</v>
      </c>
      <c r="Q69" t="str">
        <f>IFERROR(INDEX(TableWRCalcPts[TM],MATCH(TableWRRanks[[#This Row],[RK]],TableWRCalcPts[RK],0)),"")</f>
        <v>LAC</v>
      </c>
      <c r="R69">
        <f>IFERROR(INDEX(TableWRCalcPts[BYE],MATCH(TableWRRanks[[#This Row],[RK]],TableWRCalcPts[RK],0)),"")</f>
        <v>5</v>
      </c>
      <c r="S69" s="57">
        <f>IFERROR(INDEX(TableWRCalcPts[Custom],MATCH(TableWRRanks[[#This Row],[RK]],TableWRCalcPts[RK],0)),"")</f>
        <v>126.53990116431299</v>
      </c>
      <c r="T69" s="125">
        <f>(((VLOOKUP(TableWRRanks[[#This Row],[Player]],'OVR &amp; VORP Ranks'!$P:$T,5,FALSE)))/('OVR &amp; VORP Ranks'!$BM$6))*(Settings!$E$10*TEAMS)</f>
        <v>-5.7794002307353463</v>
      </c>
      <c r="V69">
        <v>68</v>
      </c>
      <c r="W69" t="str">
        <f>IFERROR(INDEX(TableTECalcPts[PLAYER],MATCH(TableTERanks[[#This Row],[RK]],TableTECalcPts[RK],0)),"")</f>
        <v>Brevin Jordan</v>
      </c>
      <c r="X69" t="str">
        <f>IFERROR(INDEX(TableTECalcPts[TM],MATCH(TableTERanks[[#This Row],[RK]],TableTECalcPts[RK],0)),"")</f>
        <v>HOU</v>
      </c>
      <c r="Y69">
        <f>IFERROR(INDEX(TableTECalcPts[BYE],MATCH(TableTERanks[[#This Row],[RK]],TableTECalcPts[RK],0)),"")</f>
        <v>7</v>
      </c>
      <c r="Z69" s="57">
        <f>IFERROR(INDEX(TableTECalcPts[Custom],MATCH(TableTERanks[[#This Row],[RK]],TableTECalcPts[RK],0)),"")</f>
        <v>15.682476386304002</v>
      </c>
      <c r="AA69" s="125">
        <f>(((VLOOKUP(TableTERanks[[#This Row],[Player]],'OVR &amp; VORP Ranks'!$W:$AA,5,FALSE)))/('OVR &amp; VORP Ranks'!$BM$6))*(Settings!$E$10*TEAMS)</f>
        <v>-41.142178014919324</v>
      </c>
    </row>
    <row r="70" spans="1:27" x14ac:dyDescent="0.2">
      <c r="A70">
        <v>69</v>
      </c>
      <c r="B70" t="str">
        <f>IFERROR(INDEX(TableQBCalcPts[PLAYER],MATCH(TableQBRanks[[#This Row],[RK]],TableQBCalcPts[RK],0)),"")</f>
        <v/>
      </c>
      <c r="C70" t="str">
        <f>IFERROR(INDEX(TableQBCalcPts[TM],MATCH(TableQBRanks[[#This Row],[RK]],TableQBCalcPts[RK],0)),"")</f>
        <v/>
      </c>
      <c r="D70" t="str">
        <f>IFERROR(INDEX(TableQBCalcPts[BYE],MATCH(TableQBRanks[[#This Row],[RK]],TableQBCalcPts[RK],0)),"")</f>
        <v/>
      </c>
      <c r="E70" s="57" t="str">
        <f>IFERROR(INDEX(TableQBCalcPts[Custom],MATCH(TableQBRanks[[#This Row],[RK]],TableQBCalcPts[RK],0)),"")</f>
        <v/>
      </c>
      <c r="F70" s="125" t="e">
        <f>(((VLOOKUP(TableQBRanks[[#This Row],[Player]],'OVR &amp; VORP Ranks'!$B:$F,5,FALSE)))/('OVR &amp; VORP Ranks'!$BM$6))*(Settings!$E$10*TEAMS)</f>
        <v>#VALUE!</v>
      </c>
      <c r="H70">
        <v>69</v>
      </c>
      <c r="I70" t="str">
        <f>IFERROR(INDEX(TableRBCalcPts[PLAYER],MATCH(TableRBRanks[[#This Row],[RK]],TableRBCalcPts[RK],0)),"")</f>
        <v>Tyrone Tracy</v>
      </c>
      <c r="J70" t="str">
        <f>IFERROR(INDEX(TableRBCalcPts[TM],MATCH(TableRBRanks[[#This Row],[RK]],TableRBCalcPts[RK],0)),"")</f>
        <v>NYG</v>
      </c>
      <c r="K70">
        <f>IFERROR(INDEX(TableRBCalcPts[BYE],MATCH(TableRBRanks[[#This Row],[RK]],TableRBCalcPts[RK],0)),"")</f>
        <v>13</v>
      </c>
      <c r="L70" s="57">
        <f>IFERROR(INDEX(TableRBCalcPts[Custom],MATCH(TableRBRanks[[#This Row],[RK]],TableRBCalcPts[RK],0)),"")</f>
        <v>59.648622234331199</v>
      </c>
      <c r="M70" s="125">
        <f>(((VLOOKUP(TableRBRanks[[#This Row],[Player]],'OVR &amp; VORP Ranks'!$I:$M,5,FALSE)))/('OVR &amp; VORP Ranks'!$BM$6))*(Settings!$E$10*TEAMS)</f>
        <v>-21.996840692217148</v>
      </c>
      <c r="O70">
        <v>69</v>
      </c>
      <c r="P70" t="str">
        <f>IFERROR(INDEX(TableWRCalcPts[PLAYER],MATCH(TableWRRanks[[#This Row],[RK]],TableWRCalcPts[RK],0)),"")</f>
        <v>Wan'Dale Robinson</v>
      </c>
      <c r="Q70" t="str">
        <f>IFERROR(INDEX(TableWRCalcPts[TM],MATCH(TableWRRanks[[#This Row],[RK]],TableWRCalcPts[RK],0)),"")</f>
        <v>NYG</v>
      </c>
      <c r="R70">
        <f>IFERROR(INDEX(TableWRCalcPts[BYE],MATCH(TableWRRanks[[#This Row],[RK]],TableWRCalcPts[RK],0)),"")</f>
        <v>13</v>
      </c>
      <c r="S70" s="57">
        <f>IFERROR(INDEX(TableWRCalcPts[Custom],MATCH(TableWRRanks[[#This Row],[RK]],TableWRCalcPts[RK],0)),"")</f>
        <v>124.97569762585596</v>
      </c>
      <c r="T70" s="125">
        <f>(((VLOOKUP(TableWRRanks[[#This Row],[Player]],'OVR &amp; VORP Ranks'!$P:$T,5,FALSE)))/('OVR &amp; VORP Ranks'!$BM$6))*(Settings!$E$10*TEAMS)</f>
        <v>-6.2854896913478315</v>
      </c>
      <c r="V70">
        <v>69</v>
      </c>
      <c r="W70" t="str">
        <f>IFERROR(INDEX(TableTECalcPts[PLAYER],MATCH(TableTERanks[[#This Row],[RK]],TableTECalcPts[RK],0)),"")</f>
        <v>Durham Smythe</v>
      </c>
      <c r="X70" t="str">
        <f>IFERROR(INDEX(TableTECalcPts[TM],MATCH(TableTERanks[[#This Row],[RK]],TableTECalcPts[RK],0)),"")</f>
        <v>MIA</v>
      </c>
      <c r="Y70">
        <f>IFERROR(INDEX(TableTECalcPts[BYE],MATCH(TableTERanks[[#This Row],[RK]],TableTECalcPts[RK],0)),"")</f>
        <v>10</v>
      </c>
      <c r="Z70" s="57">
        <f>IFERROR(INDEX(TableTECalcPts[Custom],MATCH(TableTERanks[[#This Row],[RK]],TableTECalcPts[RK],0)),"")</f>
        <v>14.89512935232</v>
      </c>
      <c r="AA70" s="125">
        <f>(((VLOOKUP(TableTERanks[[#This Row],[Player]],'OVR &amp; VORP Ranks'!$W:$AA,5,FALSE)))/('OVR &amp; VORP Ranks'!$BM$6))*(Settings!$E$10*TEAMS)</f>
        <v>-41.422250164072807</v>
      </c>
    </row>
    <row r="71" spans="1:27" x14ac:dyDescent="0.2">
      <c r="A71">
        <v>70</v>
      </c>
      <c r="B71" t="str">
        <f>IFERROR(INDEX(TableQBCalcPts[PLAYER],MATCH(TableQBRanks[[#This Row],[RK]],TableQBCalcPts[RK],0)),"")</f>
        <v/>
      </c>
      <c r="C71" t="str">
        <f>IFERROR(INDEX(TableQBCalcPts[TM],MATCH(TableQBRanks[[#This Row],[RK]],TableQBCalcPts[RK],0)),"")</f>
        <v/>
      </c>
      <c r="D71" t="str">
        <f>IFERROR(INDEX(TableQBCalcPts[BYE],MATCH(TableQBRanks[[#This Row],[RK]],TableQBCalcPts[RK],0)),"")</f>
        <v/>
      </c>
      <c r="E71" s="57" t="str">
        <f>IFERROR(INDEX(TableQBCalcPts[Custom],MATCH(TableQBRanks[[#This Row],[RK]],TableQBCalcPts[RK],0)),"")</f>
        <v/>
      </c>
      <c r="F71" s="125" t="e">
        <f>(((VLOOKUP(TableQBRanks[[#This Row],[Player]],'OVR &amp; VORP Ranks'!$B:$F,5,FALSE)))/('OVR &amp; VORP Ranks'!$BM$6))*(Settings!$E$10*TEAMS)</f>
        <v>#VALUE!</v>
      </c>
      <c r="H71">
        <v>70</v>
      </c>
      <c r="I71" t="str">
        <f>IFERROR(INDEX(TableRBCalcPts[PLAYER],MATCH(TableRBRanks[[#This Row],[RK]],TableRBCalcPts[RK],0)),"")</f>
        <v>Chase Edmonds</v>
      </c>
      <c r="J71" t="str">
        <f>IFERROR(INDEX(TableRBCalcPts[TM],MATCH(TableRBRanks[[#This Row],[RK]],TableRBCalcPts[RK],0)),"")</f>
        <v>TB</v>
      </c>
      <c r="K71">
        <f>IFERROR(INDEX(TableRBCalcPts[BYE],MATCH(TableRBRanks[[#This Row],[RK]],TableRBCalcPts[RK],0)),"")</f>
        <v>5</v>
      </c>
      <c r="L71" s="57">
        <f>IFERROR(INDEX(TableRBCalcPts[Custom],MATCH(TableRBRanks[[#This Row],[RK]],TableRBCalcPts[RK],0)),"")</f>
        <v>58.608012904245008</v>
      </c>
      <c r="M71" s="125">
        <f>(((VLOOKUP(TableRBRanks[[#This Row],[Player]],'OVR &amp; VORP Ranks'!$I:$M,5,FALSE)))/('OVR &amp; VORP Ranks'!$BM$6))*(Settings!$E$10*TEAMS)</f>
        <v>-22.428164456315752</v>
      </c>
      <c r="O71">
        <v>70</v>
      </c>
      <c r="P71" t="str">
        <f>IFERROR(INDEX(TableWRCalcPts[PLAYER],MATCH(TableWRRanks[[#This Row],[RK]],TableWRCalcPts[RK],0)),"")</f>
        <v>Jermaine Burton</v>
      </c>
      <c r="Q71" t="str">
        <f>IFERROR(INDEX(TableWRCalcPts[TM],MATCH(TableWRRanks[[#This Row],[RK]],TableWRCalcPts[RK],0)),"")</f>
        <v>CIN</v>
      </c>
      <c r="R71">
        <f>IFERROR(INDEX(TableWRCalcPts[BYE],MATCH(TableWRRanks[[#This Row],[RK]],TableWRCalcPts[RK],0)),"")</f>
        <v>7</v>
      </c>
      <c r="S71" s="57">
        <f>IFERROR(INDEX(TableWRCalcPts[Custom],MATCH(TableWRRanks[[#This Row],[RK]],TableWRCalcPts[RK],0)),"")</f>
        <v>118.73828249010003</v>
      </c>
      <c r="T71" s="125">
        <f>(((VLOOKUP(TableWRRanks[[#This Row],[Player]],'OVR &amp; VORP Ranks'!$P:$T,5,FALSE)))/('OVR &amp; VORP Ranks'!$BM$6))*(Settings!$E$10*TEAMS)</f>
        <v>-8.3035710880851727</v>
      </c>
      <c r="V71">
        <v>70</v>
      </c>
      <c r="W71" t="str">
        <f>IFERROR(INDEX(TableTECalcPts[PLAYER],MATCH(TableTERanks[[#This Row],[RK]],TableTECalcPts[RK],0)),"")</f>
        <v>Tip Reiman</v>
      </c>
      <c r="X71" t="str">
        <f>IFERROR(INDEX(TableTECalcPts[TM],MATCH(TableTERanks[[#This Row],[RK]],TableTECalcPts[RK],0)),"")</f>
        <v>ARI</v>
      </c>
      <c r="Y71">
        <f>IFERROR(INDEX(TableTECalcPts[BYE],MATCH(TableTERanks[[#This Row],[RK]],TableTECalcPts[RK],0)),"")</f>
        <v>14</v>
      </c>
      <c r="Z71" s="57">
        <f>IFERROR(INDEX(TableTECalcPts[Custom],MATCH(TableTERanks[[#This Row],[RK]],TableTECalcPts[RK],0)),"")</f>
        <v>14.747381013540004</v>
      </c>
      <c r="AA71" s="125">
        <f>(((VLOOKUP(TableTERanks[[#This Row],[Player]],'OVR &amp; VORP Ranks'!$W:$AA,5,FALSE)))/('OVR &amp; VORP Ranks'!$BM$6))*(Settings!$E$10*TEAMS)</f>
        <v>-41.474806651860128</v>
      </c>
    </row>
    <row r="72" spans="1:27" x14ac:dyDescent="0.2">
      <c r="A72">
        <v>71</v>
      </c>
      <c r="B72" t="str">
        <f>IFERROR(INDEX(TableQBCalcPts[PLAYER],MATCH(TableQBRanks[[#This Row],[RK]],TableQBCalcPts[RK],0)),"")</f>
        <v/>
      </c>
      <c r="C72" t="str">
        <f>IFERROR(INDEX(TableQBCalcPts[TM],MATCH(TableQBRanks[[#This Row],[RK]],TableQBCalcPts[RK],0)),"")</f>
        <v/>
      </c>
      <c r="D72" t="str">
        <f>IFERROR(INDEX(TableQBCalcPts[BYE],MATCH(TableQBRanks[[#This Row],[RK]],TableQBCalcPts[RK],0)),"")</f>
        <v/>
      </c>
      <c r="E72" s="57" t="str">
        <f>IFERROR(INDEX(TableQBCalcPts[Custom],MATCH(TableQBRanks[[#This Row],[RK]],TableQBCalcPts[RK],0)),"")</f>
        <v/>
      </c>
      <c r="F72" s="125" t="e">
        <f>(((VLOOKUP(TableQBRanks[[#This Row],[Player]],'OVR &amp; VORP Ranks'!$B:$F,5,FALSE)))/('OVR &amp; VORP Ranks'!$BM$6))*(Settings!$E$10*TEAMS)</f>
        <v>#VALUE!</v>
      </c>
      <c r="H72">
        <v>71</v>
      </c>
      <c r="I72" t="str">
        <f>IFERROR(INDEX(TableRBCalcPts[PLAYER],MATCH(TableRBRanks[[#This Row],[RK]],TableRBCalcPts[RK],0)),"")</f>
        <v>Kimani Vidal</v>
      </c>
      <c r="J72" t="str">
        <f>IFERROR(INDEX(TableRBCalcPts[TM],MATCH(TableRBRanks[[#This Row],[RK]],TableRBCalcPts[RK],0)),"")</f>
        <v>LAC</v>
      </c>
      <c r="K72">
        <f>IFERROR(INDEX(TableRBCalcPts[BYE],MATCH(TableRBRanks[[#This Row],[RK]],TableRBCalcPts[RK],0)),"")</f>
        <v>5</v>
      </c>
      <c r="L72" s="57">
        <f>IFERROR(INDEX(TableRBCalcPts[Custom],MATCH(TableRBRanks[[#This Row],[RK]],TableRBCalcPts[RK],0)),"")</f>
        <v>57.720941137439993</v>
      </c>
      <c r="M72" s="125">
        <f>(((VLOOKUP(TableRBRanks[[#This Row],[Player]],'OVR &amp; VORP Ranks'!$I:$M,5,FALSE)))/('OVR &amp; VORP Ranks'!$BM$6))*(Settings!$E$10*TEAMS)</f>
        <v>-22.795848199312989</v>
      </c>
      <c r="O72">
        <v>71</v>
      </c>
      <c r="P72" t="str">
        <f>IFERROR(INDEX(TableWRCalcPts[PLAYER],MATCH(TableWRRanks[[#This Row],[RK]],TableWRCalcPts[RK],0)),"")</f>
        <v>Adam Thielen</v>
      </c>
      <c r="Q72" t="str">
        <f>IFERROR(INDEX(TableWRCalcPts[TM],MATCH(TableWRRanks[[#This Row],[RK]],TableWRCalcPts[RK],0)),"")</f>
        <v>CAR</v>
      </c>
      <c r="R72">
        <f>IFERROR(INDEX(TableWRCalcPts[BYE],MATCH(TableWRRanks[[#This Row],[RK]],TableWRCalcPts[RK],0)),"")</f>
        <v>7</v>
      </c>
      <c r="S72" s="57">
        <f>IFERROR(INDEX(TableWRCalcPts[Custom],MATCH(TableWRRanks[[#This Row],[RK]],TableWRCalcPts[RK],0)),"")</f>
        <v>117.82870796050199</v>
      </c>
      <c r="T72" s="125">
        <f>(((VLOOKUP(TableWRRanks[[#This Row],[Player]],'OVR &amp; VORP Ranks'!$P:$T,5,FALSE)))/('OVR &amp; VORP Ranks'!$BM$6))*(Settings!$E$10*TEAMS)</f>
        <v>-8.5978589296311672</v>
      </c>
      <c r="V72">
        <v>71</v>
      </c>
      <c r="W72" t="str">
        <f>IFERROR(INDEX(TableTECalcPts[PLAYER],MATCH(TableTERanks[[#This Row],[RK]],TableTECalcPts[RK],0)),"")</f>
        <v>Luke Farrell</v>
      </c>
      <c r="X72" t="str">
        <f>IFERROR(INDEX(TableTECalcPts[TM],MATCH(TableTERanks[[#This Row],[RK]],TableTECalcPts[RK],0)),"")</f>
        <v>JAX</v>
      </c>
      <c r="Y72">
        <f>IFERROR(INDEX(TableTECalcPts[BYE],MATCH(TableTERanks[[#This Row],[RK]],TableTECalcPts[RK],0)),"")</f>
        <v>9</v>
      </c>
      <c r="Z72" s="57">
        <f>IFERROR(INDEX(TableTECalcPts[Custom],MATCH(TableTERanks[[#This Row],[RK]],TableTECalcPts[RK],0)),"")</f>
        <v>14.710061620799998</v>
      </c>
      <c r="AA72" s="125">
        <f>(((VLOOKUP(TableTERanks[[#This Row],[Player]],'OVR &amp; VORP Ranks'!$W:$AA,5,FALSE)))/('OVR &amp; VORP Ranks'!$BM$6))*(Settings!$E$10*TEAMS)</f>
        <v>-41.488081766998249</v>
      </c>
    </row>
    <row r="73" spans="1:27" x14ac:dyDescent="0.2">
      <c r="A73">
        <v>72</v>
      </c>
      <c r="B73" t="str">
        <f>IFERROR(INDEX(TableQBCalcPts[PLAYER],MATCH(TableQBRanks[[#This Row],[RK]],TableQBCalcPts[RK],0)),"")</f>
        <v/>
      </c>
      <c r="C73" t="str">
        <f>IFERROR(INDEX(TableQBCalcPts[TM],MATCH(TableQBRanks[[#This Row],[RK]],TableQBCalcPts[RK],0)),"")</f>
        <v/>
      </c>
      <c r="D73" t="str">
        <f>IFERROR(INDEX(TableQBCalcPts[BYE],MATCH(TableQBRanks[[#This Row],[RK]],TableQBCalcPts[RK],0)),"")</f>
        <v/>
      </c>
      <c r="E73" s="57" t="str">
        <f>IFERROR(INDEX(TableQBCalcPts[Custom],MATCH(TableQBRanks[[#This Row],[RK]],TableQBCalcPts[RK],0)),"")</f>
        <v/>
      </c>
      <c r="F73" s="125" t="e">
        <f>(((VLOOKUP(TableQBRanks[[#This Row],[Player]],'OVR &amp; VORP Ranks'!$B:$F,5,FALSE)))/('OVR &amp; VORP Ranks'!$BM$6))*(Settings!$E$10*TEAMS)</f>
        <v>#VALUE!</v>
      </c>
      <c r="H73">
        <v>72</v>
      </c>
      <c r="I73" t="str">
        <f>IFERROR(INDEX(TableRBCalcPts[PLAYER],MATCH(TableRBRanks[[#This Row],[RK]],TableRBCalcPts[RK],0)),"")</f>
        <v>Rasheen Ali</v>
      </c>
      <c r="J73" t="str">
        <f>IFERROR(INDEX(TableRBCalcPts[TM],MATCH(TableRBRanks[[#This Row],[RK]],TableRBCalcPts[RK],0)),"")</f>
        <v>BAL</v>
      </c>
      <c r="K73">
        <f>IFERROR(INDEX(TableRBCalcPts[BYE],MATCH(TableRBRanks[[#This Row],[RK]],TableRBCalcPts[RK],0)),"")</f>
        <v>13</v>
      </c>
      <c r="L73" s="57">
        <f>IFERROR(INDEX(TableRBCalcPts[Custom],MATCH(TableRBRanks[[#This Row],[RK]],TableRBCalcPts[RK],0)),"")</f>
        <v>56.086905436799995</v>
      </c>
      <c r="M73" s="125">
        <f>(((VLOOKUP(TableRBRanks[[#This Row],[Player]],'OVR &amp; VORP Ranks'!$I:$M,5,FALSE)))/('OVR &amp; VORP Ranks'!$BM$6))*(Settings!$E$10*TEAMS)</f>
        <v>-23.473142173808842</v>
      </c>
      <c r="O73">
        <v>72</v>
      </c>
      <c r="P73" t="str">
        <f>IFERROR(INDEX(TableWRCalcPts[PLAYER],MATCH(TableWRRanks[[#This Row],[RK]],TableWRCalcPts[RK],0)),"")</f>
        <v>Malachi Corley</v>
      </c>
      <c r="Q73" t="str">
        <f>IFERROR(INDEX(TableWRCalcPts[TM],MATCH(TableWRRanks[[#This Row],[RK]],TableWRCalcPts[RK],0)),"")</f>
        <v>NYJ</v>
      </c>
      <c r="R73">
        <f>IFERROR(INDEX(TableWRCalcPts[BYE],MATCH(TableWRRanks[[#This Row],[RK]],TableWRCalcPts[RK],0)),"")</f>
        <v>7</v>
      </c>
      <c r="S73" s="57">
        <f>IFERROR(INDEX(TableWRCalcPts[Custom],MATCH(TableWRRanks[[#This Row],[RK]],TableWRCalcPts[RK],0)),"")</f>
        <v>115.7540979246848</v>
      </c>
      <c r="T73" s="125">
        <f>(((VLOOKUP(TableWRRanks[[#This Row],[Player]],'OVR &amp; VORP Ranks'!$P:$T,5,FALSE)))/('OVR &amp; VORP Ranks'!$BM$6))*(Settings!$E$10*TEAMS)</f>
        <v>-9.2690876081212128</v>
      </c>
      <c r="V73">
        <v>72</v>
      </c>
      <c r="W73" t="str">
        <f>IFERROR(INDEX(TableTECalcPts[PLAYER],MATCH(TableTERanks[[#This Row],[RK]],TableTECalcPts[RK],0)),"")</f>
        <v>Brock Wright</v>
      </c>
      <c r="X73" t="str">
        <f>IFERROR(INDEX(TableTECalcPts[TM],MATCH(TableTERanks[[#This Row],[RK]],TableTECalcPts[RK],0)),"")</f>
        <v>DET</v>
      </c>
      <c r="Y73">
        <f>IFERROR(INDEX(TableTECalcPts[BYE],MATCH(TableTERanks[[#This Row],[RK]],TableTECalcPts[RK],0)),"")</f>
        <v>9</v>
      </c>
      <c r="Z73" s="57">
        <f>IFERROR(INDEX(TableTECalcPts[Custom],MATCH(TableTERanks[[#This Row],[RK]],TableTECalcPts[RK],0)),"")</f>
        <v>14.383572453432</v>
      </c>
      <c r="AA73" s="125">
        <f>(((VLOOKUP(TableTERanks[[#This Row],[Player]],'OVR &amp; VORP Ranks'!$W:$AA,5,FALSE)))/('OVR &amp; VORP Ranks'!$BM$6))*(Settings!$E$10*TEAMS)</f>
        <v>-41.604219275407203</v>
      </c>
    </row>
    <row r="74" spans="1:27" x14ac:dyDescent="0.2">
      <c r="A74">
        <v>73</v>
      </c>
      <c r="B74" t="str">
        <f>IFERROR(INDEX(TableQBCalcPts[PLAYER],MATCH(TableQBRanks[[#This Row],[RK]],TableQBCalcPts[RK],0)),"")</f>
        <v/>
      </c>
      <c r="C74" t="str">
        <f>IFERROR(INDEX(TableQBCalcPts[TM],MATCH(TableQBRanks[[#This Row],[RK]],TableQBCalcPts[RK],0)),"")</f>
        <v/>
      </c>
      <c r="D74" t="str">
        <f>IFERROR(INDEX(TableQBCalcPts[BYE],MATCH(TableQBRanks[[#This Row],[RK]],TableQBCalcPts[RK],0)),"")</f>
        <v/>
      </c>
      <c r="E74" s="57" t="str">
        <f>IFERROR(INDEX(TableQBCalcPts[Custom],MATCH(TableQBRanks[[#This Row],[RK]],TableQBCalcPts[RK],0)),"")</f>
        <v/>
      </c>
      <c r="F74" s="125" t="e">
        <f>(((VLOOKUP(TableQBRanks[[#This Row],[Player]],'OVR &amp; VORP Ranks'!$B:$F,5,FALSE)))/('OVR &amp; VORP Ranks'!$BM$6))*(Settings!$E$10*TEAMS)</f>
        <v>#VALUE!</v>
      </c>
      <c r="H74">
        <v>73</v>
      </c>
      <c r="I74" t="str">
        <f>IFERROR(INDEX(TableRBCalcPts[PLAYER],MATCH(TableRBRanks[[#This Row],[RK]],TableRBCalcPts[RK],0)),"")</f>
        <v>D'Onta Foreman</v>
      </c>
      <c r="J74" t="str">
        <f>IFERROR(INDEX(TableRBCalcPts[TM],MATCH(TableRBRanks[[#This Row],[RK]],TableRBCalcPts[RK],0)),"")</f>
        <v>CLE</v>
      </c>
      <c r="K74">
        <f>IFERROR(INDEX(TableRBCalcPts[BYE],MATCH(TableRBRanks[[#This Row],[RK]],TableRBCalcPts[RK],0)),"")</f>
        <v>5</v>
      </c>
      <c r="L74" s="57">
        <f>IFERROR(INDEX(TableRBCalcPts[Custom],MATCH(TableRBRanks[[#This Row],[RK]],TableRBCalcPts[RK],0)),"")</f>
        <v>49.677862080000004</v>
      </c>
      <c r="M74" s="125">
        <f>(((VLOOKUP(TableRBRanks[[#This Row],[Player]],'OVR &amp; VORP Ranks'!$I:$M,5,FALSE)))/('OVR &amp; VORP Ranks'!$BM$6))*(Settings!$E$10*TEAMS)</f>
        <v>-26.129636426745403</v>
      </c>
      <c r="O74">
        <v>73</v>
      </c>
      <c r="P74" t="str">
        <f>IFERROR(INDEX(TableWRCalcPts[PLAYER],MATCH(TableWRRanks[[#This Row],[RK]],TableWRCalcPts[RK],0)),"")</f>
        <v>Adonai Mitchell</v>
      </c>
      <c r="Q74" t="str">
        <f>IFERROR(INDEX(TableWRCalcPts[TM],MATCH(TableWRRanks[[#This Row],[RK]],TableWRCalcPts[RK],0)),"")</f>
        <v>IND</v>
      </c>
      <c r="R74">
        <f>IFERROR(INDEX(TableWRCalcPts[BYE],MATCH(TableWRRanks[[#This Row],[RK]],TableWRCalcPts[RK],0)),"")</f>
        <v>11</v>
      </c>
      <c r="S74" s="57">
        <f>IFERROR(INDEX(TableWRCalcPts[Custom],MATCH(TableWRRanks[[#This Row],[RK]],TableWRCalcPts[RK],0)),"")</f>
        <v>114.04083314624</v>
      </c>
      <c r="T74" s="125">
        <f>(((VLOOKUP(TableWRRanks[[#This Row],[Player]],'OVR &amp; VORP Ranks'!$P:$T,5,FALSE)))/('OVR &amp; VORP Ranks'!$BM$6))*(Settings!$E$10*TEAMS)</f>
        <v>-9.8234050139396309</v>
      </c>
      <c r="V74">
        <v>73</v>
      </c>
      <c r="W74" t="str">
        <f>IFERROR(INDEX(TableTECalcPts[PLAYER],MATCH(TableTERanks[[#This Row],[RK]],TableTECalcPts[RK],0)),"")</f>
        <v>Elijah Higgins</v>
      </c>
      <c r="X74" t="str">
        <f>IFERROR(INDEX(TableTECalcPts[TM],MATCH(TableTERanks[[#This Row],[RK]],TableTECalcPts[RK],0)),"")</f>
        <v>ARI</v>
      </c>
      <c r="Y74">
        <f>IFERROR(INDEX(TableTECalcPts[BYE],MATCH(TableTERanks[[#This Row],[RK]],TableTECalcPts[RK],0)),"")</f>
        <v>14</v>
      </c>
      <c r="Z74" s="57">
        <f>IFERROR(INDEX(TableTECalcPts[Custom],MATCH(TableTERanks[[#This Row],[RK]],TableTECalcPts[RK],0)),"")</f>
        <v>14.041592247900002</v>
      </c>
      <c r="AA74" s="125">
        <f>(((VLOOKUP(TableTERanks[[#This Row],[Player]],'OVR &amp; VORP Ranks'!$W:$AA,5,FALSE)))/('OVR &amp; VORP Ranks'!$BM$6))*(Settings!$E$10*TEAMS)</f>
        <v>-41.725867198111182</v>
      </c>
    </row>
    <row r="75" spans="1:27" x14ac:dyDescent="0.2">
      <c r="A75">
        <v>74</v>
      </c>
      <c r="B75" t="str">
        <f>IFERROR(INDEX(TableQBCalcPts[PLAYER],MATCH(TableQBRanks[[#This Row],[RK]],TableQBCalcPts[RK],0)),"")</f>
        <v/>
      </c>
      <c r="C75" t="str">
        <f>IFERROR(INDEX(TableQBCalcPts[TM],MATCH(TableQBRanks[[#This Row],[RK]],TableQBCalcPts[RK],0)),"")</f>
        <v/>
      </c>
      <c r="D75" t="str">
        <f>IFERROR(INDEX(TableQBCalcPts[BYE],MATCH(TableQBRanks[[#This Row],[RK]],TableQBCalcPts[RK],0)),"")</f>
        <v/>
      </c>
      <c r="E75" s="57" t="str">
        <f>IFERROR(INDEX(TableQBCalcPts[Custom],MATCH(TableQBRanks[[#This Row],[RK]],TableQBCalcPts[RK],0)),"")</f>
        <v/>
      </c>
      <c r="F75" s="125" t="e">
        <f>(((VLOOKUP(TableQBRanks[[#This Row],[Player]],'OVR &amp; VORP Ranks'!$B:$F,5,FALSE)))/('OVR &amp; VORP Ranks'!$BM$6))*(Settings!$E$10*TEAMS)</f>
        <v>#VALUE!</v>
      </c>
      <c r="H75">
        <v>74</v>
      </c>
      <c r="I75" t="str">
        <f>IFERROR(INDEX(TableRBCalcPts[PLAYER],MATCH(TableRBRanks[[#This Row],[RK]],TableRBCalcPts[RK],0)),"")</f>
        <v>Jamaal Williams</v>
      </c>
      <c r="J75" t="str">
        <f>IFERROR(INDEX(TableRBCalcPts[TM],MATCH(TableRBRanks[[#This Row],[RK]],TableRBCalcPts[RK],0)),"")</f>
        <v>NO</v>
      </c>
      <c r="K75">
        <f>IFERROR(INDEX(TableRBCalcPts[BYE],MATCH(TableRBRanks[[#This Row],[RK]],TableRBCalcPts[RK],0)),"")</f>
        <v>11</v>
      </c>
      <c r="L75" s="57">
        <f>IFERROR(INDEX(TableRBCalcPts[Custom],MATCH(TableRBRanks[[#This Row],[RK]],TableRBCalcPts[RK],0)),"")</f>
        <v>47.008275267918272</v>
      </c>
      <c r="M75" s="125">
        <f>(((VLOOKUP(TableRBRanks[[#This Row],[Player]],'OVR &amp; VORP Ranks'!$I:$M,5,FALSE)))/('OVR &amp; VORP Ranks'!$BM$6))*(Settings!$E$10*TEAMS)</f>
        <v>-27.236157576502652</v>
      </c>
      <c r="O75">
        <v>74</v>
      </c>
      <c r="P75" t="str">
        <f>IFERROR(INDEX(TableWRCalcPts[PLAYER],MATCH(TableWRRanks[[#This Row],[RK]],TableWRCalcPts[RK],0)),"")</f>
        <v>Demario Douglas</v>
      </c>
      <c r="Q75" t="str">
        <f>IFERROR(INDEX(TableWRCalcPts[TM],MATCH(TableWRRanks[[#This Row],[RK]],TableWRCalcPts[RK],0)),"")</f>
        <v>NE</v>
      </c>
      <c r="R75">
        <f>IFERROR(INDEX(TableWRCalcPts[BYE],MATCH(TableWRRanks[[#This Row],[RK]],TableWRCalcPts[RK],0)),"")</f>
        <v>11</v>
      </c>
      <c r="S75" s="57">
        <f>IFERROR(INDEX(TableWRCalcPts[Custom],MATCH(TableWRRanks[[#This Row],[RK]],TableWRCalcPts[RK],0)),"")</f>
        <v>106.29055499999998</v>
      </c>
      <c r="T75" s="125">
        <f>(((VLOOKUP(TableWRRanks[[#This Row],[Player]],'OVR &amp; VORP Ranks'!$P:$T,5,FALSE)))/('OVR &amp; VORP Ranks'!$BM$6))*(Settings!$E$10*TEAMS)</f>
        <v>-12.330964925545773</v>
      </c>
      <c r="V75">
        <v>74</v>
      </c>
      <c r="W75" t="str">
        <f>IFERROR(INDEX(TableTECalcPts[PLAYER],MATCH(TableTERanks[[#This Row],[RK]],TableTECalcPts[RK],0)),"")</f>
        <v>Kylen Granson</v>
      </c>
      <c r="X75" t="str">
        <f>IFERROR(INDEX(TableTECalcPts[TM],MATCH(TableTERanks[[#This Row],[RK]],TableTECalcPts[RK],0)),"")</f>
        <v>IND</v>
      </c>
      <c r="Y75">
        <f>IFERROR(INDEX(TableTECalcPts[BYE],MATCH(TableTERanks[[#This Row],[RK]],TableTECalcPts[RK],0)),"")</f>
        <v>11</v>
      </c>
      <c r="Z75" s="57">
        <f>IFERROR(INDEX(TableTECalcPts[Custom],MATCH(TableTERanks[[#This Row],[RK]],TableTECalcPts[RK],0)),"")</f>
        <v>13.906188357600001</v>
      </c>
      <c r="AA75" s="125">
        <f>(((VLOOKUP(TableTERanks[[#This Row],[Player]],'OVR &amp; VORP Ranks'!$W:$AA,5,FALSE)))/('OVR &amp; VORP Ranks'!$BM$6))*(Settings!$E$10*TEAMS)</f>
        <v>-41.77403256474522</v>
      </c>
    </row>
    <row r="76" spans="1:27" x14ac:dyDescent="0.2">
      <c r="A76">
        <v>75</v>
      </c>
      <c r="B76" t="str">
        <f>IFERROR(INDEX(TableQBCalcPts[PLAYER],MATCH(TableQBRanks[[#This Row],[RK]],TableQBCalcPts[RK],0)),"")</f>
        <v/>
      </c>
      <c r="C76" t="str">
        <f>IFERROR(INDEX(TableQBCalcPts[TM],MATCH(TableQBRanks[[#This Row],[RK]],TableQBCalcPts[RK],0)),"")</f>
        <v/>
      </c>
      <c r="D76" t="str">
        <f>IFERROR(INDEX(TableQBCalcPts[BYE],MATCH(TableQBRanks[[#This Row],[RK]],TableQBCalcPts[RK],0)),"")</f>
        <v/>
      </c>
      <c r="E76" s="57" t="str">
        <f>IFERROR(INDEX(TableQBCalcPts[Custom],MATCH(TableQBRanks[[#This Row],[RK]],TableQBCalcPts[RK],0)),"")</f>
        <v/>
      </c>
      <c r="F76" s="125" t="e">
        <f>(((VLOOKUP(TableQBRanks[[#This Row],[Player]],'OVR &amp; VORP Ranks'!$B:$F,5,FALSE)))/('OVR &amp; VORP Ranks'!$BM$6))*(Settings!$E$10*TEAMS)</f>
        <v>#VALUE!</v>
      </c>
      <c r="H76">
        <v>75</v>
      </c>
      <c r="I76" t="str">
        <f>IFERROR(INDEX(TableRBCalcPts[PLAYER],MATCH(TableRBRanks[[#This Row],[RK]],TableRBCalcPts[RK],0)),"")</f>
        <v>AJ Dillon</v>
      </c>
      <c r="J76" t="str">
        <f>IFERROR(INDEX(TableRBCalcPts[TM],MATCH(TableRBRanks[[#This Row],[RK]],TableRBCalcPts[RK],0)),"")</f>
        <v>GB</v>
      </c>
      <c r="K76">
        <f>IFERROR(INDEX(TableRBCalcPts[BYE],MATCH(TableRBRanks[[#This Row],[RK]],TableRBCalcPts[RK],0)),"")</f>
        <v>6</v>
      </c>
      <c r="L76" s="57">
        <f>IFERROR(INDEX(TableRBCalcPts[Custom],MATCH(TableRBRanks[[#This Row],[RK]],TableRBCalcPts[RK],0)),"")</f>
        <v>46.699534555968008</v>
      </c>
      <c r="M76" s="125">
        <f>(((VLOOKUP(TableRBRanks[[#This Row],[Player]],'OVR &amp; VORP Ranks'!$I:$M,5,FALSE)))/('OVR &amp; VORP Ranks'!$BM$6))*(Settings!$E$10*TEAMS)</f>
        <v>-27.364127989758362</v>
      </c>
      <c r="O76">
        <v>75</v>
      </c>
      <c r="P76" t="str">
        <f>IFERROR(INDEX(TableWRCalcPts[PLAYER],MATCH(TableWRRanks[[#This Row],[RK]],TableWRCalcPts[RK],0)),"")</f>
        <v>Josh Reynolds</v>
      </c>
      <c r="Q76" t="str">
        <f>IFERROR(INDEX(TableWRCalcPts[TM],MATCH(TableWRRanks[[#This Row],[RK]],TableWRCalcPts[RK],0)),"")</f>
        <v>DEN</v>
      </c>
      <c r="R76">
        <f>IFERROR(INDEX(TableWRCalcPts[BYE],MATCH(TableWRRanks[[#This Row],[RK]],TableWRCalcPts[RK],0)),"")</f>
        <v>9</v>
      </c>
      <c r="S76" s="57">
        <f>IFERROR(INDEX(TableWRCalcPts[Custom],MATCH(TableWRRanks[[#This Row],[RK]],TableWRCalcPts[RK],0)),"")</f>
        <v>105.31443284480997</v>
      </c>
      <c r="T76" s="125">
        <f>(((VLOOKUP(TableWRRanks[[#This Row],[Player]],'OVR &amp; VORP Ranks'!$P:$T,5,FALSE)))/('OVR &amp; VORP Ranks'!$BM$6))*(Settings!$E$10*TEAMS)</f>
        <v>-12.646783885717227</v>
      </c>
      <c r="V76">
        <v>75</v>
      </c>
      <c r="W76" t="str">
        <f>IFERROR(INDEX(TableTECalcPts[PLAYER],MATCH(TableTERanks[[#This Row],[RK]],TableTECalcPts[RK],0)),"")</f>
        <v>C.J. Uzomah</v>
      </c>
      <c r="X76" t="str">
        <f>IFERROR(INDEX(TableTECalcPts[TM],MATCH(TableTERanks[[#This Row],[RK]],TableTECalcPts[RK],0)),"")</f>
        <v>PHI</v>
      </c>
      <c r="Y76">
        <f>IFERROR(INDEX(TableTECalcPts[BYE],MATCH(TableTERanks[[#This Row],[RK]],TableTECalcPts[RK],0)),"")</f>
        <v>10</v>
      </c>
      <c r="Z76" s="57">
        <f>IFERROR(INDEX(TableTECalcPts[Custom],MATCH(TableTERanks[[#This Row],[RK]],TableTECalcPts[RK],0)),"")</f>
        <v>13.372270636032002</v>
      </c>
      <c r="AA76" s="125">
        <f>(((VLOOKUP(TableTERanks[[#This Row],[Player]],'OVR &amp; VORP Ranks'!$W:$AA,5,FALSE)))/('OVR &amp; VORP Ranks'!$BM$6))*(Settings!$E$10*TEAMS)</f>
        <v>-41.963955784489912</v>
      </c>
    </row>
    <row r="77" spans="1:27" x14ac:dyDescent="0.2">
      <c r="A77">
        <v>76</v>
      </c>
      <c r="B77" t="str">
        <f>IFERROR(INDEX(TableQBCalcPts[PLAYER],MATCH(TableQBRanks[[#This Row],[RK]],TableQBCalcPts[RK],0)),"")</f>
        <v/>
      </c>
      <c r="C77" t="str">
        <f>IFERROR(INDEX(TableQBCalcPts[TM],MATCH(TableQBRanks[[#This Row],[RK]],TableQBCalcPts[RK],0)),"")</f>
        <v/>
      </c>
      <c r="D77" t="str">
        <f>IFERROR(INDEX(TableQBCalcPts[BYE],MATCH(TableQBRanks[[#This Row],[RK]],TableQBCalcPts[RK],0)),"")</f>
        <v/>
      </c>
      <c r="E77" s="57" t="str">
        <f>IFERROR(INDEX(TableQBCalcPts[Custom],MATCH(TableQBRanks[[#This Row],[RK]],TableQBCalcPts[RK],0)),"")</f>
        <v/>
      </c>
      <c r="F77" s="125" t="e">
        <f>(((VLOOKUP(TableQBRanks[[#This Row],[Player]],'OVR &amp; VORP Ranks'!$B:$F,5,FALSE)))/('OVR &amp; VORP Ranks'!$BM$6))*(Settings!$E$10*TEAMS)</f>
        <v>#VALUE!</v>
      </c>
      <c r="H77">
        <v>76</v>
      </c>
      <c r="I77" t="str">
        <f>IFERROR(INDEX(TableRBCalcPts[PLAYER],MATCH(TableRBRanks[[#This Row],[RK]],TableRBCalcPts[RK],0)),"")</f>
        <v>Isaiah Davis</v>
      </c>
      <c r="J77" t="str">
        <f>IFERROR(INDEX(TableRBCalcPts[TM],MATCH(TableRBRanks[[#This Row],[RK]],TableRBCalcPts[RK],0)),"")</f>
        <v>NYJ</v>
      </c>
      <c r="K77">
        <f>IFERROR(INDEX(TableRBCalcPts[BYE],MATCH(TableRBRanks[[#This Row],[RK]],TableRBCalcPts[RK],0)),"")</f>
        <v>7</v>
      </c>
      <c r="L77" s="57">
        <f>IFERROR(INDEX(TableRBCalcPts[Custom],MATCH(TableRBRanks[[#This Row],[RK]],TableRBCalcPts[RK],0)),"")</f>
        <v>46.256093781296009</v>
      </c>
      <c r="M77" s="125">
        <f>(((VLOOKUP(TableRBRanks[[#This Row],[Player]],'OVR &amp; VORP Ranks'!$I:$M,5,FALSE)))/('OVR &amp; VORP Ranks'!$BM$6))*(Settings!$E$10*TEAMS)</f>
        <v>-27.547930439492763</v>
      </c>
      <c r="O77">
        <v>76</v>
      </c>
      <c r="P77" t="str">
        <f>IFERROR(INDEX(TableWRCalcPts[PLAYER],MATCH(TableWRRanks[[#This Row],[RK]],TableWRCalcPts[RK],0)),"")</f>
        <v>Marvin Mims</v>
      </c>
      <c r="Q77" t="str">
        <f>IFERROR(INDEX(TableWRCalcPts[TM],MATCH(TableWRRanks[[#This Row],[RK]],TableWRCalcPts[RK],0)),"")</f>
        <v>DEN</v>
      </c>
      <c r="R77">
        <f>IFERROR(INDEX(TableWRCalcPts[BYE],MATCH(TableWRRanks[[#This Row],[RK]],TableWRCalcPts[RK],0)),"")</f>
        <v>9</v>
      </c>
      <c r="S77" s="57">
        <f>IFERROR(INDEX(TableWRCalcPts[Custom],MATCH(TableWRRanks[[#This Row],[RK]],TableWRCalcPts[RK],0)),"")</f>
        <v>104.3449333248</v>
      </c>
      <c r="T77" s="125">
        <f>(((VLOOKUP(TableWRRanks[[#This Row],[Player]],'OVR &amp; VORP Ranks'!$P:$T,5,FALSE)))/('OVR &amp; VORP Ranks'!$BM$6))*(Settings!$E$10*TEAMS)</f>
        <v>-12.960460128663145</v>
      </c>
      <c r="V77">
        <v>76</v>
      </c>
      <c r="W77" t="str">
        <f>IFERROR(INDEX(TableTECalcPts[PLAYER],MATCH(TableTERanks[[#This Row],[RK]],TableTECalcPts[RK],0)),"")</f>
        <v>Ian Thomas</v>
      </c>
      <c r="X77" t="str">
        <f>IFERROR(INDEX(TableTECalcPts[TM],MATCH(TableTERanks[[#This Row],[RK]],TableTECalcPts[RK],0)),"")</f>
        <v>CAR</v>
      </c>
      <c r="Y77">
        <f>IFERROR(INDEX(TableTECalcPts[BYE],MATCH(TableTERanks[[#This Row],[RK]],TableTECalcPts[RK],0)),"")</f>
        <v>7</v>
      </c>
      <c r="Z77" s="57">
        <f>IFERROR(INDEX(TableTECalcPts[Custom],MATCH(TableTERanks[[#This Row],[RK]],TableTECalcPts[RK],0)),"")</f>
        <v>13.026638221379997</v>
      </c>
      <c r="AA77" s="125">
        <f>(((VLOOKUP(TableTERanks[[#This Row],[Player]],'OVR &amp; VORP Ranks'!$W:$AA,5,FALSE)))/('OVR &amp; VORP Ranks'!$BM$6))*(Settings!$E$10*TEAMS)</f>
        <v>-42.086902857394826</v>
      </c>
    </row>
    <row r="78" spans="1:27" x14ac:dyDescent="0.2">
      <c r="A78">
        <v>77</v>
      </c>
      <c r="B78" t="str">
        <f>IFERROR(INDEX(TableQBCalcPts[PLAYER],MATCH(TableQBRanks[[#This Row],[RK]],TableQBCalcPts[RK],0)),"")</f>
        <v/>
      </c>
      <c r="C78" t="str">
        <f>IFERROR(INDEX(TableQBCalcPts[TM],MATCH(TableQBRanks[[#This Row],[RK]],TableQBCalcPts[RK],0)),"")</f>
        <v/>
      </c>
      <c r="D78" t="str">
        <f>IFERROR(INDEX(TableQBCalcPts[BYE],MATCH(TableQBRanks[[#This Row],[RK]],TableQBCalcPts[RK],0)),"")</f>
        <v/>
      </c>
      <c r="E78" s="57" t="str">
        <f>IFERROR(INDEX(TableQBCalcPts[Custom],MATCH(TableQBRanks[[#This Row],[RK]],TableQBCalcPts[RK],0)),"")</f>
        <v/>
      </c>
      <c r="F78" s="125" t="e">
        <f>(((VLOOKUP(TableQBRanks[[#This Row],[Player]],'OVR &amp; VORP Ranks'!$B:$F,5,FALSE)))/('OVR &amp; VORP Ranks'!$BM$6))*(Settings!$E$10*TEAMS)</f>
        <v>#VALUE!</v>
      </c>
      <c r="H78">
        <v>77</v>
      </c>
      <c r="I78" t="str">
        <f>IFERROR(INDEX(TableRBCalcPts[PLAYER],MATCH(TableRBRanks[[#This Row],[RK]],TableRBCalcPts[RK],0)),"")</f>
        <v>Will Shipley</v>
      </c>
      <c r="J78" t="str">
        <f>IFERROR(INDEX(TableRBCalcPts[TM],MATCH(TableRBRanks[[#This Row],[RK]],TableRBCalcPts[RK],0)),"")</f>
        <v>PHI</v>
      </c>
      <c r="K78">
        <f>IFERROR(INDEX(TableRBCalcPts[BYE],MATCH(TableRBRanks[[#This Row],[RK]],TableRBCalcPts[RK],0)),"")</f>
        <v>10</v>
      </c>
      <c r="L78" s="57">
        <f>IFERROR(INDEX(TableRBCalcPts[Custom],MATCH(TableRBRanks[[#This Row],[RK]],TableRBCalcPts[RK],0)),"")</f>
        <v>46.071657628416006</v>
      </c>
      <c r="M78" s="125">
        <f>(((VLOOKUP(TableRBRanks[[#This Row],[Player]],'OVR &amp; VORP Ranks'!$I:$M,5,FALSE)))/('OVR &amp; VORP Ranks'!$BM$6))*(Settings!$E$10*TEAMS)</f>
        <v>-27.624377664590661</v>
      </c>
      <c r="O78">
        <v>77</v>
      </c>
      <c r="P78" t="str">
        <f>IFERROR(INDEX(TableWRCalcPts[PLAYER],MATCH(TableWRRanks[[#This Row],[RK]],TableWRCalcPts[RK],0)),"")</f>
        <v>Rashod Bateman</v>
      </c>
      <c r="Q78" t="str">
        <f>IFERROR(INDEX(TableWRCalcPts[TM],MATCH(TableWRRanks[[#This Row],[RK]],TableWRCalcPts[RK],0)),"")</f>
        <v>BAL</v>
      </c>
      <c r="R78">
        <f>IFERROR(INDEX(TableWRCalcPts[BYE],MATCH(TableWRRanks[[#This Row],[RK]],TableWRCalcPts[RK],0)),"")</f>
        <v>13</v>
      </c>
      <c r="S78" s="57">
        <f>IFERROR(INDEX(TableWRCalcPts[Custom],MATCH(TableWRRanks[[#This Row],[RK]],TableWRCalcPts[RK],0)),"")</f>
        <v>104.22113466408</v>
      </c>
      <c r="T78" s="125">
        <f>(((VLOOKUP(TableWRRanks[[#This Row],[Player]],'OVR &amp; VORP Ranks'!$P:$T,5,FALSE)))/('OVR &amp; VORP Ranks'!$BM$6))*(Settings!$E$10*TEAMS)</f>
        <v>-13.000514505148018</v>
      </c>
      <c r="V78">
        <v>77</v>
      </c>
      <c r="W78" t="str">
        <f>IFERROR(INDEX(TableTECalcPts[PLAYER],MATCH(TableTERanks[[#This Row],[RK]],TableTECalcPts[RK],0)),"")</f>
        <v>Cameron Latu</v>
      </c>
      <c r="X78" t="str">
        <f>IFERROR(INDEX(TableTECalcPts[TM],MATCH(TableTERanks[[#This Row],[RK]],TableTECalcPts[RK],0)),"")</f>
        <v>SF</v>
      </c>
      <c r="Y78">
        <f>IFERROR(INDEX(TableTECalcPts[BYE],MATCH(TableTERanks[[#This Row],[RK]],TableTECalcPts[RK],0)),"")</f>
        <v>9</v>
      </c>
      <c r="Z78" s="57">
        <f>IFERROR(INDEX(TableTECalcPts[Custom],MATCH(TableTERanks[[#This Row],[RK]],TableTECalcPts[RK],0)),"")</f>
        <v>12.40591113216</v>
      </c>
      <c r="AA78" s="125">
        <f>(((VLOOKUP(TableTERanks[[#This Row],[Player]],'OVR &amp; VORP Ranks'!$W:$AA,5,FALSE)))/('OVR &amp; VORP Ranks'!$BM$6))*(Settings!$E$10*TEAMS)</f>
        <v>-42.307705581494687</v>
      </c>
    </row>
    <row r="79" spans="1:27" x14ac:dyDescent="0.2">
      <c r="A79">
        <v>78</v>
      </c>
      <c r="B79" t="str">
        <f>IFERROR(INDEX(TableQBCalcPts[PLAYER],MATCH(TableQBRanks[[#This Row],[RK]],TableQBCalcPts[RK],0)),"")</f>
        <v/>
      </c>
      <c r="C79" t="str">
        <f>IFERROR(INDEX(TableQBCalcPts[TM],MATCH(TableQBRanks[[#This Row],[RK]],TableQBCalcPts[RK],0)),"")</f>
        <v/>
      </c>
      <c r="D79" t="str">
        <f>IFERROR(INDEX(TableQBCalcPts[BYE],MATCH(TableQBRanks[[#This Row],[RK]],TableQBCalcPts[RK],0)),"")</f>
        <v/>
      </c>
      <c r="E79" s="57" t="str">
        <f>IFERROR(INDEX(TableQBCalcPts[Custom],MATCH(TableQBRanks[[#This Row],[RK]],TableQBCalcPts[RK],0)),"")</f>
        <v/>
      </c>
      <c r="F79" s="125" t="e">
        <f>(((VLOOKUP(TableQBRanks[[#This Row],[Player]],'OVR &amp; VORP Ranks'!$B:$F,5,FALSE)))/('OVR &amp; VORP Ranks'!$BM$6))*(Settings!$E$10*TEAMS)</f>
        <v>#VALUE!</v>
      </c>
      <c r="H79">
        <v>78</v>
      </c>
      <c r="I79" t="str">
        <f>IFERROR(INDEX(TableRBCalcPts[PLAYER],MATCH(TableRBRanks[[#This Row],[RK]],TableRBCalcPts[RK],0)),"")</f>
        <v>Deuce Vaughn</v>
      </c>
      <c r="J79" t="str">
        <f>IFERROR(INDEX(TableRBCalcPts[TM],MATCH(TableRBRanks[[#This Row],[RK]],TableRBCalcPts[RK],0)),"")</f>
        <v>DAL</v>
      </c>
      <c r="K79">
        <f>IFERROR(INDEX(TableRBCalcPts[BYE],MATCH(TableRBRanks[[#This Row],[RK]],TableRBCalcPts[RK],0)),"")</f>
        <v>7</v>
      </c>
      <c r="L79" s="57">
        <f>IFERROR(INDEX(TableRBCalcPts[Custom],MATCH(TableRBRanks[[#This Row],[RK]],TableRBCalcPts[RK],0)),"")</f>
        <v>45.58296467793599</v>
      </c>
      <c r="M79" s="125">
        <f>(((VLOOKUP(TableRBRanks[[#This Row],[Player]],'OVR &amp; VORP Ranks'!$I:$M,5,FALSE)))/('OVR &amp; VORP Ranks'!$BM$6))*(Settings!$E$10*TEAMS)</f>
        <v>-27.826936758378562</v>
      </c>
      <c r="O79">
        <v>78</v>
      </c>
      <c r="P79" t="str">
        <f>IFERROR(INDEX(TableWRCalcPts[PLAYER],MATCH(TableWRRanks[[#This Row],[RK]],TableWRCalcPts[RK],0)),"")</f>
        <v>Darius Slayton</v>
      </c>
      <c r="Q79" t="str">
        <f>IFERROR(INDEX(TableWRCalcPts[TM],MATCH(TableWRRanks[[#This Row],[RK]],TableWRCalcPts[RK],0)),"")</f>
        <v>NYG</v>
      </c>
      <c r="R79">
        <f>IFERROR(INDEX(TableWRCalcPts[BYE],MATCH(TableWRRanks[[#This Row],[RK]],TableWRCalcPts[RK],0)),"")</f>
        <v>13</v>
      </c>
      <c r="S79" s="57">
        <f>IFERROR(INDEX(TableWRCalcPts[Custom],MATCH(TableWRRanks[[#This Row],[RK]],TableWRCalcPts[RK],0)),"")</f>
        <v>99.916945872307195</v>
      </c>
      <c r="T79" s="125">
        <f>(((VLOOKUP(TableWRRanks[[#This Row],[Player]],'OVR &amp; VORP Ranks'!$P:$T,5,FALSE)))/('OVR &amp; VORP Ranks'!$BM$6))*(Settings!$E$10*TEAMS)</f>
        <v>-14.393111140079128</v>
      </c>
      <c r="V79">
        <v>78</v>
      </c>
      <c r="W79" t="str">
        <f>IFERROR(INDEX(TableTECalcPts[PLAYER],MATCH(TableTERanks[[#This Row],[RK]],TableTECalcPts[RK],0)),"")</f>
        <v>Foster Moreau</v>
      </c>
      <c r="X79" t="str">
        <f>IFERROR(INDEX(TableTECalcPts[TM],MATCH(TableTERanks[[#This Row],[RK]],TableTECalcPts[RK],0)),"")</f>
        <v>NO</v>
      </c>
      <c r="Y79">
        <f>IFERROR(INDEX(TableTECalcPts[BYE],MATCH(TableTERanks[[#This Row],[RK]],TableTECalcPts[RK],0)),"")</f>
        <v>11</v>
      </c>
      <c r="Z79" s="57">
        <f>IFERROR(INDEX(TableTECalcPts[Custom],MATCH(TableTERanks[[#This Row],[RK]],TableTECalcPts[RK],0)),"")</f>
        <v>11.647049984397826</v>
      </c>
      <c r="AA79" s="125">
        <f>(((VLOOKUP(TableTERanks[[#This Row],[Player]],'OVR &amp; VORP Ranks'!$W:$AA,5,FALSE)))/('OVR &amp; VORP Ranks'!$BM$6))*(Settings!$E$10*TEAMS)</f>
        <v>-42.577644837488819</v>
      </c>
    </row>
    <row r="80" spans="1:27" x14ac:dyDescent="0.2">
      <c r="A80">
        <v>79</v>
      </c>
      <c r="B80" t="str">
        <f>IFERROR(INDEX(TableQBCalcPts[PLAYER],MATCH(TableQBRanks[[#This Row],[RK]],TableQBCalcPts[RK],0)),"")</f>
        <v/>
      </c>
      <c r="C80" t="str">
        <f>IFERROR(INDEX(TableQBCalcPts[TM],MATCH(TableQBRanks[[#This Row],[RK]],TableQBCalcPts[RK],0)),"")</f>
        <v/>
      </c>
      <c r="D80" t="str">
        <f>IFERROR(INDEX(TableQBCalcPts[BYE],MATCH(TableQBRanks[[#This Row],[RK]],TableQBCalcPts[RK],0)),"")</f>
        <v/>
      </c>
      <c r="E80" s="57" t="str">
        <f>IFERROR(INDEX(TableQBCalcPts[Custom],MATCH(TableQBRanks[[#This Row],[RK]],TableQBCalcPts[RK],0)),"")</f>
        <v/>
      </c>
      <c r="F80" s="125" t="e">
        <f>(((VLOOKUP(TableQBRanks[[#This Row],[Player]],'OVR &amp; VORP Ranks'!$B:$F,5,FALSE)))/('OVR &amp; VORP Ranks'!$BM$6))*(Settings!$E$10*TEAMS)</f>
        <v>#VALUE!</v>
      </c>
      <c r="H80">
        <v>79</v>
      </c>
      <c r="I80" t="str">
        <f>IFERROR(INDEX(TableRBCalcPts[PLAYER],MATCH(TableRBRanks[[#This Row],[RK]],TableRBCalcPts[RK],0)),"")</f>
        <v>Dameon Pierce</v>
      </c>
      <c r="J80" t="str">
        <f>IFERROR(INDEX(TableRBCalcPts[TM],MATCH(TableRBRanks[[#This Row],[RK]],TableRBCalcPts[RK],0)),"")</f>
        <v>HOU</v>
      </c>
      <c r="K80">
        <f>IFERROR(INDEX(TableRBCalcPts[BYE],MATCH(TableRBRanks[[#This Row],[RK]],TableRBCalcPts[RK],0)),"")</f>
        <v>7</v>
      </c>
      <c r="L80" s="57">
        <f>IFERROR(INDEX(TableRBCalcPts[Custom],MATCH(TableRBRanks[[#This Row],[RK]],TableRBCalcPts[RK],0)),"")</f>
        <v>45.497728859648007</v>
      </c>
      <c r="M80" s="125">
        <f>(((VLOOKUP(TableRBRanks[[#This Row],[Player]],'OVR &amp; VORP Ranks'!$I:$M,5,FALSE)))/('OVR &amp; VORP Ranks'!$BM$6))*(Settings!$E$10*TEAMS)</f>
        <v>-27.862266283991172</v>
      </c>
      <c r="O80">
        <v>79</v>
      </c>
      <c r="P80" t="str">
        <f>IFERROR(INDEX(TableWRCalcPts[PLAYER],MATCH(TableWRRanks[[#This Row],[RK]],TableWRCalcPts[RK],0)),"")</f>
        <v>Kendrick Bourne</v>
      </c>
      <c r="Q80" t="str">
        <f>IFERROR(INDEX(TableWRCalcPts[TM],MATCH(TableWRRanks[[#This Row],[RK]],TableWRCalcPts[RK],0)),"")</f>
        <v>NE</v>
      </c>
      <c r="R80">
        <f>IFERROR(INDEX(TableWRCalcPts[BYE],MATCH(TableWRRanks[[#This Row],[RK]],TableWRCalcPts[RK],0)),"")</f>
        <v>11</v>
      </c>
      <c r="S80" s="57">
        <f>IFERROR(INDEX(TableWRCalcPts[Custom],MATCH(TableWRRanks[[#This Row],[RK]],TableWRCalcPts[RK],0)),"")</f>
        <v>98.874365364095979</v>
      </c>
      <c r="T80" s="125">
        <f>(((VLOOKUP(TableWRRanks[[#This Row],[Player]],'OVR &amp; VORP Ranks'!$P:$T,5,FALSE)))/('OVR &amp; VORP Ranks'!$BM$6))*(Settings!$E$10*TEAMS)</f>
        <v>-14.730432335226261</v>
      </c>
      <c r="V80">
        <v>79</v>
      </c>
      <c r="W80" t="str">
        <f>IFERROR(INDEX(TableTECalcPts[PLAYER],MATCH(TableTERanks[[#This Row],[RK]],TableTECalcPts[RK],0)),"")</f>
        <v>Julian Hill</v>
      </c>
      <c r="X80" t="str">
        <f>IFERROR(INDEX(TableTECalcPts[TM],MATCH(TableTERanks[[#This Row],[RK]],TableTECalcPts[RK],0)),"")</f>
        <v>MIA</v>
      </c>
      <c r="Y80">
        <f>IFERROR(INDEX(TableTECalcPts[BYE],MATCH(TableTERanks[[#This Row],[RK]],TableTECalcPts[RK],0)),"")</f>
        <v>10</v>
      </c>
      <c r="Z80" s="57">
        <f>IFERROR(INDEX(TableTECalcPts[Custom],MATCH(TableTERanks[[#This Row],[RK]],TableTECalcPts[RK],0)),"")</f>
        <v>10.617792785711998</v>
      </c>
      <c r="AA80" s="125">
        <f>(((VLOOKUP(TableTERanks[[#This Row],[Player]],'OVR &amp; VORP Ranks'!$W:$AA,5,FALSE)))/('OVR &amp; VORP Ranks'!$BM$6))*(Settings!$E$10*TEAMS)</f>
        <v>-42.943768367806811</v>
      </c>
    </row>
    <row r="81" spans="8:27" x14ac:dyDescent="0.2">
      <c r="H81">
        <v>80</v>
      </c>
      <c r="I81" t="str">
        <f>IFERROR(INDEX(TableRBCalcPts[PLAYER],MATCH(TableRBRanks[[#This Row],[RK]],TableRBCalcPts[RK],0)),"")</f>
        <v>Jase McClellan</v>
      </c>
      <c r="J81" t="str">
        <f>IFERROR(INDEX(TableRBCalcPts[TM],MATCH(TableRBRanks[[#This Row],[RK]],TableRBCalcPts[RK],0)),"")</f>
        <v>ATL</v>
      </c>
      <c r="K81">
        <f>IFERROR(INDEX(TableRBCalcPts[BYE],MATCH(TableRBRanks[[#This Row],[RK]],TableRBCalcPts[RK],0)),"")</f>
        <v>11</v>
      </c>
      <c r="L81" s="57">
        <f>IFERROR(INDEX(TableRBCalcPts[Custom],MATCH(TableRBRanks[[#This Row],[RK]],TableRBCalcPts[RK],0)),"")</f>
        <v>42.690711185337598</v>
      </c>
      <c r="M81" s="125">
        <f>(((VLOOKUP(TableRBRanks[[#This Row],[Player]],'OVR &amp; VORP Ranks'!$I:$M,5,FALSE)))/('OVR &amp; VORP Ranks'!$BM$6))*(Settings!$E$10*TEAMS)</f>
        <v>-29.025751363521064</v>
      </c>
      <c r="O81">
        <v>80</v>
      </c>
      <c r="P81" t="str">
        <f>IFERROR(INDEX(TableWRCalcPts[PLAYER],MATCH(TableWRRanks[[#This Row],[RK]],TableWRCalcPts[RK],0)),"")</f>
        <v>Ja'Lynn Polk</v>
      </c>
      <c r="Q81" t="str">
        <f>IFERROR(INDEX(TableWRCalcPts[TM],MATCH(TableWRRanks[[#This Row],[RK]],TableWRCalcPts[RK],0)),"")</f>
        <v>NE</v>
      </c>
      <c r="R81">
        <f>IFERROR(INDEX(TableWRCalcPts[BYE],MATCH(TableWRRanks[[#This Row],[RK]],TableWRCalcPts[RK],0)),"")</f>
        <v>11</v>
      </c>
      <c r="S81" s="57">
        <f>IFERROR(INDEX(TableWRCalcPts[Custom],MATCH(TableWRRanks[[#This Row],[RK]],TableWRCalcPts[RK],0)),"")</f>
        <v>96.756904450096812</v>
      </c>
      <c r="T81" s="125">
        <f>(((VLOOKUP(TableWRRanks[[#This Row],[Player]],'OVR &amp; VORP Ranks'!$P:$T,5,FALSE)))/('OVR &amp; VORP Ranks'!$BM$6))*(Settings!$E$10*TEAMS)</f>
        <v>-15.415525179915088</v>
      </c>
      <c r="V81">
        <v>80</v>
      </c>
      <c r="W81" t="str">
        <f>IFERROR(INDEX(TableTECalcPts[PLAYER],MATCH(TableTERanks[[#This Row],[RK]],TableTECalcPts[RK],0)),"")</f>
        <v>Charlie Kolar</v>
      </c>
      <c r="X81" t="str">
        <f>IFERROR(INDEX(TableTECalcPts[TM],MATCH(TableTERanks[[#This Row],[RK]],TableTECalcPts[RK],0)),"")</f>
        <v>BAL</v>
      </c>
      <c r="Y81">
        <f>IFERROR(INDEX(TableTECalcPts[BYE],MATCH(TableTERanks[[#This Row],[RK]],TableTECalcPts[RK],0)),"")</f>
        <v>13</v>
      </c>
      <c r="Z81" s="57">
        <f>IFERROR(INDEX(TableTECalcPts[Custom],MATCH(TableTERanks[[#This Row],[RK]],TableTECalcPts[RK],0)),"")</f>
        <v>7.4937179652608013</v>
      </c>
      <c r="AA81" s="125">
        <f>(((VLOOKUP(TableTERanks[[#This Row],[Player]],'OVR &amp; VORP Ranks'!$W:$AA,5,FALSE)))/('OVR &amp; VORP Ranks'!$BM$6))*(Settings!$E$10*TEAMS)</f>
        <v>-44.055052606286324</v>
      </c>
    </row>
    <row r="82" spans="8:27" x14ac:dyDescent="0.2">
      <c r="H82">
        <v>81</v>
      </c>
      <c r="I82" t="str">
        <f>IFERROR(INDEX(TableRBCalcPts[PLAYER],MATCH(TableRBRanks[[#This Row],[RK]],TableRBCalcPts[RK],0)),"")</f>
        <v>Keaton Mitchell</v>
      </c>
      <c r="J82" t="str">
        <f>IFERROR(INDEX(TableRBCalcPts[TM],MATCH(TableRBRanks[[#This Row],[RK]],TableRBCalcPts[RK],0)),"")</f>
        <v>BAL</v>
      </c>
      <c r="K82">
        <f>IFERROR(INDEX(TableRBCalcPts[BYE],MATCH(TableRBRanks[[#This Row],[RK]],TableRBCalcPts[RK],0)),"")</f>
        <v>13</v>
      </c>
      <c r="L82" s="57">
        <f>IFERROR(INDEX(TableRBCalcPts[Custom],MATCH(TableRBRanks[[#This Row],[RK]],TableRBCalcPts[RK],0)),"")</f>
        <v>41.590578107601594</v>
      </c>
      <c r="M82" s="125">
        <f>(((VLOOKUP(TableRBRanks[[#This Row],[Player]],'OVR &amp; VORP Ranks'!$I:$M,5,FALSE)))/('OVR &amp; VORP Ranks'!$BM$6))*(Settings!$E$10*TEAMS)</f>
        <v>-29.481747217468641</v>
      </c>
      <c r="O82">
        <v>81</v>
      </c>
      <c r="P82" t="str">
        <f>IFERROR(INDEX(TableWRCalcPts[PLAYER],MATCH(TableWRRanks[[#This Row],[RK]],TableWRCalcPts[RK],0)),"")</f>
        <v>Rondale Moore</v>
      </c>
      <c r="Q82" t="str">
        <f>IFERROR(INDEX(TableWRCalcPts[TM],MATCH(TableWRRanks[[#This Row],[RK]],TableWRCalcPts[RK],0)),"")</f>
        <v>ATL</v>
      </c>
      <c r="R82">
        <f>IFERROR(INDEX(TableWRCalcPts[BYE],MATCH(TableWRRanks[[#This Row],[RK]],TableWRCalcPts[RK],0)),"")</f>
        <v>11</v>
      </c>
      <c r="S82" s="57">
        <f>IFERROR(INDEX(TableWRCalcPts[Custom],MATCH(TableWRRanks[[#This Row],[RK]],TableWRCalcPts[RK],0)),"")</f>
        <v>90.224337624220794</v>
      </c>
      <c r="T82" s="125">
        <f>(((VLOOKUP(TableWRRanks[[#This Row],[Player]],'OVR &amp; VORP Ranks'!$P:$T,5,FALSE)))/('OVR &amp; VORP Ranks'!$BM$6))*(Settings!$E$10*TEAMS)</f>
        <v>-17.52910128432908</v>
      </c>
      <c r="V82">
        <v>81</v>
      </c>
      <c r="W82" t="str">
        <f>IFERROR(INDEX(TableTECalcPts[PLAYER],MATCH(TableTERanks[[#This Row],[RK]],TableTECalcPts[RK],0)),"")</f>
        <v>AJ Barner</v>
      </c>
      <c r="X82" t="str">
        <f>IFERROR(INDEX(TableTECalcPts[TM],MATCH(TableTERanks[[#This Row],[RK]],TableTECalcPts[RK],0)),"")</f>
        <v>SEA</v>
      </c>
      <c r="Y82">
        <f>IFERROR(INDEX(TableTECalcPts[BYE],MATCH(TableTERanks[[#This Row],[RK]],TableTECalcPts[RK],0)),"")</f>
        <v>5</v>
      </c>
      <c r="Z82" s="57">
        <f>IFERROR(INDEX(TableTECalcPts[Custom],MATCH(TableTERanks[[#This Row],[RK]],TableTECalcPts[RK],0)),"")</f>
        <v>7.3655150392362003</v>
      </c>
      <c r="AA82" s="125">
        <f>(((VLOOKUP(TableTERanks[[#This Row],[Player]],'OVR &amp; VORP Ranks'!$W:$AA,5,FALSE)))/('OVR &amp; VORP Ranks'!$BM$6))*(Settings!$E$10*TEAMS)</f>
        <v>-44.100656472776798</v>
      </c>
    </row>
    <row r="83" spans="8:27" x14ac:dyDescent="0.2">
      <c r="H83">
        <v>82</v>
      </c>
      <c r="I83" t="str">
        <f>IFERROR(INDEX(TableRBCalcPts[PLAYER],MATCH(TableRBRanks[[#This Row],[RK]],TableRBCalcPts[RK],0)),"")</f>
        <v>Trey Sermon</v>
      </c>
      <c r="J83" t="str">
        <f>IFERROR(INDEX(TableRBCalcPts[TM],MATCH(TableRBRanks[[#This Row],[RK]],TableRBCalcPts[RK],0)),"")</f>
        <v>IND</v>
      </c>
      <c r="K83">
        <f>IFERROR(INDEX(TableRBCalcPts[BYE],MATCH(TableRBRanks[[#This Row],[RK]],TableRBCalcPts[RK],0)),"")</f>
        <v>11</v>
      </c>
      <c r="L83" s="57">
        <f>IFERROR(INDEX(TableRBCalcPts[Custom],MATCH(TableRBRanks[[#This Row],[RK]],TableRBCalcPts[RK],0)),"")</f>
        <v>40.170814067999999</v>
      </c>
      <c r="M83" s="125">
        <f>(((VLOOKUP(TableRBRanks[[#This Row],[Player]],'OVR &amp; VORP Ranks'!$I:$M,5,FALSE)))/('OVR &amp; VORP Ranks'!$BM$6))*(Settings!$E$10*TEAMS)</f>
        <v>-30.070227401133806</v>
      </c>
      <c r="O83">
        <v>82</v>
      </c>
      <c r="P83" t="str">
        <f>IFERROR(INDEX(TableWRCalcPts[PLAYER],MATCH(TableWRRanks[[#This Row],[RK]],TableWRCalcPts[RK],0)),"")</f>
        <v>Troy Franklin</v>
      </c>
      <c r="Q83" t="str">
        <f>IFERROR(INDEX(TableWRCalcPts[TM],MATCH(TableWRRanks[[#This Row],[RK]],TableWRCalcPts[RK],0)),"")</f>
        <v>DEN</v>
      </c>
      <c r="R83">
        <f>IFERROR(INDEX(TableWRCalcPts[BYE],MATCH(TableWRRanks[[#This Row],[RK]],TableWRCalcPts[RK],0)),"")</f>
        <v>9</v>
      </c>
      <c r="S83" s="57">
        <f>IFERROR(INDEX(TableWRCalcPts[Custom],MATCH(TableWRRanks[[#This Row],[RK]],TableWRCalcPts[RK],0)),"")</f>
        <v>90.119784211379994</v>
      </c>
      <c r="T83" s="125">
        <f>(((VLOOKUP(TableWRRanks[[#This Row],[Player]],'OVR &amp; VORP Ranks'!$P:$T,5,FALSE)))/('OVR &amp; VORP Ranks'!$BM$6))*(Settings!$E$10*TEAMS)</f>
        <v>-17.562928966602446</v>
      </c>
      <c r="V83">
        <v>82</v>
      </c>
      <c r="W83" t="str">
        <f>IFERROR(INDEX(TableTECalcPts[PLAYER],MATCH(TableTERanks[[#This Row],[RK]],TableTECalcPts[RK],0)),"")</f>
        <v>Albert Okwuegbunam</v>
      </c>
      <c r="X83" t="str">
        <f>IFERROR(INDEX(TableTECalcPts[TM],MATCH(TableTERanks[[#This Row],[RK]],TableTECalcPts[RK],0)),"")</f>
        <v>PHI</v>
      </c>
      <c r="Y83">
        <f>IFERROR(INDEX(TableTECalcPts[BYE],MATCH(TableTERanks[[#This Row],[RK]],TableTECalcPts[RK],0)),"")</f>
        <v>10</v>
      </c>
      <c r="Z83" s="57">
        <f>IFERROR(INDEX(TableTECalcPts[Custom],MATCH(TableTERanks[[#This Row],[RK]],TableTECalcPts[RK],0)),"")</f>
        <v>7.1468614526400014</v>
      </c>
      <c r="AA83" s="125">
        <f>(((VLOOKUP(TableTERanks[[#This Row],[Player]],'OVR &amp; VORP Ranks'!$W:$AA,5,FALSE)))/('OVR &amp; VORP Ranks'!$BM$6))*(Settings!$E$10*TEAMS)</f>
        <v>-44.178435110753291</v>
      </c>
    </row>
    <row r="84" spans="8:27" x14ac:dyDescent="0.2">
      <c r="H84">
        <v>83</v>
      </c>
      <c r="I84" t="str">
        <f>IFERROR(INDEX(TableRBCalcPts[PLAYER],MATCH(TableRBRanks[[#This Row],[RK]],TableRBCalcPts[RK],0)),"")</f>
        <v>Miles Sanders</v>
      </c>
      <c r="J84" t="str">
        <f>IFERROR(INDEX(TableRBCalcPts[TM],MATCH(TableRBRanks[[#This Row],[RK]],TableRBCalcPts[RK],0)),"")</f>
        <v>CAR</v>
      </c>
      <c r="K84">
        <f>IFERROR(INDEX(TableRBCalcPts[BYE],MATCH(TableRBRanks[[#This Row],[RK]],TableRBCalcPts[RK],0)),"")</f>
        <v>7</v>
      </c>
      <c r="L84" s="57">
        <f>IFERROR(INDEX(TableRBCalcPts[Custom],MATCH(TableRBRanks[[#This Row],[RK]],TableRBCalcPts[RK],0)),"")</f>
        <v>37.084329000767994</v>
      </c>
      <c r="M84" s="125">
        <f>(((VLOOKUP(TableRBRanks[[#This Row],[Player]],'OVR &amp; VORP Ranks'!$I:$M,5,FALSE)))/('OVR &amp; VORP Ranks'!$BM$6))*(Settings!$E$10*TEAMS)</f>
        <v>-31.34954935082493</v>
      </c>
      <c r="O84">
        <v>83</v>
      </c>
      <c r="P84" t="str">
        <f>IFERROR(INDEX(TableWRCalcPts[PLAYER],MATCH(TableWRRanks[[#This Row],[RK]],TableWRCalcPts[RK],0)),"")</f>
        <v>Nelson Agholor</v>
      </c>
      <c r="Q84" t="str">
        <f>IFERROR(INDEX(TableWRCalcPts[TM],MATCH(TableWRRanks[[#This Row],[RK]],TableWRCalcPts[RK],0)),"")</f>
        <v>BAL</v>
      </c>
      <c r="R84">
        <f>IFERROR(INDEX(TableWRCalcPts[BYE],MATCH(TableWRRanks[[#This Row],[RK]],TableWRCalcPts[RK],0)),"")</f>
        <v>13</v>
      </c>
      <c r="S84" s="57">
        <f>IFERROR(INDEX(TableWRCalcPts[Custom],MATCH(TableWRRanks[[#This Row],[RK]],TableWRCalcPts[RK],0)),"")</f>
        <v>85.575717441312008</v>
      </c>
      <c r="T84" s="125">
        <f>(((VLOOKUP(TableWRRanks[[#This Row],[Player]],'OVR &amp; VORP Ranks'!$P:$T,5,FALSE)))/('OVR &amp; VORP Ranks'!$BM$6))*(Settings!$E$10*TEAMS)</f>
        <v>-19.033136803441444</v>
      </c>
      <c r="V84">
        <v>83</v>
      </c>
      <c r="W84" t="str">
        <f>IFERROR(INDEX(TableTECalcPts[PLAYER],MATCH(TableTERanks[[#This Row],[RK]],TableTECalcPts[RK],0)),"")</f>
        <v>Cole Turner</v>
      </c>
      <c r="X84" t="str">
        <f>IFERROR(INDEX(TableTECalcPts[TM],MATCH(TableTERanks[[#This Row],[RK]],TableTECalcPts[RK],0)),"")</f>
        <v>WSH</v>
      </c>
      <c r="Y84">
        <f>IFERROR(INDEX(TableTECalcPts[BYE],MATCH(TableTERanks[[#This Row],[RK]],TableTECalcPts[RK],0)),"")</f>
        <v>14</v>
      </c>
      <c r="Z84" s="57">
        <f>IFERROR(INDEX(TableTECalcPts[Custom],MATCH(TableTERanks[[#This Row],[RK]],TableTECalcPts[RK],0)),"")</f>
        <v>7.0733155196480002</v>
      </c>
      <c r="AA84" s="125">
        <f>(((VLOOKUP(TableTERanks[[#This Row],[Player]],'OVR &amp; VORP Ranks'!$W:$AA,5,FALSE)))/('OVR &amp; VORP Ranks'!$BM$6))*(Settings!$E$10*TEAMS)</f>
        <v>-44.204596595620188</v>
      </c>
    </row>
    <row r="85" spans="8:27" x14ac:dyDescent="0.2">
      <c r="H85">
        <v>84</v>
      </c>
      <c r="I85" t="str">
        <f>IFERROR(INDEX(TableRBCalcPts[PLAYER],MATCH(TableRBRanks[[#This Row],[RK]],TableRBCalcPts[RK],0)),"")</f>
        <v>Israel Abanikanda</v>
      </c>
      <c r="J85" t="str">
        <f>IFERROR(INDEX(TableRBCalcPts[TM],MATCH(TableRBRanks[[#This Row],[RK]],TableRBCalcPts[RK],0)),"")</f>
        <v>NYJ</v>
      </c>
      <c r="K85">
        <f>IFERROR(INDEX(TableRBCalcPts[BYE],MATCH(TableRBRanks[[#This Row],[RK]],TableRBCalcPts[RK],0)),"")</f>
        <v>7</v>
      </c>
      <c r="L85" s="57">
        <f>IFERROR(INDEX(TableRBCalcPts[Custom],MATCH(TableRBRanks[[#This Row],[RK]],TableRBCalcPts[RK],0)),"")</f>
        <v>33.195925074849605</v>
      </c>
      <c r="M85" s="125">
        <f>(((VLOOKUP(TableRBRanks[[#This Row],[Player]],'OVR &amp; VORP Ranks'!$I:$M,5,FALSE)))/('OVR &amp; VORP Ranks'!$BM$6))*(Settings!$E$10*TEAMS)</f>
        <v>-32.961259883464493</v>
      </c>
      <c r="O85">
        <v>84</v>
      </c>
      <c r="P85" t="str">
        <f>IFERROR(INDEX(TableWRCalcPts[PLAYER],MATCH(TableWRRanks[[#This Row],[RK]],TableWRCalcPts[RK],0)),"")</f>
        <v>Greg Dortch</v>
      </c>
      <c r="Q85" t="str">
        <f>IFERROR(INDEX(TableWRCalcPts[TM],MATCH(TableWRRanks[[#This Row],[RK]],TableWRCalcPts[RK],0)),"")</f>
        <v>ARI</v>
      </c>
      <c r="R85">
        <f>IFERROR(INDEX(TableWRCalcPts[BYE],MATCH(TableWRRanks[[#This Row],[RK]],TableWRCalcPts[RK],0)),"")</f>
        <v>14</v>
      </c>
      <c r="S85" s="57">
        <f>IFERROR(INDEX(TableWRCalcPts[Custom],MATCH(TableWRRanks[[#This Row],[RK]],TableWRCalcPts[RK],0)),"")</f>
        <v>85.462192509750011</v>
      </c>
      <c r="T85" s="125">
        <f>(((VLOOKUP(TableWRRanks[[#This Row],[Player]],'OVR &amp; VORP Ranks'!$P:$T,5,FALSE)))/('OVR &amp; VORP Ranks'!$BM$6))*(Settings!$E$10*TEAMS)</f>
        <v>-19.069867171304537</v>
      </c>
      <c r="V85">
        <v>84</v>
      </c>
      <c r="W85" t="str">
        <f>IFERROR(INDEX(TableTECalcPts[PLAYER],MATCH(TableTERanks[[#This Row],[RK]],TableTECalcPts[RK],0)),"")</f>
        <v>Payne Durham</v>
      </c>
      <c r="X85" t="str">
        <f>IFERROR(INDEX(TableTECalcPts[TM],MATCH(TableTERanks[[#This Row],[RK]],TableTECalcPts[RK],0)),"")</f>
        <v>TB</v>
      </c>
      <c r="Y85">
        <f>IFERROR(INDEX(TableTECalcPts[BYE],MATCH(TableTERanks[[#This Row],[RK]],TableTECalcPts[RK],0)),"")</f>
        <v>5</v>
      </c>
      <c r="Z85" s="57">
        <f>IFERROR(INDEX(TableTECalcPts[Custom],MATCH(TableTERanks[[#This Row],[RK]],TableTECalcPts[RK],0)),"")</f>
        <v>6.6706367481600006</v>
      </c>
      <c r="AA85" s="125">
        <f>(((VLOOKUP(TableTERanks[[#This Row],[Player]],'OVR &amp; VORP Ranks'!$W:$AA,5,FALSE)))/('OVR &amp; VORP Ranks'!$BM$6))*(Settings!$E$10*TEAMS)</f>
        <v>-44.347835985725538</v>
      </c>
    </row>
    <row r="86" spans="8:27" x14ac:dyDescent="0.2">
      <c r="H86">
        <v>85</v>
      </c>
      <c r="I86" t="str">
        <f>IFERROR(INDEX(TableRBCalcPts[PLAYER],MATCH(TableRBRanks[[#This Row],[RK]],TableRBCalcPts[RK],0)),"")</f>
        <v>D'Ernest Johnson</v>
      </c>
      <c r="J86" t="str">
        <f>IFERROR(INDEX(TableRBCalcPts[TM],MATCH(TableRBRanks[[#This Row],[RK]],TableRBCalcPts[RK],0)),"")</f>
        <v>JAX</v>
      </c>
      <c r="K86">
        <f>IFERROR(INDEX(TableRBCalcPts[BYE],MATCH(TableRBRanks[[#This Row],[RK]],TableRBCalcPts[RK],0)),"")</f>
        <v>9</v>
      </c>
      <c r="L86" s="57">
        <f>IFERROR(INDEX(TableRBCalcPts[Custom],MATCH(TableRBRanks[[#This Row],[RK]],TableRBCalcPts[RK],0)),"")</f>
        <v>29.691011263031999</v>
      </c>
      <c r="M86" s="125">
        <f>(((VLOOKUP(TableRBRanks[[#This Row],[Player]],'OVR &amp; VORP Ranks'!$I:$M,5,FALSE)))/('OVR &amp; VORP Ranks'!$BM$6))*(Settings!$E$10*TEAMS)</f>
        <v>-34.414017008012998</v>
      </c>
      <c r="O86">
        <v>85</v>
      </c>
      <c r="P86" t="str">
        <f>IFERROR(INDEX(TableWRCalcPts[PLAYER],MATCH(TableWRRanks[[#This Row],[RK]],TableWRCalcPts[RK],0)),"")</f>
        <v>Elijah Moore</v>
      </c>
      <c r="Q86" t="str">
        <f>IFERROR(INDEX(TableWRCalcPts[TM],MATCH(TableWRRanks[[#This Row],[RK]],TableWRCalcPts[RK],0)),"")</f>
        <v>CLE</v>
      </c>
      <c r="R86">
        <f>IFERROR(INDEX(TableWRCalcPts[BYE],MATCH(TableWRRanks[[#This Row],[RK]],TableWRCalcPts[RK],0)),"")</f>
        <v>5</v>
      </c>
      <c r="S86" s="57">
        <f>IFERROR(INDEX(TableWRCalcPts[Custom],MATCH(TableWRRanks[[#This Row],[RK]],TableWRCalcPts[RK],0)),"")</f>
        <v>84.639138333749997</v>
      </c>
      <c r="T86" s="125">
        <f>(((VLOOKUP(TableWRRanks[[#This Row],[Player]],'OVR &amp; VORP Ranks'!$P:$T,5,FALSE)))/('OVR &amp; VORP Ranks'!$BM$6))*(Settings!$E$10*TEAMS)</f>
        <v>-19.336161827815531</v>
      </c>
      <c r="V86">
        <v>85</v>
      </c>
      <c r="W86" t="str">
        <f>IFERROR(INDEX(TableTECalcPts[PLAYER],MATCH(TableTERanks[[#This Row],[RK]],TableTECalcPts[RK],0)),"")</f>
        <v>Quintin Morris</v>
      </c>
      <c r="X86" t="str">
        <f>IFERROR(INDEX(TableTECalcPts[TM],MATCH(TableTERanks[[#This Row],[RK]],TableTECalcPts[RK],0)),"")</f>
        <v>BUF</v>
      </c>
      <c r="Y86">
        <f>IFERROR(INDEX(TableTECalcPts[BYE],MATCH(TableTERanks[[#This Row],[RK]],TableTECalcPts[RK],0)),"")</f>
        <v>13</v>
      </c>
      <c r="Z86" s="57">
        <f>IFERROR(INDEX(TableTECalcPts[Custom],MATCH(TableTERanks[[#This Row],[RK]],TableTECalcPts[RK],0)),"")</f>
        <v>6.5208368332799989</v>
      </c>
      <c r="AA86" s="125">
        <f>(((VLOOKUP(TableTERanks[[#This Row],[Player]],'OVR &amp; VORP Ranks'!$W:$AA,5,FALSE)))/('OVR &amp; VORP Ranks'!$BM$6))*(Settings!$E$10*TEAMS)</f>
        <v>-44.401122252508252</v>
      </c>
    </row>
    <row r="87" spans="8:27" x14ac:dyDescent="0.2">
      <c r="H87">
        <v>86</v>
      </c>
      <c r="I87" t="str">
        <f>IFERROR(INDEX(TableRBCalcPts[PLAYER],MATCH(TableRBRanks[[#This Row],[RK]],TableRBCalcPts[RK],0)),"")</f>
        <v>Kenny McIntosh</v>
      </c>
      <c r="J87" t="str">
        <f>IFERROR(INDEX(TableRBCalcPts[TM],MATCH(TableRBRanks[[#This Row],[RK]],TableRBCalcPts[RK],0)),"")</f>
        <v>SEA</v>
      </c>
      <c r="K87">
        <f>IFERROR(INDEX(TableRBCalcPts[BYE],MATCH(TableRBRanks[[#This Row],[RK]],TableRBCalcPts[RK],0)),"")</f>
        <v>5</v>
      </c>
      <c r="L87" s="57">
        <f>IFERROR(INDEX(TableRBCalcPts[Custom],MATCH(TableRBRanks[[#This Row],[RK]],TableRBCalcPts[RK],0)),"")</f>
        <v>28.830867027374996</v>
      </c>
      <c r="M87" s="125">
        <f>(((VLOOKUP(TableRBRanks[[#This Row],[Player]],'OVR &amp; VORP Ranks'!$I:$M,5,FALSE)))/('OVR &amp; VORP Ranks'!$BM$6))*(Settings!$E$10*TEAMS)</f>
        <v>-34.770539517147689</v>
      </c>
      <c r="O87">
        <v>86</v>
      </c>
      <c r="P87" t="str">
        <f>IFERROR(INDEX(TableWRCalcPts[PLAYER],MATCH(TableWRRanks[[#This Row],[RK]],TableWRCalcPts[RK],0)),"")</f>
        <v>Jalen Tolbert</v>
      </c>
      <c r="Q87" t="str">
        <f>IFERROR(INDEX(TableWRCalcPts[TM],MATCH(TableWRRanks[[#This Row],[RK]],TableWRCalcPts[RK],0)),"")</f>
        <v>DAL</v>
      </c>
      <c r="R87">
        <f>IFERROR(INDEX(TableWRCalcPts[BYE],MATCH(TableWRRanks[[#This Row],[RK]],TableWRCalcPts[RK],0)),"")</f>
        <v>7</v>
      </c>
      <c r="S87" s="57">
        <f>IFERROR(INDEX(TableWRCalcPts[Custom],MATCH(TableWRRanks[[#This Row],[RK]],TableWRCalcPts[RK],0)),"")</f>
        <v>84.097540023587982</v>
      </c>
      <c r="T87" s="125">
        <f>(((VLOOKUP(TableWRRanks[[#This Row],[Player]],'OVR &amp; VORP Ranks'!$P:$T,5,FALSE)))/('OVR &amp; VORP Ranks'!$BM$6))*(Settings!$E$10*TEAMS)</f>
        <v>-19.511392985346923</v>
      </c>
      <c r="V87">
        <v>86</v>
      </c>
      <c r="W87" t="str">
        <f>IFERROR(INDEX(TableTECalcPts[PLAYER],MATCH(TableTERanks[[#This Row],[RK]],TableTECalcPts[RK],0)),"")</f>
        <v/>
      </c>
      <c r="X87" t="str">
        <f>IFERROR(INDEX(TableTECalcPts[TM],MATCH(TableTERanks[[#This Row],[RK]],TableTECalcPts[RK],0)),"")</f>
        <v/>
      </c>
      <c r="Y87" t="str">
        <f>IFERROR(INDEX(TableTECalcPts[BYE],MATCH(TableTERanks[[#This Row],[RK]],TableTECalcPts[RK],0)),"")</f>
        <v/>
      </c>
      <c r="Z87" s="57" t="str">
        <f>IFERROR(INDEX(TableTECalcPts[Custom],MATCH(TableTERanks[[#This Row],[RK]],TableTECalcPts[RK],0)),"")</f>
        <v/>
      </c>
      <c r="AA87" s="125" t="e">
        <f>(((VLOOKUP(TableTERanks[[#This Row],[Player]],'OVR &amp; VORP Ranks'!$W:$AA,5,FALSE)))/('OVR &amp; VORP Ranks'!$BM$6))*(Settings!$E$10*TEAMS)</f>
        <v>#VALUE!</v>
      </c>
    </row>
    <row r="88" spans="8:27" x14ac:dyDescent="0.2">
      <c r="H88">
        <v>87</v>
      </c>
      <c r="I88" t="str">
        <f>IFERROR(INDEX(TableRBCalcPts[PLAYER],MATCH(TableRBRanks[[#This Row],[RK]],TableRBCalcPts[RK],0)),"")</f>
        <v>Michael Carter</v>
      </c>
      <c r="J88" t="str">
        <f>IFERROR(INDEX(TableRBCalcPts[TM],MATCH(TableRBRanks[[#This Row],[RK]],TableRBCalcPts[RK],0)),"")</f>
        <v>ARI</v>
      </c>
      <c r="K88">
        <f>IFERROR(INDEX(TableRBCalcPts[BYE],MATCH(TableRBRanks[[#This Row],[RK]],TableRBCalcPts[RK],0)),"")</f>
        <v>14</v>
      </c>
      <c r="L88" s="57">
        <f>IFERROR(INDEX(TableRBCalcPts[Custom],MATCH(TableRBRanks[[#This Row],[RK]],TableRBCalcPts[RK],0)),"")</f>
        <v>28.2512233269</v>
      </c>
      <c r="M88" s="125">
        <f>(((VLOOKUP(TableRBRanks[[#This Row],[Player]],'OVR &amp; VORP Ranks'!$I:$M,5,FALSE)))/('OVR &amp; VORP Ranks'!$BM$6))*(Settings!$E$10*TEAMS)</f>
        <v>-35.010796927394253</v>
      </c>
      <c r="O88">
        <v>87</v>
      </c>
      <c r="P88" t="str">
        <f>IFERROR(INDEX(TableWRCalcPts[PLAYER],MATCH(TableWRRanks[[#This Row],[RK]],TableWRCalcPts[RK],0)),"")</f>
        <v>Andrei Iosivas</v>
      </c>
      <c r="Q88" t="str">
        <f>IFERROR(INDEX(TableWRCalcPts[TM],MATCH(TableWRRanks[[#This Row],[RK]],TableWRCalcPts[RK],0)),"")</f>
        <v>CIN</v>
      </c>
      <c r="R88">
        <f>IFERROR(INDEX(TableWRCalcPts[BYE],MATCH(TableWRRanks[[#This Row],[RK]],TableWRCalcPts[RK],0)),"")</f>
        <v>7</v>
      </c>
      <c r="S88" s="57">
        <f>IFERROR(INDEX(TableWRCalcPts[Custom],MATCH(TableWRRanks[[#This Row],[RK]],TableWRCalcPts[RK],0)),"")</f>
        <v>83.809426032359994</v>
      </c>
      <c r="T88" s="125">
        <f>(((VLOOKUP(TableWRRanks[[#This Row],[Player]],'OVR &amp; VORP Ranks'!$P:$T,5,FALSE)))/('OVR &amp; VORP Ranks'!$BM$6))*(Settings!$E$10*TEAMS)</f>
        <v>-19.604610684214499</v>
      </c>
      <c r="V88">
        <v>87</v>
      </c>
      <c r="W88" t="str">
        <f>IFERROR(INDEX(TableTECalcPts[PLAYER],MATCH(TableTERanks[[#This Row],[RK]],TableTECalcPts[RK],0)),"")</f>
        <v/>
      </c>
      <c r="X88" t="str">
        <f>IFERROR(INDEX(TableTECalcPts[TM],MATCH(TableTERanks[[#This Row],[RK]],TableTECalcPts[RK],0)),"")</f>
        <v/>
      </c>
      <c r="Y88" t="str">
        <f>IFERROR(INDEX(TableTECalcPts[BYE],MATCH(TableTERanks[[#This Row],[RK]],TableTECalcPts[RK],0)),"")</f>
        <v/>
      </c>
      <c r="Z88" s="57" t="str">
        <f>IFERROR(INDEX(TableTECalcPts[Custom],MATCH(TableTERanks[[#This Row],[RK]],TableTECalcPts[RK],0)),"")</f>
        <v/>
      </c>
      <c r="AA88" s="125" t="e">
        <f>(((VLOOKUP(TableTERanks[[#This Row],[Player]],'OVR &amp; VORP Ranks'!$W:$AA,5,FALSE)))/('OVR &amp; VORP Ranks'!$BM$6))*(Settings!$E$10*TEAMS)</f>
        <v>#VALUE!</v>
      </c>
    </row>
    <row r="89" spans="8:27" x14ac:dyDescent="0.2">
      <c r="H89">
        <v>88</v>
      </c>
      <c r="I89" t="str">
        <f>IFERROR(INDEX(TableRBCalcPts[PLAYER],MATCH(TableRBRanks[[#This Row],[RK]],TableRBCalcPts[RK],0)),"")</f>
        <v>Isaiah Spiller</v>
      </c>
      <c r="J89" t="str">
        <f>IFERROR(INDEX(TableRBCalcPts[TM],MATCH(TableRBRanks[[#This Row],[RK]],TableRBCalcPts[RK],0)),"")</f>
        <v>LAC</v>
      </c>
      <c r="K89">
        <f>IFERROR(INDEX(TableRBCalcPts[BYE],MATCH(TableRBRanks[[#This Row],[RK]],TableRBCalcPts[RK],0)),"")</f>
        <v>5</v>
      </c>
      <c r="L89" s="57">
        <f>IFERROR(INDEX(TableRBCalcPts[Custom],MATCH(TableRBRanks[[#This Row],[RK]],TableRBCalcPts[RK],0)),"")</f>
        <v>23.872239645878398</v>
      </c>
      <c r="M89" s="125">
        <f>(((VLOOKUP(TableRBRanks[[#This Row],[Player]],'OVR &amp; VORP Ranks'!$I:$M,5,FALSE)))/('OVR &amp; VORP Ranks'!$BM$6))*(Settings!$E$10*TEAMS)</f>
        <v>-36.825848618376263</v>
      </c>
      <c r="O89">
        <v>88</v>
      </c>
      <c r="P89" t="str">
        <f>IFERROR(INDEX(TableWRCalcPts[PLAYER],MATCH(TableWRRanks[[#This Row],[RK]],TableWRCalcPts[RK],0)),"")</f>
        <v>Luke McCaffrey</v>
      </c>
      <c r="Q89" t="str">
        <f>IFERROR(INDEX(TableWRCalcPts[TM],MATCH(TableWRRanks[[#This Row],[RK]],TableWRCalcPts[RK],0)),"")</f>
        <v>WSH</v>
      </c>
      <c r="R89">
        <f>IFERROR(INDEX(TableWRCalcPts[BYE],MATCH(TableWRRanks[[#This Row],[RK]],TableWRCalcPts[RK],0)),"")</f>
        <v>14</v>
      </c>
      <c r="S89" s="57">
        <f>IFERROR(INDEX(TableWRCalcPts[Custom],MATCH(TableWRRanks[[#This Row],[RK]],TableWRCalcPts[RK],0)),"")</f>
        <v>82.713069507515968</v>
      </c>
      <c r="T89" s="125">
        <f>(((VLOOKUP(TableWRRanks[[#This Row],[Player]],'OVR &amp; VORP Ranks'!$P:$T,5,FALSE)))/('OVR &amp; VORP Ranks'!$BM$6))*(Settings!$E$10*TEAMS)</f>
        <v>-19.959330814079831</v>
      </c>
      <c r="V89">
        <v>88</v>
      </c>
      <c r="W89" t="str">
        <f>IFERROR(INDEX(TableTECalcPts[PLAYER],MATCH(TableTERanks[[#This Row],[RK]],TableTECalcPts[RK],0)),"")</f>
        <v/>
      </c>
      <c r="X89" t="str">
        <f>IFERROR(INDEX(TableTECalcPts[TM],MATCH(TableTERanks[[#This Row],[RK]],TableTECalcPts[RK],0)),"")</f>
        <v/>
      </c>
      <c r="Y89" t="str">
        <f>IFERROR(INDEX(TableTECalcPts[BYE],MATCH(TableTERanks[[#This Row],[RK]],TableTECalcPts[RK],0)),"")</f>
        <v/>
      </c>
      <c r="Z89" s="57" t="str">
        <f>IFERROR(INDEX(TableTECalcPts[Custom],MATCH(TableTERanks[[#This Row],[RK]],TableTECalcPts[RK],0)),"")</f>
        <v/>
      </c>
      <c r="AA89" s="125" t="e">
        <f>(((VLOOKUP(TableTERanks[[#This Row],[Player]],'OVR &amp; VORP Ranks'!$W:$AA,5,FALSE)))/('OVR &amp; VORP Ranks'!$BM$6))*(Settings!$E$10*TEAMS)</f>
        <v>#VALUE!</v>
      </c>
    </row>
    <row r="90" spans="8:27" x14ac:dyDescent="0.2">
      <c r="H90">
        <v>89</v>
      </c>
      <c r="I90" t="str">
        <f>IFERROR(INDEX(TableRBCalcPts[PLAYER],MATCH(TableRBRanks[[#This Row],[RK]],TableRBCalcPts[RK],0)),"")</f>
        <v>Kevin Harris</v>
      </c>
      <c r="J90" t="str">
        <f>IFERROR(INDEX(TableRBCalcPts[TM],MATCH(TableRBRanks[[#This Row],[RK]],TableRBCalcPts[RK],0)),"")</f>
        <v>NE</v>
      </c>
      <c r="K90">
        <f>IFERROR(INDEX(TableRBCalcPts[BYE],MATCH(TableRBRanks[[#This Row],[RK]],TableRBCalcPts[RK],0)),"")</f>
        <v>11</v>
      </c>
      <c r="L90" s="57">
        <f>IFERROR(INDEX(TableRBCalcPts[Custom],MATCH(TableRBRanks[[#This Row],[RK]],TableRBCalcPts[RK],0)),"")</f>
        <v>23.675142996988001</v>
      </c>
      <c r="M90" s="125">
        <f>(((VLOOKUP(TableRBRanks[[#This Row],[Player]],'OVR &amp; VORP Ranks'!$I:$M,5,FALSE)))/('OVR &amp; VORP Ranks'!$BM$6))*(Settings!$E$10*TEAMS)</f>
        <v>-36.907543511966722</v>
      </c>
      <c r="O90">
        <v>89</v>
      </c>
      <c r="P90" t="str">
        <f>IFERROR(INDEX(TableWRCalcPts[PLAYER],MATCH(TableWRRanks[[#This Row],[RK]],TableWRCalcPts[RK],0)),"")</f>
        <v>Van Jefferson</v>
      </c>
      <c r="Q90" t="str">
        <f>IFERROR(INDEX(TableWRCalcPts[TM],MATCH(TableWRRanks[[#This Row],[RK]],TableWRCalcPts[RK],0)),"")</f>
        <v>PIT</v>
      </c>
      <c r="R90">
        <f>IFERROR(INDEX(TableWRCalcPts[BYE],MATCH(TableWRRanks[[#This Row],[RK]],TableWRCalcPts[RK],0)),"")</f>
        <v>6</v>
      </c>
      <c r="S90" s="57">
        <f>IFERROR(INDEX(TableWRCalcPts[Custom],MATCH(TableWRRanks[[#This Row],[RK]],TableWRCalcPts[RK],0)),"")</f>
        <v>82.556850116160007</v>
      </c>
      <c r="T90" s="125">
        <f>(((VLOOKUP(TableWRRanks[[#This Row],[Player]],'OVR &amp; VORP Ranks'!$P:$T,5,FALSE)))/('OVR &amp; VORP Ranks'!$BM$6))*(Settings!$E$10*TEAMS)</f>
        <v>-20.009874739831677</v>
      </c>
      <c r="V90">
        <v>89</v>
      </c>
      <c r="W90" t="str">
        <f>IFERROR(INDEX(TableTECalcPts[PLAYER],MATCH(TableTERanks[[#This Row],[RK]],TableTECalcPts[RK],0)),"")</f>
        <v/>
      </c>
      <c r="X90" t="str">
        <f>IFERROR(INDEX(TableTECalcPts[TM],MATCH(TableTERanks[[#This Row],[RK]],TableTECalcPts[RK],0)),"")</f>
        <v/>
      </c>
      <c r="Y90" t="str">
        <f>IFERROR(INDEX(TableTECalcPts[BYE],MATCH(TableTERanks[[#This Row],[RK]],TableTECalcPts[RK],0)),"")</f>
        <v/>
      </c>
      <c r="Z90" s="57" t="str">
        <f>IFERROR(INDEX(TableTECalcPts[Custom],MATCH(TableTERanks[[#This Row],[RK]],TableTECalcPts[RK],0)),"")</f>
        <v/>
      </c>
      <c r="AA90" s="125" t="e">
        <f>(((VLOOKUP(TableTERanks[[#This Row],[Player]],'OVR &amp; VORP Ranks'!$W:$AA,5,FALSE)))/('OVR &amp; VORP Ranks'!$BM$6))*(Settings!$E$10*TEAMS)</f>
        <v>#VALUE!</v>
      </c>
    </row>
    <row r="91" spans="8:27" x14ac:dyDescent="0.2">
      <c r="H91">
        <v>90</v>
      </c>
      <c r="I91" t="str">
        <f>IFERROR(INDEX(TableRBCalcPts[PLAYER],MATCH(TableRBRanks[[#This Row],[RK]],TableRBCalcPts[RK],0)),"")</f>
        <v>Hassan Haskins</v>
      </c>
      <c r="J91" t="str">
        <f>IFERROR(INDEX(TableRBCalcPts[TM],MATCH(TableRBRanks[[#This Row],[RK]],TableRBCalcPts[RK],0)),"")</f>
        <v>TEN</v>
      </c>
      <c r="K91">
        <f>IFERROR(INDEX(TableRBCalcPts[BYE],MATCH(TableRBRanks[[#This Row],[RK]],TableRBCalcPts[RK],0)),"")</f>
        <v>7</v>
      </c>
      <c r="L91" s="57">
        <f>IFERROR(INDEX(TableRBCalcPts[Custom],MATCH(TableRBRanks[[#This Row],[RK]],TableRBCalcPts[RK],0)),"")</f>
        <v>23.519939289</v>
      </c>
      <c r="M91" s="125">
        <f>(((VLOOKUP(TableRBRanks[[#This Row],[Player]],'OVR &amp; VORP Ranks'!$I:$M,5,FALSE)))/('OVR &amp; VORP Ranks'!$BM$6))*(Settings!$E$10*TEAMS)</f>
        <v>-36.97187413595401</v>
      </c>
      <c r="O91">
        <v>90</v>
      </c>
      <c r="P91" t="str">
        <f>IFERROR(INDEX(TableWRCalcPts[PLAYER],MATCH(TableWRRanks[[#This Row],[RK]],TableWRCalcPts[RK],0)),"")</f>
        <v>Trey Palmer</v>
      </c>
      <c r="Q91" t="str">
        <f>IFERROR(INDEX(TableWRCalcPts[TM],MATCH(TableWRRanks[[#This Row],[RK]],TableWRCalcPts[RK],0)),"")</f>
        <v>TB</v>
      </c>
      <c r="R91">
        <f>IFERROR(INDEX(TableWRCalcPts[BYE],MATCH(TableWRRanks[[#This Row],[RK]],TableWRCalcPts[RK],0)),"")</f>
        <v>5</v>
      </c>
      <c r="S91" s="57">
        <f>IFERROR(INDEX(TableWRCalcPts[Custom],MATCH(TableWRRanks[[#This Row],[RK]],TableWRCalcPts[RK],0)),"")</f>
        <v>76.730779467434402</v>
      </c>
      <c r="T91" s="125">
        <f>(((VLOOKUP(TableWRRanks[[#This Row],[Player]],'OVR &amp; VORP Ranks'!$P:$T,5,FALSE)))/('OVR &amp; VORP Ranks'!$BM$6))*(Settings!$E$10*TEAMS)</f>
        <v>-21.894867887853994</v>
      </c>
      <c r="V91">
        <v>90</v>
      </c>
      <c r="W91" t="str">
        <f>IFERROR(INDEX(TableTECalcPts[PLAYER],MATCH(TableTERanks[[#This Row],[RK]],TableTECalcPts[RK],0)),"")</f>
        <v/>
      </c>
      <c r="X91" t="str">
        <f>IFERROR(INDEX(TableTECalcPts[TM],MATCH(TableTERanks[[#This Row],[RK]],TableTECalcPts[RK],0)),"")</f>
        <v/>
      </c>
      <c r="Y91" t="str">
        <f>IFERROR(INDEX(TableTECalcPts[BYE],MATCH(TableTERanks[[#This Row],[RK]],TableTECalcPts[RK],0)),"")</f>
        <v/>
      </c>
      <c r="Z91" s="57" t="str">
        <f>IFERROR(INDEX(TableTECalcPts[Custom],MATCH(TableTERanks[[#This Row],[RK]],TableTECalcPts[RK],0)),"")</f>
        <v/>
      </c>
      <c r="AA91" s="125" t="e">
        <f>(((VLOOKUP(TableTERanks[[#This Row],[Player]],'OVR &amp; VORP Ranks'!$W:$AA,5,FALSE)))/('OVR &amp; VORP Ranks'!$BM$6))*(Settings!$E$10*TEAMS)</f>
        <v>#VALUE!</v>
      </c>
    </row>
    <row r="92" spans="8:27" x14ac:dyDescent="0.2">
      <c r="H92">
        <v>91</v>
      </c>
      <c r="I92" t="str">
        <f>IFERROR(INDEX(TableRBCalcPts[PLAYER],MATCH(TableRBRanks[[#This Row],[RK]],TableRBCalcPts[RK],0)),"")</f>
        <v>Keaontay Ingram</v>
      </c>
      <c r="J92" t="str">
        <f>IFERROR(INDEX(TableRBCalcPts[TM],MATCH(TableRBRanks[[#This Row],[RK]],TableRBCalcPts[RK],0)),"")</f>
        <v>KC</v>
      </c>
      <c r="K92">
        <f>IFERROR(INDEX(TableRBCalcPts[BYE],MATCH(TableRBRanks[[#This Row],[RK]],TableRBCalcPts[RK],0)),"")</f>
        <v>10</v>
      </c>
      <c r="L92" s="57">
        <f>IFERROR(INDEX(TableRBCalcPts[Custom],MATCH(TableRBRanks[[#This Row],[RK]],TableRBCalcPts[RK],0)),"")</f>
        <v>23.444296960000003</v>
      </c>
      <c r="M92" s="125">
        <f>(((VLOOKUP(TableRBRanks[[#This Row],[Player]],'OVR &amp; VORP Ranks'!$I:$M,5,FALSE)))/('OVR &amp; VORP Ranks'!$BM$6))*(Settings!$E$10*TEAMS)</f>
        <v>-37.003227241414599</v>
      </c>
      <c r="O92">
        <v>91</v>
      </c>
      <c r="P92" t="str">
        <f>IFERROR(INDEX(TableWRCalcPts[PLAYER],MATCH(TableWRRanks[[#This Row],[RK]],TableWRCalcPts[RK],0)),"")</f>
        <v>Tyler Boyd</v>
      </c>
      <c r="Q92" t="str">
        <f>IFERROR(INDEX(TableWRCalcPts[TM],MATCH(TableWRRanks[[#This Row],[RK]],TableWRCalcPts[RK],0)),"")</f>
        <v>TEN</v>
      </c>
      <c r="R92">
        <f>IFERROR(INDEX(TableWRCalcPts[BYE],MATCH(TableWRRanks[[#This Row],[RK]],TableWRCalcPts[RK],0)),"")</f>
        <v>7</v>
      </c>
      <c r="S92" s="57">
        <f>IFERROR(INDEX(TableWRCalcPts[Custom],MATCH(TableWRRanks[[#This Row],[RK]],TableWRCalcPts[RK],0)),"")</f>
        <v>70.655056034062497</v>
      </c>
      <c r="T92" s="125">
        <f>(((VLOOKUP(TableWRRanks[[#This Row],[Player]],'OVR &amp; VORP Ranks'!$P:$T,5,FALSE)))/('OVR &amp; VORP Ranks'!$BM$6))*(Settings!$E$10*TEAMS)</f>
        <v>-23.860634822673056</v>
      </c>
      <c r="V92">
        <v>91</v>
      </c>
      <c r="W92" t="str">
        <f>IFERROR(INDEX(TableTECalcPts[PLAYER],MATCH(TableTERanks[[#This Row],[RK]],TableTECalcPts[RK],0)),"")</f>
        <v/>
      </c>
      <c r="X92" t="str">
        <f>IFERROR(INDEX(TableTECalcPts[TM],MATCH(TableTERanks[[#This Row],[RK]],TableTECalcPts[RK],0)),"")</f>
        <v/>
      </c>
      <c r="Y92" t="str">
        <f>IFERROR(INDEX(TableTECalcPts[BYE],MATCH(TableTERanks[[#This Row],[RK]],TableTECalcPts[RK],0)),"")</f>
        <v/>
      </c>
      <c r="Z92" s="57" t="str">
        <f>IFERROR(INDEX(TableTECalcPts[Custom],MATCH(TableTERanks[[#This Row],[RK]],TableTECalcPts[RK],0)),"")</f>
        <v/>
      </c>
      <c r="AA92" s="125" t="e">
        <f>(((VLOOKUP(TableTERanks[[#This Row],[Player]],'OVR &amp; VORP Ranks'!$W:$AA,5,FALSE)))/('OVR &amp; VORP Ranks'!$BM$6))*(Settings!$E$10*TEAMS)</f>
        <v>#VALUE!</v>
      </c>
    </row>
    <row r="93" spans="8:27" x14ac:dyDescent="0.2">
      <c r="H93">
        <v>92</v>
      </c>
      <c r="I93" t="str">
        <f>IFERROR(INDEX(TableRBCalcPts[PLAYER],MATCH(TableRBRanks[[#This Row],[RK]],TableRBCalcPts[RK],0)),"")</f>
        <v>Evan Hull</v>
      </c>
      <c r="J93" t="str">
        <f>IFERROR(INDEX(TableRBCalcPts[TM],MATCH(TableRBRanks[[#This Row],[RK]],TableRBCalcPts[RK],0)),"")</f>
        <v>IND</v>
      </c>
      <c r="K93">
        <f>IFERROR(INDEX(TableRBCalcPts[BYE],MATCH(TableRBRanks[[#This Row],[RK]],TableRBCalcPts[RK],0)),"")</f>
        <v>11</v>
      </c>
      <c r="L93" s="57">
        <f>IFERROR(INDEX(TableRBCalcPts[Custom],MATCH(TableRBRanks[[#This Row],[RK]],TableRBCalcPts[RK],0)),"")</f>
        <v>22.991422196511998</v>
      </c>
      <c r="M93" s="125">
        <f>(((VLOOKUP(TableRBRanks[[#This Row],[Player]],'OVR &amp; VORP Ranks'!$I:$M,5,FALSE)))/('OVR &amp; VORP Ranks'!$BM$6))*(Settings!$E$10*TEAMS)</f>
        <v>-37.190939999704725</v>
      </c>
      <c r="O93">
        <v>92</v>
      </c>
      <c r="P93" t="str">
        <f>IFERROR(INDEX(TableWRCalcPts[PLAYER],MATCH(TableWRRanks[[#This Row],[RK]],TableWRCalcPts[RK],0)),"")</f>
        <v>Cedrick Wilson</v>
      </c>
      <c r="Q93" t="str">
        <f>IFERROR(INDEX(TableWRCalcPts[TM],MATCH(TableWRRanks[[#This Row],[RK]],TableWRCalcPts[RK],0)),"")</f>
        <v>NO</v>
      </c>
      <c r="R93">
        <f>IFERROR(INDEX(TableWRCalcPts[BYE],MATCH(TableWRRanks[[#This Row],[RK]],TableWRCalcPts[RK],0)),"")</f>
        <v>11</v>
      </c>
      <c r="S93" s="57">
        <f>IFERROR(INDEX(TableWRCalcPts[Custom],MATCH(TableWRRanks[[#This Row],[RK]],TableWRCalcPts[RK],0)),"")</f>
        <v>69.911023376409588</v>
      </c>
      <c r="T93" s="125">
        <f>(((VLOOKUP(TableWRRanks[[#This Row],[Player]],'OVR &amp; VORP Ranks'!$P:$T,5,FALSE)))/('OVR &amp; VORP Ranks'!$BM$6))*(Settings!$E$10*TEAMS)</f>
        <v>-24.101362501093394</v>
      </c>
      <c r="V93">
        <v>92</v>
      </c>
      <c r="W93" t="str">
        <f>IFERROR(INDEX(TableTECalcPts[PLAYER],MATCH(TableTERanks[[#This Row],[RK]],TableTECalcPts[RK],0)),"")</f>
        <v/>
      </c>
      <c r="X93" t="str">
        <f>IFERROR(INDEX(TableTECalcPts[TM],MATCH(TableTERanks[[#This Row],[RK]],TableTECalcPts[RK],0)),"")</f>
        <v/>
      </c>
      <c r="Y93" t="str">
        <f>IFERROR(INDEX(TableTECalcPts[BYE],MATCH(TableTERanks[[#This Row],[RK]],TableTECalcPts[RK],0)),"")</f>
        <v/>
      </c>
      <c r="Z93" s="57" t="str">
        <f>IFERROR(INDEX(TableTECalcPts[Custom],MATCH(TableTERanks[[#This Row],[RK]],TableTECalcPts[RK],0)),"")</f>
        <v/>
      </c>
      <c r="AA93" s="125" t="e">
        <f>(((VLOOKUP(TableTERanks[[#This Row],[Player]],'OVR &amp; VORP Ranks'!$W:$AA,5,FALSE)))/('OVR &amp; VORP Ranks'!$BM$6))*(Settings!$E$10*TEAMS)</f>
        <v>#VALUE!</v>
      </c>
    </row>
    <row r="94" spans="8:27" x14ac:dyDescent="0.2">
      <c r="H94">
        <v>93</v>
      </c>
      <c r="I94" t="str">
        <f>IFERROR(INDEX(TableRBCalcPts[PLAYER],MATCH(TableRBRanks[[#This Row],[RK]],TableRBCalcPts[RK],0)),"")</f>
        <v>Jaleel McLaughlin</v>
      </c>
      <c r="J94" t="str">
        <f>IFERROR(INDEX(TableRBCalcPts[TM],MATCH(TableRBRanks[[#This Row],[RK]],TableRBCalcPts[RK],0)),"")</f>
        <v>DEN</v>
      </c>
      <c r="K94">
        <f>IFERROR(INDEX(TableRBCalcPts[BYE],MATCH(TableRBRanks[[#This Row],[RK]],TableRBCalcPts[RK],0)),"")</f>
        <v>9</v>
      </c>
      <c r="L94" s="57">
        <f>IFERROR(INDEX(TableRBCalcPts[Custom],MATCH(TableRBRanks[[#This Row],[RK]],TableRBCalcPts[RK],0)),"")</f>
        <v>22.372623066780001</v>
      </c>
      <c r="M94" s="125">
        <f>(((VLOOKUP(TableRBRanks[[#This Row],[Player]],'OVR &amp; VORP Ranks'!$I:$M,5,FALSE)))/('OVR &amp; VORP Ranks'!$BM$6))*(Settings!$E$10*TEAMS)</f>
        <v>-37.447427004135903</v>
      </c>
      <c r="O94">
        <v>93</v>
      </c>
      <c r="P94" t="str">
        <f>IFERROR(INDEX(TableWRCalcPts[PLAYER],MATCH(TableWRRanks[[#This Row],[RK]],TableWRCalcPts[RK],0)),"")</f>
        <v>Jalen McMillan</v>
      </c>
      <c r="Q94" t="str">
        <f>IFERROR(INDEX(TableWRCalcPts[TM],MATCH(TableWRRanks[[#This Row],[RK]],TableWRCalcPts[RK],0)),"")</f>
        <v>TB</v>
      </c>
      <c r="R94">
        <f>IFERROR(INDEX(TableWRCalcPts[BYE],MATCH(TableWRRanks[[#This Row],[RK]],TableWRCalcPts[RK],0)),"")</f>
        <v>5</v>
      </c>
      <c r="S94" s="57">
        <f>IFERROR(INDEX(TableWRCalcPts[Custom],MATCH(TableWRRanks[[#This Row],[RK]],TableWRCalcPts[RK],0)),"")</f>
        <v>68.307723575783996</v>
      </c>
      <c r="T94" s="125">
        <f>(((VLOOKUP(TableWRRanks[[#This Row],[Player]],'OVR &amp; VORP Ranks'!$P:$T,5,FALSE)))/('OVR &amp; VORP Ranks'!$BM$6))*(Settings!$E$10*TEAMS)</f>
        <v>-24.620101342522627</v>
      </c>
      <c r="V94">
        <v>93</v>
      </c>
      <c r="W94" t="str">
        <f>IFERROR(INDEX(TableTECalcPts[PLAYER],MATCH(TableTERanks[[#This Row],[RK]],TableTECalcPts[RK],0)),"")</f>
        <v/>
      </c>
      <c r="X94" t="str">
        <f>IFERROR(INDEX(TableTECalcPts[TM],MATCH(TableTERanks[[#This Row],[RK]],TableTECalcPts[RK],0)),"")</f>
        <v/>
      </c>
      <c r="Y94" t="str">
        <f>IFERROR(INDEX(TableTECalcPts[BYE],MATCH(TableTERanks[[#This Row],[RK]],TableTECalcPts[RK],0)),"")</f>
        <v/>
      </c>
      <c r="Z94" s="57" t="str">
        <f>IFERROR(INDEX(TableTECalcPts[Custom],MATCH(TableTERanks[[#This Row],[RK]],TableTECalcPts[RK],0)),"")</f>
        <v/>
      </c>
      <c r="AA94" s="125" t="e">
        <f>(((VLOOKUP(TableTERanks[[#This Row],[Player]],'OVR &amp; VORP Ranks'!$W:$AA,5,FALSE)))/('OVR &amp; VORP Ranks'!$BM$6))*(Settings!$E$10*TEAMS)</f>
        <v>#VALUE!</v>
      </c>
    </row>
    <row r="95" spans="8:27" x14ac:dyDescent="0.2">
      <c r="H95">
        <v>94</v>
      </c>
      <c r="I95" t="str">
        <f>IFERROR(INDEX(TableRBCalcPts[PLAYER],MATCH(TableRBRanks[[#This Row],[RK]],TableRBCalcPts[RK],0)),"")</f>
        <v>Royce Freeman</v>
      </c>
      <c r="J95" t="str">
        <f>IFERROR(INDEX(TableRBCalcPts[TM],MATCH(TableRBRanks[[#This Row],[RK]],TableRBCalcPts[RK],0)),"")</f>
        <v>DAL</v>
      </c>
      <c r="K95">
        <f>IFERROR(INDEX(TableRBCalcPts[BYE],MATCH(TableRBRanks[[#This Row],[RK]],TableRBCalcPts[RK],0)),"")</f>
        <v>7</v>
      </c>
      <c r="L95" s="57">
        <f>IFERROR(INDEX(TableRBCalcPts[Custom],MATCH(TableRBRanks[[#This Row],[RK]],TableRBCalcPts[RK],0)),"")</f>
        <v>22.019979806999999</v>
      </c>
      <c r="M95" s="125">
        <f>(((VLOOKUP(TableRBRanks[[#This Row],[Player]],'OVR &amp; VORP Ranks'!$I:$M,5,FALSE)))/('OVR &amp; VORP Ranks'!$BM$6))*(Settings!$E$10*TEAMS)</f>
        <v>-37.593594652065526</v>
      </c>
      <c r="O95">
        <v>94</v>
      </c>
      <c r="P95" t="str">
        <f>IFERROR(INDEX(TableWRCalcPts[PLAYER],MATCH(TableWRRanks[[#This Row],[RK]],TableWRCalcPts[RK],0)),"")</f>
        <v>JuJu Smith-Schuster</v>
      </c>
      <c r="Q95" t="str">
        <f>IFERROR(INDEX(TableWRCalcPts[TM],MATCH(TableWRRanks[[#This Row],[RK]],TableWRCalcPts[RK],0)),"")</f>
        <v>NE</v>
      </c>
      <c r="R95">
        <f>IFERROR(INDEX(TableWRCalcPts[BYE],MATCH(TableWRRanks[[#This Row],[RK]],TableWRCalcPts[RK],0)),"")</f>
        <v>11</v>
      </c>
      <c r="S95" s="57">
        <f>IFERROR(INDEX(TableWRCalcPts[Custom],MATCH(TableWRRanks[[#This Row],[RK]],TableWRCalcPts[RK],0)),"")</f>
        <v>64.556631484799979</v>
      </c>
      <c r="T95" s="125">
        <f>(((VLOOKUP(TableWRRanks[[#This Row],[Player]],'OVR &amp; VORP Ranks'!$P:$T,5,FALSE)))/('OVR &amp; VORP Ranks'!$BM$6))*(Settings!$E$10*TEAMS)</f>
        <v>-25.833746578811038</v>
      </c>
      <c r="V95">
        <v>94</v>
      </c>
      <c r="W95" t="str">
        <f>IFERROR(INDEX(TableTECalcPts[PLAYER],MATCH(TableTERanks[[#This Row],[RK]],TableTECalcPts[RK],0)),"")</f>
        <v/>
      </c>
      <c r="X95" t="str">
        <f>IFERROR(INDEX(TableTECalcPts[TM],MATCH(TableTERanks[[#This Row],[RK]],TableTECalcPts[RK],0)),"")</f>
        <v/>
      </c>
      <c r="Y95" t="str">
        <f>IFERROR(INDEX(TableTECalcPts[BYE],MATCH(TableTERanks[[#This Row],[RK]],TableTECalcPts[RK],0)),"")</f>
        <v/>
      </c>
      <c r="Z95" s="57" t="str">
        <f>IFERROR(INDEX(TableTECalcPts[Custom],MATCH(TableTERanks[[#This Row],[RK]],TableTECalcPts[RK],0)),"")</f>
        <v/>
      </c>
      <c r="AA95" s="125" t="e">
        <f>(((VLOOKUP(TableTERanks[[#This Row],[Player]],'OVR &amp; VORP Ranks'!$W:$AA,5,FALSE)))/('OVR &amp; VORP Ranks'!$BM$6))*(Settings!$E$10*TEAMS)</f>
        <v>#VALUE!</v>
      </c>
    </row>
    <row r="96" spans="8:27" x14ac:dyDescent="0.2">
      <c r="H96">
        <v>95</v>
      </c>
      <c r="I96" t="str">
        <f>IFERROR(INDEX(TableRBCalcPts[PLAYER],MATCH(TableRBRanks[[#This Row],[RK]],TableRBCalcPts[RK],0)),"")</f>
        <v>Chris Evans</v>
      </c>
      <c r="J96" t="str">
        <f>IFERROR(INDEX(TableRBCalcPts[TM],MATCH(TableRBRanks[[#This Row],[RK]],TableRBCalcPts[RK],0)),"")</f>
        <v>CIN</v>
      </c>
      <c r="K96">
        <f>IFERROR(INDEX(TableRBCalcPts[BYE],MATCH(TableRBRanks[[#This Row],[RK]],TableRBCalcPts[RK],0)),"")</f>
        <v>7</v>
      </c>
      <c r="L96" s="57">
        <f>IFERROR(INDEX(TableRBCalcPts[Custom],MATCH(TableRBRanks[[#This Row],[RK]],TableRBCalcPts[RK],0)),"")</f>
        <v>21.211792024415999</v>
      </c>
      <c r="M96" s="125">
        <f>(((VLOOKUP(TableRBRanks[[#This Row],[Player]],'OVR &amp; VORP Ranks'!$I:$M,5,FALSE)))/('OVR &amp; VORP Ranks'!$BM$6))*(Settings!$E$10*TEAMS)</f>
        <v>-37.928581650936422</v>
      </c>
      <c r="O96">
        <v>95</v>
      </c>
      <c r="P96" t="str">
        <f>IFERROR(INDEX(TableWRCalcPts[PLAYER],MATCH(TableWRRanks[[#This Row],[RK]],TableWRCalcPts[RK],0)),"")</f>
        <v>Ricky Pearsall</v>
      </c>
      <c r="Q96" t="str">
        <f>IFERROR(INDEX(TableWRCalcPts[TM],MATCH(TableWRRanks[[#This Row],[RK]],TableWRCalcPts[RK],0)),"")</f>
        <v>SF</v>
      </c>
      <c r="R96">
        <f>IFERROR(INDEX(TableWRCalcPts[BYE],MATCH(TableWRRanks[[#This Row],[RK]],TableWRCalcPts[RK],0)),"")</f>
        <v>9</v>
      </c>
      <c r="S96" s="57">
        <f>IFERROR(INDEX(TableWRCalcPts[Custom],MATCH(TableWRRanks[[#This Row],[RK]],TableWRCalcPts[RK],0)),"")</f>
        <v>63.409202041651184</v>
      </c>
      <c r="T96" s="125">
        <f>(((VLOOKUP(TableWRRanks[[#This Row],[Player]],'OVR &amp; VORP Ranks'!$P:$T,5,FALSE)))/('OVR &amp; VORP Ranks'!$BM$6))*(Settings!$E$10*TEAMS)</f>
        <v>-26.204991070782249</v>
      </c>
      <c r="V96">
        <v>95</v>
      </c>
      <c r="W96" t="str">
        <f>IFERROR(INDEX(TableTECalcPts[PLAYER],MATCH(TableTERanks[[#This Row],[RK]],TableTECalcPts[RK],0)),"")</f>
        <v/>
      </c>
      <c r="X96" t="str">
        <f>IFERROR(INDEX(TableTECalcPts[TM],MATCH(TableTERanks[[#This Row],[RK]],TableTECalcPts[RK],0)),"")</f>
        <v/>
      </c>
      <c r="Y96" t="str">
        <f>IFERROR(INDEX(TableTECalcPts[BYE],MATCH(TableTERanks[[#This Row],[RK]],TableTECalcPts[RK],0)),"")</f>
        <v/>
      </c>
      <c r="Z96" s="57" t="str">
        <f>IFERROR(INDEX(TableTECalcPts[Custom],MATCH(TableTERanks[[#This Row],[RK]],TableTECalcPts[RK],0)),"")</f>
        <v/>
      </c>
      <c r="AA96" s="125" t="e">
        <f>(((VLOOKUP(TableTERanks[[#This Row],[Player]],'OVR &amp; VORP Ranks'!$W:$AA,5,FALSE)))/('OVR &amp; VORP Ranks'!$BM$6))*(Settings!$E$10*TEAMS)</f>
        <v>#VALUE!</v>
      </c>
    </row>
    <row r="97" spans="8:27" x14ac:dyDescent="0.2">
      <c r="H97">
        <v>96</v>
      </c>
      <c r="I97" t="str">
        <f>IFERROR(INDEX(TableRBCalcPts[PLAYER],MATCH(TableRBRanks[[#This Row],[RK]],TableRBCalcPts[RK],0)),"")</f>
        <v>Justice Hill</v>
      </c>
      <c r="J97" t="str">
        <f>IFERROR(INDEX(TableRBCalcPts[TM],MATCH(TableRBRanks[[#This Row],[RK]],TableRBCalcPts[RK],0)),"")</f>
        <v>BAL</v>
      </c>
      <c r="K97">
        <f>IFERROR(INDEX(TableRBCalcPts[BYE],MATCH(TableRBRanks[[#This Row],[RK]],TableRBCalcPts[RK],0)),"")</f>
        <v>13</v>
      </c>
      <c r="L97" s="57">
        <f>IFERROR(INDEX(TableRBCalcPts[Custom],MATCH(TableRBRanks[[#This Row],[RK]],TableRBCalcPts[RK],0)),"")</f>
        <v>20.135598235760003</v>
      </c>
      <c r="M97" s="125">
        <f>(((VLOOKUP(TableRBRanks[[#This Row],[Player]],'OVR &amp; VORP Ranks'!$I:$M,5,FALSE)))/('OVR &amp; VORP Ranks'!$BM$6))*(Settings!$E$10*TEAMS)</f>
        <v>-38.374654872079077</v>
      </c>
      <c r="O97">
        <v>96</v>
      </c>
      <c r="P97" t="str">
        <f>IFERROR(INDEX(TableWRCalcPts[PLAYER],MATCH(TableWRRanks[[#This Row],[RK]],TableWRCalcPts[RK],0)),"")</f>
        <v>Brandon Powell</v>
      </c>
      <c r="Q97" t="str">
        <f>IFERROR(INDEX(TableWRCalcPts[TM],MATCH(TableWRRanks[[#This Row],[RK]],TableWRCalcPts[RK],0)),"")</f>
        <v>MIN</v>
      </c>
      <c r="R97">
        <f>IFERROR(INDEX(TableWRCalcPts[BYE],MATCH(TableWRRanks[[#This Row],[RK]],TableWRCalcPts[RK],0)),"")</f>
        <v>13</v>
      </c>
      <c r="S97" s="57">
        <f>IFERROR(INDEX(TableWRCalcPts[Custom],MATCH(TableWRRanks[[#This Row],[RK]],TableWRCalcPts[RK],0)),"")</f>
        <v>60.938819423999995</v>
      </c>
      <c r="T97" s="125">
        <f>(((VLOOKUP(TableWRRanks[[#This Row],[Player]],'OVR &amp; VORP Ranks'!$P:$T,5,FALSE)))/('OVR &amp; VORP Ranks'!$BM$6))*(Settings!$E$10*TEAMS)</f>
        <v>-27.004269793618285</v>
      </c>
      <c r="V97">
        <v>96</v>
      </c>
      <c r="W97" t="str">
        <f>IFERROR(INDEX(TableTECalcPts[PLAYER],MATCH(TableTERanks[[#This Row],[RK]],TableTECalcPts[RK],0)),"")</f>
        <v/>
      </c>
      <c r="X97" t="str">
        <f>IFERROR(INDEX(TableTECalcPts[TM],MATCH(TableTERanks[[#This Row],[RK]],TableTECalcPts[RK],0)),"")</f>
        <v/>
      </c>
      <c r="Y97" t="str">
        <f>IFERROR(INDEX(TableTECalcPts[BYE],MATCH(TableTERanks[[#This Row],[RK]],TableTECalcPts[RK],0)),"")</f>
        <v/>
      </c>
      <c r="Z97" s="57" t="str">
        <f>IFERROR(INDEX(TableTECalcPts[Custom],MATCH(TableTERanks[[#This Row],[RK]],TableTECalcPts[RK],0)),"")</f>
        <v/>
      </c>
      <c r="AA97" s="125" t="e">
        <f>(((VLOOKUP(TableTERanks[[#This Row],[Player]],'OVR &amp; VORP Ranks'!$W:$AA,5,FALSE)))/('OVR &amp; VORP Ranks'!$BM$6))*(Settings!$E$10*TEAMS)</f>
        <v>#VALUE!</v>
      </c>
    </row>
    <row r="98" spans="8:27" x14ac:dyDescent="0.2">
      <c r="H98">
        <v>97</v>
      </c>
      <c r="I98" t="str">
        <f>IFERROR(INDEX(TableRBCalcPts[PLAYER],MATCH(TableRBRanks[[#This Row],[RK]],TableRBCalcPts[RK],0)),"")</f>
        <v>Craig Reynolds</v>
      </c>
      <c r="J98" t="str">
        <f>IFERROR(INDEX(TableRBCalcPts[TM],MATCH(TableRBRanks[[#This Row],[RK]],TableRBCalcPts[RK],0)),"")</f>
        <v>DET</v>
      </c>
      <c r="K98">
        <f>IFERROR(INDEX(TableRBCalcPts[BYE],MATCH(TableRBRanks[[#This Row],[RK]],TableRBCalcPts[RK],0)),"")</f>
        <v>9</v>
      </c>
      <c r="L98" s="57">
        <f>IFERROR(INDEX(TableRBCalcPts[Custom],MATCH(TableRBRanks[[#This Row],[RK]],TableRBCalcPts[RK],0)),"")</f>
        <v>19.247159624000005</v>
      </c>
      <c r="M98" s="125">
        <f>(((VLOOKUP(TableRBRanks[[#This Row],[Player]],'OVR &amp; VORP Ranks'!$I:$M,5,FALSE)))/('OVR &amp; VORP Ranks'!$BM$6))*(Settings!$E$10*TEAMS)</f>
        <v>-38.742905160747085</v>
      </c>
      <c r="O98">
        <v>97</v>
      </c>
      <c r="P98" t="str">
        <f>IFERROR(INDEX(TableWRCalcPts[PLAYER],MATCH(TableWRRanks[[#This Row],[RK]],TableWRCalcPts[RK],0)),"")</f>
        <v>Kalif Raymond</v>
      </c>
      <c r="Q98" t="str">
        <f>IFERROR(INDEX(TableWRCalcPts[TM],MATCH(TableWRRanks[[#This Row],[RK]],TableWRCalcPts[RK],0)),"")</f>
        <v>DET</v>
      </c>
      <c r="R98">
        <f>IFERROR(INDEX(TableWRCalcPts[BYE],MATCH(TableWRRanks[[#This Row],[RK]],TableWRCalcPts[RK],0)),"")</f>
        <v>9</v>
      </c>
      <c r="S98" s="57">
        <f>IFERROR(INDEX(TableWRCalcPts[Custom],MATCH(TableWRRanks[[#This Row],[RK]],TableWRCalcPts[RK],0)),"")</f>
        <v>60.254049846143992</v>
      </c>
      <c r="T98" s="125">
        <f>(((VLOOKUP(TableWRRanks[[#This Row],[Player]],'OVR &amp; VORP Ranks'!$P:$T,5,FALSE)))/('OVR &amp; VORP Ranks'!$BM$6))*(Settings!$E$10*TEAMS)</f>
        <v>-27.225823228181429</v>
      </c>
      <c r="V98">
        <v>97</v>
      </c>
      <c r="W98" t="str">
        <f>IFERROR(INDEX(TableTECalcPts[PLAYER],MATCH(TableTERanks[[#This Row],[RK]],TableTECalcPts[RK],0)),"")</f>
        <v/>
      </c>
      <c r="X98" t="str">
        <f>IFERROR(INDEX(TableTECalcPts[TM],MATCH(TableTERanks[[#This Row],[RK]],TableTECalcPts[RK],0)),"")</f>
        <v/>
      </c>
      <c r="Y98" t="str">
        <f>IFERROR(INDEX(TableTECalcPts[BYE],MATCH(TableTERanks[[#This Row],[RK]],TableTECalcPts[RK],0)),"")</f>
        <v/>
      </c>
      <c r="Z98" s="57" t="str">
        <f>IFERROR(INDEX(TableTECalcPts[Custom],MATCH(TableTERanks[[#This Row],[RK]],TableTECalcPts[RK],0)),"")</f>
        <v/>
      </c>
      <c r="AA98" s="125" t="e">
        <f>(((VLOOKUP(TableTERanks[[#This Row],[Player]],'OVR &amp; VORP Ranks'!$W:$AA,5,FALSE)))/('OVR &amp; VORP Ranks'!$BM$6))*(Settings!$E$10*TEAMS)</f>
        <v>#VALUE!</v>
      </c>
    </row>
    <row r="99" spans="8:27" x14ac:dyDescent="0.2">
      <c r="H99">
        <v>98</v>
      </c>
      <c r="I99" t="str">
        <f>IFERROR(INDEX(TableRBCalcPts[PLAYER],MATCH(TableRBRanks[[#This Row],[RK]],TableRBCalcPts[RK],0)),"")</f>
        <v>Deon Jackson</v>
      </c>
      <c r="J99" t="str">
        <f>IFERROR(INDEX(TableRBCalcPts[TM],MATCH(TableRBRanks[[#This Row],[RK]],TableRBCalcPts[RK],0)),"")</f>
        <v>NYG</v>
      </c>
      <c r="K99">
        <f>IFERROR(INDEX(TableRBCalcPts[BYE],MATCH(TableRBRanks[[#This Row],[RK]],TableRBCalcPts[RK],0)),"")</f>
        <v>13</v>
      </c>
      <c r="L99" s="57">
        <f>IFERROR(INDEX(TableRBCalcPts[Custom],MATCH(TableRBRanks[[#This Row],[RK]],TableRBCalcPts[RK],0)),"")</f>
        <v>19.134680254928</v>
      </c>
      <c r="M99" s="125">
        <f>(((VLOOKUP(TableRBRanks[[#This Row],[Player]],'OVR &amp; VORP Ranks'!$I:$M,5,FALSE)))/('OVR &amp; VORP Ranks'!$BM$6))*(Settings!$E$10*TEAMS)</f>
        <v>-38.789526907687943</v>
      </c>
      <c r="O99">
        <v>98</v>
      </c>
      <c r="P99" t="str">
        <f>IFERROR(INDEX(TableWRCalcPts[PLAYER],MATCH(TableWRRanks[[#This Row],[RK]],TableWRCalcPts[RK],0)),"")</f>
        <v>Dontayvion Wicks</v>
      </c>
      <c r="Q99" t="str">
        <f>IFERROR(INDEX(TableWRCalcPts[TM],MATCH(TableWRRanks[[#This Row],[RK]],TableWRCalcPts[RK],0)),"")</f>
        <v>GB</v>
      </c>
      <c r="R99">
        <f>IFERROR(INDEX(TableWRCalcPts[BYE],MATCH(TableWRRanks[[#This Row],[RK]],TableWRCalcPts[RK],0)),"")</f>
        <v>6</v>
      </c>
      <c r="S99" s="57">
        <f>IFERROR(INDEX(TableWRCalcPts[Custom],MATCH(TableWRRanks[[#This Row],[RK]],TableWRCalcPts[RK],0)),"")</f>
        <v>59.706570083328018</v>
      </c>
      <c r="T99" s="125">
        <f>(((VLOOKUP(TableWRRanks[[#This Row],[Player]],'OVR &amp; VORP Ranks'!$P:$T,5,FALSE)))/('OVR &amp; VORP Ranks'!$BM$6))*(Settings!$E$10*TEAMS)</f>
        <v>-27.402957297404356</v>
      </c>
      <c r="V99">
        <v>98</v>
      </c>
      <c r="W99" t="str">
        <f>IFERROR(INDEX(TableTECalcPts[PLAYER],MATCH(TableTERanks[[#This Row],[RK]],TableTECalcPts[RK],0)),"")</f>
        <v/>
      </c>
      <c r="X99" t="str">
        <f>IFERROR(INDEX(TableTECalcPts[TM],MATCH(TableTERanks[[#This Row],[RK]],TableTECalcPts[RK],0)),"")</f>
        <v/>
      </c>
      <c r="Y99" t="str">
        <f>IFERROR(INDEX(TableTECalcPts[BYE],MATCH(TableTERanks[[#This Row],[RK]],TableTECalcPts[RK],0)),"")</f>
        <v/>
      </c>
      <c r="Z99" s="57" t="str">
        <f>IFERROR(INDEX(TableTECalcPts[Custom],MATCH(TableTERanks[[#This Row],[RK]],TableTECalcPts[RK],0)),"")</f>
        <v/>
      </c>
      <c r="AA99" s="125" t="e">
        <f>(((VLOOKUP(TableTERanks[[#This Row],[Player]],'OVR &amp; VORP Ranks'!$W:$AA,5,FALSE)))/('OVR &amp; VORP Ranks'!$BM$6))*(Settings!$E$10*TEAMS)</f>
        <v>#VALUE!</v>
      </c>
    </row>
    <row r="100" spans="8:27" x14ac:dyDescent="0.2">
      <c r="H100">
        <v>99</v>
      </c>
      <c r="I100" t="str">
        <f>IFERROR(INDEX(TableRBCalcPts[PLAYER],MATCH(TableRBRanks[[#This Row],[RK]],TableRBCalcPts[RK],0)),"")</f>
        <v>Raheem Blackshear</v>
      </c>
      <c r="J100" t="str">
        <f>IFERROR(INDEX(TableRBCalcPts[TM],MATCH(TableRBRanks[[#This Row],[RK]],TableRBCalcPts[RK],0)),"")</f>
        <v>CAR</v>
      </c>
      <c r="K100">
        <f>IFERROR(INDEX(TableRBCalcPts[BYE],MATCH(TableRBRanks[[#This Row],[RK]],TableRBCalcPts[RK],0)),"")</f>
        <v>7</v>
      </c>
      <c r="L100" s="57">
        <f>IFERROR(INDEX(TableRBCalcPts[Custom],MATCH(TableRBRanks[[#This Row],[RK]],TableRBCalcPts[RK],0)),"")</f>
        <v>17.937397642752</v>
      </c>
      <c r="M100" s="125">
        <f>(((VLOOKUP(TableRBRanks[[#This Row],[Player]],'OVR &amp; VORP Ranks'!$I:$M,5,FALSE)))/('OVR &amp; VORP Ranks'!$BM$6))*(Settings!$E$10*TEAMS)</f>
        <v>-39.285790421806908</v>
      </c>
      <c r="O100">
        <v>99</v>
      </c>
      <c r="P100" t="str">
        <f>IFERROR(INDEX(TableWRCalcPts[PLAYER],MATCH(TableWRRanks[[#This Row],[RK]],TableWRCalcPts[RK],0)),"")</f>
        <v>Odell Beckham</v>
      </c>
      <c r="Q100" t="str">
        <f>IFERROR(INDEX(TableWRCalcPts[TM],MATCH(TableWRRanks[[#This Row],[RK]],TableWRCalcPts[RK],0)),"")</f>
        <v>MIA</v>
      </c>
      <c r="R100">
        <f>IFERROR(INDEX(TableWRCalcPts[BYE],MATCH(TableWRRanks[[#This Row],[RK]],TableWRCalcPts[RK],0)),"")</f>
        <v>10</v>
      </c>
      <c r="S100" s="57">
        <f>IFERROR(INDEX(TableWRCalcPts[Custom],MATCH(TableWRRanks[[#This Row],[RK]],TableWRCalcPts[RK],0)),"")</f>
        <v>57.496219514294395</v>
      </c>
      <c r="T100" s="125">
        <f>(((VLOOKUP(TableWRRanks[[#This Row],[Player]],'OVR &amp; VORP Ranks'!$P:$T,5,FALSE)))/('OVR &amp; VORP Ranks'!$BM$6))*(Settings!$E$10*TEAMS)</f>
        <v>-28.118104079612873</v>
      </c>
      <c r="V100">
        <v>99</v>
      </c>
      <c r="W100" t="str">
        <f>IFERROR(INDEX(TableTECalcPts[PLAYER],MATCH(TableTERanks[[#This Row],[RK]],TableTECalcPts[RK],0)),"")</f>
        <v/>
      </c>
      <c r="X100" t="str">
        <f>IFERROR(INDEX(TableTECalcPts[TM],MATCH(TableTERanks[[#This Row],[RK]],TableTECalcPts[RK],0)),"")</f>
        <v/>
      </c>
      <c r="Y100" t="str">
        <f>IFERROR(INDEX(TableTECalcPts[BYE],MATCH(TableTERanks[[#This Row],[RK]],TableTECalcPts[RK],0)),"")</f>
        <v/>
      </c>
      <c r="Z100" s="57" t="str">
        <f>IFERROR(INDEX(TableTECalcPts[Custom],MATCH(TableTERanks[[#This Row],[RK]],TableTECalcPts[RK],0)),"")</f>
        <v/>
      </c>
      <c r="AA100" s="125" t="e">
        <f>(((VLOOKUP(TableTERanks[[#This Row],[Player]],'OVR &amp; VORP Ranks'!$W:$AA,5,FALSE)))/('OVR &amp; VORP Ranks'!$BM$6))*(Settings!$E$10*TEAMS)</f>
        <v>#VALUE!</v>
      </c>
    </row>
    <row r="101" spans="8:27" x14ac:dyDescent="0.2">
      <c r="H101">
        <v>100</v>
      </c>
      <c r="I101" t="str">
        <f>IFERROR(INDEX(TableRBCalcPts[PLAYER],MATCH(TableRBRanks[[#This Row],[RK]],TableRBCalcPts[RK],0)),"")</f>
        <v>Chris Rodriguez</v>
      </c>
      <c r="J101" t="str">
        <f>IFERROR(INDEX(TableRBCalcPts[TM],MATCH(TableRBRanks[[#This Row],[RK]],TableRBCalcPts[RK],0)),"")</f>
        <v>WSH</v>
      </c>
      <c r="K101">
        <f>IFERROR(INDEX(TableRBCalcPts[BYE],MATCH(TableRBRanks[[#This Row],[RK]],TableRBCalcPts[RK],0)),"")</f>
        <v>14</v>
      </c>
      <c r="L101" s="57">
        <f>IFERROR(INDEX(TableRBCalcPts[Custom],MATCH(TableRBRanks[[#This Row],[RK]],TableRBCalcPts[RK],0)),"")</f>
        <v>17.589380964834</v>
      </c>
      <c r="M101" s="125">
        <f>(((VLOOKUP(TableRBRanks[[#This Row],[Player]],'OVR &amp; VORP Ranks'!$I:$M,5,FALSE)))/('OVR &amp; VORP Ranks'!$BM$6))*(Settings!$E$10*TEAMS)</f>
        <v>-39.430040390694138</v>
      </c>
      <c r="O101">
        <v>100</v>
      </c>
      <c r="P101" t="str">
        <f>IFERROR(INDEX(TableWRCalcPts[PLAYER],MATCH(TableWRRanks[[#This Row],[RK]],TableWRCalcPts[RK],0)),"")</f>
        <v>DeVante Parker</v>
      </c>
      <c r="Q101" t="str">
        <f>IFERROR(INDEX(TableWRCalcPts[TM],MATCH(TableWRRanks[[#This Row],[RK]],TableWRCalcPts[RK],0)),"")</f>
        <v>PHI</v>
      </c>
      <c r="R101">
        <f>IFERROR(INDEX(TableWRCalcPts[BYE],MATCH(TableWRRanks[[#This Row],[RK]],TableWRCalcPts[RK],0)),"")</f>
        <v>10</v>
      </c>
      <c r="S101" s="57">
        <f>IFERROR(INDEX(TableWRCalcPts[Custom],MATCH(TableWRRanks[[#This Row],[RK]],TableWRCalcPts[RK],0)),"")</f>
        <v>56.040648476400008</v>
      </c>
      <c r="T101" s="125">
        <f>(((VLOOKUP(TableWRRanks[[#This Row],[Player]],'OVR &amp; VORP Ranks'!$P:$T,5,FALSE)))/('OVR &amp; VORP Ranks'!$BM$6))*(Settings!$E$10*TEAMS)</f>
        <v>-28.589046091531458</v>
      </c>
      <c r="V101">
        <v>100</v>
      </c>
      <c r="W101" t="str">
        <f>IFERROR(INDEX(TableTECalcPts[PLAYER],MATCH(TableTERanks[[#This Row],[RK]],TableTECalcPts[RK],0)),"")</f>
        <v/>
      </c>
      <c r="X101" t="str">
        <f>IFERROR(INDEX(TableTECalcPts[TM],MATCH(TableTERanks[[#This Row],[RK]],TableTECalcPts[RK],0)),"")</f>
        <v/>
      </c>
      <c r="Y101" t="str">
        <f>IFERROR(INDEX(TableTECalcPts[BYE],MATCH(TableTERanks[[#This Row],[RK]],TableTECalcPts[RK],0)),"")</f>
        <v/>
      </c>
      <c r="Z101" s="57" t="str">
        <f>IFERROR(INDEX(TableTECalcPts[Custom],MATCH(TableTERanks[[#This Row],[RK]],TableTECalcPts[RK],0)),"")</f>
        <v/>
      </c>
      <c r="AA101" s="125" t="e">
        <f>(((VLOOKUP(TableTERanks[[#This Row],[Player]],'OVR &amp; VORP Ranks'!$W:$AA,5,FALSE)))/('OVR &amp; VORP Ranks'!$BM$6))*(Settings!$E$10*TEAMS)</f>
        <v>#VALUE!</v>
      </c>
    </row>
    <row r="102" spans="8:27" x14ac:dyDescent="0.2">
      <c r="H102">
        <v>101</v>
      </c>
      <c r="I102" t="str">
        <f>IFERROR(INDEX(TableRBCalcPts[PLAYER],MATCH(TableRBRanks[[#This Row],[RK]],TableRBCalcPts[RK],0)),"")</f>
        <v>Zach Evans</v>
      </c>
      <c r="J102" t="str">
        <f>IFERROR(INDEX(TableRBCalcPts[TM],MATCH(TableRBRanks[[#This Row],[RK]],TableRBCalcPts[RK],0)),"")</f>
        <v>LAR</v>
      </c>
      <c r="K102">
        <f>IFERROR(INDEX(TableRBCalcPts[BYE],MATCH(TableRBRanks[[#This Row],[RK]],TableRBCalcPts[RK],0)),"")</f>
        <v>10</v>
      </c>
      <c r="L102" s="57">
        <f>IFERROR(INDEX(TableRBCalcPts[Custom],MATCH(TableRBRanks[[#This Row],[RK]],TableRBCalcPts[RK],0)),"")</f>
        <v>16.630721401223997</v>
      </c>
      <c r="M102" s="125">
        <f>(((VLOOKUP(TableRBRanks[[#This Row],[Player]],'OVR &amp; VORP Ranks'!$I:$M,5,FALSE)))/('OVR &amp; VORP Ranks'!$BM$6))*(Settings!$E$10*TEAMS)</f>
        <v>-39.827396669857166</v>
      </c>
      <c r="O102">
        <v>101</v>
      </c>
      <c r="P102" t="str">
        <f>IFERROR(INDEX(TableWRCalcPts[PLAYER],MATCH(TableWRRanks[[#This Row],[RK]],TableWRCalcPts[RK],0)),"")</f>
        <v>Kadarius Toney</v>
      </c>
      <c r="Q102" t="str">
        <f>IFERROR(INDEX(TableWRCalcPts[TM],MATCH(TableWRRanks[[#This Row],[RK]],TableWRCalcPts[RK],0)),"")</f>
        <v>KC</v>
      </c>
      <c r="R102">
        <f>IFERROR(INDEX(TableWRCalcPts[BYE],MATCH(TableWRRanks[[#This Row],[RK]],TableWRCalcPts[RK],0)),"")</f>
        <v>10</v>
      </c>
      <c r="S102" s="57">
        <f>IFERROR(INDEX(TableWRCalcPts[Custom],MATCH(TableWRRanks[[#This Row],[RK]],TableWRCalcPts[RK],0)),"")</f>
        <v>54.303811994879979</v>
      </c>
      <c r="T102" s="125">
        <f>(((VLOOKUP(TableWRRanks[[#This Row],[Player]],'OVR &amp; VORP Ranks'!$P:$T,5,FALSE)))/('OVR &amp; VORP Ranks'!$BM$6))*(Settings!$E$10*TEAMS)</f>
        <v>-29.150989992369077</v>
      </c>
    </row>
    <row r="103" spans="8:27" x14ac:dyDescent="0.2">
      <c r="H103">
        <v>102</v>
      </c>
      <c r="I103" t="str">
        <f>IFERROR(INDEX(TableRBCalcPts[PLAYER],MATCH(TableRBRanks[[#This Row],[RK]],TableRBCalcPts[RK],0)),"")</f>
        <v>Sean Tucker</v>
      </c>
      <c r="J103" t="str">
        <f>IFERROR(INDEX(TableRBCalcPts[TM],MATCH(TableRBRanks[[#This Row],[RK]],TableRBCalcPts[RK],0)),"")</f>
        <v>TB</v>
      </c>
      <c r="K103">
        <f>IFERROR(INDEX(TableRBCalcPts[BYE],MATCH(TableRBRanks[[#This Row],[RK]],TableRBCalcPts[RK],0)),"")</f>
        <v>5</v>
      </c>
      <c r="L103" s="57">
        <f>IFERROR(INDEX(TableRBCalcPts[Custom],MATCH(TableRBRanks[[#This Row],[RK]],TableRBCalcPts[RK],0)),"")</f>
        <v>15.938611166570402</v>
      </c>
      <c r="M103" s="125">
        <f>(((VLOOKUP(TableRBRanks[[#This Row],[Player]],'OVR &amp; VORP Ranks'!$I:$M,5,FALSE)))/('OVR &amp; VORP Ranks'!$BM$6))*(Settings!$E$10*TEAMS)</f>
        <v>-40.114270507089856</v>
      </c>
      <c r="O103">
        <v>102</v>
      </c>
      <c r="P103" t="str">
        <f>IFERROR(INDEX(TableWRCalcPts[PLAYER],MATCH(TableWRRanks[[#This Row],[RK]],TableWRCalcPts[RK],0)),"")</f>
        <v>Michael Gallup</v>
      </c>
      <c r="Q103" t="str">
        <f>IFERROR(INDEX(TableWRCalcPts[TM],MATCH(TableWRRanks[[#This Row],[RK]],TableWRCalcPts[RK],0)),"")</f>
        <v>LV</v>
      </c>
      <c r="R103">
        <f>IFERROR(INDEX(TableWRCalcPts[BYE],MATCH(TableWRRanks[[#This Row],[RK]],TableWRCalcPts[RK],0)),"")</f>
        <v>13</v>
      </c>
      <c r="S103" s="57">
        <f>IFERROR(INDEX(TableWRCalcPts[Custom],MATCH(TableWRRanks[[#This Row],[RK]],TableWRCalcPts[RK],0)),"")</f>
        <v>48.195139829759995</v>
      </c>
      <c r="T103" s="125">
        <f>(((VLOOKUP(TableWRRanks[[#This Row],[Player]],'OVR &amp; VORP Ranks'!$P:$T,5,FALSE)))/('OVR &amp; VORP Ranks'!$BM$6))*(Settings!$E$10*TEAMS)</f>
        <v>-31.12741730831393</v>
      </c>
    </row>
    <row r="104" spans="8:27" x14ac:dyDescent="0.2">
      <c r="H104">
        <v>103</v>
      </c>
      <c r="I104" t="str">
        <f>IFERROR(INDEX(TableRBCalcPts[PLAYER],MATCH(TableRBRanks[[#This Row],[RK]],TableRBCalcPts[RK],0)),"")</f>
        <v>Ty Johnson</v>
      </c>
      <c r="J104" t="str">
        <f>IFERROR(INDEX(TableRBCalcPts[TM],MATCH(TableRBRanks[[#This Row],[RK]],TableRBCalcPts[RK],0)),"")</f>
        <v>BUF</v>
      </c>
      <c r="K104">
        <f>IFERROR(INDEX(TableRBCalcPts[BYE],MATCH(TableRBRanks[[#This Row],[RK]],TableRBCalcPts[RK],0)),"")</f>
        <v>13</v>
      </c>
      <c r="L104" s="57">
        <f>IFERROR(INDEX(TableRBCalcPts[Custom],MATCH(TableRBRanks[[#This Row],[RK]],TableRBCalcPts[RK],0)),"")</f>
        <v>15.235430730239997</v>
      </c>
      <c r="M104" s="125">
        <f>(((VLOOKUP(TableRBRanks[[#This Row],[Player]],'OVR &amp; VORP Ranks'!$I:$M,5,FALSE)))/('OVR &amp; VORP Ranks'!$BM$6))*(Settings!$E$10*TEAMS)</f>
        <v>-40.40573284926721</v>
      </c>
      <c r="O104">
        <v>103</v>
      </c>
      <c r="P104" t="str">
        <f>IFERROR(INDEX(TableWRCalcPts[PLAYER],MATCH(TableWRRanks[[#This Row],[RK]],TableWRCalcPts[RK],0)),"")</f>
        <v>Jamison Crowder</v>
      </c>
      <c r="Q104" t="str">
        <f>IFERROR(INDEX(TableWRCalcPts[TM],MATCH(TableWRRanks[[#This Row],[RK]],TableWRCalcPts[RK],0)),"")</f>
        <v>WSH</v>
      </c>
      <c r="R104">
        <f>IFERROR(INDEX(TableWRCalcPts[BYE],MATCH(TableWRRanks[[#This Row],[RK]],TableWRCalcPts[RK],0)),"")</f>
        <v>14</v>
      </c>
      <c r="S104" s="57">
        <f>IFERROR(INDEX(TableWRCalcPts[Custom],MATCH(TableWRRanks[[#This Row],[RK]],TableWRCalcPts[RK],0)),"")</f>
        <v>45.974796266700011</v>
      </c>
      <c r="T104" s="125">
        <f>(((VLOOKUP(TableWRRanks[[#This Row],[Player]],'OVR &amp; VORP Ranks'!$P:$T,5,FALSE)))/('OVR &amp; VORP Ranks'!$BM$6))*(Settings!$E$10*TEAMS)</f>
        <v>-31.845797268834833</v>
      </c>
    </row>
    <row r="105" spans="8:27" x14ac:dyDescent="0.2">
      <c r="H105">
        <v>104</v>
      </c>
      <c r="I105" t="str">
        <f>IFERROR(INDEX(TableRBCalcPts[PLAYER],MATCH(TableRBRanks[[#This Row],[RK]],TableRBCalcPts[RK],0)),"")</f>
        <v>Jordan Mason</v>
      </c>
      <c r="J105" t="str">
        <f>IFERROR(INDEX(TableRBCalcPts[TM],MATCH(TableRBRanks[[#This Row],[RK]],TableRBCalcPts[RK],0)),"")</f>
        <v>SF</v>
      </c>
      <c r="K105">
        <f>IFERROR(INDEX(TableRBCalcPts[BYE],MATCH(TableRBRanks[[#This Row],[RK]],TableRBCalcPts[RK],0)),"")</f>
        <v>9</v>
      </c>
      <c r="L105" s="57">
        <f>IFERROR(INDEX(TableRBCalcPts[Custom],MATCH(TableRBRanks[[#This Row],[RK]],TableRBCalcPts[RK],0)),"")</f>
        <v>14.324998254839997</v>
      </c>
      <c r="M105" s="125">
        <f>(((VLOOKUP(TableRBRanks[[#This Row],[Player]],'OVR &amp; VORP Ranks'!$I:$M,5,FALSE)))/('OVR &amp; VORP Ranks'!$BM$6))*(Settings!$E$10*TEAMS)</f>
        <v>-40.783099408352939</v>
      </c>
      <c r="O105">
        <v>104</v>
      </c>
      <c r="P105" t="str">
        <f>IFERROR(INDEX(TableWRCalcPts[PLAYER],MATCH(TableWRRanks[[#This Row],[RK]],TableWRCalcPts[RK],0)),"")</f>
        <v>A.T. Perry</v>
      </c>
      <c r="Q105" t="str">
        <f>IFERROR(INDEX(TableWRCalcPts[TM],MATCH(TableWRRanks[[#This Row],[RK]],TableWRCalcPts[RK],0)),"")</f>
        <v>NO</v>
      </c>
      <c r="R105">
        <f>IFERROR(INDEX(TableWRCalcPts[BYE],MATCH(TableWRRanks[[#This Row],[RK]],TableWRCalcPts[RK],0)),"")</f>
        <v>11</v>
      </c>
      <c r="S105" s="57">
        <f>IFERROR(INDEX(TableWRCalcPts[Custom],MATCH(TableWRRanks[[#This Row],[RK]],TableWRCalcPts[RK],0)),"")</f>
        <v>45.816955573996985</v>
      </c>
      <c r="T105" s="125">
        <f>(((VLOOKUP(TableWRRanks[[#This Row],[Player]],'OVR &amp; VORP Ranks'!$P:$T,5,FALSE)))/('OVR &amp; VORP Ranks'!$BM$6))*(Settings!$E$10*TEAMS)</f>
        <v>-31.896865757729557</v>
      </c>
    </row>
    <row r="106" spans="8:27" x14ac:dyDescent="0.2">
      <c r="H106">
        <v>105</v>
      </c>
      <c r="I106" t="str">
        <f>IFERROR(INDEX(TableRBCalcPts[PLAYER],MATCH(TableRBRanks[[#This Row],[RK]],TableRBCalcPts[RK],0)),"")</f>
        <v>Trayveon Williams</v>
      </c>
      <c r="J106" t="str">
        <f>IFERROR(INDEX(TableRBCalcPts[TM],MATCH(TableRBRanks[[#This Row],[RK]],TableRBCalcPts[RK],0)),"")</f>
        <v>CIN</v>
      </c>
      <c r="K106">
        <f>IFERROR(INDEX(TableRBCalcPts[BYE],MATCH(TableRBRanks[[#This Row],[RK]],TableRBCalcPts[RK],0)),"")</f>
        <v>7</v>
      </c>
      <c r="L106" s="57">
        <f>IFERROR(INDEX(TableRBCalcPts[Custom],MATCH(TableRBRanks[[#This Row],[RK]],TableRBCalcPts[RK],0)),"")</f>
        <v>14.0733526416</v>
      </c>
      <c r="M106" s="125">
        <f>(((VLOOKUP(TableRBRanks[[#This Row],[Player]],'OVR &amp; VORP Ranks'!$I:$M,5,FALSE)))/('OVR &amp; VORP Ranks'!$BM$6))*(Settings!$E$10*TEAMS)</f>
        <v>-40.887404386199513</v>
      </c>
      <c r="O106">
        <v>105</v>
      </c>
      <c r="P106" t="str">
        <f>IFERROR(INDEX(TableWRCalcPts[PLAYER],MATCH(TableWRRanks[[#This Row],[RK]],TableWRCalcPts[RK],0)),"")</f>
        <v>Devontez Walker</v>
      </c>
      <c r="Q106" t="str">
        <f>IFERROR(INDEX(TableWRCalcPts[TM],MATCH(TableWRRanks[[#This Row],[RK]],TableWRCalcPts[RK],0)),"")</f>
        <v>BAL</v>
      </c>
      <c r="R106">
        <f>IFERROR(INDEX(TableWRCalcPts[BYE],MATCH(TableWRRanks[[#This Row],[RK]],TableWRCalcPts[RK],0)),"")</f>
        <v>13</v>
      </c>
      <c r="S106" s="57">
        <f>IFERROR(INDEX(TableWRCalcPts[Custom],MATCH(TableWRRanks[[#This Row],[RK]],TableWRCalcPts[RK],0)),"")</f>
        <v>41.847989055196805</v>
      </c>
      <c r="T106" s="125">
        <f>(((VLOOKUP(TableWRRanks[[#This Row],[Player]],'OVR &amp; VORP Ranks'!$P:$T,5,FALSE)))/('OVR &amp; VORP Ranks'!$BM$6))*(Settings!$E$10*TEAMS)</f>
        <v>-33.181003068063205</v>
      </c>
    </row>
    <row r="107" spans="8:27" x14ac:dyDescent="0.2">
      <c r="H107">
        <v>106</v>
      </c>
      <c r="I107" t="str">
        <f>IFERROR(INDEX(TableRBCalcPts[PLAYER],MATCH(TableRBRanks[[#This Row],[RK]],TableRBCalcPts[RK],0)),"")</f>
        <v>Kene Nwangwu</v>
      </c>
      <c r="J107" t="str">
        <f>IFERROR(INDEX(TableRBCalcPts[TM],MATCH(TableRBRanks[[#This Row],[RK]],TableRBCalcPts[RK],0)),"")</f>
        <v>MIN</v>
      </c>
      <c r="K107">
        <f>IFERROR(INDEX(TableRBCalcPts[BYE],MATCH(TableRBRanks[[#This Row],[RK]],TableRBCalcPts[RK],0)),"")</f>
        <v>13</v>
      </c>
      <c r="L107" s="57">
        <f>IFERROR(INDEX(TableRBCalcPts[Custom],MATCH(TableRBRanks[[#This Row],[RK]],TableRBCalcPts[RK],0)),"")</f>
        <v>12.987665208000001</v>
      </c>
      <c r="M107" s="125">
        <f>(((VLOOKUP(TableRBRanks[[#This Row],[Player]],'OVR &amp; VORP Ranks'!$I:$M,5,FALSE)))/('OVR &amp; VORP Ranks'!$BM$6))*(Settings!$E$10*TEAMS)</f>
        <v>-41.337412642858254</v>
      </c>
      <c r="O107">
        <v>106</v>
      </c>
      <c r="P107" t="str">
        <f>IFERROR(INDEX(TableWRCalcPts[PLAYER],MATCH(TableWRRanks[[#This Row],[RK]],TableWRCalcPts[RK],0)),"")</f>
        <v>Allen Lazard</v>
      </c>
      <c r="Q107" t="str">
        <f>IFERROR(INDEX(TableWRCalcPts[TM],MATCH(TableWRRanks[[#This Row],[RK]],TableWRCalcPts[RK],0)),"")</f>
        <v>NYJ</v>
      </c>
      <c r="R107">
        <f>IFERROR(INDEX(TableWRCalcPts[BYE],MATCH(TableWRRanks[[#This Row],[RK]],TableWRCalcPts[RK],0)),"")</f>
        <v>7</v>
      </c>
      <c r="S107" s="57">
        <f>IFERROR(INDEX(TableWRCalcPts[Custom],MATCH(TableWRRanks[[#This Row],[RK]],TableWRCalcPts[RK],0)),"")</f>
        <v>41.839992226031995</v>
      </c>
      <c r="T107" s="125">
        <f>(((VLOOKUP(TableWRRanks[[#This Row],[Player]],'OVR &amp; VORP Ranks'!$P:$T,5,FALSE)))/('OVR &amp; VORP Ranks'!$BM$6))*(Settings!$E$10*TEAMS)</f>
        <v>-33.183590398202234</v>
      </c>
    </row>
    <row r="108" spans="8:27" x14ac:dyDescent="0.2">
      <c r="H108">
        <v>107</v>
      </c>
      <c r="I108" t="str">
        <f>IFERROR(INDEX(TableRBCalcPts[PLAYER],MATCH(TableRBRanks[[#This Row],[RK]],TableRBCalcPts[RK],0)),"")</f>
        <v>Jeff Wilson</v>
      </c>
      <c r="J108" t="str">
        <f>IFERROR(INDEX(TableRBCalcPts[TM],MATCH(TableRBRanks[[#This Row],[RK]],TableRBCalcPts[RK],0)),"")</f>
        <v>MIA</v>
      </c>
      <c r="K108">
        <f>IFERROR(INDEX(TableRBCalcPts[BYE],MATCH(TableRBRanks[[#This Row],[RK]],TableRBCalcPts[RK],0)),"")</f>
        <v>10</v>
      </c>
      <c r="L108" s="57">
        <f>IFERROR(INDEX(TableRBCalcPts[Custom],MATCH(TableRBRanks[[#This Row],[RK]],TableRBCalcPts[RK],0)),"")</f>
        <v>12.085693513600001</v>
      </c>
      <c r="M108" s="125">
        <f>(((VLOOKUP(TableRBRanks[[#This Row],[Player]],'OVR &amp; VORP Ranks'!$I:$M,5,FALSE)))/('OVR &amp; VORP Ranks'!$BM$6))*(Settings!$E$10*TEAMS)</f>
        <v>-41.711272279794983</v>
      </c>
      <c r="O108">
        <v>107</v>
      </c>
      <c r="P108" t="str">
        <f>IFERROR(INDEX(TableWRCalcPts[PLAYER],MATCH(TableWRRanks[[#This Row],[RK]],TableWRCalcPts[RK],0)),"")</f>
        <v>Cedric Tillman</v>
      </c>
      <c r="Q108" t="str">
        <f>IFERROR(INDEX(TableWRCalcPts[TM],MATCH(TableWRRanks[[#This Row],[RK]],TableWRCalcPts[RK],0)),"")</f>
        <v>CLE</v>
      </c>
      <c r="R108">
        <f>IFERROR(INDEX(TableWRCalcPts[BYE],MATCH(TableWRRanks[[#This Row],[RK]],TableWRCalcPts[RK],0)),"")</f>
        <v>5</v>
      </c>
      <c r="S108" s="57">
        <f>IFERROR(INDEX(TableWRCalcPts[Custom],MATCH(TableWRRanks[[#This Row],[RK]],TableWRCalcPts[RK],0)),"")</f>
        <v>40.104575279999999</v>
      </c>
      <c r="T108" s="125">
        <f>(((VLOOKUP(TableWRRanks[[#This Row],[Player]],'OVR &amp; VORP Ranks'!$P:$T,5,FALSE)))/('OVR &amp; VORP Ranks'!$BM$6))*(Settings!$E$10*TEAMS)</f>
        <v>-33.745075016132098</v>
      </c>
    </row>
    <row r="109" spans="8:27" x14ac:dyDescent="0.2">
      <c r="H109">
        <v>108</v>
      </c>
      <c r="I109" t="str">
        <f>IFERROR(INDEX(TableRBCalcPts[PLAYER],MATCH(TableRBRanks[[#This Row],[RK]],TableRBCalcPts[RK],0)),"")</f>
        <v>DeeJay Dallas</v>
      </c>
      <c r="J109" t="str">
        <f>IFERROR(INDEX(TableRBCalcPts[TM],MATCH(TableRBRanks[[#This Row],[RK]],TableRBCalcPts[RK],0)),"")</f>
        <v>ARI</v>
      </c>
      <c r="K109">
        <f>IFERROR(INDEX(TableRBCalcPts[BYE],MATCH(TableRBRanks[[#This Row],[RK]],TableRBCalcPts[RK],0)),"")</f>
        <v>14</v>
      </c>
      <c r="L109" s="57">
        <f>IFERROR(INDEX(TableRBCalcPts[Custom],MATCH(TableRBRanks[[#This Row],[RK]],TableRBCalcPts[RK],0)),"")</f>
        <v>10.875601878749999</v>
      </c>
      <c r="M109" s="125">
        <f>(((VLOOKUP(TableRBRanks[[#This Row],[Player]],'OVR &amp; VORP Ranks'!$I:$M,5,FALSE)))/('OVR &amp; VORP Ranks'!$BM$6))*(Settings!$E$10*TEAMS)</f>
        <v>-42.212845025452097</v>
      </c>
      <c r="O109">
        <v>108</v>
      </c>
      <c r="P109" t="str">
        <f>IFERROR(INDEX(TableWRCalcPts[PLAYER],MATCH(TableWRRanks[[#This Row],[RK]],TableWRCalcPts[RK],0)),"")</f>
        <v>Tre Tucker</v>
      </c>
      <c r="Q109" t="str">
        <f>IFERROR(INDEX(TableWRCalcPts[TM],MATCH(TableWRRanks[[#This Row],[RK]],TableWRCalcPts[RK],0)),"")</f>
        <v>LV</v>
      </c>
      <c r="R109">
        <f>IFERROR(INDEX(TableWRCalcPts[BYE],MATCH(TableWRRanks[[#This Row],[RK]],TableWRCalcPts[RK],0)),"")</f>
        <v>13</v>
      </c>
      <c r="S109" s="57">
        <f>IFERROR(INDEX(TableWRCalcPts[Custom],MATCH(TableWRRanks[[#This Row],[RK]],TableWRCalcPts[RK],0)),"")</f>
        <v>38.374922018159985</v>
      </c>
      <c r="T109" s="125">
        <f>(((VLOOKUP(TableWRRanks[[#This Row],[Player]],'OVR &amp; VORP Ranks'!$P:$T,5,FALSE)))/('OVR &amp; VORP Ranks'!$BM$6))*(Settings!$E$10*TEAMS)</f>
        <v>-34.304694825709255</v>
      </c>
    </row>
    <row r="110" spans="8:27" x14ac:dyDescent="0.2">
      <c r="H110">
        <v>109</v>
      </c>
      <c r="I110" t="str">
        <f>IFERROR(INDEX(TableRBCalcPts[PLAYER],MATCH(TableRBRanks[[#This Row],[RK]],TableRBCalcPts[RK],0)),"")</f>
        <v>Kellan Robinson</v>
      </c>
      <c r="J110" t="str">
        <f>IFERROR(INDEX(TableRBCalcPts[TM],MATCH(TableRBRanks[[#This Row],[RK]],TableRBCalcPts[RK],0)),"")</f>
        <v>JAX</v>
      </c>
      <c r="K110">
        <f>IFERROR(INDEX(TableRBCalcPts[BYE],MATCH(TableRBRanks[[#This Row],[RK]],TableRBCalcPts[RK],0)),"")</f>
        <v>9</v>
      </c>
      <c r="L110" s="57">
        <f>IFERROR(INDEX(TableRBCalcPts[Custom],MATCH(TableRBRanks[[#This Row],[RK]],TableRBCalcPts[RK],0)),"")</f>
        <v>4.9467571719999999</v>
      </c>
      <c r="M110" s="125">
        <f>(((VLOOKUP(TableRBRanks[[#This Row],[Player]],'OVR &amp; VORP Ranks'!$I:$M,5,FALSE)))/('OVR &amp; VORP Ranks'!$BM$6))*(Settings!$E$10*TEAMS)</f>
        <v>-44.670301000269944</v>
      </c>
      <c r="O110">
        <v>109</v>
      </c>
      <c r="P110" t="str">
        <f>IFERROR(INDEX(TableWRCalcPts[PLAYER],MATCH(TableWRRanks[[#This Row],[RK]],TableWRCalcPts[RK],0)),"")</f>
        <v>Jake Bobo</v>
      </c>
      <c r="Q110" t="str">
        <f>IFERROR(INDEX(TableWRCalcPts[TM],MATCH(TableWRRanks[[#This Row],[RK]],TableWRCalcPts[RK],0)),"")</f>
        <v>SEA</v>
      </c>
      <c r="R110">
        <f>IFERROR(INDEX(TableWRCalcPts[BYE],MATCH(TableWRRanks[[#This Row],[RK]],TableWRCalcPts[RK],0)),"")</f>
        <v>5</v>
      </c>
      <c r="S110" s="57">
        <f>IFERROR(INDEX(TableWRCalcPts[Custom],MATCH(TableWRRanks[[#This Row],[RK]],TableWRCalcPts[RK],0)),"")</f>
        <v>38.272134722472003</v>
      </c>
      <c r="T110" s="125">
        <f>(((VLOOKUP(TableWRRanks[[#This Row],[Player]],'OVR &amp; VORP Ranks'!$P:$T,5,FALSE)))/('OVR &amp; VORP Ranks'!$BM$6))*(Settings!$E$10*TEAMS)</f>
        <v>-34.337951090481468</v>
      </c>
    </row>
    <row r="111" spans="8:27" x14ac:dyDescent="0.2">
      <c r="H111">
        <v>110</v>
      </c>
      <c r="I111" t="str">
        <f>IFERROR(INDEX(TableRBCalcPts[PLAYER],MATCH(TableRBRanks[[#This Row],[RK]],TableRBCalcPts[RK],0)),"")</f>
        <v/>
      </c>
      <c r="J111" t="str">
        <f>IFERROR(INDEX(TableRBCalcPts[TM],MATCH(TableRBRanks[[#This Row],[RK]],TableRBCalcPts[RK],0)),"")</f>
        <v/>
      </c>
      <c r="K111" t="str">
        <f>IFERROR(INDEX(TableRBCalcPts[BYE],MATCH(TableRBRanks[[#This Row],[RK]],TableRBCalcPts[RK],0)),"")</f>
        <v/>
      </c>
      <c r="L111" s="57" t="str">
        <f>IFERROR(INDEX(TableRBCalcPts[Custom],MATCH(TableRBRanks[[#This Row],[RK]],TableRBCalcPts[RK],0)),"")</f>
        <v/>
      </c>
      <c r="M111" s="125" t="e">
        <f>(((VLOOKUP(TableRBRanks[[#This Row],[Player]],'OVR &amp; VORP Ranks'!$I:$M,5,FALSE)))/('OVR &amp; VORP Ranks'!$BM$6))*(Settings!$E$10*TEAMS)</f>
        <v>#VALUE!</v>
      </c>
      <c r="O111">
        <v>110</v>
      </c>
      <c r="P111" t="str">
        <f>IFERROR(INDEX(TableWRCalcPts[PLAYER],MATCH(TableWRRanks[[#This Row],[RK]],TableWRCalcPts[RK],0)),"")</f>
        <v>Justin Watson</v>
      </c>
      <c r="Q111" t="str">
        <f>IFERROR(INDEX(TableWRCalcPts[TM],MATCH(TableWRRanks[[#This Row],[RK]],TableWRCalcPts[RK],0)),"")</f>
        <v>KC</v>
      </c>
      <c r="R111">
        <f>IFERROR(INDEX(TableWRCalcPts[BYE],MATCH(TableWRRanks[[#This Row],[RK]],TableWRCalcPts[RK],0)),"")</f>
        <v>10</v>
      </c>
      <c r="S111" s="57">
        <f>IFERROR(INDEX(TableWRCalcPts[Custom],MATCH(TableWRRanks[[#This Row],[RK]],TableWRCalcPts[RK],0)),"")</f>
        <v>37.446326628479994</v>
      </c>
      <c r="T111" s="125">
        <f>(((VLOOKUP(TableWRRanks[[#This Row],[Player]],'OVR &amp; VORP Ranks'!$P:$T,5,FALSE)))/('OVR &amp; VORP Ranks'!$BM$6))*(Settings!$E$10*TEAMS)</f>
        <v>-34.605136762027826</v>
      </c>
    </row>
    <row r="112" spans="8:27" x14ac:dyDescent="0.2">
      <c r="H112">
        <v>111</v>
      </c>
      <c r="I112" t="str">
        <f>IFERROR(INDEX(TableRBCalcPts[PLAYER],MATCH(TableRBRanks[[#This Row],[RK]],TableRBCalcPts[RK],0)),"")</f>
        <v/>
      </c>
      <c r="J112" t="str">
        <f>IFERROR(INDEX(TableRBCalcPts[TM],MATCH(TableRBRanks[[#This Row],[RK]],TableRBCalcPts[RK],0)),"")</f>
        <v/>
      </c>
      <c r="K112" t="str">
        <f>IFERROR(INDEX(TableRBCalcPts[BYE],MATCH(TableRBRanks[[#This Row],[RK]],TableRBCalcPts[RK],0)),"")</f>
        <v/>
      </c>
      <c r="L112" s="57" t="str">
        <f>IFERROR(INDEX(TableRBCalcPts[Custom],MATCH(TableRBRanks[[#This Row],[RK]],TableRBCalcPts[RK],0)),"")</f>
        <v/>
      </c>
      <c r="M112" s="125" t="e">
        <f>(((VLOOKUP(TableRBRanks[[#This Row],[Player]],'OVR &amp; VORP Ranks'!$I:$M,5,FALSE)))/('OVR &amp; VORP Ranks'!$BM$6))*(Settings!$E$10*TEAMS)</f>
        <v>#VALUE!</v>
      </c>
      <c r="O112">
        <v>111</v>
      </c>
      <c r="P112" t="str">
        <f>IFERROR(INDEX(TableWRCalcPts[PLAYER],MATCH(TableWRRanks[[#This Row],[RK]],TableWRCalcPts[RK],0)),"")</f>
        <v>Derius Davis</v>
      </c>
      <c r="Q112" t="str">
        <f>IFERROR(INDEX(TableWRCalcPts[TM],MATCH(TableWRRanks[[#This Row],[RK]],TableWRCalcPts[RK],0)),"")</f>
        <v>LAC</v>
      </c>
      <c r="R112">
        <f>IFERROR(INDEX(TableWRCalcPts[BYE],MATCH(TableWRRanks[[#This Row],[RK]],TableWRCalcPts[RK],0)),"")</f>
        <v>5</v>
      </c>
      <c r="S112" s="57">
        <f>IFERROR(INDEX(TableWRCalcPts[Custom],MATCH(TableWRRanks[[#This Row],[RK]],TableWRCalcPts[RK],0)),"")</f>
        <v>37.035053368172989</v>
      </c>
      <c r="T112" s="125">
        <f>(((VLOOKUP(TableWRRanks[[#This Row],[Player]],'OVR &amp; VORP Ranks'!$P:$T,5,FALSE)))/('OVR &amp; VORP Ranks'!$BM$6))*(Settings!$E$10*TEAMS)</f>
        <v>-34.738201965727868</v>
      </c>
    </row>
    <row r="113" spans="8:20" x14ac:dyDescent="0.2">
      <c r="H113">
        <v>112</v>
      </c>
      <c r="I113" t="str">
        <f>IFERROR(INDEX(TableRBCalcPts[PLAYER],MATCH(TableRBRanks[[#This Row],[RK]],TableRBCalcPts[RK],0)),"")</f>
        <v/>
      </c>
      <c r="J113" t="str">
        <f>IFERROR(INDEX(TableRBCalcPts[TM],MATCH(TableRBRanks[[#This Row],[RK]],TableRBCalcPts[RK],0)),"")</f>
        <v/>
      </c>
      <c r="K113" t="str">
        <f>IFERROR(INDEX(TableRBCalcPts[BYE],MATCH(TableRBRanks[[#This Row],[RK]],TableRBCalcPts[RK],0)),"")</f>
        <v/>
      </c>
      <c r="L113" s="57" t="str">
        <f>IFERROR(INDEX(TableRBCalcPts[Custom],MATCH(TableRBRanks[[#This Row],[RK]],TableRBCalcPts[RK],0)),"")</f>
        <v/>
      </c>
      <c r="M113" s="125" t="e">
        <f>(((VLOOKUP(TableRBRanks[[#This Row],[Player]],'OVR &amp; VORP Ranks'!$I:$M,5,FALSE)))/('OVR &amp; VORP Ranks'!$BM$6))*(Settings!$E$10*TEAMS)</f>
        <v>#VALUE!</v>
      </c>
      <c r="O113">
        <v>112</v>
      </c>
      <c r="P113" t="str">
        <f>IFERROR(INDEX(TableWRCalcPts[PLAYER],MATCH(TableWRRanks[[#This Row],[RK]],TableWRCalcPts[RK],0)),"")</f>
        <v>Jalin Hyatt</v>
      </c>
      <c r="Q113" t="str">
        <f>IFERROR(INDEX(TableWRCalcPts[TM],MATCH(TableWRRanks[[#This Row],[RK]],TableWRCalcPts[RK],0)),"")</f>
        <v>NYG</v>
      </c>
      <c r="R113">
        <f>IFERROR(INDEX(TableWRCalcPts[BYE],MATCH(TableWRRanks[[#This Row],[RK]],TableWRCalcPts[RK],0)),"")</f>
        <v>13</v>
      </c>
      <c r="S113" s="57">
        <f>IFERROR(INDEX(TableWRCalcPts[Custom],MATCH(TableWRRanks[[#This Row],[RK]],TableWRCalcPts[RK],0)),"")</f>
        <v>36.976249981439992</v>
      </c>
      <c r="T113" s="125">
        <f>(((VLOOKUP(TableWRRanks[[#This Row],[Player]],'OVR &amp; VORP Ranks'!$P:$T,5,FALSE)))/('OVR &amp; VORP Ranks'!$BM$6))*(Settings!$E$10*TEAMS)</f>
        <v>-34.757227478419935</v>
      </c>
    </row>
    <row r="114" spans="8:20" x14ac:dyDescent="0.2">
      <c r="H114">
        <v>113</v>
      </c>
      <c r="I114" t="str">
        <f>IFERROR(INDEX(TableRBCalcPts[PLAYER],MATCH(TableRBRanks[[#This Row],[RK]],TableRBCalcPts[RK],0)),"")</f>
        <v/>
      </c>
      <c r="J114" t="str">
        <f>IFERROR(INDEX(TableRBCalcPts[TM],MATCH(TableRBRanks[[#This Row],[RK]],TableRBCalcPts[RK],0)),"")</f>
        <v/>
      </c>
      <c r="K114" t="str">
        <f>IFERROR(INDEX(TableRBCalcPts[BYE],MATCH(TableRBRanks[[#This Row],[RK]],TableRBCalcPts[RK],0)),"")</f>
        <v/>
      </c>
      <c r="L114" s="57" t="str">
        <f>IFERROR(INDEX(TableRBCalcPts[Custom],MATCH(TableRBRanks[[#This Row],[RK]],TableRBCalcPts[RK],0)),"")</f>
        <v/>
      </c>
      <c r="M114" s="125" t="e">
        <f>(((VLOOKUP(TableRBRanks[[#This Row],[Player]],'OVR &amp; VORP Ranks'!$I:$M,5,FALSE)))/('OVR &amp; VORP Ranks'!$BM$6))*(Settings!$E$10*TEAMS)</f>
        <v>#VALUE!</v>
      </c>
      <c r="O114">
        <v>113</v>
      </c>
      <c r="P114" t="str">
        <f>IFERROR(INDEX(TableWRCalcPts[PLAYER],MATCH(TableWRRanks[[#This Row],[RK]],TableWRCalcPts[RK],0)),"")</f>
        <v>Cornelius Johnson</v>
      </c>
      <c r="Q114" t="str">
        <f>IFERROR(INDEX(TableWRCalcPts[TM],MATCH(TableWRRanks[[#This Row],[RK]],TableWRCalcPts[RK],0)),"")</f>
        <v>LAC</v>
      </c>
      <c r="R114">
        <f>IFERROR(INDEX(TableWRCalcPts[BYE],MATCH(TableWRRanks[[#This Row],[RK]],TableWRCalcPts[RK],0)),"")</f>
        <v>5</v>
      </c>
      <c r="S114" s="57">
        <f>IFERROR(INDEX(TableWRCalcPts[Custom],MATCH(TableWRRanks[[#This Row],[RK]],TableWRCalcPts[RK],0)),"")</f>
        <v>36.689399458739992</v>
      </c>
      <c r="T114" s="125">
        <f>(((VLOOKUP(TableWRRanks[[#This Row],[Player]],'OVR &amp; VORP Ranks'!$P:$T,5,FALSE)))/('OVR &amp; VORP Ranks'!$BM$6))*(Settings!$E$10*TEAMS)</f>
        <v>-34.850036388987199</v>
      </c>
    </row>
    <row r="115" spans="8:20" x14ac:dyDescent="0.2">
      <c r="H115">
        <v>114</v>
      </c>
      <c r="I115" t="str">
        <f>IFERROR(INDEX(TableRBCalcPts[PLAYER],MATCH(TableRBRanks[[#This Row],[RK]],TableRBCalcPts[RK],0)),"")</f>
        <v/>
      </c>
      <c r="J115" t="str">
        <f>IFERROR(INDEX(TableRBCalcPts[TM],MATCH(TableRBRanks[[#This Row],[RK]],TableRBCalcPts[RK],0)),"")</f>
        <v/>
      </c>
      <c r="K115" t="str">
        <f>IFERROR(INDEX(TableRBCalcPts[BYE],MATCH(TableRBRanks[[#This Row],[RK]],TableRBCalcPts[RK],0)),"")</f>
        <v/>
      </c>
      <c r="L115" s="57" t="str">
        <f>IFERROR(INDEX(TableRBCalcPts[Custom],MATCH(TableRBRanks[[#This Row],[RK]],TableRBCalcPts[RK],0)),"")</f>
        <v/>
      </c>
      <c r="M115" s="125" t="e">
        <f>(((VLOOKUP(TableRBRanks[[#This Row],[Player]],'OVR &amp; VORP Ranks'!$I:$M,5,FALSE)))/('OVR &amp; VORP Ranks'!$BM$6))*(Settings!$E$10*TEAMS)</f>
        <v>#VALUE!</v>
      </c>
      <c r="O115">
        <v>114</v>
      </c>
      <c r="P115" t="str">
        <f>IFERROR(INDEX(TableWRCalcPts[PLAYER],MATCH(TableWRRanks[[#This Row],[RK]],TableWRCalcPts[RK],0)),"")</f>
        <v>Javon Baker</v>
      </c>
      <c r="Q115" t="str">
        <f>IFERROR(INDEX(TableWRCalcPts[TM],MATCH(TableWRRanks[[#This Row],[RK]],TableWRCalcPts[RK],0)),"")</f>
        <v>NE</v>
      </c>
      <c r="R115">
        <f>IFERROR(INDEX(TableWRCalcPts[BYE],MATCH(TableWRRanks[[#This Row],[RK]],TableWRCalcPts[RK],0)),"")</f>
        <v>11</v>
      </c>
      <c r="S115" s="57">
        <f>IFERROR(INDEX(TableWRCalcPts[Custom],MATCH(TableWRRanks[[#This Row],[RK]],TableWRCalcPts[RK],0)),"")</f>
        <v>36.585038966111988</v>
      </c>
      <c r="T115" s="125">
        <f>(((VLOOKUP(TableWRRanks[[#This Row],[Player]],'OVR &amp; VORP Ranks'!$P:$T,5,FALSE)))/('OVR &amp; VORP Ranks'!$BM$6))*(Settings!$E$10*TEAMS)</f>
        <v>-34.883801652985674</v>
      </c>
    </row>
    <row r="116" spans="8:20" x14ac:dyDescent="0.2">
      <c r="H116">
        <v>115</v>
      </c>
      <c r="I116" t="str">
        <f>IFERROR(INDEX(TableRBCalcPts[PLAYER],MATCH(TableRBRanks[[#This Row],[RK]],TableRBCalcPts[RK],0)),"")</f>
        <v/>
      </c>
      <c r="J116" t="str">
        <f>IFERROR(INDEX(TableRBCalcPts[TM],MATCH(TableRBRanks[[#This Row],[RK]],TableRBCalcPts[RK],0)),"")</f>
        <v/>
      </c>
      <c r="K116" t="str">
        <f>IFERROR(INDEX(TableRBCalcPts[BYE],MATCH(TableRBRanks[[#This Row],[RK]],TableRBCalcPts[RK],0)),"")</f>
        <v/>
      </c>
      <c r="L116" s="57" t="str">
        <f>IFERROR(INDEX(TableRBCalcPts[Custom],MATCH(TableRBRanks[[#This Row],[RK]],TableRBCalcPts[RK],0)),"")</f>
        <v/>
      </c>
      <c r="M116" s="125" t="e">
        <f>(((VLOOKUP(TableRBRanks[[#This Row],[Player]],'OVR &amp; VORP Ranks'!$I:$M,5,FALSE)))/('OVR &amp; VORP Ranks'!$BM$6))*(Settings!$E$10*TEAMS)</f>
        <v>#VALUE!</v>
      </c>
      <c r="O116">
        <v>115</v>
      </c>
      <c r="P116" t="str">
        <f>IFERROR(INDEX(TableWRCalcPts[PLAYER],MATCH(TableWRRanks[[#This Row],[RK]],TableWRCalcPts[RK],0)),"")</f>
        <v>Mack Hollins</v>
      </c>
      <c r="Q116" t="str">
        <f>IFERROR(INDEX(TableWRCalcPts[TM],MATCH(TableWRRanks[[#This Row],[RK]],TableWRCalcPts[RK],0)),"")</f>
        <v>BUF</v>
      </c>
      <c r="R116">
        <f>IFERROR(INDEX(TableWRCalcPts[BYE],MATCH(TableWRRanks[[#This Row],[RK]],TableWRCalcPts[RK],0)),"")</f>
        <v>13</v>
      </c>
      <c r="S116" s="57">
        <f>IFERROR(INDEX(TableWRCalcPts[Custom],MATCH(TableWRRanks[[#This Row],[RK]],TableWRCalcPts[RK],0)),"")</f>
        <v>35.190761181183994</v>
      </c>
      <c r="T116" s="125">
        <f>(((VLOOKUP(TableWRRanks[[#This Row],[Player]],'OVR &amp; VORP Ranks'!$P:$T,5,FALSE)))/('OVR &amp; VORP Ranks'!$BM$6))*(Settings!$E$10*TEAMS)</f>
        <v>-35.334912569672525</v>
      </c>
    </row>
    <row r="117" spans="8:20" x14ac:dyDescent="0.2">
      <c r="H117">
        <v>116</v>
      </c>
      <c r="I117" t="str">
        <f>IFERROR(INDEX(TableRBCalcPts[PLAYER],MATCH(TableRBRanks[[#This Row],[RK]],TableRBCalcPts[RK],0)),"")</f>
        <v/>
      </c>
      <c r="J117" t="str">
        <f>IFERROR(INDEX(TableRBCalcPts[TM],MATCH(TableRBRanks[[#This Row],[RK]],TableRBCalcPts[RK],0)),"")</f>
        <v/>
      </c>
      <c r="K117" t="str">
        <f>IFERROR(INDEX(TableRBCalcPts[BYE],MATCH(TableRBRanks[[#This Row],[RK]],TableRBCalcPts[RK],0)),"")</f>
        <v/>
      </c>
      <c r="L117" s="57" t="str">
        <f>IFERROR(INDEX(TableRBCalcPts[Custom],MATCH(TableRBRanks[[#This Row],[RK]],TableRBCalcPts[RK],0)),"")</f>
        <v/>
      </c>
      <c r="M117" s="125" t="e">
        <f>(((VLOOKUP(TableRBRanks[[#This Row],[Player]],'OVR &amp; VORP Ranks'!$I:$M,5,FALSE)))/('OVR &amp; VORP Ranks'!$BM$6))*(Settings!$E$10*TEAMS)</f>
        <v>#VALUE!</v>
      </c>
      <c r="O117">
        <v>116</v>
      </c>
      <c r="P117" t="str">
        <f>IFERROR(INDEX(TableWRCalcPts[PLAYER],MATCH(TableWRRanks[[#This Row],[RK]],TableWRCalcPts[RK],0)),"")</f>
        <v>K.J. Osborn</v>
      </c>
      <c r="Q117" t="str">
        <f>IFERROR(INDEX(TableWRCalcPts[TM],MATCH(TableWRRanks[[#This Row],[RK]],TableWRCalcPts[RK],0)),"")</f>
        <v>NE</v>
      </c>
      <c r="R117">
        <f>IFERROR(INDEX(TableWRCalcPts[BYE],MATCH(TableWRRanks[[#This Row],[RK]],TableWRCalcPts[RK],0)),"")</f>
        <v>11</v>
      </c>
      <c r="S117" s="57">
        <f>IFERROR(INDEX(TableWRCalcPts[Custom],MATCH(TableWRRanks[[#This Row],[RK]],TableWRCalcPts[RK],0)),"")</f>
        <v>34.604123150687997</v>
      </c>
      <c r="T117" s="125">
        <f>(((VLOOKUP(TableWRRanks[[#This Row],[Player]],'OVR &amp; VORP Ranks'!$P:$T,5,FALSE)))/('OVR &amp; VORP Ranks'!$BM$6))*(Settings!$E$10*TEAMS)</f>
        <v>-35.524716081254759</v>
      </c>
    </row>
    <row r="118" spans="8:20" x14ac:dyDescent="0.2">
      <c r="H118">
        <v>117</v>
      </c>
      <c r="I118" t="str">
        <f>IFERROR(INDEX(TableRBCalcPts[PLAYER],MATCH(TableRBRanks[[#This Row],[RK]],TableRBCalcPts[RK],0)),"")</f>
        <v/>
      </c>
      <c r="J118" t="str">
        <f>IFERROR(INDEX(TableRBCalcPts[TM],MATCH(TableRBRanks[[#This Row],[RK]],TableRBCalcPts[RK],0)),"")</f>
        <v/>
      </c>
      <c r="K118" t="str">
        <f>IFERROR(INDEX(TableRBCalcPts[BYE],MATCH(TableRBRanks[[#This Row],[RK]],TableRBCalcPts[RK],0)),"")</f>
        <v/>
      </c>
      <c r="L118" s="57" t="str">
        <f>IFERROR(INDEX(TableRBCalcPts[Custom],MATCH(TableRBRanks[[#This Row],[RK]],TableRBCalcPts[RK],0)),"")</f>
        <v/>
      </c>
      <c r="M118" s="125" t="e">
        <f>(((VLOOKUP(TableRBRanks[[#This Row],[Player]],'OVR &amp; VORP Ranks'!$I:$M,5,FALSE)))/('OVR &amp; VORP Ranks'!$BM$6))*(Settings!$E$10*TEAMS)</f>
        <v>#VALUE!</v>
      </c>
      <c r="O118">
        <v>117</v>
      </c>
      <c r="P118" t="str">
        <f>IFERROR(INDEX(TableWRCalcPts[PLAYER],MATCH(TableWRRanks[[#This Row],[RK]],TableWRCalcPts[RK],0)),"")</f>
        <v>Brenden Rice</v>
      </c>
      <c r="Q118" t="str">
        <f>IFERROR(INDEX(TableWRCalcPts[TM],MATCH(TableWRRanks[[#This Row],[RK]],TableWRCalcPts[RK],0)),"")</f>
        <v>LAC</v>
      </c>
      <c r="R118">
        <f>IFERROR(INDEX(TableWRCalcPts[BYE],MATCH(TableWRRanks[[#This Row],[RK]],TableWRCalcPts[RK],0)),"")</f>
        <v>5</v>
      </c>
      <c r="S118" s="57">
        <f>IFERROR(INDEX(TableWRCalcPts[Custom],MATCH(TableWRRanks[[#This Row],[RK]],TableWRCalcPts[RK],0)),"")</f>
        <v>33.838571310137993</v>
      </c>
      <c r="T118" s="125">
        <f>(((VLOOKUP(TableWRRanks[[#This Row],[Player]],'OVR &amp; VORP Ranks'!$P:$T,5,FALSE)))/('OVR &amp; VORP Ranks'!$BM$6))*(Settings!$E$10*TEAMS)</f>
        <v>-35.772406173067886</v>
      </c>
    </row>
    <row r="119" spans="8:20" x14ac:dyDescent="0.2">
      <c r="H119">
        <v>118</v>
      </c>
      <c r="I119" t="str">
        <f>IFERROR(INDEX(TableRBCalcPts[PLAYER],MATCH(TableRBRanks[[#This Row],[RK]],TableRBCalcPts[RK],0)),"")</f>
        <v/>
      </c>
      <c r="J119" t="str">
        <f>IFERROR(INDEX(TableRBCalcPts[TM],MATCH(TableRBRanks[[#This Row],[RK]],TableRBCalcPts[RK],0)),"")</f>
        <v/>
      </c>
      <c r="K119" t="str">
        <f>IFERROR(INDEX(TableRBCalcPts[BYE],MATCH(TableRBRanks[[#This Row],[RK]],TableRBCalcPts[RK],0)),"")</f>
        <v/>
      </c>
      <c r="L119" s="57" t="str">
        <f>IFERROR(INDEX(TableRBCalcPts[Custom],MATCH(TableRBRanks[[#This Row],[RK]],TableRBCalcPts[RK],0)),"")</f>
        <v/>
      </c>
      <c r="M119" s="125" t="e">
        <f>(((VLOOKUP(TableRBRanks[[#This Row],[Player]],'OVR &amp; VORP Ranks'!$I:$M,5,FALSE)))/('OVR &amp; VORP Ranks'!$BM$6))*(Settings!$E$10*TEAMS)</f>
        <v>#VALUE!</v>
      </c>
      <c r="O119">
        <v>118</v>
      </c>
      <c r="P119" t="str">
        <f>IFERROR(INDEX(TableWRCalcPts[PLAYER],MATCH(TableWRRanks[[#This Row],[RK]],TableWRCalcPts[RK],0)),"")</f>
        <v>KaVontae Turpin</v>
      </c>
      <c r="Q119" t="str">
        <f>IFERROR(INDEX(TableWRCalcPts[TM],MATCH(TableWRRanks[[#This Row],[RK]],TableWRCalcPts[RK],0)),"")</f>
        <v>DAL</v>
      </c>
      <c r="R119">
        <f>IFERROR(INDEX(TableWRCalcPts[BYE],MATCH(TableWRRanks[[#This Row],[RK]],TableWRCalcPts[RK],0)),"")</f>
        <v>7</v>
      </c>
      <c r="S119" s="57">
        <f>IFERROR(INDEX(TableWRCalcPts[Custom],MATCH(TableWRRanks[[#This Row],[RK]],TableWRCalcPts[RK],0)),"")</f>
        <v>33.663409307035188</v>
      </c>
      <c r="T119" s="125">
        <f>(((VLOOKUP(TableWRRanks[[#This Row],[Player]],'OVR &amp; VORP Ranks'!$P:$T,5,FALSE)))/('OVR &amp; VORP Ranks'!$BM$6))*(Settings!$E$10*TEAMS)</f>
        <v>-35.829078876773409</v>
      </c>
    </row>
    <row r="120" spans="8:20" x14ac:dyDescent="0.2">
      <c r="H120">
        <v>119</v>
      </c>
      <c r="I120" t="str">
        <f>IFERROR(INDEX(TableRBCalcPts[PLAYER],MATCH(TableRBRanks[[#This Row],[RK]],TableRBCalcPts[RK],0)),"")</f>
        <v/>
      </c>
      <c r="J120" t="str">
        <f>IFERROR(INDEX(TableRBCalcPts[TM],MATCH(TableRBRanks[[#This Row],[RK]],TableRBCalcPts[RK],0)),"")</f>
        <v/>
      </c>
      <c r="K120" t="str">
        <f>IFERROR(INDEX(TableRBCalcPts[BYE],MATCH(TableRBRanks[[#This Row],[RK]],TableRBCalcPts[RK],0)),"")</f>
        <v/>
      </c>
      <c r="L120" s="57" t="str">
        <f>IFERROR(INDEX(TableRBCalcPts[Custom],MATCH(TableRBRanks[[#This Row],[RK]],TableRBCalcPts[RK],0)),"")</f>
        <v/>
      </c>
      <c r="M120" s="125" t="e">
        <f>(((VLOOKUP(TableRBRanks[[#This Row],[Player]],'OVR &amp; VORP Ranks'!$I:$M,5,FALSE)))/('OVR &amp; VORP Ranks'!$BM$6))*(Settings!$E$10*TEAMS)</f>
        <v>#VALUE!</v>
      </c>
      <c r="O120">
        <v>119</v>
      </c>
      <c r="P120" t="str">
        <f>IFERROR(INDEX(TableWRCalcPts[PLAYER],MATCH(TableWRRanks[[#This Row],[RK]],TableWRCalcPts[RK],0)),"")</f>
        <v>Alec Pierce</v>
      </c>
      <c r="Q120" t="str">
        <f>IFERROR(INDEX(TableWRCalcPts[TM],MATCH(TableWRRanks[[#This Row],[RK]],TableWRCalcPts[RK],0)),"")</f>
        <v>IND</v>
      </c>
      <c r="R120">
        <f>IFERROR(INDEX(TableWRCalcPts[BYE],MATCH(TableWRRanks[[#This Row],[RK]],TableWRCalcPts[RK],0)),"")</f>
        <v>11</v>
      </c>
      <c r="S120" s="57">
        <f>IFERROR(INDEX(TableWRCalcPts[Custom],MATCH(TableWRRanks[[#This Row],[RK]],TableWRCalcPts[RK],0)),"")</f>
        <v>32.196362429000004</v>
      </c>
      <c r="T120" s="125">
        <f>(((VLOOKUP(TableWRRanks[[#This Row],[Player]],'OVR &amp; VORP Ranks'!$P:$T,5,FALSE)))/('OVR &amp; VORP Ranks'!$BM$6))*(Settings!$E$10*TEAMS)</f>
        <v>-36.303733833717459</v>
      </c>
    </row>
    <row r="121" spans="8:20" x14ac:dyDescent="0.2">
      <c r="H121">
        <v>120</v>
      </c>
      <c r="I121" t="str">
        <f>IFERROR(INDEX(TableRBCalcPts[PLAYER],MATCH(TableRBRanks[[#This Row],[RK]],TableRBCalcPts[RK],0)),"")</f>
        <v/>
      </c>
      <c r="J121" t="str">
        <f>IFERROR(INDEX(TableRBCalcPts[TM],MATCH(TableRBRanks[[#This Row],[RK]],TableRBCalcPts[RK],0)),"")</f>
        <v/>
      </c>
      <c r="K121" t="str">
        <f>IFERROR(INDEX(TableRBCalcPts[BYE],MATCH(TableRBRanks[[#This Row],[RK]],TableRBCalcPts[RK],0)),"")</f>
        <v/>
      </c>
      <c r="L121" s="57" t="str">
        <f>IFERROR(INDEX(TableRBCalcPts[Custom],MATCH(TableRBRanks[[#This Row],[RK]],TableRBCalcPts[RK],0)),"")</f>
        <v/>
      </c>
      <c r="M121" s="125" t="e">
        <f>(((VLOOKUP(TableRBRanks[[#This Row],[Player]],'OVR &amp; VORP Ranks'!$I:$M,5,FALSE)))/('OVR &amp; VORP Ranks'!$BM$6))*(Settings!$E$10*TEAMS)</f>
        <v>#VALUE!</v>
      </c>
      <c r="O121">
        <v>120</v>
      </c>
      <c r="P121" t="str">
        <f>IFERROR(INDEX(TableWRCalcPts[PLAYER],MATCH(TableWRRanks[[#This Row],[RK]],TableWRCalcPts[RK],0)),"")</f>
        <v>Treylon Burks</v>
      </c>
      <c r="Q121" t="str">
        <f>IFERROR(INDEX(TableWRCalcPts[TM],MATCH(TableWRRanks[[#This Row],[RK]],TableWRCalcPts[RK],0)),"")</f>
        <v>TEN</v>
      </c>
      <c r="R121">
        <f>IFERROR(INDEX(TableWRCalcPts[BYE],MATCH(TableWRRanks[[#This Row],[RK]],TableWRCalcPts[RK],0)),"")</f>
        <v>7</v>
      </c>
      <c r="S121" s="57">
        <f>IFERROR(INDEX(TableWRCalcPts[Custom],MATCH(TableWRRanks[[#This Row],[RK]],TableWRCalcPts[RK],0)),"")</f>
        <v>31.770527688899989</v>
      </c>
      <c r="T121" s="125">
        <f>(((VLOOKUP(TableWRRanks[[#This Row],[Player]],'OVR &amp; VORP Ranks'!$P:$T,5,FALSE)))/('OVR &amp; VORP Ranks'!$BM$6))*(Settings!$E$10*TEAMS)</f>
        <v>-36.441510324198909</v>
      </c>
    </row>
    <row r="122" spans="8:20" x14ac:dyDescent="0.2">
      <c r="H122">
        <v>121</v>
      </c>
      <c r="I122" t="str">
        <f>IFERROR(INDEX(TableRBCalcPts[PLAYER],MATCH(TableRBRanks[[#This Row],[RK]],TableRBCalcPts[RK],0)),"")</f>
        <v/>
      </c>
      <c r="J122" t="str">
        <f>IFERROR(INDEX(TableRBCalcPts[TM],MATCH(TableRBRanks[[#This Row],[RK]],TableRBCalcPts[RK],0)),"")</f>
        <v/>
      </c>
      <c r="K122" t="str">
        <f>IFERROR(INDEX(TableRBCalcPts[BYE],MATCH(TableRBRanks[[#This Row],[RK]],TableRBCalcPts[RK],0)),"")</f>
        <v/>
      </c>
      <c r="L122" s="57" t="str">
        <f>IFERROR(INDEX(TableRBCalcPts[Custom],MATCH(TableRBRanks[[#This Row],[RK]],TableRBCalcPts[RK],0)),"")</f>
        <v/>
      </c>
      <c r="M122" s="125" t="e">
        <f>(((VLOOKUP(TableRBRanks[[#This Row],[Player]],'OVR &amp; VORP Ranks'!$I:$M,5,FALSE)))/('OVR &amp; VORP Ranks'!$BM$6))*(Settings!$E$10*TEAMS)</f>
        <v>#VALUE!</v>
      </c>
      <c r="O122">
        <v>121</v>
      </c>
      <c r="P122" t="str">
        <f>IFERROR(INDEX(TableWRCalcPts[PLAYER],MATCH(TableWRRanks[[#This Row],[RK]],TableWRCalcPts[RK],0)),"")</f>
        <v>Parker Washington</v>
      </c>
      <c r="Q122" t="str">
        <f>IFERROR(INDEX(TableWRCalcPts[TM],MATCH(TableWRRanks[[#This Row],[RK]],TableWRCalcPts[RK],0)),"")</f>
        <v>JAX</v>
      </c>
      <c r="R122">
        <f>IFERROR(INDEX(TableWRCalcPts[BYE],MATCH(TableWRRanks[[#This Row],[RK]],TableWRCalcPts[RK],0)),"")</f>
        <v>9</v>
      </c>
      <c r="S122" s="57">
        <f>IFERROR(INDEX(TableWRCalcPts[Custom],MATCH(TableWRRanks[[#This Row],[RK]],TableWRCalcPts[RK],0)),"")</f>
        <v>30.994095000959987</v>
      </c>
      <c r="T122" s="125">
        <f>(((VLOOKUP(TableWRRanks[[#This Row],[Player]],'OVR &amp; VORP Ranks'!$P:$T,5,FALSE)))/('OVR &amp; VORP Ranks'!$BM$6))*(Settings!$E$10*TEAMS)</f>
        <v>-36.692720854402069</v>
      </c>
    </row>
    <row r="123" spans="8:20" x14ac:dyDescent="0.2">
      <c r="H123">
        <v>122</v>
      </c>
      <c r="I123" t="str">
        <f>IFERROR(INDEX(TableRBCalcPts[PLAYER],MATCH(TableRBRanks[[#This Row],[RK]],TableRBCalcPts[RK],0)),"")</f>
        <v/>
      </c>
      <c r="J123" t="str">
        <f>IFERROR(INDEX(TableRBCalcPts[TM],MATCH(TableRBRanks[[#This Row],[RK]],TableRBCalcPts[RK],0)),"")</f>
        <v/>
      </c>
      <c r="K123" t="str">
        <f>IFERROR(INDEX(TableRBCalcPts[BYE],MATCH(TableRBRanks[[#This Row],[RK]],TableRBCalcPts[RK],0)),"")</f>
        <v/>
      </c>
      <c r="L123" s="57" t="str">
        <f>IFERROR(INDEX(TableRBCalcPts[Custom],MATCH(TableRBRanks[[#This Row],[RK]],TableRBCalcPts[RK],0)),"")</f>
        <v/>
      </c>
      <c r="M123" s="125" t="e">
        <f>(((VLOOKUP(TableRBRanks[[#This Row],[Player]],'OVR &amp; VORP Ranks'!$I:$M,5,FALSE)))/('OVR &amp; VORP Ranks'!$BM$6))*(Settings!$E$10*TEAMS)</f>
        <v>#VALUE!</v>
      </c>
      <c r="O123">
        <v>122</v>
      </c>
      <c r="P123" t="str">
        <f>IFERROR(INDEX(TableWRCalcPts[PLAYER],MATCH(TableWRRanks[[#This Row],[RK]],TableWRCalcPts[RK],0)),"")</f>
        <v>Calvin Austin</v>
      </c>
      <c r="Q123" t="str">
        <f>IFERROR(INDEX(TableWRCalcPts[TM],MATCH(TableWRRanks[[#This Row],[RK]],TableWRCalcPts[RK],0)),"")</f>
        <v>PIT</v>
      </c>
      <c r="R123">
        <f>IFERROR(INDEX(TableWRCalcPts[BYE],MATCH(TableWRRanks[[#This Row],[RK]],TableWRCalcPts[RK],0)),"")</f>
        <v>6</v>
      </c>
      <c r="S123" s="57">
        <f>IFERROR(INDEX(TableWRCalcPts[Custom],MATCH(TableWRRanks[[#This Row],[RK]],TableWRCalcPts[RK],0)),"")</f>
        <v>30.921326519999997</v>
      </c>
      <c r="T123" s="125">
        <f>(((VLOOKUP(TableWRRanks[[#This Row],[Player]],'OVR &amp; VORP Ranks'!$P:$T,5,FALSE)))/('OVR &amp; VORP Ranks'!$BM$6))*(Settings!$E$10*TEAMS)</f>
        <v>-36.716264696602401</v>
      </c>
    </row>
    <row r="124" spans="8:20" x14ac:dyDescent="0.2">
      <c r="H124">
        <v>123</v>
      </c>
      <c r="I124" t="str">
        <f>IFERROR(INDEX(TableRBCalcPts[PLAYER],MATCH(TableRBRanks[[#This Row],[RK]],TableRBCalcPts[RK],0)),"")</f>
        <v/>
      </c>
      <c r="J124" t="str">
        <f>IFERROR(INDEX(TableRBCalcPts[TM],MATCH(TableRBRanks[[#This Row],[RK]],TableRBCalcPts[RK],0)),"")</f>
        <v/>
      </c>
      <c r="K124" t="str">
        <f>IFERROR(INDEX(TableRBCalcPts[BYE],MATCH(TableRBRanks[[#This Row],[RK]],TableRBCalcPts[RK],0)),"")</f>
        <v/>
      </c>
      <c r="L124" s="57" t="str">
        <f>IFERROR(INDEX(TableRBCalcPts[Custom],MATCH(TableRBRanks[[#This Row],[RK]],TableRBCalcPts[RK],0)),"")</f>
        <v/>
      </c>
      <c r="M124" s="125" t="e">
        <f>(((VLOOKUP(TableRBRanks[[#This Row],[Player]],'OVR &amp; VORP Ranks'!$I:$M,5,FALSE)))/('OVR &amp; VORP Ranks'!$BM$6))*(Settings!$E$10*TEAMS)</f>
        <v>#VALUE!</v>
      </c>
      <c r="O124">
        <v>123</v>
      </c>
      <c r="P124" t="str">
        <f>IFERROR(INDEX(TableWRCalcPts[PLAYER],MATCH(TableWRRanks[[#This Row],[RK]],TableWRCalcPts[RK],0)),"")</f>
        <v>Noah Brown</v>
      </c>
      <c r="Q124" t="str">
        <f>IFERROR(INDEX(TableWRCalcPts[TM],MATCH(TableWRRanks[[#This Row],[RK]],TableWRCalcPts[RK],0)),"")</f>
        <v>HOU</v>
      </c>
      <c r="R124">
        <f>IFERROR(INDEX(TableWRCalcPts[BYE],MATCH(TableWRRanks[[#This Row],[RK]],TableWRCalcPts[RK],0)),"")</f>
        <v>7</v>
      </c>
      <c r="S124" s="57">
        <f>IFERROR(INDEX(TableWRCalcPts[Custom],MATCH(TableWRRanks[[#This Row],[RK]],TableWRCalcPts[RK],0)),"")</f>
        <v>30.799941070080006</v>
      </c>
      <c r="T124" s="125">
        <f>(((VLOOKUP(TableWRRanks[[#This Row],[Player]],'OVR &amp; VORP Ranks'!$P:$T,5,FALSE)))/('OVR &amp; VORP Ranks'!$BM$6))*(Settings!$E$10*TEAMS)</f>
        <v>-36.755538291991918</v>
      </c>
    </row>
    <row r="125" spans="8:20" x14ac:dyDescent="0.2">
      <c r="H125">
        <v>124</v>
      </c>
      <c r="I125" t="str">
        <f>IFERROR(INDEX(TableRBCalcPts[PLAYER],MATCH(TableRBRanks[[#This Row],[RK]],TableRBCalcPts[RK],0)),"")</f>
        <v/>
      </c>
      <c r="J125" t="str">
        <f>IFERROR(INDEX(TableRBCalcPts[TM],MATCH(TableRBRanks[[#This Row],[RK]],TableRBCalcPts[RK],0)),"")</f>
        <v/>
      </c>
      <c r="K125" t="str">
        <f>IFERROR(INDEX(TableRBCalcPts[BYE],MATCH(TableRBRanks[[#This Row],[RK]],TableRBCalcPts[RK],0)),"")</f>
        <v/>
      </c>
      <c r="L125" s="57" t="str">
        <f>IFERROR(INDEX(TableRBCalcPts[Custom],MATCH(TableRBRanks[[#This Row],[RK]],TableRBCalcPts[RK],0)),"")</f>
        <v/>
      </c>
      <c r="M125" s="125" t="e">
        <f>(((VLOOKUP(TableRBRanks[[#This Row],[Player]],'OVR &amp; VORP Ranks'!$I:$M,5,FALSE)))/('OVR &amp; VORP Ranks'!$BM$6))*(Settings!$E$10*TEAMS)</f>
        <v>#VALUE!</v>
      </c>
      <c r="O125">
        <v>124</v>
      </c>
      <c r="P125" t="str">
        <f>IFERROR(INDEX(TableWRCalcPts[PLAYER],MATCH(TableWRRanks[[#This Row],[RK]],TableWRCalcPts[RK],0)),"")</f>
        <v>Donovan Peoples-Jones</v>
      </c>
      <c r="Q125" t="str">
        <f>IFERROR(INDEX(TableWRCalcPts[TM],MATCH(TableWRRanks[[#This Row],[RK]],TableWRCalcPts[RK],0)),"")</f>
        <v>DET</v>
      </c>
      <c r="R125">
        <f>IFERROR(INDEX(TableWRCalcPts[BYE],MATCH(TableWRRanks[[#This Row],[RK]],TableWRCalcPts[RK],0)),"")</f>
        <v>9</v>
      </c>
      <c r="S125" s="57">
        <f>IFERROR(INDEX(TableWRCalcPts[Custom],MATCH(TableWRRanks[[#This Row],[RK]],TableWRCalcPts[RK],0)),"")</f>
        <v>30.736910793455994</v>
      </c>
      <c r="T125" s="125">
        <f>(((VLOOKUP(TableWRRanks[[#This Row],[Player]],'OVR &amp; VORP Ranks'!$P:$T,5,FALSE)))/('OVR &amp; VORP Ranks'!$BM$6))*(Settings!$E$10*TEAMS)</f>
        <v>-36.775931391684281</v>
      </c>
    </row>
    <row r="126" spans="8:20" x14ac:dyDescent="0.2">
      <c r="H126">
        <v>125</v>
      </c>
      <c r="I126" t="str">
        <f>IFERROR(INDEX(TableRBCalcPts[PLAYER],MATCH(TableRBRanks[[#This Row],[RK]],TableRBCalcPts[RK],0)),"")</f>
        <v/>
      </c>
      <c r="J126" t="str">
        <f>IFERROR(INDEX(TableRBCalcPts[TM],MATCH(TableRBRanks[[#This Row],[RK]],TableRBCalcPts[RK],0)),"")</f>
        <v/>
      </c>
      <c r="K126" t="str">
        <f>IFERROR(INDEX(TableRBCalcPts[BYE],MATCH(TableRBRanks[[#This Row],[RK]],TableRBCalcPts[RK],0)),"")</f>
        <v/>
      </c>
      <c r="L126" s="57" t="str">
        <f>IFERROR(INDEX(TableRBCalcPts[Custom],MATCH(TableRBRanks[[#This Row],[RK]],TableRBCalcPts[RK],0)),"")</f>
        <v/>
      </c>
      <c r="M126" s="125" t="e">
        <f>(((VLOOKUP(TableRBRanks[[#This Row],[Player]],'OVR &amp; VORP Ranks'!$I:$M,5,FALSE)))/('OVR &amp; VORP Ranks'!$BM$6))*(Settings!$E$10*TEAMS)</f>
        <v>#VALUE!</v>
      </c>
      <c r="O126">
        <v>125</v>
      </c>
      <c r="P126" t="str">
        <f>IFERROR(INDEX(TableWRCalcPts[PLAYER],MATCH(TableWRRanks[[#This Row],[RK]],TableWRCalcPts[RK],0)),"")</f>
        <v>Jonathan Mingo</v>
      </c>
      <c r="Q126" t="str">
        <f>IFERROR(INDEX(TableWRCalcPts[TM],MATCH(TableWRRanks[[#This Row],[RK]],TableWRCalcPts[RK],0)),"")</f>
        <v>CAR</v>
      </c>
      <c r="R126">
        <f>IFERROR(INDEX(TableWRCalcPts[BYE],MATCH(TableWRRanks[[#This Row],[RK]],TableWRCalcPts[RK],0)),"")</f>
        <v>7</v>
      </c>
      <c r="S126" s="57">
        <f>IFERROR(INDEX(TableWRCalcPts[Custom],MATCH(TableWRRanks[[#This Row],[RK]],TableWRCalcPts[RK],0)),"")</f>
        <v>29.630162097535994</v>
      </c>
      <c r="T126" s="125">
        <f>(((VLOOKUP(TableWRRanks[[#This Row],[Player]],'OVR &amp; VORP Ranks'!$P:$T,5,FALSE)))/('OVR &amp; VORP Ranks'!$BM$6))*(Settings!$E$10*TEAMS)</f>
        <v>-37.134013851403196</v>
      </c>
    </row>
    <row r="127" spans="8:20" x14ac:dyDescent="0.2">
      <c r="H127">
        <v>126</v>
      </c>
      <c r="I127" t="str">
        <f>IFERROR(INDEX(TableRBCalcPts[PLAYER],MATCH(TableRBRanks[[#This Row],[RK]],TableRBCalcPts[RK],0)),"")</f>
        <v/>
      </c>
      <c r="J127" t="str">
        <f>IFERROR(INDEX(TableRBCalcPts[TM],MATCH(TableRBRanks[[#This Row],[RK]],TableRBCalcPts[RK],0)),"")</f>
        <v/>
      </c>
      <c r="K127" t="str">
        <f>IFERROR(INDEX(TableRBCalcPts[BYE],MATCH(TableRBRanks[[#This Row],[RK]],TableRBCalcPts[RK],0)),"")</f>
        <v/>
      </c>
      <c r="L127" s="57" t="str">
        <f>IFERROR(INDEX(TableRBCalcPts[Custom],MATCH(TableRBRanks[[#This Row],[RK]],TableRBCalcPts[RK],0)),"")</f>
        <v/>
      </c>
      <c r="M127" s="125" t="e">
        <f>(((VLOOKUP(TableRBRanks[[#This Row],[Player]],'OVR &amp; VORP Ranks'!$I:$M,5,FALSE)))/('OVR &amp; VORP Ranks'!$BM$6))*(Settings!$E$10*TEAMS)</f>
        <v>#VALUE!</v>
      </c>
      <c r="O127">
        <v>126</v>
      </c>
      <c r="P127" t="str">
        <f>IFERROR(INDEX(TableWRCalcPts[PLAYER],MATCH(TableWRRanks[[#This Row],[RK]],TableWRCalcPts[RK],0)),"")</f>
        <v>Jauan Jennings</v>
      </c>
      <c r="Q127" t="str">
        <f>IFERROR(INDEX(TableWRCalcPts[TM],MATCH(TableWRRanks[[#This Row],[RK]],TableWRCalcPts[RK],0)),"")</f>
        <v>SF</v>
      </c>
      <c r="R127">
        <f>IFERROR(INDEX(TableWRCalcPts[BYE],MATCH(TableWRRanks[[#This Row],[RK]],TableWRCalcPts[RK],0)),"")</f>
        <v>9</v>
      </c>
      <c r="S127" s="57">
        <f>IFERROR(INDEX(TableWRCalcPts[Custom],MATCH(TableWRRanks[[#This Row],[RK]],TableWRCalcPts[RK],0)),"")</f>
        <v>29.207740994611196</v>
      </c>
      <c r="T127" s="125">
        <f>(((VLOOKUP(TableWRRanks[[#This Row],[Player]],'OVR &amp; VORP Ranks'!$P:$T,5,FALSE)))/('OVR &amp; VORP Ranks'!$BM$6))*(Settings!$E$10*TEAMS)</f>
        <v>-37.270685878332266</v>
      </c>
    </row>
    <row r="128" spans="8:20" x14ac:dyDescent="0.2">
      <c r="H128">
        <v>127</v>
      </c>
      <c r="I128" t="str">
        <f>IFERROR(INDEX(TableRBCalcPts[PLAYER],MATCH(TableRBRanks[[#This Row],[RK]],TableRBCalcPts[RK],0)),"")</f>
        <v/>
      </c>
      <c r="J128" t="str">
        <f>IFERROR(INDEX(TableRBCalcPts[TM],MATCH(TableRBRanks[[#This Row],[RK]],TableRBCalcPts[RK],0)),"")</f>
        <v/>
      </c>
      <c r="K128" t="str">
        <f>IFERROR(INDEX(TableRBCalcPts[BYE],MATCH(TableRBRanks[[#This Row],[RK]],TableRBCalcPts[RK],0)),"")</f>
        <v/>
      </c>
      <c r="L128" s="57" t="str">
        <f>IFERROR(INDEX(TableRBCalcPts[Custom],MATCH(TableRBRanks[[#This Row],[RK]],TableRBCalcPts[RK],0)),"")</f>
        <v/>
      </c>
      <c r="M128" s="125" t="e">
        <f>(((VLOOKUP(TableRBRanks[[#This Row],[Player]],'OVR &amp; VORP Ranks'!$I:$M,5,FALSE)))/('OVR &amp; VORP Ranks'!$BM$6))*(Settings!$E$10*TEAMS)</f>
        <v>#VALUE!</v>
      </c>
      <c r="O128">
        <v>127</v>
      </c>
      <c r="P128" t="str">
        <f>IFERROR(INDEX(TableWRCalcPts[PLAYER],MATCH(TableWRRanks[[#This Row],[RK]],TableWRCalcPts[RK],0)),"")</f>
        <v>Skyy Moore</v>
      </c>
      <c r="Q128" t="str">
        <f>IFERROR(INDEX(TableWRCalcPts[TM],MATCH(TableWRRanks[[#This Row],[RK]],TableWRCalcPts[RK],0)),"")</f>
        <v>KC</v>
      </c>
      <c r="R128">
        <f>IFERROR(INDEX(TableWRCalcPts[BYE],MATCH(TableWRRanks[[#This Row],[RK]],TableWRCalcPts[RK],0)),"")</f>
        <v>10</v>
      </c>
      <c r="S128" s="57">
        <f>IFERROR(INDEX(TableWRCalcPts[Custom],MATCH(TableWRRanks[[#This Row],[RK]],TableWRCalcPts[RK],0)),"")</f>
        <v>29.163992088000001</v>
      </c>
      <c r="T128" s="125">
        <f>(((VLOOKUP(TableWRRanks[[#This Row],[Player]],'OVR &amp; VORP Ranks'!$P:$T,5,FALSE)))/('OVR &amp; VORP Ranks'!$BM$6))*(Settings!$E$10*TEAMS)</f>
        <v>-37.284840596695254</v>
      </c>
    </row>
    <row r="129" spans="8:20" x14ac:dyDescent="0.2">
      <c r="H129">
        <v>128</v>
      </c>
      <c r="I129" t="str">
        <f>IFERROR(INDEX(TableRBCalcPts[PLAYER],MATCH(TableRBRanks[[#This Row],[RK]],TableRBCalcPts[RK],0)),"")</f>
        <v/>
      </c>
      <c r="J129" t="str">
        <f>IFERROR(INDEX(TableRBCalcPts[TM],MATCH(TableRBRanks[[#This Row],[RK]],TableRBCalcPts[RK],0)),"")</f>
        <v/>
      </c>
      <c r="K129" t="str">
        <f>IFERROR(INDEX(TableRBCalcPts[BYE],MATCH(TableRBRanks[[#This Row],[RK]],TableRBCalcPts[RK],0)),"")</f>
        <v/>
      </c>
      <c r="L129" s="57" t="str">
        <f>IFERROR(INDEX(TableRBCalcPts[Custom],MATCH(TableRBRanks[[#This Row],[RK]],TableRBCalcPts[RK],0)),"")</f>
        <v/>
      </c>
      <c r="M129" s="125" t="e">
        <f>(((VLOOKUP(TableRBRanks[[#This Row],[Player]],'OVR &amp; VORP Ranks'!$I:$M,5,FALSE)))/('OVR &amp; VORP Ranks'!$BM$6))*(Settings!$E$10*TEAMS)</f>
        <v>#VALUE!</v>
      </c>
      <c r="O129">
        <v>128</v>
      </c>
      <c r="P129" t="str">
        <f>IFERROR(INDEX(TableWRCalcPts[PLAYER],MATCH(TableWRRanks[[#This Row],[RK]],TableWRCalcPts[RK],0)),"")</f>
        <v>Terrace Marshall</v>
      </c>
      <c r="Q129" t="str">
        <f>IFERROR(INDEX(TableWRCalcPts[TM],MATCH(TableWRRanks[[#This Row],[RK]],TableWRCalcPts[RK],0)),"")</f>
        <v>CAR</v>
      </c>
      <c r="R129">
        <f>IFERROR(INDEX(TableWRCalcPts[BYE],MATCH(TableWRRanks[[#This Row],[RK]],TableWRCalcPts[RK],0)),"")</f>
        <v>7</v>
      </c>
      <c r="S129" s="57">
        <f>IFERROR(INDEX(TableWRCalcPts[Custom],MATCH(TableWRRanks[[#This Row],[RK]],TableWRCalcPts[RK],0)),"")</f>
        <v>28.987005173839997</v>
      </c>
      <c r="T129" s="125">
        <f>(((VLOOKUP(TableWRRanks[[#This Row],[Player]],'OVR &amp; VORP Ranks'!$P:$T,5,FALSE)))/('OVR &amp; VORP Ranks'!$BM$6))*(Settings!$E$10*TEAMS)</f>
        <v>-37.342103740346658</v>
      </c>
    </row>
    <row r="130" spans="8:20" x14ac:dyDescent="0.2">
      <c r="H130">
        <v>129</v>
      </c>
      <c r="I130" t="str">
        <f>IFERROR(INDEX(TableRBCalcPts[PLAYER],MATCH(TableRBRanks[[#This Row],[RK]],TableRBCalcPts[RK],0)),"")</f>
        <v/>
      </c>
      <c r="J130" t="str">
        <f>IFERROR(INDEX(TableRBCalcPts[TM],MATCH(TableRBRanks[[#This Row],[RK]],TableRBCalcPts[RK],0)),"")</f>
        <v/>
      </c>
      <c r="K130" t="str">
        <f>IFERROR(INDEX(TableRBCalcPts[BYE],MATCH(TableRBRanks[[#This Row],[RK]],TableRBCalcPts[RK],0)),"")</f>
        <v/>
      </c>
      <c r="L130" s="57" t="str">
        <f>IFERROR(INDEX(TableRBCalcPts[Custom],MATCH(TableRBRanks[[#This Row],[RK]],TableRBCalcPts[RK],0)),"")</f>
        <v/>
      </c>
      <c r="M130" s="125" t="e">
        <f>(((VLOOKUP(TableRBRanks[[#This Row],[Player]],'OVR &amp; VORP Ranks'!$I:$M,5,FALSE)))/('OVR &amp; VORP Ranks'!$BM$6))*(Settings!$E$10*TEAMS)</f>
        <v>#VALUE!</v>
      </c>
      <c r="O130">
        <v>129</v>
      </c>
      <c r="P130" t="str">
        <f>IFERROR(INDEX(TableWRCalcPts[PLAYER],MATCH(TableWRRanks[[#This Row],[RK]],TableWRCalcPts[RK],0)),"")</f>
        <v>Robert Woods</v>
      </c>
      <c r="Q130" t="str">
        <f>IFERROR(INDEX(TableWRCalcPts[TM],MATCH(TableWRRanks[[#This Row],[RK]],TableWRCalcPts[RK],0)),"")</f>
        <v>HOU</v>
      </c>
      <c r="R130">
        <f>IFERROR(INDEX(TableWRCalcPts[BYE],MATCH(TableWRRanks[[#This Row],[RK]],TableWRCalcPts[RK],0)),"")</f>
        <v>7</v>
      </c>
      <c r="S130" s="57">
        <f>IFERROR(INDEX(TableWRCalcPts[Custom],MATCH(TableWRRanks[[#This Row],[RK]],TableWRCalcPts[RK],0)),"")</f>
        <v>28.276131659775999</v>
      </c>
      <c r="T130" s="125">
        <f>(((VLOOKUP(TableWRRanks[[#This Row],[Player]],'OVR &amp; VORP Ranks'!$P:$T,5,FALSE)))/('OVR &amp; VORP Ranks'!$BM$6))*(Settings!$E$10*TEAMS)</f>
        <v>-37.57210296004618</v>
      </c>
    </row>
    <row r="131" spans="8:20" x14ac:dyDescent="0.2">
      <c r="H131">
        <v>130</v>
      </c>
      <c r="I131" t="str">
        <f>IFERROR(INDEX(TableRBCalcPts[PLAYER],MATCH(TableRBRanks[[#This Row],[RK]],TableRBCalcPts[RK],0)),"")</f>
        <v/>
      </c>
      <c r="J131" t="str">
        <f>IFERROR(INDEX(TableRBCalcPts[TM],MATCH(TableRBRanks[[#This Row],[RK]],TableRBCalcPts[RK],0)),"")</f>
        <v/>
      </c>
      <c r="K131" t="str">
        <f>IFERROR(INDEX(TableRBCalcPts[BYE],MATCH(TableRBRanks[[#This Row],[RK]],TableRBCalcPts[RK],0)),"")</f>
        <v/>
      </c>
      <c r="L131" s="57" t="str">
        <f>IFERROR(INDEX(TableRBCalcPts[Custom],MATCH(TableRBRanks[[#This Row],[RK]],TableRBCalcPts[RK],0)),"")</f>
        <v/>
      </c>
      <c r="M131" s="125" t="e">
        <f>(((VLOOKUP(TableRBRanks[[#This Row],[Player]],'OVR &amp; VORP Ranks'!$I:$M,5,FALSE)))/('OVR &amp; VORP Ranks'!$BM$6))*(Settings!$E$10*TEAMS)</f>
        <v>#VALUE!</v>
      </c>
      <c r="O131">
        <v>130</v>
      </c>
      <c r="P131" t="str">
        <f>IFERROR(INDEX(TableWRCalcPts[PLAYER],MATCH(TableWRRanks[[#This Row],[RK]],TableWRCalcPts[RK],0)),"")</f>
        <v>Deonte Harty</v>
      </c>
      <c r="Q131" t="str">
        <f>IFERROR(INDEX(TableWRCalcPts[TM],MATCH(TableWRRanks[[#This Row],[RK]],TableWRCalcPts[RK],0)),"")</f>
        <v>BAL</v>
      </c>
      <c r="R131">
        <f>IFERROR(INDEX(TableWRCalcPts[BYE],MATCH(TableWRRanks[[#This Row],[RK]],TableWRCalcPts[RK],0)),"")</f>
        <v>13</v>
      </c>
      <c r="S131" s="57">
        <f>IFERROR(INDEX(TableWRCalcPts[Custom],MATCH(TableWRRanks[[#This Row],[RK]],TableWRCalcPts[RK],0)),"")</f>
        <v>28.234076045145603</v>
      </c>
      <c r="T131" s="125">
        <f>(((VLOOKUP(TableWRRanks[[#This Row],[Player]],'OVR &amp; VORP Ranks'!$P:$T,5,FALSE)))/('OVR &amp; VORP Ranks'!$BM$6))*(Settings!$E$10*TEAMS)</f>
        <v>-37.585709823092287</v>
      </c>
    </row>
    <row r="132" spans="8:20" x14ac:dyDescent="0.2">
      <c r="H132">
        <v>131</v>
      </c>
      <c r="I132" t="str">
        <f>IFERROR(INDEX(TableRBCalcPts[PLAYER],MATCH(TableRBRanks[[#This Row],[RK]],TableRBCalcPts[RK],0)),"")</f>
        <v/>
      </c>
      <c r="J132" t="str">
        <f>IFERROR(INDEX(TableRBCalcPts[TM],MATCH(TableRBRanks[[#This Row],[RK]],TableRBCalcPts[RK],0)),"")</f>
        <v/>
      </c>
      <c r="K132" t="str">
        <f>IFERROR(INDEX(TableRBCalcPts[BYE],MATCH(TableRBRanks[[#This Row],[RK]],TableRBCalcPts[RK],0)),"")</f>
        <v/>
      </c>
      <c r="L132" s="57" t="str">
        <f>IFERROR(INDEX(TableRBCalcPts[Custom],MATCH(TableRBRanks[[#This Row],[RK]],TableRBCalcPts[RK],0)),"")</f>
        <v/>
      </c>
      <c r="M132" s="125" t="e">
        <f>(((VLOOKUP(TableRBRanks[[#This Row],[Player]],'OVR &amp; VORP Ranks'!$I:$M,5,FALSE)))/('OVR &amp; VORP Ranks'!$BM$6))*(Settings!$E$10*TEAMS)</f>
        <v>#VALUE!</v>
      </c>
      <c r="O132">
        <v>131</v>
      </c>
      <c r="P132" t="str">
        <f>IFERROR(INDEX(TableWRCalcPts[PLAYER],MATCH(TableWRRanks[[#This Row],[RK]],TableWRCalcPts[RK],0)),"")</f>
        <v>Ben Skowronek</v>
      </c>
      <c r="Q132" t="str">
        <f>IFERROR(INDEX(TableWRCalcPts[TM],MATCH(TableWRRanks[[#This Row],[RK]],TableWRCalcPts[RK],0)),"")</f>
        <v>LAR</v>
      </c>
      <c r="R132">
        <f>IFERROR(INDEX(TableWRCalcPts[BYE],MATCH(TableWRRanks[[#This Row],[RK]],TableWRCalcPts[RK],0)),"")</f>
        <v>10</v>
      </c>
      <c r="S132" s="57">
        <f>IFERROR(INDEX(TableWRCalcPts[Custom],MATCH(TableWRRanks[[#This Row],[RK]],TableWRCalcPts[RK],0)),"")</f>
        <v>28.195674986303992</v>
      </c>
      <c r="T132" s="125">
        <f>(((VLOOKUP(TableWRRanks[[#This Row],[Player]],'OVR &amp; VORP Ranks'!$P:$T,5,FALSE)))/('OVR &amp; VORP Ranks'!$BM$6))*(Settings!$E$10*TEAMS)</f>
        <v>-37.598134274692285</v>
      </c>
    </row>
    <row r="133" spans="8:20" x14ac:dyDescent="0.2">
      <c r="H133">
        <v>132</v>
      </c>
      <c r="I133" t="str">
        <f>IFERROR(INDEX(TableRBCalcPts[PLAYER],MATCH(TableRBRanks[[#This Row],[RK]],TableRBCalcPts[RK],0)),"")</f>
        <v/>
      </c>
      <c r="J133" t="str">
        <f>IFERROR(INDEX(TableRBCalcPts[TM],MATCH(TableRBRanks[[#This Row],[RK]],TableRBCalcPts[RK],0)),"")</f>
        <v/>
      </c>
      <c r="K133" t="str">
        <f>IFERROR(INDEX(TableRBCalcPts[BYE],MATCH(TableRBRanks[[#This Row],[RK]],TableRBCalcPts[RK],0)),"")</f>
        <v/>
      </c>
      <c r="L133" s="57" t="str">
        <f>IFERROR(INDEX(TableRBCalcPts[Custom],MATCH(TableRBRanks[[#This Row],[RK]],TableRBCalcPts[RK],0)),"")</f>
        <v/>
      </c>
      <c r="M133" s="125" t="e">
        <f>(((VLOOKUP(TableRBRanks[[#This Row],[Player]],'OVR &amp; VORP Ranks'!$I:$M,5,FALSE)))/('OVR &amp; VORP Ranks'!$BM$6))*(Settings!$E$10*TEAMS)</f>
        <v>#VALUE!</v>
      </c>
      <c r="O133">
        <v>132</v>
      </c>
      <c r="P133" t="str">
        <f>IFERROR(INDEX(TableWRCalcPts[PLAYER],MATCH(TableWRRanks[[#This Row],[RK]],TableWRCalcPts[RK],0)),"")</f>
        <v>Tim Patrick</v>
      </c>
      <c r="Q133" t="str">
        <f>IFERROR(INDEX(TableWRCalcPts[TM],MATCH(TableWRRanks[[#This Row],[RK]],TableWRCalcPts[RK],0)),"")</f>
        <v>DEN</v>
      </c>
      <c r="R133">
        <f>IFERROR(INDEX(TableWRCalcPts[BYE],MATCH(TableWRRanks[[#This Row],[RK]],TableWRCalcPts[RK],0)),"")</f>
        <v>9</v>
      </c>
      <c r="S133" s="57">
        <f>IFERROR(INDEX(TableWRCalcPts[Custom],MATCH(TableWRRanks[[#This Row],[RK]],TableWRCalcPts[RK],0)),"")</f>
        <v>27.941771952079996</v>
      </c>
      <c r="T133" s="125">
        <f>(((VLOOKUP(TableWRRanks[[#This Row],[Player]],'OVR &amp; VORP Ranks'!$P:$T,5,FALSE)))/('OVR &amp; VORP Ranks'!$BM$6))*(Settings!$E$10*TEAMS)</f>
        <v>-37.680283206387614</v>
      </c>
    </row>
    <row r="134" spans="8:20" x14ac:dyDescent="0.2">
      <c r="H134">
        <v>133</v>
      </c>
      <c r="I134" t="str">
        <f>IFERROR(INDEX(TableRBCalcPts[PLAYER],MATCH(TableRBRanks[[#This Row],[RK]],TableRBCalcPts[RK],0)),"")</f>
        <v/>
      </c>
      <c r="J134" t="str">
        <f>IFERROR(INDEX(TableRBCalcPts[TM],MATCH(TableRBRanks[[#This Row],[RK]],TableRBCalcPts[RK],0)),"")</f>
        <v/>
      </c>
      <c r="K134" t="str">
        <f>IFERROR(INDEX(TableRBCalcPts[BYE],MATCH(TableRBRanks[[#This Row],[RK]],TableRBCalcPts[RK],0)),"")</f>
        <v/>
      </c>
      <c r="L134" s="57" t="str">
        <f>IFERROR(INDEX(TableRBCalcPts[Custom],MATCH(TableRBRanks[[#This Row],[RK]],TableRBCalcPts[RK],0)),"")</f>
        <v/>
      </c>
      <c r="M134" s="125" t="e">
        <f>(((VLOOKUP(TableRBRanks[[#This Row],[Player]],'OVR &amp; VORP Ranks'!$I:$M,5,FALSE)))/('OVR &amp; VORP Ranks'!$BM$6))*(Settings!$E$10*TEAMS)</f>
        <v>#VALUE!</v>
      </c>
      <c r="O134">
        <v>133</v>
      </c>
      <c r="P134" t="str">
        <f>IFERROR(INDEX(TableWRCalcPts[PLAYER],MATCH(TableWRRanks[[#This Row],[RK]],TableWRCalcPts[RK],0)),"")</f>
        <v>Ryan Flournoy</v>
      </c>
      <c r="Q134" t="str">
        <f>IFERROR(INDEX(TableWRCalcPts[TM],MATCH(TableWRRanks[[#This Row],[RK]],TableWRCalcPts[RK],0)),"")</f>
        <v>DAL</v>
      </c>
      <c r="R134">
        <f>IFERROR(INDEX(TableWRCalcPts[BYE],MATCH(TableWRRanks[[#This Row],[RK]],TableWRCalcPts[RK],0)),"")</f>
        <v>7</v>
      </c>
      <c r="S134" s="57">
        <f>IFERROR(INDEX(TableWRCalcPts[Custom],MATCH(TableWRRanks[[#This Row],[RK]],TableWRCalcPts[RK],0)),"")</f>
        <v>25.959249732729589</v>
      </c>
      <c r="T134" s="125">
        <f>(((VLOOKUP(TableWRRanks[[#This Row],[Player]],'OVR &amp; VORP Ranks'!$P:$T,5,FALSE)))/('OVR &amp; VORP Ranks'!$BM$6))*(Settings!$E$10*TEAMS)</f>
        <v>-38.321717377820974</v>
      </c>
    </row>
    <row r="135" spans="8:20" x14ac:dyDescent="0.2">
      <c r="H135">
        <v>134</v>
      </c>
      <c r="I135" t="str">
        <f>IFERROR(INDEX(TableRBCalcPts[PLAYER],MATCH(TableRBRanks[[#This Row],[RK]],TableRBCalcPts[RK],0)),"")</f>
        <v/>
      </c>
      <c r="J135" t="str">
        <f>IFERROR(INDEX(TableRBCalcPts[TM],MATCH(TableRBRanks[[#This Row],[RK]],TableRBCalcPts[RK],0)),"")</f>
        <v/>
      </c>
      <c r="K135" t="str">
        <f>IFERROR(INDEX(TableRBCalcPts[BYE],MATCH(TableRBRanks[[#This Row],[RK]],TableRBCalcPts[RK],0)),"")</f>
        <v/>
      </c>
      <c r="L135" s="57" t="str">
        <f>IFERROR(INDEX(TableRBCalcPts[Custom],MATCH(TableRBRanks[[#This Row],[RK]],TableRBCalcPts[RK],0)),"")</f>
        <v/>
      </c>
      <c r="M135" s="125" t="e">
        <f>(((VLOOKUP(TableRBRanks[[#This Row],[Player]],'OVR &amp; VORP Ranks'!$I:$M,5,FALSE)))/('OVR &amp; VORP Ranks'!$BM$6))*(Settings!$E$10*TEAMS)</f>
        <v>#VALUE!</v>
      </c>
      <c r="O135">
        <v>134</v>
      </c>
      <c r="P135" t="str">
        <f>IFERROR(INDEX(TableWRCalcPts[PLAYER],MATCH(TableWRRanks[[#This Row],[RK]],TableWRCalcPts[RK],0)),"")</f>
        <v>Charlie Jones</v>
      </c>
      <c r="Q135" t="str">
        <f>IFERROR(INDEX(TableWRCalcPts[TM],MATCH(TableWRRanks[[#This Row],[RK]],TableWRCalcPts[RK],0)),"")</f>
        <v>CIN</v>
      </c>
      <c r="R135">
        <f>IFERROR(INDEX(TableWRCalcPts[BYE],MATCH(TableWRRanks[[#This Row],[RK]],TableWRCalcPts[RK],0)),"")</f>
        <v>7</v>
      </c>
      <c r="S135" s="57">
        <f>IFERROR(INDEX(TableWRCalcPts[Custom],MATCH(TableWRRanks[[#This Row],[RK]],TableWRCalcPts[RK],0)),"")</f>
        <v>25.683274299312004</v>
      </c>
      <c r="T135" s="125">
        <f>(((VLOOKUP(TableWRRanks[[#This Row],[Player]],'OVR &amp; VORP Ranks'!$P:$T,5,FALSE)))/('OVR &amp; VORP Ranks'!$BM$6))*(Settings!$E$10*TEAMS)</f>
        <v>-38.41100771300227</v>
      </c>
    </row>
    <row r="136" spans="8:20" x14ac:dyDescent="0.2">
      <c r="H136">
        <v>135</v>
      </c>
      <c r="I136" t="str">
        <f>IFERROR(INDEX(TableRBCalcPts[PLAYER],MATCH(TableRBRanks[[#This Row],[RK]],TableRBCalcPts[RK],0)),"")</f>
        <v/>
      </c>
      <c r="J136" t="str">
        <f>IFERROR(INDEX(TableRBCalcPts[TM],MATCH(TableRBRanks[[#This Row],[RK]],TableRBCalcPts[RK],0)),"")</f>
        <v/>
      </c>
      <c r="K136" t="str">
        <f>IFERROR(INDEX(TableRBCalcPts[BYE],MATCH(TableRBRanks[[#This Row],[RK]],TableRBCalcPts[RK],0)),"")</f>
        <v/>
      </c>
      <c r="L136" s="57" t="str">
        <f>IFERROR(INDEX(TableRBCalcPts[Custom],MATCH(TableRBRanks[[#This Row],[RK]],TableRBCalcPts[RK],0)),"")</f>
        <v/>
      </c>
      <c r="M136" s="125" t="e">
        <f>(((VLOOKUP(TableRBRanks[[#This Row],[Player]],'OVR &amp; VORP Ranks'!$I:$M,5,FALSE)))/('OVR &amp; VORP Ranks'!$BM$6))*(Settings!$E$10*TEAMS)</f>
        <v>#VALUE!</v>
      </c>
      <c r="O136">
        <v>135</v>
      </c>
      <c r="P136" t="str">
        <f>IFERROR(INDEX(TableWRCalcPts[PLAYER],MATCH(TableWRRanks[[#This Row],[RK]],TableWRCalcPts[RK],0)),"")</f>
        <v>Anthony Gould</v>
      </c>
      <c r="Q136" t="str">
        <f>IFERROR(INDEX(TableWRCalcPts[TM],MATCH(TableWRRanks[[#This Row],[RK]],TableWRCalcPts[RK],0)),"")</f>
        <v>IND</v>
      </c>
      <c r="R136">
        <f>IFERROR(INDEX(TableWRCalcPts[BYE],MATCH(TableWRRanks[[#This Row],[RK]],TableWRCalcPts[RK],0)),"")</f>
        <v>11</v>
      </c>
      <c r="S136" s="57">
        <f>IFERROR(INDEX(TableWRCalcPts[Custom],MATCH(TableWRRanks[[#This Row],[RK]],TableWRCalcPts[RK],0)),"")</f>
        <v>25.634266435008001</v>
      </c>
      <c r="T136" s="125">
        <f>(((VLOOKUP(TableWRRanks[[#This Row],[Player]],'OVR &amp; VORP Ranks'!$P:$T,5,FALSE)))/('OVR &amp; VORP Ranks'!$BM$6))*(Settings!$E$10*TEAMS)</f>
        <v>-38.426863938232295</v>
      </c>
    </row>
    <row r="137" spans="8:20" x14ac:dyDescent="0.2">
      <c r="H137">
        <v>136</v>
      </c>
      <c r="I137" t="str">
        <f>IFERROR(INDEX(TableRBCalcPts[PLAYER],MATCH(TableRBRanks[[#This Row],[RK]],TableRBCalcPts[RK],0)),"")</f>
        <v/>
      </c>
      <c r="J137" t="str">
        <f>IFERROR(INDEX(TableRBCalcPts[TM],MATCH(TableRBRanks[[#This Row],[RK]],TableRBCalcPts[RK],0)),"")</f>
        <v/>
      </c>
      <c r="K137" t="str">
        <f>IFERROR(INDEX(TableRBCalcPts[BYE],MATCH(TableRBRanks[[#This Row],[RK]],TableRBCalcPts[RK],0)),"")</f>
        <v/>
      </c>
      <c r="L137" s="57" t="str">
        <f>IFERROR(INDEX(TableRBCalcPts[Custom],MATCH(TableRBRanks[[#This Row],[RK]],TableRBCalcPts[RK],0)),"")</f>
        <v/>
      </c>
      <c r="M137" s="125" t="e">
        <f>(((VLOOKUP(TableRBRanks[[#This Row],[Player]],'OVR &amp; VORP Ranks'!$I:$M,5,FALSE)))/('OVR &amp; VORP Ranks'!$BM$6))*(Settings!$E$10*TEAMS)</f>
        <v>#VALUE!</v>
      </c>
      <c r="O137">
        <v>136</v>
      </c>
      <c r="P137" t="str">
        <f>IFERROR(INDEX(TableWRCalcPts[PLAYER],MATCH(TableWRRanks[[#This Row],[RK]],TableWRCalcPts[RK],0)),"")</f>
        <v>Tutu Atwell</v>
      </c>
      <c r="Q137" t="str">
        <f>IFERROR(INDEX(TableWRCalcPts[TM],MATCH(TableWRRanks[[#This Row],[RK]],TableWRCalcPts[RK],0)),"")</f>
        <v>LAR</v>
      </c>
      <c r="R137">
        <f>IFERROR(INDEX(TableWRCalcPts[BYE],MATCH(TableWRRanks[[#This Row],[RK]],TableWRCalcPts[RK],0)),"")</f>
        <v>10</v>
      </c>
      <c r="S137" s="57">
        <f>IFERROR(INDEX(TableWRCalcPts[Custom],MATCH(TableWRRanks[[#This Row],[RK]],TableWRCalcPts[RK],0)),"")</f>
        <v>25.364281713758388</v>
      </c>
      <c r="T137" s="125">
        <f>(((VLOOKUP(TableWRRanks[[#This Row],[Player]],'OVR &amp; VORP Ranks'!$P:$T,5,FALSE)))/('OVR &amp; VORP Ranks'!$BM$6))*(Settings!$E$10*TEAMS)</f>
        <v>-38.51421601140661</v>
      </c>
    </row>
    <row r="138" spans="8:20" x14ac:dyDescent="0.2">
      <c r="H138">
        <v>137</v>
      </c>
      <c r="I138" t="str">
        <f>IFERROR(INDEX(TableRBCalcPts[PLAYER],MATCH(TableRBRanks[[#This Row],[RK]],TableRBCalcPts[RK],0)),"")</f>
        <v/>
      </c>
      <c r="J138" t="str">
        <f>IFERROR(INDEX(TableRBCalcPts[TM],MATCH(TableRBRanks[[#This Row],[RK]],TableRBCalcPts[RK],0)),"")</f>
        <v/>
      </c>
      <c r="K138" t="str">
        <f>IFERROR(INDEX(TableRBCalcPts[BYE],MATCH(TableRBRanks[[#This Row],[RK]],TableRBCalcPts[RK],0)),"")</f>
        <v/>
      </c>
      <c r="L138" s="57" t="str">
        <f>IFERROR(INDEX(TableRBCalcPts[Custom],MATCH(TableRBRanks[[#This Row],[RK]],TableRBCalcPts[RK],0)),"")</f>
        <v/>
      </c>
      <c r="M138" s="125" t="e">
        <f>(((VLOOKUP(TableRBRanks[[#This Row],[Player]],'OVR &amp; VORP Ranks'!$I:$M,5,FALSE)))/('OVR &amp; VORP Ranks'!$BM$6))*(Settings!$E$10*TEAMS)</f>
        <v>#VALUE!</v>
      </c>
      <c r="O138">
        <v>137</v>
      </c>
      <c r="P138" t="str">
        <f>IFERROR(INDEX(TableWRCalcPts[PLAYER],MATCH(TableWRRanks[[#This Row],[RK]],TableWRCalcPts[RK],0)),"")</f>
        <v>Malik Washington</v>
      </c>
      <c r="Q138" t="str">
        <f>IFERROR(INDEX(TableWRCalcPts[TM],MATCH(TableWRRanks[[#This Row],[RK]],TableWRCalcPts[RK],0)),"")</f>
        <v>MIA</v>
      </c>
      <c r="R138">
        <f>IFERROR(INDEX(TableWRCalcPts[BYE],MATCH(TableWRRanks[[#This Row],[RK]],TableWRCalcPts[RK],0)),"")</f>
        <v>10</v>
      </c>
      <c r="S138" s="57">
        <f>IFERROR(INDEX(TableWRCalcPts[Custom],MATCH(TableWRRanks[[#This Row],[RK]],TableWRCalcPts[RK],0)),"")</f>
        <v>25.1969371313184</v>
      </c>
      <c r="T138" s="125">
        <f>(((VLOOKUP(TableWRRanks[[#This Row],[Player]],'OVR &amp; VORP Ranks'!$P:$T,5,FALSE)))/('OVR &amp; VORP Ranks'!$BM$6))*(Settings!$E$10*TEAMS)</f>
        <v>-38.568359431608194</v>
      </c>
    </row>
    <row r="139" spans="8:20" x14ac:dyDescent="0.2">
      <c r="H139">
        <v>138</v>
      </c>
      <c r="I139" t="str">
        <f>IFERROR(INDEX(TableRBCalcPts[PLAYER],MATCH(TableRBRanks[[#This Row],[RK]],TableRBCalcPts[RK],0)),"")</f>
        <v/>
      </c>
      <c r="J139" t="str">
        <f>IFERROR(INDEX(TableRBCalcPts[TM],MATCH(TableRBRanks[[#This Row],[RK]],TableRBCalcPts[RK],0)),"")</f>
        <v/>
      </c>
      <c r="K139" t="str">
        <f>IFERROR(INDEX(TableRBCalcPts[BYE],MATCH(TableRBRanks[[#This Row],[RK]],TableRBCalcPts[RK],0)),"")</f>
        <v/>
      </c>
      <c r="L139" s="57" t="str">
        <f>IFERROR(INDEX(TableRBCalcPts[Custom],MATCH(TableRBRanks[[#This Row],[RK]],TableRBCalcPts[RK],0)),"")</f>
        <v/>
      </c>
      <c r="M139" s="125" t="e">
        <f>(((VLOOKUP(TableRBRanks[[#This Row],[Player]],'OVR &amp; VORP Ranks'!$I:$M,5,FALSE)))/('OVR &amp; VORP Ranks'!$BM$6))*(Settings!$E$10*TEAMS)</f>
        <v>#VALUE!</v>
      </c>
      <c r="O139">
        <v>138</v>
      </c>
      <c r="P139" t="str">
        <f>IFERROR(INDEX(TableWRCalcPts[PLAYER],MATCH(TableWRRanks[[#This Row],[RK]],TableWRCalcPts[RK],0)),"")</f>
        <v>Bo Melton</v>
      </c>
      <c r="Q139" t="str">
        <f>IFERROR(INDEX(TableWRCalcPts[TM],MATCH(TableWRRanks[[#This Row],[RK]],TableWRCalcPts[RK],0)),"")</f>
        <v>GB</v>
      </c>
      <c r="R139">
        <f>IFERROR(INDEX(TableWRCalcPts[BYE],MATCH(TableWRRanks[[#This Row],[RK]],TableWRCalcPts[RK],0)),"")</f>
        <v>6</v>
      </c>
      <c r="S139" s="57">
        <f>IFERROR(INDEX(TableWRCalcPts[Custom],MATCH(TableWRRanks[[#This Row],[RK]],TableWRCalcPts[RK],0)),"")</f>
        <v>24.724347171887999</v>
      </c>
      <c r="T139" s="125">
        <f>(((VLOOKUP(TableWRRanks[[#This Row],[Player]],'OVR &amp; VORP Ranks'!$P:$T,5,FALSE)))/('OVR &amp; VORP Ranks'!$BM$6))*(Settings!$E$10*TEAMS)</f>
        <v>-38.721263316415239</v>
      </c>
    </row>
    <row r="140" spans="8:20" x14ac:dyDescent="0.2">
      <c r="H140">
        <v>139</v>
      </c>
      <c r="I140" t="str">
        <f>IFERROR(INDEX(TableRBCalcPts[PLAYER],MATCH(TableRBRanks[[#This Row],[RK]],TableRBCalcPts[RK],0)),"")</f>
        <v/>
      </c>
      <c r="J140" t="str">
        <f>IFERROR(INDEX(TableRBCalcPts[TM],MATCH(TableRBRanks[[#This Row],[RK]],TableRBCalcPts[RK],0)),"")</f>
        <v/>
      </c>
      <c r="K140" t="str">
        <f>IFERROR(INDEX(TableRBCalcPts[BYE],MATCH(TableRBRanks[[#This Row],[RK]],TableRBCalcPts[RK],0)),"")</f>
        <v/>
      </c>
      <c r="L140" s="57" t="str">
        <f>IFERROR(INDEX(TableRBCalcPts[Custom],MATCH(TableRBRanks[[#This Row],[RK]],TableRBCalcPts[RK],0)),"")</f>
        <v/>
      </c>
      <c r="M140" s="125" t="e">
        <f>(((VLOOKUP(TableRBRanks[[#This Row],[Player]],'OVR &amp; VORP Ranks'!$I:$M,5,FALSE)))/('OVR &amp; VORP Ranks'!$BM$6))*(Settings!$E$10*TEAMS)</f>
        <v>#VALUE!</v>
      </c>
      <c r="O140">
        <v>139</v>
      </c>
      <c r="P140" t="str">
        <f>IFERROR(INDEX(TableWRCalcPts[PLAYER],MATCH(TableWRRanks[[#This Row],[RK]],TableWRCalcPts[RK],0)),"")</f>
        <v>Ray-Ray McCloud</v>
      </c>
      <c r="Q140" t="str">
        <f>IFERROR(INDEX(TableWRCalcPts[TM],MATCH(TableWRRanks[[#This Row],[RK]],TableWRCalcPts[RK],0)),"")</f>
        <v>ATL</v>
      </c>
      <c r="R140">
        <f>IFERROR(INDEX(TableWRCalcPts[BYE],MATCH(TableWRRanks[[#This Row],[RK]],TableWRCalcPts[RK],0)),"")</f>
        <v>11</v>
      </c>
      <c r="S140" s="57">
        <f>IFERROR(INDEX(TableWRCalcPts[Custom],MATCH(TableWRRanks[[#This Row],[RK]],TableWRCalcPts[RK],0)),"")</f>
        <v>23.756703681110395</v>
      </c>
      <c r="T140" s="125">
        <f>(((VLOOKUP(TableWRRanks[[#This Row],[Player]],'OVR &amp; VORP Ranks'!$P:$T,5,FALSE)))/('OVR &amp; VORP Ranks'!$BM$6))*(Settings!$E$10*TEAMS)</f>
        <v>-39.03433905130067</v>
      </c>
    </row>
    <row r="141" spans="8:20" x14ac:dyDescent="0.2">
      <c r="H141">
        <v>140</v>
      </c>
      <c r="I141" t="str">
        <f>IFERROR(INDEX(TableRBCalcPts[PLAYER],MATCH(TableRBRanks[[#This Row],[RK]],TableRBCalcPts[RK],0)),"")</f>
        <v/>
      </c>
      <c r="J141" t="str">
        <f>IFERROR(INDEX(TableRBCalcPts[TM],MATCH(TableRBRanks[[#This Row],[RK]],TableRBCalcPts[RK],0)),"")</f>
        <v/>
      </c>
      <c r="K141" t="str">
        <f>IFERROR(INDEX(TableRBCalcPts[BYE],MATCH(TableRBRanks[[#This Row],[RK]],TableRBCalcPts[RK],0)),"")</f>
        <v/>
      </c>
      <c r="L141" s="57" t="str">
        <f>IFERROR(INDEX(TableRBCalcPts[Custom],MATCH(TableRBRanks[[#This Row],[RK]],TableRBCalcPts[RK],0)),"")</f>
        <v/>
      </c>
      <c r="M141" s="125" t="e">
        <f>(((VLOOKUP(TableRBRanks[[#This Row],[Player]],'OVR &amp; VORP Ranks'!$I:$M,5,FALSE)))/('OVR &amp; VORP Ranks'!$BM$6))*(Settings!$E$10*TEAMS)</f>
        <v>#VALUE!</v>
      </c>
      <c r="O141">
        <v>140</v>
      </c>
      <c r="P141" t="str">
        <f>IFERROR(INDEX(TableWRCalcPts[PLAYER],MATCH(TableWRRanks[[#This Row],[RK]],TableWRCalcPts[RK],0)),"")</f>
        <v>Chris Moore</v>
      </c>
      <c r="Q141" t="str">
        <f>IFERROR(INDEX(TableWRCalcPts[TM],MATCH(TableWRRanks[[#This Row],[RK]],TableWRCalcPts[RK],0)),"")</f>
        <v>ARI</v>
      </c>
      <c r="R141">
        <f>IFERROR(INDEX(TableWRCalcPts[BYE],MATCH(TableWRRanks[[#This Row],[RK]],TableWRCalcPts[RK],0)),"")</f>
        <v>14</v>
      </c>
      <c r="S141" s="57">
        <f>IFERROR(INDEX(TableWRCalcPts[Custom],MATCH(TableWRRanks[[#This Row],[RK]],TableWRCalcPts[RK],0)),"")</f>
        <v>23.404815945000003</v>
      </c>
      <c r="T141" s="125">
        <f>(((VLOOKUP(TableWRRanks[[#This Row],[Player]],'OVR &amp; VORP Ranks'!$P:$T,5,FALSE)))/('OVR &amp; VORP Ranks'!$BM$6))*(Settings!$E$10*TEAMS)</f>
        <v>-39.148190394930744</v>
      </c>
    </row>
    <row r="142" spans="8:20" x14ac:dyDescent="0.2">
      <c r="H142">
        <v>141</v>
      </c>
      <c r="I142" t="str">
        <f>IFERROR(INDEX(TableRBCalcPts[PLAYER],MATCH(TableRBRanks[[#This Row],[RK]],TableRBCalcPts[RK],0)),"")</f>
        <v/>
      </c>
      <c r="J142" t="str">
        <f>IFERROR(INDEX(TableRBCalcPts[TM],MATCH(TableRBRanks[[#This Row],[RK]],TableRBCalcPts[RK],0)),"")</f>
        <v/>
      </c>
      <c r="K142" t="str">
        <f>IFERROR(INDEX(TableRBCalcPts[BYE],MATCH(TableRBRanks[[#This Row],[RK]],TableRBCalcPts[RK],0)),"")</f>
        <v/>
      </c>
      <c r="L142" s="57" t="str">
        <f>IFERROR(INDEX(TableRBCalcPts[Custom],MATCH(TableRBRanks[[#This Row],[RK]],TableRBCalcPts[RK],0)),"")</f>
        <v/>
      </c>
      <c r="M142" s="125" t="e">
        <f>(((VLOOKUP(TableRBRanks[[#This Row],[Player]],'OVR &amp; VORP Ranks'!$I:$M,5,FALSE)))/('OVR &amp; VORP Ranks'!$BM$6))*(Settings!$E$10*TEAMS)</f>
        <v>#VALUE!</v>
      </c>
      <c r="O142">
        <v>141</v>
      </c>
      <c r="P142" t="str">
        <f>IFERROR(INDEX(TableWRCalcPts[PLAYER],MATCH(TableWRRanks[[#This Row],[RK]],TableWRCalcPts[RK],0)),"")</f>
        <v>Xavier Gipson</v>
      </c>
      <c r="Q142" t="str">
        <f>IFERROR(INDEX(TableWRCalcPts[TM],MATCH(TableWRRanks[[#This Row],[RK]],TableWRCalcPts[RK],0)),"")</f>
        <v>NYJ</v>
      </c>
      <c r="R142">
        <f>IFERROR(INDEX(TableWRCalcPts[BYE],MATCH(TableWRRanks[[#This Row],[RK]],TableWRCalcPts[RK],0)),"")</f>
        <v>7</v>
      </c>
      <c r="S142" s="57">
        <f>IFERROR(INDEX(TableWRCalcPts[Custom],MATCH(TableWRRanks[[#This Row],[RK]],TableWRCalcPts[RK],0)),"")</f>
        <v>22.511850487526392</v>
      </c>
      <c r="T142" s="125">
        <f>(((VLOOKUP(TableWRRanks[[#This Row],[Player]],'OVR &amp; VORP Ranks'!$P:$T,5,FALSE)))/('OVR &amp; VORP Ranks'!$BM$6))*(Settings!$E$10*TEAMS)</f>
        <v>-39.437104462446648</v>
      </c>
    </row>
    <row r="143" spans="8:20" x14ac:dyDescent="0.2">
      <c r="H143">
        <v>142</v>
      </c>
      <c r="I143" t="str">
        <f>IFERROR(INDEX(TableRBCalcPts[PLAYER],MATCH(TableRBRanks[[#This Row],[RK]],TableRBCalcPts[RK],0)),"")</f>
        <v/>
      </c>
      <c r="J143" t="str">
        <f>IFERROR(INDEX(TableRBCalcPts[TM],MATCH(TableRBRanks[[#This Row],[RK]],TableRBCalcPts[RK],0)),"")</f>
        <v/>
      </c>
      <c r="K143" t="str">
        <f>IFERROR(INDEX(TableRBCalcPts[BYE],MATCH(TableRBRanks[[#This Row],[RK]],TableRBCalcPts[RK],0)),"")</f>
        <v/>
      </c>
      <c r="L143" s="57" t="str">
        <f>IFERROR(INDEX(TableRBCalcPts[Custom],MATCH(TableRBRanks[[#This Row],[RK]],TableRBCalcPts[RK],0)),"")</f>
        <v/>
      </c>
      <c r="M143" s="125" t="e">
        <f>(((VLOOKUP(TableRBRanks[[#This Row],[Player]],'OVR &amp; VORP Ranks'!$I:$M,5,FALSE)))/('OVR &amp; VORP Ranks'!$BM$6))*(Settings!$E$10*TEAMS)</f>
        <v>#VALUE!</v>
      </c>
      <c r="O143">
        <v>142</v>
      </c>
      <c r="P143" t="str">
        <f>IFERROR(INDEX(TableWRCalcPts[PLAYER],MATCH(TableWRRanks[[#This Row],[RK]],TableWRCalcPts[RK],0)),"")</f>
        <v>Jason Brownlee</v>
      </c>
      <c r="Q143" t="str">
        <f>IFERROR(INDEX(TableWRCalcPts[TM],MATCH(TableWRRanks[[#This Row],[RK]],TableWRCalcPts[RK],0)),"")</f>
        <v>NYJ</v>
      </c>
      <c r="R143">
        <f>IFERROR(INDEX(TableWRCalcPts[BYE],MATCH(TableWRRanks[[#This Row],[RK]],TableWRCalcPts[RK],0)),"")</f>
        <v>7</v>
      </c>
      <c r="S143" s="57">
        <f>IFERROR(INDEX(TableWRCalcPts[Custom],MATCH(TableWRRanks[[#This Row],[RK]],TableWRCalcPts[RK],0)),"")</f>
        <v>22.503602721599997</v>
      </c>
      <c r="T143" s="125">
        <f>(((VLOOKUP(TableWRRanks[[#This Row],[Player]],'OVR &amp; VORP Ranks'!$P:$T,5,FALSE)))/('OVR &amp; VORP Ranks'!$BM$6))*(Settings!$E$10*TEAMS)</f>
        <v>-39.43977298179616</v>
      </c>
    </row>
    <row r="144" spans="8:20" x14ac:dyDescent="0.2">
      <c r="H144">
        <v>143</v>
      </c>
      <c r="I144" t="str">
        <f>IFERROR(INDEX(TableRBCalcPts[PLAYER],MATCH(TableRBRanks[[#This Row],[RK]],TableRBCalcPts[RK],0)),"")</f>
        <v/>
      </c>
      <c r="J144" t="str">
        <f>IFERROR(INDEX(TableRBCalcPts[TM],MATCH(TableRBRanks[[#This Row],[RK]],TableRBCalcPts[RK],0)),"")</f>
        <v/>
      </c>
      <c r="K144" t="str">
        <f>IFERROR(INDEX(TableRBCalcPts[BYE],MATCH(TableRBRanks[[#This Row],[RK]],TableRBCalcPts[RK],0)),"")</f>
        <v/>
      </c>
      <c r="L144" s="57" t="str">
        <f>IFERROR(INDEX(TableRBCalcPts[Custom],MATCH(TableRBRanks[[#This Row],[RK]],TableRBCalcPts[RK],0)),"")</f>
        <v/>
      </c>
      <c r="M144" s="125" t="e">
        <f>(((VLOOKUP(TableRBRanks[[#This Row],[Player]],'OVR &amp; VORP Ranks'!$I:$M,5,FALSE)))/('OVR &amp; VORP Ranks'!$BM$6))*(Settings!$E$10*TEAMS)</f>
        <v>#VALUE!</v>
      </c>
      <c r="O144">
        <v>143</v>
      </c>
      <c r="P144" t="str">
        <f>IFERROR(INDEX(TableWRCalcPts[PLAYER],MATCH(TableWRRanks[[#This Row],[RK]],TableWRCalcPts[RK],0)),"")</f>
        <v>Laviska Shenault</v>
      </c>
      <c r="Q144" t="str">
        <f>IFERROR(INDEX(TableWRCalcPts[TM],MATCH(TableWRRanks[[#This Row],[RK]],TableWRCalcPts[RK],0)),"")</f>
        <v>SEA</v>
      </c>
      <c r="R144">
        <f>IFERROR(INDEX(TableWRCalcPts[BYE],MATCH(TableWRRanks[[#This Row],[RK]],TableWRCalcPts[RK],0)),"")</f>
        <v>5</v>
      </c>
      <c r="S144" s="57">
        <f>IFERROR(INDEX(TableWRCalcPts[Custom],MATCH(TableWRRanks[[#This Row],[RK]],TableWRCalcPts[RK],0)),"")</f>
        <v>22.017378925268996</v>
      </c>
      <c r="T144" s="125">
        <f>(((VLOOKUP(TableWRRanks[[#This Row],[Player]],'OVR &amp; VORP Ranks'!$P:$T,5,FALSE)))/('OVR &amp; VORP Ranks'!$BM$6))*(Settings!$E$10*TEAMS)</f>
        <v>-39.597088019623556</v>
      </c>
    </row>
    <row r="145" spans="8:20" x14ac:dyDescent="0.2">
      <c r="H145">
        <v>144</v>
      </c>
      <c r="I145" t="str">
        <f>IFERROR(INDEX(TableRBCalcPts[PLAYER],MATCH(TableRBRanks[[#This Row],[RK]],TableRBCalcPts[RK],0)),"")</f>
        <v/>
      </c>
      <c r="J145" t="str">
        <f>IFERROR(INDEX(TableRBCalcPts[TM],MATCH(TableRBRanks[[#This Row],[RK]],TableRBCalcPts[RK],0)),"")</f>
        <v/>
      </c>
      <c r="K145" t="str">
        <f>IFERROR(INDEX(TableRBCalcPts[BYE],MATCH(TableRBRanks[[#This Row],[RK]],TableRBCalcPts[RK],0)),"")</f>
        <v/>
      </c>
      <c r="L145" s="57" t="str">
        <f>IFERROR(INDEX(TableRBCalcPts[Custom],MATCH(TableRBRanks[[#This Row],[RK]],TableRBCalcPts[RK],0)),"")</f>
        <v/>
      </c>
      <c r="M145" s="125" t="e">
        <f>(((VLOOKUP(TableRBRanks[[#This Row],[Player]],'OVR &amp; VORP Ranks'!$I:$M,5,FALSE)))/('OVR &amp; VORP Ranks'!$BM$6))*(Settings!$E$10*TEAMS)</f>
        <v>#VALUE!</v>
      </c>
      <c r="O145">
        <v>144</v>
      </c>
      <c r="P145" t="str">
        <f>IFERROR(INDEX(TableWRCalcPts[PLAYER],MATCH(TableWRRanks[[#This Row],[RK]],TableWRCalcPts[RK],0)),"")</f>
        <v>Antoine Green</v>
      </c>
      <c r="Q145" t="str">
        <f>IFERROR(INDEX(TableWRCalcPts[TM],MATCH(TableWRRanks[[#This Row],[RK]],TableWRCalcPts[RK],0)),"")</f>
        <v>DET</v>
      </c>
      <c r="R145">
        <f>IFERROR(INDEX(TableWRCalcPts[BYE],MATCH(TableWRRanks[[#This Row],[RK]],TableWRCalcPts[RK],0)),"")</f>
        <v>9</v>
      </c>
      <c r="S145" s="57">
        <f>IFERROR(INDEX(TableWRCalcPts[Custom],MATCH(TableWRRanks[[#This Row],[RK]],TableWRCalcPts[RK],0)),"")</f>
        <v>21.58698695579999</v>
      </c>
      <c r="T145" s="125">
        <f>(((VLOOKUP(TableWRRanks[[#This Row],[Player]],'OVR &amp; VORP Ranks'!$P:$T,5,FALSE)))/('OVR &amp; VORP Ranks'!$BM$6))*(Settings!$E$10*TEAMS)</f>
        <v>-39.73633897662841</v>
      </c>
    </row>
    <row r="146" spans="8:20" x14ac:dyDescent="0.2">
      <c r="H146">
        <v>145</v>
      </c>
      <c r="I146" t="str">
        <f>IFERROR(INDEX(TableRBCalcPts[PLAYER],MATCH(TableRBRanks[[#This Row],[RK]],TableRBCalcPts[RK],0)),"")</f>
        <v/>
      </c>
      <c r="J146" t="str">
        <f>IFERROR(INDEX(TableRBCalcPts[TM],MATCH(TableRBRanks[[#This Row],[RK]],TableRBCalcPts[RK],0)),"")</f>
        <v/>
      </c>
      <c r="K146" t="str">
        <f>IFERROR(INDEX(TableRBCalcPts[BYE],MATCH(TableRBRanks[[#This Row],[RK]],TableRBCalcPts[RK],0)),"")</f>
        <v/>
      </c>
      <c r="L146" s="57" t="str">
        <f>IFERROR(INDEX(TableRBCalcPts[Custom],MATCH(TableRBRanks[[#This Row],[RK]],TableRBCalcPts[RK],0)),"")</f>
        <v/>
      </c>
      <c r="M146" s="125" t="e">
        <f>(((VLOOKUP(TableRBRanks[[#This Row],[Player]],'OVR &amp; VORP Ranks'!$I:$M,5,FALSE)))/('OVR &amp; VORP Ranks'!$BM$6))*(Settings!$E$10*TEAMS)</f>
        <v>#VALUE!</v>
      </c>
      <c r="O146">
        <v>145</v>
      </c>
      <c r="P146" t="str">
        <f>IFERROR(INDEX(TableWRCalcPts[PLAYER],MATCH(TableWRRanks[[#This Row],[RK]],TableWRCalcPts[RK],0)),"")</f>
        <v>Racey McMath</v>
      </c>
      <c r="Q146" t="str">
        <f>IFERROR(INDEX(TableWRCalcPts[TM],MATCH(TableWRRanks[[#This Row],[RK]],TableWRCalcPts[RK],0)),"")</f>
        <v>DAL</v>
      </c>
      <c r="R146">
        <f>IFERROR(INDEX(TableWRCalcPts[BYE],MATCH(TableWRRanks[[#This Row],[RK]],TableWRCalcPts[RK],0)),"")</f>
        <v>7</v>
      </c>
      <c r="S146" s="57">
        <f>IFERROR(INDEX(TableWRCalcPts[Custom],MATCH(TableWRRanks[[#This Row],[RK]],TableWRCalcPts[RK],0)),"")</f>
        <v>21.427072611839996</v>
      </c>
      <c r="T146" s="125">
        <f>(((VLOOKUP(TableWRRanks[[#This Row],[Player]],'OVR &amp; VORP Ranks'!$P:$T,5,FALSE)))/('OVR &amp; VORP Ranks'!$BM$6))*(Settings!$E$10*TEAMS)</f>
        <v>-39.788078383993991</v>
      </c>
    </row>
    <row r="147" spans="8:20" x14ac:dyDescent="0.2">
      <c r="H147">
        <v>146</v>
      </c>
      <c r="I147" t="str">
        <f>IFERROR(INDEX(TableRBCalcPts[PLAYER],MATCH(TableRBRanks[[#This Row],[RK]],TableRBCalcPts[RK],0)),"")</f>
        <v/>
      </c>
      <c r="J147" t="str">
        <f>IFERROR(INDEX(TableRBCalcPts[TM],MATCH(TableRBRanks[[#This Row],[RK]],TableRBCalcPts[RK],0)),"")</f>
        <v/>
      </c>
      <c r="K147" t="str">
        <f>IFERROR(INDEX(TableRBCalcPts[BYE],MATCH(TableRBRanks[[#This Row],[RK]],TableRBCalcPts[RK],0)),"")</f>
        <v/>
      </c>
      <c r="L147" s="57" t="str">
        <f>IFERROR(INDEX(TableRBCalcPts[Custom],MATCH(TableRBRanks[[#This Row],[RK]],TableRBCalcPts[RK],0)),"")</f>
        <v/>
      </c>
      <c r="M147" s="125" t="e">
        <f>(((VLOOKUP(TableRBRanks[[#This Row],[Player]],'OVR &amp; VORP Ranks'!$I:$M,5,FALSE)))/('OVR &amp; VORP Ranks'!$BM$6))*(Settings!$E$10*TEAMS)</f>
        <v>#VALUE!</v>
      </c>
      <c r="O147">
        <v>146</v>
      </c>
      <c r="P147" t="str">
        <f>IFERROR(INDEX(TableWRCalcPts[PLAYER],MATCH(TableWRRanks[[#This Row],[RK]],TableWRCalcPts[RK],0)),"")</f>
        <v>Tyler Scott</v>
      </c>
      <c r="Q147" t="str">
        <f>IFERROR(INDEX(TableWRCalcPts[TM],MATCH(TableWRRanks[[#This Row],[RK]],TableWRCalcPts[RK],0)),"")</f>
        <v>CHI</v>
      </c>
      <c r="R147">
        <f>IFERROR(INDEX(TableWRCalcPts[BYE],MATCH(TableWRRanks[[#This Row],[RK]],TableWRCalcPts[RK],0)),"")</f>
        <v>13</v>
      </c>
      <c r="S147" s="57">
        <f>IFERROR(INDEX(TableWRCalcPts[Custom],MATCH(TableWRRanks[[#This Row],[RK]],TableWRCalcPts[RK],0)),"")</f>
        <v>21.268921403519993</v>
      </c>
      <c r="T147" s="125">
        <f>(((VLOOKUP(TableWRRanks[[#This Row],[Player]],'OVR &amp; VORP Ranks'!$P:$T,5,FALSE)))/('OVR &amp; VORP Ranks'!$BM$6))*(Settings!$E$10*TEAMS)</f>
        <v>-39.839247338510511</v>
      </c>
    </row>
    <row r="148" spans="8:20" x14ac:dyDescent="0.2">
      <c r="H148">
        <v>147</v>
      </c>
      <c r="I148" t="str">
        <f>IFERROR(INDEX(TableRBCalcPts[PLAYER],MATCH(TableRBRanks[[#This Row],[RK]],TableRBCalcPts[RK],0)),"")</f>
        <v/>
      </c>
      <c r="J148" t="str">
        <f>IFERROR(INDEX(TableRBCalcPts[TM],MATCH(TableRBRanks[[#This Row],[RK]],TableRBCalcPts[RK],0)),"")</f>
        <v/>
      </c>
      <c r="K148" t="str">
        <f>IFERROR(INDEX(TableRBCalcPts[BYE],MATCH(TableRBRanks[[#This Row],[RK]],TableRBCalcPts[RK],0)),"")</f>
        <v/>
      </c>
      <c r="L148" s="57" t="str">
        <f>IFERROR(INDEX(TableRBCalcPts[Custom],MATCH(TableRBRanks[[#This Row],[RK]],TableRBCalcPts[RK],0)),"")</f>
        <v/>
      </c>
      <c r="M148" s="125" t="e">
        <f>(((VLOOKUP(TableRBRanks[[#This Row],[Player]],'OVR &amp; VORP Ranks'!$I:$M,5,FALSE)))/('OVR &amp; VORP Ranks'!$BM$6))*(Settings!$E$10*TEAMS)</f>
        <v>#VALUE!</v>
      </c>
      <c r="O148">
        <v>147</v>
      </c>
      <c r="P148" t="str">
        <f>IFERROR(INDEX(TableWRCalcPts[PLAYER],MATCH(TableWRRanks[[#This Row],[RK]],TableWRCalcPts[RK],0)),"")</f>
        <v>KhaDarel Hodge</v>
      </c>
      <c r="Q148" t="str">
        <f>IFERROR(INDEX(TableWRCalcPts[TM],MATCH(TableWRRanks[[#This Row],[RK]],TableWRCalcPts[RK],0)),"")</f>
        <v>ATL</v>
      </c>
      <c r="R148">
        <f>IFERROR(INDEX(TableWRCalcPts[BYE],MATCH(TableWRRanks[[#This Row],[RK]],TableWRCalcPts[RK],0)),"")</f>
        <v>11</v>
      </c>
      <c r="S148" s="57">
        <f>IFERROR(INDEX(TableWRCalcPts[Custom],MATCH(TableWRRanks[[#This Row],[RK]],TableWRCalcPts[RK],0)),"")</f>
        <v>20.404002774355192</v>
      </c>
      <c r="T148" s="125">
        <f>(((VLOOKUP(TableWRRanks[[#This Row],[Player]],'OVR &amp; VORP Ranks'!$P:$T,5,FALSE)))/('OVR &amp; VORP Ranks'!$BM$6))*(Settings!$E$10*TEAMS)</f>
        <v>-40.119087008825716</v>
      </c>
    </row>
    <row r="149" spans="8:20" x14ac:dyDescent="0.2">
      <c r="H149">
        <v>148</v>
      </c>
      <c r="I149" t="str">
        <f>IFERROR(INDEX(TableRBCalcPts[PLAYER],MATCH(TableRBRanks[[#This Row],[RK]],TableRBCalcPts[RK],0)),"")</f>
        <v/>
      </c>
      <c r="J149" t="str">
        <f>IFERROR(INDEX(TableRBCalcPts[TM],MATCH(TableRBRanks[[#This Row],[RK]],TableRBCalcPts[RK],0)),"")</f>
        <v/>
      </c>
      <c r="K149" t="str">
        <f>IFERROR(INDEX(TableRBCalcPts[BYE],MATCH(TableRBRanks[[#This Row],[RK]],TableRBCalcPts[RK],0)),"")</f>
        <v/>
      </c>
      <c r="L149" s="57" t="str">
        <f>IFERROR(INDEX(TableRBCalcPts[Custom],MATCH(TableRBRanks[[#This Row],[RK]],TableRBCalcPts[RK],0)),"")</f>
        <v/>
      </c>
      <c r="M149" s="125" t="e">
        <f>(((VLOOKUP(TableRBRanks[[#This Row],[Player]],'OVR &amp; VORP Ranks'!$I:$M,5,FALSE)))/('OVR &amp; VORP Ranks'!$BM$6))*(Settings!$E$10*TEAMS)</f>
        <v>#VALUE!</v>
      </c>
      <c r="O149">
        <v>148</v>
      </c>
      <c r="P149" t="str">
        <f>IFERROR(INDEX(TableWRCalcPts[PLAYER],MATCH(TableWRRanks[[#This Row],[RK]],TableWRCalcPts[RK],0)),"")</f>
        <v>Jamari Thrash</v>
      </c>
      <c r="Q149" t="str">
        <f>IFERROR(INDEX(TableWRCalcPts[TM],MATCH(TableWRRanks[[#This Row],[RK]],TableWRCalcPts[RK],0)),"")</f>
        <v>CLE</v>
      </c>
      <c r="R149">
        <f>IFERROR(INDEX(TableWRCalcPts[BYE],MATCH(TableWRRanks[[#This Row],[RK]],TableWRCalcPts[RK],0)),"")</f>
        <v>5</v>
      </c>
      <c r="S149" s="57">
        <f>IFERROR(INDEX(TableWRCalcPts[Custom],MATCH(TableWRRanks[[#This Row],[RK]],TableWRCalcPts[RK],0)),"")</f>
        <v>20.346103978199999</v>
      </c>
      <c r="T149" s="125">
        <f>(((VLOOKUP(TableWRRanks[[#This Row],[Player]],'OVR &amp; VORP Ranks'!$P:$T,5,FALSE)))/('OVR &amp; VORP Ranks'!$BM$6))*(Settings!$E$10*TEAMS)</f>
        <v>-40.137819846206455</v>
      </c>
    </row>
    <row r="150" spans="8:20" x14ac:dyDescent="0.2">
      <c r="H150">
        <v>149</v>
      </c>
      <c r="I150" t="str">
        <f>IFERROR(INDEX(TableRBCalcPts[PLAYER],MATCH(TableRBRanks[[#This Row],[RK]],TableRBCalcPts[RK],0)),"")</f>
        <v/>
      </c>
      <c r="J150" t="str">
        <f>IFERROR(INDEX(TableRBCalcPts[TM],MATCH(TableRBRanks[[#This Row],[RK]],TableRBCalcPts[RK],0)),"")</f>
        <v/>
      </c>
      <c r="K150" t="str">
        <f>IFERROR(INDEX(TableRBCalcPts[BYE],MATCH(TableRBRanks[[#This Row],[RK]],TableRBCalcPts[RK],0)),"")</f>
        <v/>
      </c>
      <c r="L150" s="57" t="str">
        <f>IFERROR(INDEX(TableRBCalcPts[Custom],MATCH(TableRBRanks[[#This Row],[RK]],TableRBCalcPts[RK],0)),"")</f>
        <v/>
      </c>
      <c r="M150" s="125" t="e">
        <f>(((VLOOKUP(TableRBRanks[[#This Row],[Player]],'OVR &amp; VORP Ranks'!$I:$M,5,FALSE)))/('OVR &amp; VORP Ranks'!$BM$6))*(Settings!$E$10*TEAMS)</f>
        <v>#VALUE!</v>
      </c>
      <c r="O150">
        <v>149</v>
      </c>
      <c r="P150" t="str">
        <f>IFERROR(INDEX(TableWRCalcPts[PLAYER],MATCH(TableWRRanks[[#This Row],[RK]],TableWRCalcPts[RK],0)),"")</f>
        <v>Olamide Zaccheaus</v>
      </c>
      <c r="Q150" t="str">
        <f>IFERROR(INDEX(TableWRCalcPts[TM],MATCH(TableWRRanks[[#This Row],[RK]],TableWRCalcPts[RK],0)),"")</f>
        <v>WSH</v>
      </c>
      <c r="R150">
        <f>IFERROR(INDEX(TableWRCalcPts[BYE],MATCH(TableWRRanks[[#This Row],[RK]],TableWRCalcPts[RK],0)),"")</f>
        <v>14</v>
      </c>
      <c r="S150" s="57">
        <f>IFERROR(INDEX(TableWRCalcPts[Custom],MATCH(TableWRRanks[[#This Row],[RK]],TableWRCalcPts[RK],0)),"")</f>
        <v>19.369401620183996</v>
      </c>
      <c r="T150" s="125">
        <f>(((VLOOKUP(TableWRRanks[[#This Row],[Player]],'OVR &amp; VORP Ranks'!$P:$T,5,FALSE)))/('OVR &amp; VORP Ranks'!$BM$6))*(Settings!$E$10*TEAMS)</f>
        <v>-40.453826527814435</v>
      </c>
    </row>
    <row r="151" spans="8:20" x14ac:dyDescent="0.2">
      <c r="H151">
        <v>150</v>
      </c>
      <c r="I151" t="str">
        <f>IFERROR(INDEX(TableRBCalcPts[PLAYER],MATCH(TableRBRanks[[#This Row],[RK]],TableRBCalcPts[RK],0)),"")</f>
        <v/>
      </c>
      <c r="J151" t="str">
        <f>IFERROR(INDEX(TableRBCalcPts[TM],MATCH(TableRBRanks[[#This Row],[RK]],TableRBCalcPts[RK],0)),"")</f>
        <v/>
      </c>
      <c r="K151" t="str">
        <f>IFERROR(INDEX(TableRBCalcPts[BYE],MATCH(TableRBRanks[[#This Row],[RK]],TableRBCalcPts[RK],0)),"")</f>
        <v/>
      </c>
      <c r="L151" s="57" t="str">
        <f>IFERROR(INDEX(TableRBCalcPts[Custom],MATCH(TableRBRanks[[#This Row],[RK]],TableRBCalcPts[RK],0)),"")</f>
        <v/>
      </c>
      <c r="M151" s="125" t="e">
        <f>(((VLOOKUP(TableRBRanks[[#This Row],[Player]],'OVR &amp; VORP Ranks'!$I:$M,5,FALSE)))/('OVR &amp; VORP Ranks'!$BM$6))*(Settings!$E$10*TEAMS)</f>
        <v>#VALUE!</v>
      </c>
      <c r="O151">
        <v>150</v>
      </c>
      <c r="P151" t="str">
        <f>IFERROR(INDEX(TableWRCalcPts[PLAYER],MATCH(TableWRRanks[[#This Row],[RK]],TableWRCalcPts[RK],0)),"")</f>
        <v>Nick Westbrook-Ikhine</v>
      </c>
      <c r="Q151" t="str">
        <f>IFERROR(INDEX(TableWRCalcPts[TM],MATCH(TableWRRanks[[#This Row],[RK]],TableWRCalcPts[RK],0)),"")</f>
        <v>TEN</v>
      </c>
      <c r="R151">
        <f>IFERROR(INDEX(TableWRCalcPts[BYE],MATCH(TableWRRanks[[#This Row],[RK]],TableWRCalcPts[RK],0)),"")</f>
        <v>7</v>
      </c>
      <c r="S151" s="57">
        <f>IFERROR(INDEX(TableWRCalcPts[Custom],MATCH(TableWRRanks[[#This Row],[RK]],TableWRCalcPts[RK],0)),"")</f>
        <v>19.367230632749994</v>
      </c>
      <c r="T151" s="125">
        <f>(((VLOOKUP(TableWRRanks[[#This Row],[Player]],'OVR &amp; VORP Ranks'!$P:$T,5,FALSE)))/('OVR &amp; VORP Ranks'!$BM$6))*(Settings!$E$10*TEAMS)</f>
        <v>-40.454528938870574</v>
      </c>
    </row>
    <row r="152" spans="8:20" x14ac:dyDescent="0.2">
      <c r="H152">
        <v>151</v>
      </c>
      <c r="I152" t="str">
        <f>IFERROR(INDEX(TableRBCalcPts[PLAYER],MATCH(TableRBRanks[[#This Row],[RK]],TableRBCalcPts[RK],0)),"")</f>
        <v/>
      </c>
      <c r="J152" t="str">
        <f>IFERROR(INDEX(TableRBCalcPts[TM],MATCH(TableRBRanks[[#This Row],[RK]],TableRBCalcPts[RK],0)),"")</f>
        <v/>
      </c>
      <c r="K152" t="str">
        <f>IFERROR(INDEX(TableRBCalcPts[BYE],MATCH(TableRBRanks[[#This Row],[RK]],TableRBCalcPts[RK],0)),"")</f>
        <v/>
      </c>
      <c r="L152" s="57" t="str">
        <f>IFERROR(INDEX(TableRBCalcPts[Custom],MATCH(TableRBRanks[[#This Row],[RK]],TableRBCalcPts[RK],0)),"")</f>
        <v/>
      </c>
      <c r="M152" s="125" t="e">
        <f>(((VLOOKUP(TableRBRanks[[#This Row],[Player]],'OVR &amp; VORP Ranks'!$I:$M,5,FALSE)))/('OVR &amp; VORP Ranks'!$BM$6))*(Settings!$E$10*TEAMS)</f>
        <v>#VALUE!</v>
      </c>
      <c r="O152">
        <v>151</v>
      </c>
      <c r="P152" t="str">
        <f>IFERROR(INDEX(TableWRCalcPts[PLAYER],MATCH(TableWRRanks[[#This Row],[RK]],TableWRCalcPts[RK],0)),"")</f>
        <v>Isaiah McKenzie</v>
      </c>
      <c r="Q152" t="str">
        <f>IFERROR(INDEX(TableWRCalcPts[TM],MATCH(TableWRRanks[[#This Row],[RK]],TableWRCalcPts[RK],0)),"")</f>
        <v>NYG</v>
      </c>
      <c r="R152">
        <f>IFERROR(INDEX(TableWRCalcPts[BYE],MATCH(TableWRRanks[[#This Row],[RK]],TableWRCalcPts[RK],0)),"")</f>
        <v>13</v>
      </c>
      <c r="S152" s="57">
        <f>IFERROR(INDEX(TableWRCalcPts[Custom],MATCH(TableWRRanks[[#This Row],[RK]],TableWRCalcPts[RK],0)),"")</f>
        <v>18.749416291199992</v>
      </c>
      <c r="T152" s="125">
        <f>(((VLOOKUP(TableWRRanks[[#This Row],[Player]],'OVR &amp; VORP Ranks'!$P:$T,5,FALSE)))/('OVR &amp; VORP Ranks'!$BM$6))*(Settings!$E$10*TEAMS)</f>
        <v>-40.654419374601289</v>
      </c>
    </row>
    <row r="153" spans="8:20" x14ac:dyDescent="0.2">
      <c r="H153">
        <v>152</v>
      </c>
      <c r="I153" t="str">
        <f>IFERROR(INDEX(TableRBCalcPts[PLAYER],MATCH(TableRBRanks[[#This Row],[RK]],TableRBCalcPts[RK],0)),"")</f>
        <v/>
      </c>
      <c r="J153" t="str">
        <f>IFERROR(INDEX(TableRBCalcPts[TM],MATCH(TableRBRanks[[#This Row],[RK]],TableRBCalcPts[RK],0)),"")</f>
        <v/>
      </c>
      <c r="K153" t="str">
        <f>IFERROR(INDEX(TableRBCalcPts[BYE],MATCH(TableRBRanks[[#This Row],[RK]],TableRBCalcPts[RK],0)),"")</f>
        <v/>
      </c>
      <c r="L153" s="57" t="str">
        <f>IFERROR(INDEX(TableRBCalcPts[Custom],MATCH(TableRBRanks[[#This Row],[RK]],TableRBCalcPts[RK],0)),"")</f>
        <v/>
      </c>
      <c r="M153" s="125" t="e">
        <f>(((VLOOKUP(TableRBRanks[[#This Row],[Player]],'OVR &amp; VORP Ranks'!$I:$M,5,FALSE)))/('OVR &amp; VORP Ranks'!$BM$6))*(Settings!$E$10*TEAMS)</f>
        <v>#VALUE!</v>
      </c>
      <c r="O153">
        <v>152</v>
      </c>
      <c r="P153" t="str">
        <f>IFERROR(INDEX(TableWRCalcPts[PLAYER],MATCH(TableWRRanks[[#This Row],[RK]],TableWRCalcPts[RK],0)),"")</f>
        <v>Gunner Olszewski</v>
      </c>
      <c r="Q153" t="str">
        <f>IFERROR(INDEX(TableWRCalcPts[TM],MATCH(TableWRRanks[[#This Row],[RK]],TableWRCalcPts[RK],0)),"")</f>
        <v>NYG</v>
      </c>
      <c r="R153">
        <f>IFERROR(INDEX(TableWRCalcPts[BYE],MATCH(TableWRRanks[[#This Row],[RK]],TableWRCalcPts[RK],0)),"")</f>
        <v>13</v>
      </c>
      <c r="S153" s="57">
        <f>IFERROR(INDEX(TableWRCalcPts[Custom],MATCH(TableWRRanks[[#This Row],[RK]],TableWRCalcPts[RK],0)),"")</f>
        <v>18.156214419839991</v>
      </c>
      <c r="T153" s="125">
        <f>(((VLOOKUP(TableWRRanks[[#This Row],[Player]],'OVR &amp; VORP Ranks'!$P:$T,5,FALSE)))/('OVR &amp; VORP Ranks'!$BM$6))*(Settings!$E$10*TEAMS)</f>
        <v>-40.846346580831131</v>
      </c>
    </row>
    <row r="154" spans="8:20" x14ac:dyDescent="0.2">
      <c r="H154">
        <v>153</v>
      </c>
      <c r="I154" t="str">
        <f>IFERROR(INDEX(TableRBCalcPts[PLAYER],MATCH(TableRBRanks[[#This Row],[RK]],TableRBCalcPts[RK],0)),"")</f>
        <v/>
      </c>
      <c r="J154" t="str">
        <f>IFERROR(INDEX(TableRBCalcPts[TM],MATCH(TableRBRanks[[#This Row],[RK]],TableRBCalcPts[RK],0)),"")</f>
        <v/>
      </c>
      <c r="K154" t="str">
        <f>IFERROR(INDEX(TableRBCalcPts[BYE],MATCH(TableRBRanks[[#This Row],[RK]],TableRBCalcPts[RK],0)),"")</f>
        <v/>
      </c>
      <c r="L154" s="57" t="str">
        <f>IFERROR(INDEX(TableRBCalcPts[Custom],MATCH(TableRBRanks[[#This Row],[RK]],TableRBCalcPts[RK],0)),"")</f>
        <v/>
      </c>
      <c r="M154" s="125" t="e">
        <f>(((VLOOKUP(TableRBRanks[[#This Row],[Player]],'OVR &amp; VORP Ranks'!$I:$M,5,FALSE)))/('OVR &amp; VORP Ranks'!$BM$6))*(Settings!$E$10*TEAMS)</f>
        <v>#VALUE!</v>
      </c>
      <c r="O154">
        <v>153</v>
      </c>
      <c r="P154" t="str">
        <f>IFERROR(INDEX(TableWRCalcPts[PLAYER],MATCH(TableWRRanks[[#This Row],[RK]],TableWRCalcPts[RK],0)),"")</f>
        <v>Kyle Philips</v>
      </c>
      <c r="Q154" t="str">
        <f>IFERROR(INDEX(TableWRCalcPts[TM],MATCH(TableWRRanks[[#This Row],[RK]],TableWRCalcPts[RK],0)),"")</f>
        <v>TEN</v>
      </c>
      <c r="R154">
        <f>IFERROR(INDEX(TableWRCalcPts[BYE],MATCH(TableWRRanks[[#This Row],[RK]],TableWRCalcPts[RK],0)),"")</f>
        <v>7</v>
      </c>
      <c r="S154" s="57">
        <f>IFERROR(INDEX(TableWRCalcPts[Custom],MATCH(TableWRRanks[[#This Row],[RK]],TableWRCalcPts[RK],0)),"")</f>
        <v>17.676948944654995</v>
      </c>
      <c r="T154" s="125">
        <f>(((VLOOKUP(TableWRRanks[[#This Row],[Player]],'OVR &amp; VORP Ranks'!$P:$T,5,FALSE)))/('OVR &amp; VORP Ranks'!$BM$6))*(Settings!$E$10*TEAMS)</f>
        <v>-41.001410292083072</v>
      </c>
    </row>
    <row r="155" spans="8:20" x14ac:dyDescent="0.2">
      <c r="H155">
        <v>154</v>
      </c>
      <c r="I155" t="str">
        <f>IFERROR(INDEX(TableRBCalcPts[PLAYER],MATCH(TableRBRanks[[#This Row],[RK]],TableRBCalcPts[RK],0)),"")</f>
        <v/>
      </c>
      <c r="J155" t="str">
        <f>IFERROR(INDEX(TableRBCalcPts[TM],MATCH(TableRBRanks[[#This Row],[RK]],TableRBCalcPts[RK],0)),"")</f>
        <v/>
      </c>
      <c r="K155" t="str">
        <f>IFERROR(INDEX(TableRBCalcPts[BYE],MATCH(TableRBRanks[[#This Row],[RK]],TableRBCalcPts[RK],0)),"")</f>
        <v/>
      </c>
      <c r="L155" s="57" t="str">
        <f>IFERROR(INDEX(TableRBCalcPts[Custom],MATCH(TableRBRanks[[#This Row],[RK]],TableRBCalcPts[RK],0)),"")</f>
        <v/>
      </c>
      <c r="M155" s="125" t="e">
        <f>(((VLOOKUP(TableRBRanks[[#This Row],[Player]],'OVR &amp; VORP Ranks'!$I:$M,5,FALSE)))/('OVR &amp; VORP Ranks'!$BM$6))*(Settings!$E$10*TEAMS)</f>
        <v>#VALUE!</v>
      </c>
      <c r="O155">
        <v>154</v>
      </c>
      <c r="P155" t="str">
        <f>IFERROR(INDEX(TableWRCalcPts[PLAYER],MATCH(TableWRRanks[[#This Row],[RK]],TableWRCalcPts[RK],0)),"")</f>
        <v>Quez Watkins</v>
      </c>
      <c r="Q155" t="str">
        <f>IFERROR(INDEX(TableWRCalcPts[TM],MATCH(TableWRRanks[[#This Row],[RK]],TableWRCalcPts[RK],0)),"")</f>
        <v>PIT</v>
      </c>
      <c r="R155">
        <f>IFERROR(INDEX(TableWRCalcPts[BYE],MATCH(TableWRRanks[[#This Row],[RK]],TableWRCalcPts[RK],0)),"")</f>
        <v>6</v>
      </c>
      <c r="S155" s="57">
        <f>IFERROR(INDEX(TableWRCalcPts[Custom],MATCH(TableWRRanks[[#This Row],[RK]],TableWRCalcPts[RK],0)),"")</f>
        <v>16.962358077000001</v>
      </c>
      <c r="T155" s="125">
        <f>(((VLOOKUP(TableWRRanks[[#This Row],[Player]],'OVR &amp; VORP Ranks'!$P:$T,5,FALSE)))/('OVR &amp; VORP Ranks'!$BM$6))*(Settings!$E$10*TEAMS)</f>
        <v>-41.232612241112584</v>
      </c>
    </row>
    <row r="156" spans="8:20" x14ac:dyDescent="0.2">
      <c r="H156">
        <v>155</v>
      </c>
      <c r="I156" t="str">
        <f>IFERROR(INDEX(TableRBCalcPts[PLAYER],MATCH(TableRBRanks[[#This Row],[RK]],TableRBCalcPts[RK],0)),"")</f>
        <v/>
      </c>
      <c r="J156" t="str">
        <f>IFERROR(INDEX(TableRBCalcPts[TM],MATCH(TableRBRanks[[#This Row],[RK]],TableRBCalcPts[RK],0)),"")</f>
        <v/>
      </c>
      <c r="K156" t="str">
        <f>IFERROR(INDEX(TableRBCalcPts[BYE],MATCH(TableRBRanks[[#This Row],[RK]],TableRBCalcPts[RK],0)),"")</f>
        <v/>
      </c>
      <c r="L156" s="57" t="str">
        <f>IFERROR(INDEX(TableRBCalcPts[Custom],MATCH(TableRBRanks[[#This Row],[RK]],TableRBCalcPts[RK],0)),"")</f>
        <v/>
      </c>
      <c r="M156" s="125" t="e">
        <f>(((VLOOKUP(TableRBRanks[[#This Row],[Player]],'OVR &amp; VORP Ranks'!$I:$M,5,FALSE)))/('OVR &amp; VORP Ranks'!$BM$6))*(Settings!$E$10*TEAMS)</f>
        <v>#VALUE!</v>
      </c>
      <c r="O156">
        <v>155</v>
      </c>
      <c r="P156" t="str">
        <f>IFERROR(INDEX(TableWRCalcPts[PLAYER],MATCH(TableWRRanks[[#This Row],[RK]],TableWRCalcPts[RK],0)),"")</f>
        <v>Jordan Whittington</v>
      </c>
      <c r="Q156" t="str">
        <f>IFERROR(INDEX(TableWRCalcPts[TM],MATCH(TableWRRanks[[#This Row],[RK]],TableWRCalcPts[RK],0)),"")</f>
        <v>LAR</v>
      </c>
      <c r="R156">
        <f>IFERROR(INDEX(TableWRCalcPts[BYE],MATCH(TableWRRanks[[#This Row],[RK]],TableWRCalcPts[RK],0)),"")</f>
        <v>10</v>
      </c>
      <c r="S156" s="57">
        <f>IFERROR(INDEX(TableWRCalcPts[Custom],MATCH(TableWRRanks[[#This Row],[RK]],TableWRCalcPts[RK],0)),"")</f>
        <v>15.955668457276795</v>
      </c>
      <c r="T156" s="125">
        <f>(((VLOOKUP(TableWRRanks[[#This Row],[Player]],'OVR &amp; VORP Ranks'!$P:$T,5,FALSE)))/('OVR &amp; VORP Ranks'!$BM$6))*(Settings!$E$10*TEAMS)</f>
        <v>-41.558321136485908</v>
      </c>
    </row>
    <row r="157" spans="8:20" x14ac:dyDescent="0.2">
      <c r="H157">
        <v>156</v>
      </c>
      <c r="I157" t="str">
        <f>IFERROR(INDEX(TableRBCalcPts[PLAYER],MATCH(TableRBRanks[[#This Row],[RK]],TableRBCalcPts[RK],0)),"")</f>
        <v/>
      </c>
      <c r="J157" t="str">
        <f>IFERROR(INDEX(TableRBCalcPts[TM],MATCH(TableRBRanks[[#This Row],[RK]],TableRBCalcPts[RK],0)),"")</f>
        <v/>
      </c>
      <c r="K157" t="str">
        <f>IFERROR(INDEX(TableRBCalcPts[BYE],MATCH(TableRBRanks[[#This Row],[RK]],TableRBCalcPts[RK],0)),"")</f>
        <v/>
      </c>
      <c r="L157" s="57" t="str">
        <f>IFERROR(INDEX(TableRBCalcPts[Custom],MATCH(TableRBRanks[[#This Row],[RK]],TableRBCalcPts[RK],0)),"")</f>
        <v/>
      </c>
      <c r="M157" s="125" t="e">
        <f>(((VLOOKUP(TableRBRanks[[#This Row],[Player]],'OVR &amp; VORP Ranks'!$I:$M,5,FALSE)))/('OVR &amp; VORP Ranks'!$BM$6))*(Settings!$E$10*TEAMS)</f>
        <v>#VALUE!</v>
      </c>
      <c r="O157">
        <v>156</v>
      </c>
      <c r="P157" t="str">
        <f>IFERROR(INDEX(TableWRCalcPts[PLAYER],MATCH(TableWRRanks[[#This Row],[RK]],TableWRCalcPts[RK],0)),"")</f>
        <v>Parris Campbell</v>
      </c>
      <c r="Q157" t="str">
        <f>IFERROR(INDEX(TableWRCalcPts[TM],MATCH(TableWRRanks[[#This Row],[RK]],TableWRCalcPts[RK],0)),"")</f>
        <v>PHI</v>
      </c>
      <c r="R157">
        <f>IFERROR(INDEX(TableWRCalcPts[BYE],MATCH(TableWRRanks[[#This Row],[RK]],TableWRCalcPts[RK],0)),"")</f>
        <v>10</v>
      </c>
      <c r="S157" s="57">
        <f>IFERROR(INDEX(TableWRCalcPts[Custom],MATCH(TableWRRanks[[#This Row],[RK]],TableWRCalcPts[RK],0)),"")</f>
        <v>15.950864272896006</v>
      </c>
      <c r="T157" s="125">
        <f>(((VLOOKUP(TableWRRanks[[#This Row],[Player]],'OVR &amp; VORP Ranks'!$P:$T,5,FALSE)))/('OVR &amp; VORP Ranks'!$BM$6))*(Settings!$E$10*TEAMS)</f>
        <v>-41.559875503946529</v>
      </c>
    </row>
    <row r="158" spans="8:20" x14ac:dyDescent="0.2">
      <c r="H158">
        <v>157</v>
      </c>
      <c r="I158" t="str">
        <f>IFERROR(INDEX(TableRBCalcPts[PLAYER],MATCH(TableRBRanks[[#This Row],[RK]],TableRBCalcPts[RK],0)),"")</f>
        <v/>
      </c>
      <c r="J158" t="str">
        <f>IFERROR(INDEX(TableRBCalcPts[TM],MATCH(TableRBRanks[[#This Row],[RK]],TableRBCalcPts[RK],0)),"")</f>
        <v/>
      </c>
      <c r="K158" t="str">
        <f>IFERROR(INDEX(TableRBCalcPts[BYE],MATCH(TableRBRanks[[#This Row],[RK]],TableRBCalcPts[RK],0)),"")</f>
        <v/>
      </c>
      <c r="L158" s="57" t="str">
        <f>IFERROR(INDEX(TableRBCalcPts[Custom],MATCH(TableRBRanks[[#This Row],[RK]],TableRBCalcPts[RK],0)),"")</f>
        <v/>
      </c>
      <c r="M158" s="125" t="e">
        <f>(((VLOOKUP(TableRBRanks[[#This Row],[Player]],'OVR &amp; VORP Ranks'!$I:$M,5,FALSE)))/('OVR &amp; VORP Ranks'!$BM$6))*(Settings!$E$10*TEAMS)</f>
        <v>#VALUE!</v>
      </c>
      <c r="O158">
        <v>157</v>
      </c>
      <c r="P158" t="str">
        <f>IFERROR(INDEX(TableWRCalcPts[PLAYER],MATCH(TableWRRanks[[#This Row],[RK]],TableWRCalcPts[RK],0)),"")</f>
        <v>Braxton Berrios</v>
      </c>
      <c r="Q158" t="str">
        <f>IFERROR(INDEX(TableWRCalcPts[TM],MATCH(TableWRRanks[[#This Row],[RK]],TableWRCalcPts[RK],0)),"")</f>
        <v>MIA</v>
      </c>
      <c r="R158">
        <f>IFERROR(INDEX(TableWRCalcPts[BYE],MATCH(TableWRRanks[[#This Row],[RK]],TableWRCalcPts[RK],0)),"")</f>
        <v>10</v>
      </c>
      <c r="S158" s="57">
        <f>IFERROR(INDEX(TableWRCalcPts[Custom],MATCH(TableWRRanks[[#This Row],[RK]],TableWRCalcPts[RK],0)),"")</f>
        <v>15.83091216</v>
      </c>
      <c r="T158" s="125">
        <f>(((VLOOKUP(TableWRRanks[[#This Row],[Player]],'OVR &amp; VORP Ranks'!$P:$T,5,FALSE)))/('OVR &amp; VORP Ranks'!$BM$6))*(Settings!$E$10*TEAMS)</f>
        <v>-41.598685351017174</v>
      </c>
    </row>
    <row r="159" spans="8:20" x14ac:dyDescent="0.2">
      <c r="H159">
        <v>158</v>
      </c>
      <c r="I159" t="str">
        <f>IFERROR(INDEX(TableRBCalcPts[PLAYER],MATCH(TableRBRanks[[#This Row],[RK]],TableRBCalcPts[RK],0)),"")</f>
        <v/>
      </c>
      <c r="J159" t="str">
        <f>IFERROR(INDEX(TableRBCalcPts[TM],MATCH(TableRBRanks[[#This Row],[RK]],TableRBCalcPts[RK],0)),"")</f>
        <v/>
      </c>
      <c r="K159" t="str">
        <f>IFERROR(INDEX(TableRBCalcPts[BYE],MATCH(TableRBRanks[[#This Row],[RK]],TableRBCalcPts[RK],0)),"")</f>
        <v/>
      </c>
      <c r="L159" s="57" t="str">
        <f>IFERROR(INDEX(TableRBCalcPts[Custom],MATCH(TableRBRanks[[#This Row],[RK]],TableRBCalcPts[RK],0)),"")</f>
        <v/>
      </c>
      <c r="M159" s="125" t="e">
        <f>(((VLOOKUP(TableRBRanks[[#This Row],[Player]],'OVR &amp; VORP Ranks'!$I:$M,5,FALSE)))/('OVR &amp; VORP Ranks'!$BM$6))*(Settings!$E$10*TEAMS)</f>
        <v>#VALUE!</v>
      </c>
      <c r="O159">
        <v>158</v>
      </c>
      <c r="P159" t="str">
        <f>IFERROR(INDEX(TableWRCalcPts[PLAYER],MATCH(TableWRRanks[[#This Row],[RK]],TableWRCalcPts[RK],0)),"")</f>
        <v>Bub Means</v>
      </c>
      <c r="Q159" t="str">
        <f>IFERROR(INDEX(TableWRCalcPts[TM],MATCH(TableWRRanks[[#This Row],[RK]],TableWRCalcPts[RK],0)),"")</f>
        <v>NO</v>
      </c>
      <c r="R159">
        <f>IFERROR(INDEX(TableWRCalcPts[BYE],MATCH(TableWRRanks[[#This Row],[RK]],TableWRCalcPts[RK],0)),"")</f>
        <v>11</v>
      </c>
      <c r="S159" s="57">
        <f>IFERROR(INDEX(TableWRCalcPts[Custom],MATCH(TableWRRanks[[#This Row],[RK]],TableWRCalcPts[RK],0)),"")</f>
        <v>15.27545624248336</v>
      </c>
      <c r="T159" s="125">
        <f>(((VLOOKUP(TableWRRanks[[#This Row],[Player]],'OVR &amp; VORP Ranks'!$P:$T,5,FALSE)))/('OVR &amp; VORP Ranks'!$BM$6))*(Settings!$E$10*TEAMS)</f>
        <v>-41.778400061269842</v>
      </c>
    </row>
    <row r="160" spans="8:20" x14ac:dyDescent="0.2">
      <c r="H160">
        <v>159</v>
      </c>
      <c r="I160" t="str">
        <f>IFERROR(INDEX(TableRBCalcPts[PLAYER],MATCH(TableRBRanks[[#This Row],[RK]],TableRBCalcPts[RK],0)),"")</f>
        <v/>
      </c>
      <c r="J160" t="str">
        <f>IFERROR(INDEX(TableRBCalcPts[TM],MATCH(TableRBRanks[[#This Row],[RK]],TableRBCalcPts[RK],0)),"")</f>
        <v/>
      </c>
      <c r="K160" t="str">
        <f>IFERROR(INDEX(TableRBCalcPts[BYE],MATCH(TableRBRanks[[#This Row],[RK]],TableRBCalcPts[RK],0)),"")</f>
        <v/>
      </c>
      <c r="L160" s="57" t="str">
        <f>IFERROR(INDEX(TableRBCalcPts[Custom],MATCH(TableRBRanks[[#This Row],[RK]],TableRBCalcPts[RK],0)),"")</f>
        <v/>
      </c>
      <c r="M160" s="125" t="e">
        <f>(((VLOOKUP(TableRBRanks[[#This Row],[Player]],'OVR &amp; VORP Ranks'!$I:$M,5,FALSE)))/('OVR &amp; VORP Ranks'!$BM$6))*(Settings!$E$10*TEAMS)</f>
        <v>#VALUE!</v>
      </c>
      <c r="O160">
        <v>159</v>
      </c>
      <c r="P160" t="str">
        <f>IFERROR(INDEX(TableWRCalcPts[PLAYER],MATCH(TableWRRanks[[#This Row],[RK]],TableWRCalcPts[RK],0)),"")</f>
        <v>Ronnie Bell</v>
      </c>
      <c r="Q160" t="str">
        <f>IFERROR(INDEX(TableWRCalcPts[TM],MATCH(TableWRRanks[[#This Row],[RK]],TableWRCalcPts[RK],0)),"")</f>
        <v>SF</v>
      </c>
      <c r="R160">
        <f>IFERROR(INDEX(TableWRCalcPts[BYE],MATCH(TableWRRanks[[#This Row],[RK]],TableWRCalcPts[RK],0)),"")</f>
        <v>9</v>
      </c>
      <c r="S160" s="57">
        <f>IFERROR(INDEX(TableWRCalcPts[Custom],MATCH(TableWRRanks[[#This Row],[RK]],TableWRCalcPts[RK],0)),"")</f>
        <v>14.516737290770401</v>
      </c>
      <c r="T160" s="125">
        <f>(((VLOOKUP(TableWRRanks[[#This Row],[Player]],'OVR &amp; VORP Ranks'!$P:$T,5,FALSE)))/('OVR &amp; VORP Ranks'!$BM$6))*(Settings!$E$10*TEAMS)</f>
        <v>-42.023879409441911</v>
      </c>
    </row>
    <row r="161" spans="8:20" x14ac:dyDescent="0.2">
      <c r="H161">
        <v>160</v>
      </c>
      <c r="I161" t="str">
        <f>IFERROR(INDEX(TableRBCalcPts[PLAYER],MATCH(TableRBRanks[[#This Row],[RK]],TableRBCalcPts[RK],0)),"")</f>
        <v/>
      </c>
      <c r="J161" t="str">
        <f>IFERROR(INDEX(TableRBCalcPts[TM],MATCH(TableRBRanks[[#This Row],[RK]],TableRBCalcPts[RK],0)),"")</f>
        <v/>
      </c>
      <c r="K161" t="str">
        <f>IFERROR(INDEX(TableRBCalcPts[BYE],MATCH(TableRBRanks[[#This Row],[RK]],TableRBCalcPts[RK],0)),"")</f>
        <v/>
      </c>
      <c r="L161" s="57" t="str">
        <f>IFERROR(INDEX(TableRBCalcPts[Custom],MATCH(TableRBRanks[[#This Row],[RK]],TableRBCalcPts[RK],0)),"")</f>
        <v/>
      </c>
      <c r="M161" s="125" t="e">
        <f>(((VLOOKUP(TableRBRanks[[#This Row],[Player]],'OVR &amp; VORP Ranks'!$I:$M,5,FALSE)))/('OVR &amp; VORP Ranks'!$BM$6))*(Settings!$E$10*TEAMS)</f>
        <v>#VALUE!</v>
      </c>
      <c r="O161">
        <v>160</v>
      </c>
      <c r="P161" t="str">
        <f>IFERROR(INDEX(TableWRCalcPts[PLAYER],MATCH(TableWRRanks[[#This Row],[RK]],TableWRCalcPts[RK],0)),"")</f>
        <v>Trent Sherfield</v>
      </c>
      <c r="Q161" t="str">
        <f>IFERROR(INDEX(TableWRCalcPts[TM],MATCH(TableWRRanks[[#This Row],[RK]],TableWRCalcPts[RK],0)),"")</f>
        <v>MIN</v>
      </c>
      <c r="R161">
        <f>IFERROR(INDEX(TableWRCalcPts[BYE],MATCH(TableWRRanks[[#This Row],[RK]],TableWRCalcPts[RK],0)),"")</f>
        <v>13</v>
      </c>
      <c r="S161" s="57">
        <f>IFERROR(INDEX(TableWRCalcPts[Custom],MATCH(TableWRRanks[[#This Row],[RK]],TableWRCalcPts[RK],0)),"")</f>
        <v>14.387896891199997</v>
      </c>
      <c r="T161" s="125">
        <f>(((VLOOKUP(TableWRRanks[[#This Row],[Player]],'OVR &amp; VORP Ranks'!$P:$T,5,FALSE)))/('OVR &amp; VORP Ranks'!$BM$6))*(Settings!$E$10*TEAMS)</f>
        <v>-42.065565012830845</v>
      </c>
    </row>
    <row r="162" spans="8:20" x14ac:dyDescent="0.2">
      <c r="H162">
        <v>161</v>
      </c>
      <c r="I162" t="str">
        <f>IFERROR(INDEX(TableRBCalcPts[PLAYER],MATCH(TableRBRanks[[#This Row],[RK]],TableRBCalcPts[RK],0)),"")</f>
        <v/>
      </c>
      <c r="J162" t="str">
        <f>IFERROR(INDEX(TableRBCalcPts[TM],MATCH(TableRBRanks[[#This Row],[RK]],TableRBCalcPts[RK],0)),"")</f>
        <v/>
      </c>
      <c r="K162" t="str">
        <f>IFERROR(INDEX(TableRBCalcPts[BYE],MATCH(TableRBRanks[[#This Row],[RK]],TableRBCalcPts[RK],0)),"")</f>
        <v/>
      </c>
      <c r="L162" s="57" t="str">
        <f>IFERROR(INDEX(TableRBCalcPts[Custom],MATCH(TableRBRanks[[#This Row],[RK]],TableRBCalcPts[RK],0)),"")</f>
        <v/>
      </c>
      <c r="M162" s="125" t="e">
        <f>(((VLOOKUP(TableRBRanks[[#This Row],[Player]],'OVR &amp; VORP Ranks'!$I:$M,5,FALSE)))/('OVR &amp; VORP Ranks'!$BM$6))*(Settings!$E$10*TEAMS)</f>
        <v>#VALUE!</v>
      </c>
      <c r="O162">
        <v>161</v>
      </c>
      <c r="P162" t="str">
        <f>IFERROR(INDEX(TableWRCalcPts[PLAYER],MATCH(TableWRRanks[[#This Row],[RK]],TableWRCalcPts[RK],0)),"")</f>
        <v>Velus Jones</v>
      </c>
      <c r="Q162" t="str">
        <f>IFERROR(INDEX(TableWRCalcPts[TM],MATCH(TableWRRanks[[#This Row],[RK]],TableWRCalcPts[RK],0)),"")</f>
        <v>CHI</v>
      </c>
      <c r="R162">
        <f>IFERROR(INDEX(TableWRCalcPts[BYE],MATCH(TableWRRanks[[#This Row],[RK]],TableWRCalcPts[RK],0)),"")</f>
        <v>13</v>
      </c>
      <c r="S162" s="57">
        <f>IFERROR(INDEX(TableWRCalcPts[Custom],MATCH(TableWRRanks[[#This Row],[RK]],TableWRCalcPts[RK],0)),"")</f>
        <v>14.333452842239994</v>
      </c>
      <c r="T162" s="125">
        <f>(((VLOOKUP(TableWRRanks[[#This Row],[Player]],'OVR &amp; VORP Ranks'!$P:$T,5,FALSE)))/('OVR &amp; VORP Ranks'!$BM$6))*(Settings!$E$10*TEAMS)</f>
        <v>-42.083180085738107</v>
      </c>
    </row>
    <row r="163" spans="8:20" x14ac:dyDescent="0.2">
      <c r="H163">
        <v>162</v>
      </c>
      <c r="I163" t="str">
        <f>IFERROR(INDEX(TableRBCalcPts[PLAYER],MATCH(TableRBRanks[[#This Row],[RK]],TableRBCalcPts[RK],0)),"")</f>
        <v/>
      </c>
      <c r="J163" t="str">
        <f>IFERROR(INDEX(TableRBCalcPts[TM],MATCH(TableRBRanks[[#This Row],[RK]],TableRBCalcPts[RK],0)),"")</f>
        <v/>
      </c>
      <c r="K163" t="str">
        <f>IFERROR(INDEX(TableRBCalcPts[BYE],MATCH(TableRBRanks[[#This Row],[RK]],TableRBCalcPts[RK],0)),"")</f>
        <v/>
      </c>
      <c r="L163" s="57" t="str">
        <f>IFERROR(INDEX(TableRBCalcPts[Custom],MATCH(TableRBRanks[[#This Row],[RK]],TableRBCalcPts[RK],0)),"")</f>
        <v/>
      </c>
      <c r="M163" s="125" t="e">
        <f>(((VLOOKUP(TableRBRanks[[#This Row],[Player]],'OVR &amp; VORP Ranks'!$I:$M,5,FALSE)))/('OVR &amp; VORP Ranks'!$BM$6))*(Settings!$E$10*TEAMS)</f>
        <v>#VALUE!</v>
      </c>
      <c r="O163">
        <v>162</v>
      </c>
      <c r="P163" t="str">
        <f>IFERROR(INDEX(TableWRCalcPts[PLAYER],MATCH(TableWRRanks[[#This Row],[RK]],TableWRCalcPts[RK],0)),"")</f>
        <v>Xavier Hutchinson</v>
      </c>
      <c r="Q163" t="str">
        <f>IFERROR(INDEX(TableWRCalcPts[TM],MATCH(TableWRRanks[[#This Row],[RK]],TableWRCalcPts[RK],0)),"")</f>
        <v>HOU</v>
      </c>
      <c r="R163">
        <f>IFERROR(INDEX(TableWRCalcPts[BYE],MATCH(TableWRRanks[[#This Row],[RK]],TableWRCalcPts[RK],0)),"")</f>
        <v>7</v>
      </c>
      <c r="S163" s="57">
        <f>IFERROR(INDEX(TableWRCalcPts[Custom],MATCH(TableWRRanks[[#This Row],[RK]],TableWRCalcPts[RK],0)),"")</f>
        <v>14.164159959040003</v>
      </c>
      <c r="T163" s="125">
        <f>(((VLOOKUP(TableWRRanks[[#This Row],[Player]],'OVR &amp; VORP Ranks'!$P:$T,5,FALSE)))/('OVR &amp; VORP Ranks'!$BM$6))*(Settings!$E$10*TEAMS)</f>
        <v>-42.137953867945974</v>
      </c>
    </row>
    <row r="164" spans="8:20" x14ac:dyDescent="0.2">
      <c r="H164">
        <v>163</v>
      </c>
      <c r="I164" t="str">
        <f>IFERROR(INDEX(TableRBCalcPts[PLAYER],MATCH(TableRBRanks[[#This Row],[RK]],TableRBCalcPts[RK],0)),"")</f>
        <v/>
      </c>
      <c r="J164" t="str">
        <f>IFERROR(INDEX(TableRBCalcPts[TM],MATCH(TableRBRanks[[#This Row],[RK]],TableRBCalcPts[RK],0)),"")</f>
        <v/>
      </c>
      <c r="K164" t="str">
        <f>IFERROR(INDEX(TableRBCalcPts[BYE],MATCH(TableRBRanks[[#This Row],[RK]],TableRBCalcPts[RK],0)),"")</f>
        <v/>
      </c>
      <c r="L164" s="57" t="str">
        <f>IFERROR(INDEX(TableRBCalcPts[Custom],MATCH(TableRBRanks[[#This Row],[RK]],TableRBCalcPts[RK],0)),"")</f>
        <v/>
      </c>
      <c r="M164" s="125" t="e">
        <f>(((VLOOKUP(TableRBRanks[[#This Row],[Player]],'OVR &amp; VORP Ranks'!$I:$M,5,FALSE)))/('OVR &amp; VORP Ranks'!$BM$6))*(Settings!$E$10*TEAMS)</f>
        <v>#VALUE!</v>
      </c>
      <c r="O164">
        <v>163</v>
      </c>
      <c r="P164" t="str">
        <f>IFERROR(INDEX(TableWRCalcPts[PLAYER],MATCH(TableWRRanks[[#This Row],[RK]],TableWRCalcPts[RK],0)),"")</f>
        <v>Tahj Washington</v>
      </c>
      <c r="Q164" t="str">
        <f>IFERROR(INDEX(TableWRCalcPts[TM],MATCH(TableWRRanks[[#This Row],[RK]],TableWRCalcPts[RK],0)),"")</f>
        <v>MIA</v>
      </c>
      <c r="R164">
        <f>IFERROR(INDEX(TableWRCalcPts[BYE],MATCH(TableWRRanks[[#This Row],[RK]],TableWRCalcPts[RK],0)),"")</f>
        <v>10</v>
      </c>
      <c r="S164" s="57">
        <f>IFERROR(INDEX(TableWRCalcPts[Custom],MATCH(TableWRRanks[[#This Row],[RK]],TableWRCalcPts[RK],0)),"")</f>
        <v>14.071921919999998</v>
      </c>
      <c r="T164" s="125">
        <f>(((VLOOKUP(TableWRRanks[[#This Row],[Player]],'OVR &amp; VORP Ranks'!$P:$T,5,FALSE)))/('OVR &amp; VORP Ranks'!$BM$6))*(Settings!$E$10*TEAMS)</f>
        <v>-42.167796978690859</v>
      </c>
    </row>
    <row r="165" spans="8:20" x14ac:dyDescent="0.2">
      <c r="H165">
        <v>164</v>
      </c>
      <c r="I165" t="str">
        <f>IFERROR(INDEX(TableRBCalcPts[PLAYER],MATCH(TableRBRanks[[#This Row],[RK]],TableRBCalcPts[RK],0)),"")</f>
        <v/>
      </c>
      <c r="J165" t="str">
        <f>IFERROR(INDEX(TableRBCalcPts[TM],MATCH(TableRBRanks[[#This Row],[RK]],TableRBCalcPts[RK],0)),"")</f>
        <v/>
      </c>
      <c r="K165" t="str">
        <f>IFERROR(INDEX(TableRBCalcPts[BYE],MATCH(TableRBRanks[[#This Row],[RK]],TableRBCalcPts[RK],0)),"")</f>
        <v/>
      </c>
      <c r="L165" s="57" t="str">
        <f>IFERROR(INDEX(TableRBCalcPts[Custom],MATCH(TableRBRanks[[#This Row],[RK]],TableRBCalcPts[RK],0)),"")</f>
        <v/>
      </c>
      <c r="M165" s="125" t="e">
        <f>(((VLOOKUP(TableRBRanks[[#This Row],[Player]],'OVR &amp; VORP Ranks'!$I:$M,5,FALSE)))/('OVR &amp; VORP Ranks'!$BM$6))*(Settings!$E$10*TEAMS)</f>
        <v>#VALUE!</v>
      </c>
      <c r="O165">
        <v>164</v>
      </c>
      <c r="P165" t="str">
        <f>IFERROR(INDEX(TableWRCalcPts[PLAYER],MATCH(TableWRRanks[[#This Row],[RK]],TableWRCalcPts[RK],0)),"")</f>
        <v>Zach Pascal</v>
      </c>
      <c r="Q165" t="str">
        <f>IFERROR(INDEX(TableWRCalcPts[TM],MATCH(TableWRRanks[[#This Row],[RK]],TableWRCalcPts[RK],0)),"")</f>
        <v>ARI</v>
      </c>
      <c r="R165">
        <f>IFERROR(INDEX(TableWRCalcPts[BYE],MATCH(TableWRRanks[[#This Row],[RK]],TableWRCalcPts[RK],0)),"")</f>
        <v>14</v>
      </c>
      <c r="S165" s="57">
        <f>IFERROR(INDEX(TableWRCalcPts[Custom],MATCH(TableWRRanks[[#This Row],[RK]],TableWRCalcPts[RK],0)),"")</f>
        <v>13.635885183900001</v>
      </c>
      <c r="T165" s="125">
        <f>(((VLOOKUP(TableWRRanks[[#This Row],[Player]],'OVR &amp; VORP Ranks'!$P:$T,5,FALSE)))/('OVR &amp; VORP Ranks'!$BM$6))*(Settings!$E$10*TEAMS)</f>
        <v>-42.308874268924939</v>
      </c>
    </row>
    <row r="166" spans="8:20" x14ac:dyDescent="0.2">
      <c r="H166">
        <v>165</v>
      </c>
      <c r="I166" t="str">
        <f>IFERROR(INDEX(TableRBCalcPts[PLAYER],MATCH(TableRBRanks[[#This Row],[RK]],TableRBCalcPts[RK],0)),"")</f>
        <v/>
      </c>
      <c r="J166" t="str">
        <f>IFERROR(INDEX(TableRBCalcPts[TM],MATCH(TableRBRanks[[#This Row],[RK]],TableRBCalcPts[RK],0)),"")</f>
        <v/>
      </c>
      <c r="K166" t="str">
        <f>IFERROR(INDEX(TableRBCalcPts[BYE],MATCH(TableRBRanks[[#This Row],[RK]],TableRBCalcPts[RK],0)),"")</f>
        <v/>
      </c>
      <c r="L166" s="57" t="str">
        <f>IFERROR(INDEX(TableRBCalcPts[Custom],MATCH(TableRBRanks[[#This Row],[RK]],TableRBCalcPts[RK],0)),"")</f>
        <v/>
      </c>
      <c r="M166" s="125" t="e">
        <f>(((VLOOKUP(TableRBRanks[[#This Row],[Player]],'OVR &amp; VORP Ranks'!$I:$M,5,FALSE)))/('OVR &amp; VORP Ranks'!$BM$6))*(Settings!$E$10*TEAMS)</f>
        <v>#VALUE!</v>
      </c>
      <c r="O166">
        <v>165</v>
      </c>
      <c r="P166" t="str">
        <f>IFERROR(INDEX(TableWRCalcPts[PLAYER],MATCH(TableWRRanks[[#This Row],[RK]],TableWRCalcPts[RK],0)),"")</f>
        <v>Tim Jones</v>
      </c>
      <c r="Q166" t="str">
        <f>IFERROR(INDEX(TableWRCalcPts[TM],MATCH(TableWRRanks[[#This Row],[RK]],TableWRCalcPts[RK],0)),"")</f>
        <v>JAX</v>
      </c>
      <c r="R166">
        <f>IFERROR(INDEX(TableWRCalcPts[BYE],MATCH(TableWRRanks[[#This Row],[RK]],TableWRCalcPts[RK],0)),"")</f>
        <v>9</v>
      </c>
      <c r="S166" s="57">
        <f>IFERROR(INDEX(TableWRCalcPts[Custom],MATCH(TableWRRanks[[#This Row],[RK]],TableWRCalcPts[RK],0)),"")</f>
        <v>13.501545220799994</v>
      </c>
      <c r="T166" s="125">
        <f>(((VLOOKUP(TableWRRanks[[#This Row],[Player]],'OVR &amp; VORP Ranks'!$P:$T,5,FALSE)))/('OVR &amp; VORP Ranks'!$BM$6))*(Settings!$E$10*TEAMS)</f>
        <v>-42.352339225877444</v>
      </c>
    </row>
    <row r="167" spans="8:20" x14ac:dyDescent="0.2">
      <c r="H167">
        <v>166</v>
      </c>
      <c r="I167" t="str">
        <f>IFERROR(INDEX(TableRBCalcPts[PLAYER],MATCH(TableRBRanks[[#This Row],[RK]],TableRBCalcPts[RK],0)),"")</f>
        <v/>
      </c>
      <c r="J167" t="str">
        <f>IFERROR(INDEX(TableRBCalcPts[TM],MATCH(TableRBRanks[[#This Row],[RK]],TableRBCalcPts[RK],0)),"")</f>
        <v/>
      </c>
      <c r="K167" t="str">
        <f>IFERROR(INDEX(TableRBCalcPts[BYE],MATCH(TableRBRanks[[#This Row],[RK]],TableRBCalcPts[RK],0)),"")</f>
        <v/>
      </c>
      <c r="L167" s="57" t="str">
        <f>IFERROR(INDEX(TableRBCalcPts[Custom],MATCH(TableRBRanks[[#This Row],[RK]],TableRBCalcPts[RK],0)),"")</f>
        <v/>
      </c>
      <c r="M167" s="125" t="e">
        <f>(((VLOOKUP(TableRBRanks[[#This Row],[Player]],'OVR &amp; VORP Ranks'!$I:$M,5,FALSE)))/('OVR &amp; VORP Ranks'!$BM$6))*(Settings!$E$10*TEAMS)</f>
        <v>#VALUE!</v>
      </c>
      <c r="O167">
        <v>166</v>
      </c>
      <c r="P167" t="str">
        <f>IFERROR(INDEX(TableWRCalcPts[PLAYER],MATCH(TableWRRanks[[#This Row],[RK]],TableWRCalcPts[RK],0)),"")</f>
        <v>Brandon Johnson</v>
      </c>
      <c r="Q167" t="str">
        <f>IFERROR(INDEX(TableWRCalcPts[TM],MATCH(TableWRRanks[[#This Row],[RK]],TableWRCalcPts[RK],0)),"")</f>
        <v>DEN</v>
      </c>
      <c r="R167">
        <f>IFERROR(INDEX(TableWRCalcPts[BYE],MATCH(TableWRRanks[[#This Row],[RK]],TableWRCalcPts[RK],0)),"")</f>
        <v>9</v>
      </c>
      <c r="S167" s="57">
        <f>IFERROR(INDEX(TableWRCalcPts[Custom],MATCH(TableWRRanks[[#This Row],[RK]],TableWRCalcPts[RK],0)),"")</f>
        <v>13.243490175300002</v>
      </c>
      <c r="T167" s="125">
        <f>(((VLOOKUP(TableWRRanks[[#This Row],[Player]],'OVR &amp; VORP Ranks'!$P:$T,5,FALSE)))/('OVR &amp; VORP Ranks'!$BM$6))*(Settings!$E$10*TEAMS)</f>
        <v>-42.435831518008577</v>
      </c>
    </row>
    <row r="168" spans="8:20" x14ac:dyDescent="0.2">
      <c r="H168">
        <v>167</v>
      </c>
      <c r="I168" t="str">
        <f>IFERROR(INDEX(TableRBCalcPts[PLAYER],MATCH(TableRBRanks[[#This Row],[RK]],TableRBCalcPts[RK],0)),"")</f>
        <v/>
      </c>
      <c r="J168" t="str">
        <f>IFERROR(INDEX(TableRBCalcPts[TM],MATCH(TableRBRanks[[#This Row],[RK]],TableRBCalcPts[RK],0)),"")</f>
        <v/>
      </c>
      <c r="K168" t="str">
        <f>IFERROR(INDEX(TableRBCalcPts[BYE],MATCH(TableRBRanks[[#This Row],[RK]],TableRBCalcPts[RK],0)),"")</f>
        <v/>
      </c>
      <c r="L168" s="57" t="str">
        <f>IFERROR(INDEX(TableRBCalcPts[Custom],MATCH(TableRBRanks[[#This Row],[RK]],TableRBCalcPts[RK],0)),"")</f>
        <v/>
      </c>
      <c r="M168" s="125" t="e">
        <f>(((VLOOKUP(TableRBRanks[[#This Row],[Player]],'OVR &amp; VORP Ranks'!$I:$M,5,FALSE)))/('OVR &amp; VORP Ranks'!$BM$6))*(Settings!$E$10*TEAMS)</f>
        <v>#VALUE!</v>
      </c>
      <c r="O168">
        <v>167</v>
      </c>
      <c r="P168" t="str">
        <f>IFERROR(INDEX(TableWRCalcPts[PLAYER],MATCH(TableWRRanks[[#This Row],[RK]],TableWRCalcPts[RK],0)),"")</f>
        <v>Jalen Nailor</v>
      </c>
      <c r="Q168" t="str">
        <f>IFERROR(INDEX(TableWRCalcPts[TM],MATCH(TableWRRanks[[#This Row],[RK]],TableWRCalcPts[RK],0)),"")</f>
        <v>MIN</v>
      </c>
      <c r="R168">
        <f>IFERROR(INDEX(TableWRCalcPts[BYE],MATCH(TableWRRanks[[#This Row],[RK]],TableWRCalcPts[RK],0)),"")</f>
        <v>13</v>
      </c>
      <c r="S168" s="57">
        <f>IFERROR(INDEX(TableWRCalcPts[Custom],MATCH(TableWRRanks[[#This Row],[RK]],TableWRCalcPts[RK],0)),"")</f>
        <v>13.011927264000001</v>
      </c>
      <c r="T168" s="125">
        <f>(((VLOOKUP(TableWRRanks[[#This Row],[Player]],'OVR &amp; VORP Ranks'!$P:$T,5,FALSE)))/('OVR &amp; VORP Ranks'!$BM$6))*(Settings!$E$10*TEAMS)</f>
        <v>-42.510752425675918</v>
      </c>
    </row>
    <row r="169" spans="8:20" x14ac:dyDescent="0.2">
      <c r="H169">
        <v>168</v>
      </c>
      <c r="I169" t="str">
        <f>IFERROR(INDEX(TableRBCalcPts[PLAYER],MATCH(TableRBRanks[[#This Row],[RK]],TableRBCalcPts[RK],0)),"")</f>
        <v/>
      </c>
      <c r="J169" t="str">
        <f>IFERROR(INDEX(TableRBCalcPts[TM],MATCH(TableRBRanks[[#This Row],[RK]],TableRBCalcPts[RK],0)),"")</f>
        <v/>
      </c>
      <c r="K169" t="str">
        <f>IFERROR(INDEX(TableRBCalcPts[BYE],MATCH(TableRBRanks[[#This Row],[RK]],TableRBCalcPts[RK],0)),"")</f>
        <v/>
      </c>
      <c r="L169" s="57" t="str">
        <f>IFERROR(INDEX(TableRBCalcPts[Custom],MATCH(TableRBRanks[[#This Row],[RK]],TableRBCalcPts[RK],0)),"")</f>
        <v/>
      </c>
      <c r="M169" s="125" t="e">
        <f>(((VLOOKUP(TableRBRanks[[#This Row],[Player]],'OVR &amp; VORP Ranks'!$I:$M,5,FALSE)))/('OVR &amp; VORP Ranks'!$BM$6))*(Settings!$E$10*TEAMS)</f>
        <v>#VALUE!</v>
      </c>
      <c r="O169">
        <v>168</v>
      </c>
      <c r="P169" t="str">
        <f>IFERROR(INDEX(TableWRCalcPts[PLAYER],MATCH(TableWRRanks[[#This Row],[RK]],TableWRCalcPts[RK],0)),"")</f>
        <v>David Moore</v>
      </c>
      <c r="Q169" t="str">
        <f>IFERROR(INDEX(TableWRCalcPts[TM],MATCH(TableWRRanks[[#This Row],[RK]],TableWRCalcPts[RK],0)),"")</f>
        <v>CAR</v>
      </c>
      <c r="R169">
        <f>IFERROR(INDEX(TableWRCalcPts[BYE],MATCH(TableWRRanks[[#This Row],[RK]],TableWRCalcPts[RK],0)),"")</f>
        <v>7</v>
      </c>
      <c r="S169" s="57">
        <f>IFERROR(INDEX(TableWRCalcPts[Custom],MATCH(TableWRRanks[[#This Row],[RK]],TableWRCalcPts[RK],0)),"")</f>
        <v>12.832094951199998</v>
      </c>
      <c r="T169" s="125">
        <f>(((VLOOKUP(TableWRRanks[[#This Row],[Player]],'OVR &amp; VORP Ranks'!$P:$T,5,FALSE)))/('OVR &amp; VORP Ranks'!$BM$6))*(Settings!$E$10*TEAMS)</f>
        <v>-42.568936182423734</v>
      </c>
    </row>
    <row r="170" spans="8:20" x14ac:dyDescent="0.2">
      <c r="H170">
        <v>169</v>
      </c>
      <c r="I170" t="str">
        <f>IFERROR(INDEX(TableRBCalcPts[PLAYER],MATCH(TableRBRanks[[#This Row],[RK]],TableRBCalcPts[RK],0)),"")</f>
        <v/>
      </c>
      <c r="J170" t="str">
        <f>IFERROR(INDEX(TableRBCalcPts[TM],MATCH(TableRBRanks[[#This Row],[RK]],TableRBCalcPts[RK],0)),"")</f>
        <v/>
      </c>
      <c r="K170" t="str">
        <f>IFERROR(INDEX(TableRBCalcPts[BYE],MATCH(TableRBRanks[[#This Row],[RK]],TableRBCalcPts[RK],0)),"")</f>
        <v/>
      </c>
      <c r="L170" s="57" t="str">
        <f>IFERROR(INDEX(TableRBCalcPts[Custom],MATCH(TableRBRanks[[#This Row],[RK]],TableRBCalcPts[RK],0)),"")</f>
        <v/>
      </c>
      <c r="M170" s="125" t="e">
        <f>(((VLOOKUP(TableRBRanks[[#This Row],[Player]],'OVR &amp; VORP Ranks'!$I:$M,5,FALSE)))/('OVR &amp; VORP Ranks'!$BM$6))*(Settings!$E$10*TEAMS)</f>
        <v>#VALUE!</v>
      </c>
      <c r="O170">
        <v>169</v>
      </c>
      <c r="P170" t="str">
        <f>IFERROR(INDEX(TableWRCalcPts[PLAYER],MATCH(TableWRRanks[[#This Row],[RK]],TableWRCalcPts[RK],0)),"")</f>
        <v>Stanley Morgan</v>
      </c>
      <c r="Q170" t="str">
        <f>IFERROR(INDEX(TableWRCalcPts[TM],MATCH(TableWRRanks[[#This Row],[RK]],TableWRCalcPts[RK],0)),"")</f>
        <v>NO</v>
      </c>
      <c r="R170">
        <f>IFERROR(INDEX(TableWRCalcPts[BYE],MATCH(TableWRRanks[[#This Row],[RK]],TableWRCalcPts[RK],0)),"")</f>
        <v>11</v>
      </c>
      <c r="S170" s="57">
        <f>IFERROR(INDEX(TableWRCalcPts[Custom],MATCH(TableWRRanks[[#This Row],[RK]],TableWRCalcPts[RK],0)),"")</f>
        <v>12.684391177919998</v>
      </c>
      <c r="T170" s="125">
        <f>(((VLOOKUP(TableWRRanks[[#This Row],[Player]],'OVR &amp; VORP Ranks'!$P:$T,5,FALSE)))/('OVR &amp; VORP Ranks'!$BM$6))*(Settings!$E$10*TEAMS)</f>
        <v>-42.616724926734747</v>
      </c>
    </row>
    <row r="171" spans="8:20" x14ac:dyDescent="0.2">
      <c r="H171">
        <v>170</v>
      </c>
      <c r="I171" t="str">
        <f>IFERROR(INDEX(TableRBCalcPts[PLAYER],MATCH(TableRBRanks[[#This Row],[RK]],TableRBCalcPts[RK],0)),"")</f>
        <v/>
      </c>
      <c r="J171" t="str">
        <f>IFERROR(INDEX(TableRBCalcPts[TM],MATCH(TableRBRanks[[#This Row],[RK]],TableRBCalcPts[RK],0)),"")</f>
        <v/>
      </c>
      <c r="K171" t="str">
        <f>IFERROR(INDEX(TableRBCalcPts[BYE],MATCH(TableRBRanks[[#This Row],[RK]],TableRBCalcPts[RK],0)),"")</f>
        <v/>
      </c>
      <c r="L171" s="57" t="str">
        <f>IFERROR(INDEX(TableRBCalcPts[Custom],MATCH(TableRBRanks[[#This Row],[RK]],TableRBCalcPts[RK],0)),"")</f>
        <v/>
      </c>
      <c r="M171" s="125" t="e">
        <f>(((VLOOKUP(TableRBRanks[[#This Row],[Player]],'OVR &amp; VORP Ranks'!$I:$M,5,FALSE)))/('OVR &amp; VORP Ranks'!$BM$6))*(Settings!$E$10*TEAMS)</f>
        <v>#VALUE!</v>
      </c>
      <c r="O171">
        <v>170</v>
      </c>
      <c r="P171" t="str">
        <f>IFERROR(INDEX(TableWRCalcPts[PLAYER],MATCH(TableWRRanks[[#This Row],[RK]],TableWRCalcPts[RK],0)),"")</f>
        <v>Deven Thompkins</v>
      </c>
      <c r="Q171" t="str">
        <f>IFERROR(INDEX(TableWRCalcPts[TM],MATCH(TableWRRanks[[#This Row],[RK]],TableWRCalcPts[RK],0)),"")</f>
        <v>TB</v>
      </c>
      <c r="R171">
        <f>IFERROR(INDEX(TableWRCalcPts[BYE],MATCH(TableWRRanks[[#This Row],[RK]],TableWRCalcPts[RK],0)),"")</f>
        <v>5</v>
      </c>
      <c r="S171" s="57">
        <f>IFERROR(INDEX(TableWRCalcPts[Custom],MATCH(TableWRRanks[[#This Row],[RK]],TableWRCalcPts[RK],0)),"")</f>
        <v>12.059571848015997</v>
      </c>
      <c r="T171" s="125">
        <f>(((VLOOKUP(TableWRRanks[[#This Row],[Player]],'OVR &amp; VORP Ranks'!$P:$T,5,FALSE)))/('OVR &amp; VORP Ranks'!$BM$6))*(Settings!$E$10*TEAMS)</f>
        <v>-42.818881787959661</v>
      </c>
    </row>
    <row r="172" spans="8:20" x14ac:dyDescent="0.2">
      <c r="O172">
        <v>171</v>
      </c>
      <c r="P172" t="str">
        <f>IFERROR(INDEX(TableWRCalcPts[PLAYER],MATCH(TableWRRanks[[#This Row],[RK]],TableWRCalcPts[RK],0)),"")</f>
        <v>Jalen Guyton</v>
      </c>
      <c r="Q172" t="str">
        <f>IFERROR(INDEX(TableWRCalcPts[TM],MATCH(TableWRRanks[[#This Row],[RK]],TableWRCalcPts[RK],0)),"")</f>
        <v>LV</v>
      </c>
      <c r="R172">
        <f>IFERROR(INDEX(TableWRCalcPts[BYE],MATCH(TableWRRanks[[#This Row],[RK]],TableWRCalcPts[RK],0)),"")</f>
        <v>13</v>
      </c>
      <c r="S172" s="57">
        <f>IFERROR(INDEX(TableWRCalcPts[Custom],MATCH(TableWRRanks[[#This Row],[RK]],TableWRCalcPts[RK],0)),"")</f>
        <v>11.151155399999997</v>
      </c>
      <c r="T172" s="125">
        <f>(((VLOOKUP(TableWRRanks[[#This Row],[Player]],'OVR &amp; VORP Ranks'!$P:$T,5,FALSE)))/('OVR &amp; VORP Ranks'!$BM$6))*(Settings!$E$10*TEAMS)</f>
        <v>-43.112794938572669</v>
      </c>
    </row>
    <row r="173" spans="8:20" x14ac:dyDescent="0.2">
      <c r="O173">
        <v>172</v>
      </c>
      <c r="P173" t="str">
        <f>IFERROR(INDEX(TableWRCalcPts[PLAYER],MATCH(TableWRRanks[[#This Row],[RK]],TableWRCalcPts[RK],0)),"")</f>
        <v>Johnny Wilson</v>
      </c>
      <c r="Q173" t="str">
        <f>IFERROR(INDEX(TableWRCalcPts[TM],MATCH(TableWRRanks[[#This Row],[RK]],TableWRCalcPts[RK],0)),"")</f>
        <v>PHI</v>
      </c>
      <c r="R173">
        <f>IFERROR(INDEX(TableWRCalcPts[BYE],MATCH(TableWRRanks[[#This Row],[RK]],TableWRCalcPts[RK],0)),"")</f>
        <v>10</v>
      </c>
      <c r="S173" s="57">
        <f>IFERROR(INDEX(TableWRCalcPts[Custom],MATCH(TableWRRanks[[#This Row],[RK]],TableWRCalcPts[RK],0)),"")</f>
        <v>10.9824441780816</v>
      </c>
      <c r="T173" s="125">
        <f>(((VLOOKUP(TableWRRanks[[#This Row],[Player]],'OVR &amp; VORP Ranks'!$P:$T,5,FALSE)))/('OVR &amp; VORP Ranks'!$BM$6))*(Settings!$E$10*TEAMS)</f>
        <v>-43.167380527468708</v>
      </c>
    </row>
    <row r="174" spans="8:20" x14ac:dyDescent="0.2">
      <c r="O174">
        <v>173</v>
      </c>
      <c r="P174" t="str">
        <f>IFERROR(INDEX(TableWRCalcPts[PLAYER],MATCH(TableWRRanks[[#This Row],[RK]],TableWRCalcPts[RK],0)),"")</f>
        <v>Dyami Brown</v>
      </c>
      <c r="Q174" t="str">
        <f>IFERROR(INDEX(TableWRCalcPts[TM],MATCH(TableWRRanks[[#This Row],[RK]],TableWRCalcPts[RK],0)),"")</f>
        <v>WSH</v>
      </c>
      <c r="R174">
        <f>IFERROR(INDEX(TableWRCalcPts[BYE],MATCH(TableWRRanks[[#This Row],[RK]],TableWRCalcPts[RK],0)),"")</f>
        <v>14</v>
      </c>
      <c r="S174" s="57">
        <f>IFERROR(INDEX(TableWRCalcPts[Custom],MATCH(TableWRRanks[[#This Row],[RK]],TableWRCalcPts[RK],0)),"")</f>
        <v>10.908131822153999</v>
      </c>
      <c r="T174" s="125">
        <f>(((VLOOKUP(TableWRRanks[[#This Row],[Player]],'OVR &amp; VORP Ranks'!$P:$T,5,FALSE)))/('OVR &amp; VORP Ranks'!$BM$6))*(Settings!$E$10*TEAMS)</f>
        <v>-43.191423881932252</v>
      </c>
    </row>
    <row r="175" spans="8:20" x14ac:dyDescent="0.2">
      <c r="O175">
        <v>174</v>
      </c>
      <c r="P175" t="str">
        <f>IFERROR(INDEX(TableWRCalcPts[PLAYER],MATCH(TableWRRanks[[#This Row],[RK]],TableWRCalcPts[RK],0)),"")</f>
        <v>Andy Isabella</v>
      </c>
      <c r="Q175" t="str">
        <f>IFERROR(INDEX(TableWRCalcPts[TM],MATCH(TableWRRanks[[#This Row],[RK]],TableWRCalcPts[RK],0)),"")</f>
        <v>BUF</v>
      </c>
      <c r="R175">
        <f>IFERROR(INDEX(TableWRCalcPts[BYE],MATCH(TableWRRanks[[#This Row],[RK]],TableWRCalcPts[RK],0)),"")</f>
        <v>13</v>
      </c>
      <c r="S175" s="57">
        <f>IFERROR(INDEX(TableWRCalcPts[Custom],MATCH(TableWRRanks[[#This Row],[RK]],TableWRCalcPts[RK],0)),"")</f>
        <v>10.255012024319997</v>
      </c>
      <c r="T175" s="125">
        <f>(((VLOOKUP(TableWRRanks[[#This Row],[Player]],'OVR &amp; VORP Ranks'!$P:$T,5,FALSE)))/('OVR &amp; VORP Ranks'!$BM$6))*(Settings!$E$10*TEAMS)</f>
        <v>-43.402737204063719</v>
      </c>
    </row>
    <row r="176" spans="8:20" x14ac:dyDescent="0.2">
      <c r="O176">
        <v>175</v>
      </c>
      <c r="P176" t="str">
        <f>IFERROR(INDEX(TableWRCalcPts[PLAYER],MATCH(TableWRRanks[[#This Row],[RK]],TableWRCalcPts[RK],0)),"")</f>
        <v>Justin Shorter</v>
      </c>
      <c r="Q176" t="str">
        <f>IFERROR(INDEX(TableWRCalcPts[TM],MATCH(TableWRRanks[[#This Row],[RK]],TableWRCalcPts[RK],0)),"")</f>
        <v>BUF</v>
      </c>
      <c r="R176">
        <f>IFERROR(INDEX(TableWRCalcPts[BYE],MATCH(TableWRRanks[[#This Row],[RK]],TableWRCalcPts[RK],0)),"")</f>
        <v>13</v>
      </c>
      <c r="S176" s="57">
        <f>IFERROR(INDEX(TableWRCalcPts[Custom],MATCH(TableWRRanks[[#This Row],[RK]],TableWRCalcPts[RK],0)),"")</f>
        <v>10.112884991999998</v>
      </c>
      <c r="T176" s="125">
        <f>(((VLOOKUP(TableWRRanks[[#This Row],[Player]],'OVR &amp; VORP Ranks'!$P:$T,5,FALSE)))/('OVR &amp; VORP Ranks'!$BM$6))*(Settings!$E$10*TEAMS)</f>
        <v>-43.448721624477585</v>
      </c>
    </row>
    <row r="177" spans="15:20" x14ac:dyDescent="0.2">
      <c r="O177">
        <v>176</v>
      </c>
      <c r="P177" t="str">
        <f>IFERROR(INDEX(TableWRCalcPts[PLAYER],MATCH(TableWRRanks[[#This Row],[RK]],TableWRCalcPts[RK],0)),"")</f>
        <v>Ainias Smith</v>
      </c>
      <c r="Q177" t="str">
        <f>IFERROR(INDEX(TableWRCalcPts[TM],MATCH(TableWRRanks[[#This Row],[RK]],TableWRCalcPts[RK],0)),"")</f>
        <v>PHI</v>
      </c>
      <c r="R177">
        <f>IFERROR(INDEX(TableWRCalcPts[BYE],MATCH(TableWRRanks[[#This Row],[RK]],TableWRCalcPts[RK],0)),"")</f>
        <v>10</v>
      </c>
      <c r="S177" s="57">
        <f>IFERROR(INDEX(TableWRCalcPts[Custom],MATCH(TableWRRanks[[#This Row],[RK]],TableWRCalcPts[RK],0)),"")</f>
        <v>9.9783691363440035</v>
      </c>
      <c r="T177" s="125">
        <f>(((VLOOKUP(TableWRRanks[[#This Row],[Player]],'OVR &amp; VORP Ranks'!$P:$T,5,FALSE)))/('OVR &amp; VORP Ranks'!$BM$6))*(Settings!$E$10*TEAMS)</f>
        <v>-43.492243490500165</v>
      </c>
    </row>
    <row r="178" spans="15:20" x14ac:dyDescent="0.2">
      <c r="O178">
        <v>177</v>
      </c>
      <c r="P178" t="str">
        <f>IFERROR(INDEX(TableWRCalcPts[PLAYER],MATCH(TableWRRanks[[#This Row],[RK]],TableWRCalcPts[RK],0)),"")</f>
        <v>Jha'Quan Jackson</v>
      </c>
      <c r="Q178" t="str">
        <f>IFERROR(INDEX(TableWRCalcPts[TM],MATCH(TableWRRanks[[#This Row],[RK]],TableWRCalcPts[RK],0)),"")</f>
        <v>TEN</v>
      </c>
      <c r="R178">
        <f>IFERROR(INDEX(TableWRCalcPts[BYE],MATCH(TableWRRanks[[#This Row],[RK]],TableWRCalcPts[RK],0)),"")</f>
        <v>7</v>
      </c>
      <c r="S178" s="57">
        <f>IFERROR(INDEX(TableWRCalcPts[Custom],MATCH(TableWRRanks[[#This Row],[RK]],TableWRCalcPts[RK],0)),"")</f>
        <v>9.8307059800949972</v>
      </c>
      <c r="T178" s="125">
        <f>(((VLOOKUP(TableWRRanks[[#This Row],[Player]],'OVR &amp; VORP Ranks'!$P:$T,5,FALSE)))/('OVR &amp; VORP Ranks'!$BM$6))*(Settings!$E$10*TEAMS)</f>
        <v>-43.540019093393965</v>
      </c>
    </row>
    <row r="179" spans="15:20" x14ac:dyDescent="0.2">
      <c r="O179">
        <v>178</v>
      </c>
      <c r="P179" t="str">
        <f>IFERROR(INDEX(TableWRCalcPts[PLAYER],MATCH(TableWRRanks[[#This Row],[RK]],TableWRCalcPts[RK],0)),"")</f>
        <v>Danny Gray</v>
      </c>
      <c r="Q179" t="str">
        <f>IFERROR(INDEX(TableWRCalcPts[TM],MATCH(TableWRRanks[[#This Row],[RK]],TableWRCalcPts[RK],0)),"")</f>
        <v>SF</v>
      </c>
      <c r="R179">
        <f>IFERROR(INDEX(TableWRCalcPts[BYE],MATCH(TableWRRanks[[#This Row],[RK]],TableWRCalcPts[RK],0)),"")</f>
        <v>9</v>
      </c>
      <c r="S179" s="57">
        <f>IFERROR(INDEX(TableWRCalcPts[Custom],MATCH(TableWRRanks[[#This Row],[RK]],TableWRCalcPts[RK],0)),"")</f>
        <v>8.5978939176899996</v>
      </c>
      <c r="T179" s="125">
        <f>(((VLOOKUP(TableWRRanks[[#This Row],[Player]],'OVR &amp; VORP Ranks'!$P:$T,5,FALSE)))/('OVR &amp; VORP Ranks'!$BM$6))*(Settings!$E$10*TEAMS)</f>
        <v>-43.938888662704976</v>
      </c>
    </row>
    <row r="180" spans="15:20" x14ac:dyDescent="0.2">
      <c r="O180">
        <v>179</v>
      </c>
      <c r="P180" t="str">
        <f>IFERROR(INDEX(TableWRCalcPts[PLAYER],MATCH(TableWRRanks[[#This Row],[RK]],TableWRCalcPts[RK],0)),"")</f>
        <v>Devin Duvernay</v>
      </c>
      <c r="Q180" t="str">
        <f>IFERROR(INDEX(TableWRCalcPts[TM],MATCH(TableWRRanks[[#This Row],[RK]],TableWRCalcPts[RK],0)),"")</f>
        <v>JAX</v>
      </c>
      <c r="R180">
        <f>IFERROR(INDEX(TableWRCalcPts[BYE],MATCH(TableWRRanks[[#This Row],[RK]],TableWRCalcPts[RK],0)),"")</f>
        <v>9</v>
      </c>
      <c r="S180" s="57">
        <f>IFERROR(INDEX(TableWRCalcPts[Custom],MATCH(TableWRRanks[[#This Row],[RK]],TableWRCalcPts[RK],0)),"")</f>
        <v>7.4510595235439983</v>
      </c>
      <c r="T180" s="125">
        <f>(((VLOOKUP(TableWRRanks[[#This Row],[Player]],'OVR &amp; VORP Ranks'!$P:$T,5,FALSE)))/('OVR &amp; VORP Ranks'!$BM$6))*(Settings!$E$10*TEAMS)</f>
        <v>-44.309940629840725</v>
      </c>
    </row>
    <row r="181" spans="15:20" x14ac:dyDescent="0.2">
      <c r="O181">
        <v>180</v>
      </c>
      <c r="P181" t="str">
        <f>IFERROR(INDEX(TableWRCalcPts[PLAYER],MATCH(TableWRRanks[[#This Row],[RK]],TableWRCalcPts[RK],0)),"")</f>
        <v>John Metchie</v>
      </c>
      <c r="Q181" t="str">
        <f>IFERROR(INDEX(TableWRCalcPts[TM],MATCH(TableWRRanks[[#This Row],[RK]],TableWRCalcPts[RK],0)),"")</f>
        <v>HOU</v>
      </c>
      <c r="R181">
        <f>IFERROR(INDEX(TableWRCalcPts[BYE],MATCH(TableWRRanks[[#This Row],[RK]],TableWRCalcPts[RK],0)),"")</f>
        <v>7</v>
      </c>
      <c r="S181" s="57">
        <f>IFERROR(INDEX(TableWRCalcPts[Custom],MATCH(TableWRRanks[[#This Row],[RK]],TableWRCalcPts[RK],0)),"")</f>
        <v>7.2790656556800002</v>
      </c>
      <c r="T181" s="125">
        <f>(((VLOOKUP(TableWRRanks[[#This Row],[Player]],'OVR &amp; VORP Ranks'!$P:$T,5,FALSE)))/('OVR &amp; VORP Ranks'!$BM$6))*(Settings!$E$10*TEAMS)</f>
        <v>-44.365588300796524</v>
      </c>
    </row>
    <row r="182" spans="15:20" x14ac:dyDescent="0.2">
      <c r="O182">
        <v>181</v>
      </c>
      <c r="P182" t="str">
        <f>IFERROR(INDEX(TableWRCalcPts[PLAYER],MATCH(TableWRRanks[[#This Row],[RK]],TableWRCalcPts[RK],0)),"")</f>
        <v>Casey Washington</v>
      </c>
      <c r="Q182" t="str">
        <f>IFERROR(INDEX(TableWRCalcPts[TM],MATCH(TableWRRanks[[#This Row],[RK]],TableWRCalcPts[RK],0)),"")</f>
        <v>ATL</v>
      </c>
      <c r="R182">
        <f>IFERROR(INDEX(TableWRCalcPts[BYE],MATCH(TableWRRanks[[#This Row],[RK]],TableWRCalcPts[RK],0)),"")</f>
        <v>11</v>
      </c>
      <c r="S182" s="57">
        <f>IFERROR(INDEX(TableWRCalcPts[Custom],MATCH(TableWRRanks[[#This Row],[RK]],TableWRCalcPts[RK],0)),"")</f>
        <v>6.9854693388479987</v>
      </c>
      <c r="T182" s="125">
        <f>(((VLOOKUP(TableWRRanks[[#This Row],[Player]],'OVR &amp; VORP Ranks'!$P:$T,5,FALSE)))/('OVR &amp; VORP Ranks'!$BM$6))*(Settings!$E$10*TEAMS)</f>
        <v>-44.460579775991555</v>
      </c>
    </row>
    <row r="183" spans="15:20" x14ac:dyDescent="0.2">
      <c r="O183">
        <v>182</v>
      </c>
      <c r="P183" t="str">
        <f>IFERROR(INDEX(TableWRCalcPts[PLAYER],MATCH(TableWRRanks[[#This Row],[RK]],TableWRCalcPts[RK],0)),"")</f>
        <v>David Bell</v>
      </c>
      <c r="Q183" t="str">
        <f>IFERROR(INDEX(TableWRCalcPts[TM],MATCH(TableWRRanks[[#This Row],[RK]],TableWRCalcPts[RK],0)),"")</f>
        <v>CLE</v>
      </c>
      <c r="R183">
        <f>IFERROR(INDEX(TableWRCalcPts[BYE],MATCH(TableWRRanks[[#This Row],[RK]],TableWRCalcPts[RK],0)),"")</f>
        <v>5</v>
      </c>
      <c r="S183" s="57">
        <f>IFERROR(INDEX(TableWRCalcPts[Custom],MATCH(TableWRRanks[[#This Row],[RK]],TableWRCalcPts[RK],0)),"")</f>
        <v>6.5034446400000006</v>
      </c>
      <c r="T183" s="125">
        <f>(((VLOOKUP(TableWRRanks[[#This Row],[Player]],'OVR &amp; VORP Ranks'!$P:$T,5,FALSE)))/('OVR &amp; VORP Ranks'!$BM$6))*(Settings!$E$10*TEAMS)</f>
        <v>-44.616536218899562</v>
      </c>
    </row>
    <row r="184" spans="15:20" x14ac:dyDescent="0.2">
      <c r="O184">
        <v>183</v>
      </c>
      <c r="P184" t="str">
        <f>IFERROR(INDEX(TableWRCalcPts[PLAYER],MATCH(TableWRRanks[[#This Row],[RK]],TableWRCalcPts[RK],0)),"")</f>
        <v/>
      </c>
      <c r="Q184" t="str">
        <f>IFERROR(INDEX(TableWRCalcPts[TM],MATCH(TableWRRanks[[#This Row],[RK]],TableWRCalcPts[RK],0)),"")</f>
        <v/>
      </c>
      <c r="R184" t="str">
        <f>IFERROR(INDEX(TableWRCalcPts[BYE],MATCH(TableWRRanks[[#This Row],[RK]],TableWRCalcPts[RK],0)),"")</f>
        <v/>
      </c>
      <c r="S184" s="57" t="str">
        <f>IFERROR(INDEX(TableWRCalcPts[Custom],MATCH(TableWRRanks[[#This Row],[RK]],TableWRCalcPts[RK],0)),"")</f>
        <v/>
      </c>
      <c r="T184" s="125" t="e">
        <f>(((VLOOKUP(TableWRRanks[[#This Row],[Player]],'OVR &amp; VORP Ranks'!$P:$T,5,FALSE)))/('OVR &amp; VORP Ranks'!$BM$6))*(Settings!$E$10*TEAMS)</f>
        <v>#VALUE!</v>
      </c>
    </row>
    <row r="185" spans="15:20" x14ac:dyDescent="0.2">
      <c r="O185">
        <v>184</v>
      </c>
      <c r="P185" t="str">
        <f>IFERROR(INDEX(TableWRCalcPts[PLAYER],MATCH(TableWRRanks[[#This Row],[RK]],TableWRCalcPts[RK],0)),"")</f>
        <v/>
      </c>
      <c r="Q185" t="str">
        <f>IFERROR(INDEX(TableWRCalcPts[TM],MATCH(TableWRRanks[[#This Row],[RK]],TableWRCalcPts[RK],0)),"")</f>
        <v/>
      </c>
      <c r="R185" t="str">
        <f>IFERROR(INDEX(TableWRCalcPts[BYE],MATCH(TableWRRanks[[#This Row],[RK]],TableWRCalcPts[RK],0)),"")</f>
        <v/>
      </c>
      <c r="S185" s="57" t="str">
        <f>IFERROR(INDEX(TableWRCalcPts[Custom],MATCH(TableWRRanks[[#This Row],[RK]],TableWRCalcPts[RK],0)),"")</f>
        <v/>
      </c>
      <c r="T185" s="125" t="e">
        <f>(((VLOOKUP(TableWRRanks[[#This Row],[Player]],'OVR &amp; VORP Ranks'!$P:$T,5,FALSE)))/('OVR &amp; VORP Ranks'!$BM$6))*(Settings!$E$10*TEAMS)</f>
        <v>#VALUE!</v>
      </c>
    </row>
    <row r="186" spans="15:20" x14ac:dyDescent="0.2">
      <c r="O186">
        <v>185</v>
      </c>
      <c r="P186" t="str">
        <f>IFERROR(INDEX(TableWRCalcPts[PLAYER],MATCH(TableWRRanks[[#This Row],[RK]],TableWRCalcPts[RK],0)),"")</f>
        <v/>
      </c>
      <c r="Q186" t="str">
        <f>IFERROR(INDEX(TableWRCalcPts[TM],MATCH(TableWRRanks[[#This Row],[RK]],TableWRCalcPts[RK],0)),"")</f>
        <v/>
      </c>
      <c r="R186" t="str">
        <f>IFERROR(INDEX(TableWRCalcPts[BYE],MATCH(TableWRRanks[[#This Row],[RK]],TableWRCalcPts[RK],0)),"")</f>
        <v/>
      </c>
      <c r="S186" s="57" t="str">
        <f>IFERROR(INDEX(TableWRCalcPts[Custom],MATCH(TableWRRanks[[#This Row],[RK]],TableWRCalcPts[RK],0)),"")</f>
        <v/>
      </c>
      <c r="T186" s="125" t="e">
        <f>(((VLOOKUP(TableWRRanks[[#This Row],[Player]],'OVR &amp; VORP Ranks'!$P:$T,5,FALSE)))/('OVR &amp; VORP Ranks'!$BM$6))*(Settings!$E$10*TEAMS)</f>
        <v>#VALUE!</v>
      </c>
    </row>
    <row r="187" spans="15:20" x14ac:dyDescent="0.2">
      <c r="O187">
        <v>186</v>
      </c>
      <c r="P187" t="str">
        <f>IFERROR(INDEX(TableWRCalcPts[PLAYER],MATCH(TableWRRanks[[#This Row],[RK]],TableWRCalcPts[RK],0)),"")</f>
        <v/>
      </c>
      <c r="Q187" t="str">
        <f>IFERROR(INDEX(TableWRCalcPts[TM],MATCH(TableWRRanks[[#This Row],[RK]],TableWRCalcPts[RK],0)),"")</f>
        <v/>
      </c>
      <c r="R187" t="str">
        <f>IFERROR(INDEX(TableWRCalcPts[BYE],MATCH(TableWRRanks[[#This Row],[RK]],TableWRCalcPts[RK],0)),"")</f>
        <v/>
      </c>
      <c r="S187" s="57" t="str">
        <f>IFERROR(INDEX(TableWRCalcPts[Custom],MATCH(TableWRRanks[[#This Row],[RK]],TableWRCalcPts[RK],0)),"")</f>
        <v/>
      </c>
      <c r="T187" s="125" t="e">
        <f>(((VLOOKUP(TableWRRanks[[#This Row],[Player]],'OVR &amp; VORP Ranks'!$P:$T,5,FALSE)))/('OVR &amp; VORP Ranks'!$BM$6))*(Settings!$E$10*TEAMS)</f>
        <v>#VALUE!</v>
      </c>
    </row>
    <row r="188" spans="15:20" x14ac:dyDescent="0.2">
      <c r="O188">
        <v>187</v>
      </c>
      <c r="P188" t="str">
        <f>IFERROR(INDEX(TableWRCalcPts[PLAYER],MATCH(TableWRRanks[[#This Row],[RK]],TableWRCalcPts[RK],0)),"")</f>
        <v/>
      </c>
      <c r="Q188" t="str">
        <f>IFERROR(INDEX(TableWRCalcPts[TM],MATCH(TableWRRanks[[#This Row],[RK]],TableWRCalcPts[RK],0)),"")</f>
        <v/>
      </c>
      <c r="R188" t="str">
        <f>IFERROR(INDEX(TableWRCalcPts[BYE],MATCH(TableWRRanks[[#This Row],[RK]],TableWRCalcPts[RK],0)),"")</f>
        <v/>
      </c>
      <c r="S188" s="57" t="str">
        <f>IFERROR(INDEX(TableWRCalcPts[Custom],MATCH(TableWRRanks[[#This Row],[RK]],TableWRCalcPts[RK],0)),"")</f>
        <v/>
      </c>
      <c r="T188" s="125" t="e">
        <f>(((VLOOKUP(TableWRRanks[[#This Row],[Player]],'OVR &amp; VORP Ranks'!$P:$T,5,FALSE)))/('OVR &amp; VORP Ranks'!$BM$6))*(Settings!$E$10*TEAMS)</f>
        <v>#VALUE!</v>
      </c>
    </row>
    <row r="189" spans="15:20" x14ac:dyDescent="0.2">
      <c r="O189">
        <v>188</v>
      </c>
      <c r="P189" t="str">
        <f>IFERROR(INDEX(TableWRCalcPts[PLAYER],MATCH(TableWRRanks[[#This Row],[RK]],TableWRCalcPts[RK],0)),"")</f>
        <v/>
      </c>
      <c r="Q189" t="str">
        <f>IFERROR(INDEX(TableWRCalcPts[TM],MATCH(TableWRRanks[[#This Row],[RK]],TableWRCalcPts[RK],0)),"")</f>
        <v/>
      </c>
      <c r="R189" t="str">
        <f>IFERROR(INDEX(TableWRCalcPts[BYE],MATCH(TableWRRanks[[#This Row],[RK]],TableWRCalcPts[RK],0)),"")</f>
        <v/>
      </c>
      <c r="S189" s="57" t="str">
        <f>IFERROR(INDEX(TableWRCalcPts[Custom],MATCH(TableWRRanks[[#This Row],[RK]],TableWRCalcPts[RK],0)),"")</f>
        <v/>
      </c>
      <c r="T189" s="125" t="e">
        <f>(((VLOOKUP(TableWRRanks[[#This Row],[Player]],'OVR &amp; VORP Ranks'!$P:$T,5,FALSE)))/('OVR &amp; VORP Ranks'!$BM$6))*(Settings!$E$10*TEAMS)</f>
        <v>#VALUE!</v>
      </c>
    </row>
    <row r="190" spans="15:20" x14ac:dyDescent="0.2">
      <c r="O190">
        <v>189</v>
      </c>
      <c r="P190" t="str">
        <f>IFERROR(INDEX(TableWRCalcPts[PLAYER],MATCH(TableWRRanks[[#This Row],[RK]],TableWRCalcPts[RK],0)),"")</f>
        <v/>
      </c>
      <c r="Q190" t="str">
        <f>IFERROR(INDEX(TableWRCalcPts[TM],MATCH(TableWRRanks[[#This Row],[RK]],TableWRCalcPts[RK],0)),"")</f>
        <v/>
      </c>
      <c r="R190" t="str">
        <f>IFERROR(INDEX(TableWRCalcPts[BYE],MATCH(TableWRRanks[[#This Row],[RK]],TableWRCalcPts[RK],0)),"")</f>
        <v/>
      </c>
      <c r="S190" s="57" t="str">
        <f>IFERROR(INDEX(TableWRCalcPts[Custom],MATCH(TableWRRanks[[#This Row],[RK]],TableWRCalcPts[RK],0)),"")</f>
        <v/>
      </c>
      <c r="T190" s="125" t="e">
        <f>(((VLOOKUP(TableWRRanks[[#This Row],[Player]],'OVR &amp; VORP Ranks'!$P:$T,5,FALSE)))/('OVR &amp; VORP Ranks'!$BM$6))*(Settings!$E$10*TEAMS)</f>
        <v>#VALUE!</v>
      </c>
    </row>
    <row r="191" spans="15:20" x14ac:dyDescent="0.2">
      <c r="O191">
        <v>190</v>
      </c>
      <c r="P191" t="str">
        <f>IFERROR(INDEX(TableWRCalcPts[PLAYER],MATCH(TableWRRanks[[#This Row],[RK]],TableWRCalcPts[RK],0)),"")</f>
        <v/>
      </c>
      <c r="Q191" t="str">
        <f>IFERROR(INDEX(TableWRCalcPts[TM],MATCH(TableWRRanks[[#This Row],[RK]],TableWRCalcPts[RK],0)),"")</f>
        <v/>
      </c>
      <c r="R191" t="str">
        <f>IFERROR(INDEX(TableWRCalcPts[BYE],MATCH(TableWRRanks[[#This Row],[RK]],TableWRCalcPts[RK],0)),"")</f>
        <v/>
      </c>
      <c r="S191" s="57" t="str">
        <f>IFERROR(INDEX(TableWRCalcPts[Custom],MATCH(TableWRRanks[[#This Row],[RK]],TableWRCalcPts[RK],0)),"")</f>
        <v/>
      </c>
      <c r="T191" s="125" t="e">
        <f>(((VLOOKUP(TableWRRanks[[#This Row],[Player]],'OVR &amp; VORP Ranks'!$P:$T,5,FALSE)))/('OVR &amp; VORP Ranks'!$BM$6))*(Settings!$E$10*TEAMS)</f>
        <v>#VALUE!</v>
      </c>
    </row>
    <row r="192" spans="15:20" x14ac:dyDescent="0.2">
      <c r="O192">
        <v>191</v>
      </c>
      <c r="P192" t="str">
        <f>IFERROR(INDEX(TableWRCalcPts[PLAYER],MATCH(TableWRRanks[[#This Row],[RK]],TableWRCalcPts[RK],0)),"")</f>
        <v/>
      </c>
      <c r="Q192" t="str">
        <f>IFERROR(INDEX(TableWRCalcPts[TM],MATCH(TableWRRanks[[#This Row],[RK]],TableWRCalcPts[RK],0)),"")</f>
        <v/>
      </c>
      <c r="R192" t="str">
        <f>IFERROR(INDEX(TableWRCalcPts[BYE],MATCH(TableWRRanks[[#This Row],[RK]],TableWRCalcPts[RK],0)),"")</f>
        <v/>
      </c>
      <c r="S192" s="57" t="str">
        <f>IFERROR(INDEX(TableWRCalcPts[Custom],MATCH(TableWRRanks[[#This Row],[RK]],TableWRCalcPts[RK],0)),"")</f>
        <v/>
      </c>
      <c r="T192" s="125" t="e">
        <f>(((VLOOKUP(TableWRRanks[[#This Row],[Player]],'OVR &amp; VORP Ranks'!$P:$T,5,FALSE)))/('OVR &amp; VORP Ranks'!$BM$6))*(Settings!$E$10*TEAMS)</f>
        <v>#VALUE!</v>
      </c>
    </row>
    <row r="193" spans="15:20" x14ac:dyDescent="0.2">
      <c r="O193">
        <v>192</v>
      </c>
      <c r="P193" t="str">
        <f>IFERROR(INDEX(TableWRCalcPts[PLAYER],MATCH(TableWRRanks[[#This Row],[RK]],TableWRCalcPts[RK],0)),"")</f>
        <v/>
      </c>
      <c r="Q193" t="str">
        <f>IFERROR(INDEX(TableWRCalcPts[TM],MATCH(TableWRRanks[[#This Row],[RK]],TableWRCalcPts[RK],0)),"")</f>
        <v/>
      </c>
      <c r="R193" t="str">
        <f>IFERROR(INDEX(TableWRCalcPts[BYE],MATCH(TableWRRanks[[#This Row],[RK]],TableWRCalcPts[RK],0)),"")</f>
        <v/>
      </c>
      <c r="S193" s="57" t="str">
        <f>IFERROR(INDEX(TableWRCalcPts[Custom],MATCH(TableWRRanks[[#This Row],[RK]],TableWRCalcPts[RK],0)),"")</f>
        <v/>
      </c>
      <c r="T193" s="125" t="e">
        <f>(((VLOOKUP(TableWRRanks[[#This Row],[Player]],'OVR &amp; VORP Ranks'!$P:$T,5,FALSE)))/('OVR &amp; VORP Ranks'!$BM$6))*(Settings!$E$10*TEAMS)</f>
        <v>#VALUE!</v>
      </c>
    </row>
    <row r="194" spans="15:20" x14ac:dyDescent="0.2">
      <c r="O194">
        <v>193</v>
      </c>
      <c r="P194" t="str">
        <f>IFERROR(INDEX(TableWRCalcPts[PLAYER],MATCH(TableWRRanks[[#This Row],[RK]],TableWRCalcPts[RK],0)),"")</f>
        <v/>
      </c>
      <c r="Q194" t="str">
        <f>IFERROR(INDEX(TableWRCalcPts[TM],MATCH(TableWRRanks[[#This Row],[RK]],TableWRCalcPts[RK],0)),"")</f>
        <v/>
      </c>
      <c r="R194" t="str">
        <f>IFERROR(INDEX(TableWRCalcPts[BYE],MATCH(TableWRRanks[[#This Row],[RK]],TableWRCalcPts[RK],0)),"")</f>
        <v/>
      </c>
      <c r="S194" s="57" t="str">
        <f>IFERROR(INDEX(TableWRCalcPts[Custom],MATCH(TableWRRanks[[#This Row],[RK]],TableWRCalcPts[RK],0)),"")</f>
        <v/>
      </c>
      <c r="T194" s="125" t="e">
        <f>(((VLOOKUP(TableWRRanks[[#This Row],[Player]],'OVR &amp; VORP Ranks'!$P:$T,5,FALSE)))/('OVR &amp; VORP Ranks'!$BM$6))*(Settings!$E$10*TEAMS)</f>
        <v>#VALUE!</v>
      </c>
    </row>
    <row r="195" spans="15:20" x14ac:dyDescent="0.2">
      <c r="O195">
        <v>194</v>
      </c>
      <c r="P195" t="str">
        <f>IFERROR(INDEX(TableWRCalcPts[PLAYER],MATCH(TableWRRanks[[#This Row],[RK]],TableWRCalcPts[RK],0)),"")</f>
        <v/>
      </c>
      <c r="Q195" t="str">
        <f>IFERROR(INDEX(TableWRCalcPts[TM],MATCH(TableWRRanks[[#This Row],[RK]],TableWRCalcPts[RK],0)),"")</f>
        <v/>
      </c>
      <c r="R195" t="str">
        <f>IFERROR(INDEX(TableWRCalcPts[BYE],MATCH(TableWRRanks[[#This Row],[RK]],TableWRCalcPts[RK],0)),"")</f>
        <v/>
      </c>
      <c r="S195" s="57" t="str">
        <f>IFERROR(INDEX(TableWRCalcPts[Custom],MATCH(TableWRRanks[[#This Row],[RK]],TableWRCalcPts[RK],0)),"")</f>
        <v/>
      </c>
      <c r="T195" s="125" t="e">
        <f>(((VLOOKUP(TableWRRanks[[#This Row],[Player]],'OVR &amp; VORP Ranks'!$P:$T,5,FALSE)))/('OVR &amp; VORP Ranks'!$BM$6))*(Settings!$E$10*TEAMS)</f>
        <v>#VALUE!</v>
      </c>
    </row>
    <row r="196" spans="15:20" x14ac:dyDescent="0.2">
      <c r="O196">
        <v>195</v>
      </c>
      <c r="P196" t="str">
        <f>IFERROR(INDEX(TableWRCalcPts[PLAYER],MATCH(TableWRRanks[[#This Row],[RK]],TableWRCalcPts[RK],0)),"")</f>
        <v/>
      </c>
      <c r="Q196" t="str">
        <f>IFERROR(INDEX(TableWRCalcPts[TM],MATCH(TableWRRanks[[#This Row],[RK]],TableWRCalcPts[RK],0)),"")</f>
        <v/>
      </c>
      <c r="R196" t="str">
        <f>IFERROR(INDEX(TableWRCalcPts[BYE],MATCH(TableWRRanks[[#This Row],[RK]],TableWRCalcPts[RK],0)),"")</f>
        <v/>
      </c>
      <c r="S196" s="57" t="str">
        <f>IFERROR(INDEX(TableWRCalcPts[Custom],MATCH(TableWRRanks[[#This Row],[RK]],TableWRCalcPts[RK],0)),"")</f>
        <v/>
      </c>
      <c r="T196" s="125" t="e">
        <f>(((VLOOKUP(TableWRRanks[[#This Row],[Player]],'OVR &amp; VORP Ranks'!$P:$T,5,FALSE)))/('OVR &amp; VORP Ranks'!$BM$6))*(Settings!$E$10*TEAMS)</f>
        <v>#VALUE!</v>
      </c>
    </row>
    <row r="197" spans="15:20" x14ac:dyDescent="0.2">
      <c r="O197">
        <v>196</v>
      </c>
      <c r="P197" t="str">
        <f>IFERROR(INDEX(TableWRCalcPts[PLAYER],MATCH(TableWRRanks[[#This Row],[RK]],TableWRCalcPts[RK],0)),"")</f>
        <v/>
      </c>
      <c r="Q197" t="str">
        <f>IFERROR(INDEX(TableWRCalcPts[TM],MATCH(TableWRRanks[[#This Row],[RK]],TableWRCalcPts[RK],0)),"")</f>
        <v/>
      </c>
      <c r="R197" t="str">
        <f>IFERROR(INDEX(TableWRCalcPts[BYE],MATCH(TableWRRanks[[#This Row],[RK]],TableWRCalcPts[RK],0)),"")</f>
        <v/>
      </c>
      <c r="S197" s="57" t="str">
        <f>IFERROR(INDEX(TableWRCalcPts[Custom],MATCH(TableWRRanks[[#This Row],[RK]],TableWRCalcPts[RK],0)),"")</f>
        <v/>
      </c>
      <c r="T197" s="125" t="e">
        <f>(((VLOOKUP(TableWRRanks[[#This Row],[Player]],'OVR &amp; VORP Ranks'!$P:$T,5,FALSE)))/('OVR &amp; VORP Ranks'!$BM$6))*(Settings!$E$10*TEAMS)</f>
        <v>#VALUE!</v>
      </c>
    </row>
    <row r="198" spans="15:20" x14ac:dyDescent="0.2">
      <c r="O198">
        <v>197</v>
      </c>
      <c r="P198" t="str">
        <f>IFERROR(INDEX(TableWRCalcPts[PLAYER],MATCH(TableWRRanks[[#This Row],[RK]],TableWRCalcPts[RK],0)),"")</f>
        <v/>
      </c>
      <c r="Q198" t="str">
        <f>IFERROR(INDEX(TableWRCalcPts[TM],MATCH(TableWRRanks[[#This Row],[RK]],TableWRCalcPts[RK],0)),"")</f>
        <v/>
      </c>
      <c r="R198" t="str">
        <f>IFERROR(INDEX(TableWRCalcPts[BYE],MATCH(TableWRRanks[[#This Row],[RK]],TableWRCalcPts[RK],0)),"")</f>
        <v/>
      </c>
      <c r="S198" s="57" t="str">
        <f>IFERROR(INDEX(TableWRCalcPts[Custom],MATCH(TableWRRanks[[#This Row],[RK]],TableWRCalcPts[RK],0)),"")</f>
        <v/>
      </c>
      <c r="T198" s="125" t="e">
        <f>(((VLOOKUP(TableWRRanks[[#This Row],[Player]],'OVR &amp; VORP Ranks'!$P:$T,5,FALSE)))/('OVR &amp; VORP Ranks'!$BM$6))*(Settings!$E$10*TEAMS)</f>
        <v>#VALUE!</v>
      </c>
    </row>
    <row r="199" spans="15:20" x14ac:dyDescent="0.2">
      <c r="O199">
        <v>198</v>
      </c>
      <c r="P199" t="str">
        <f>IFERROR(INDEX(TableWRCalcPts[PLAYER],MATCH(TableWRRanks[[#This Row],[RK]],TableWRCalcPts[RK],0)),"")</f>
        <v/>
      </c>
      <c r="Q199" t="str">
        <f>IFERROR(INDEX(TableWRCalcPts[TM],MATCH(TableWRRanks[[#This Row],[RK]],TableWRCalcPts[RK],0)),"")</f>
        <v/>
      </c>
      <c r="R199" t="str">
        <f>IFERROR(INDEX(TableWRCalcPts[BYE],MATCH(TableWRRanks[[#This Row],[RK]],TableWRCalcPts[RK],0)),"")</f>
        <v/>
      </c>
      <c r="S199" s="57" t="str">
        <f>IFERROR(INDEX(TableWRCalcPts[Custom],MATCH(TableWRRanks[[#This Row],[RK]],TableWRCalcPts[RK],0)),"")</f>
        <v/>
      </c>
      <c r="T199" s="125" t="e">
        <f>(((VLOOKUP(TableWRRanks[[#This Row],[Player]],'OVR &amp; VORP Ranks'!$P:$T,5,FALSE)))/('OVR &amp; VORP Ranks'!$BM$6))*(Settings!$E$10*TEAMS)</f>
        <v>#VALUE!</v>
      </c>
    </row>
    <row r="200" spans="15:20" x14ac:dyDescent="0.2">
      <c r="O200">
        <v>199</v>
      </c>
      <c r="P200" t="str">
        <f>IFERROR(INDEX(TableWRCalcPts[PLAYER],MATCH(TableWRRanks[[#This Row],[RK]],TableWRCalcPts[RK],0)),"")</f>
        <v/>
      </c>
      <c r="Q200" t="str">
        <f>IFERROR(INDEX(TableWRCalcPts[TM],MATCH(TableWRRanks[[#This Row],[RK]],TableWRCalcPts[RK],0)),"")</f>
        <v/>
      </c>
      <c r="R200" t="str">
        <f>IFERROR(INDEX(TableWRCalcPts[BYE],MATCH(TableWRRanks[[#This Row],[RK]],TableWRCalcPts[RK],0)),"")</f>
        <v/>
      </c>
      <c r="S200" s="57" t="str">
        <f>IFERROR(INDEX(TableWRCalcPts[Custom],MATCH(TableWRRanks[[#This Row],[RK]],TableWRCalcPts[RK],0)),"")</f>
        <v/>
      </c>
      <c r="T200" s="125" t="e">
        <f>(((VLOOKUP(TableWRRanks[[#This Row],[Player]],'OVR &amp; VORP Ranks'!$P:$T,5,FALSE)))/('OVR &amp; VORP Ranks'!$BM$6))*(Settings!$E$10*TEAMS)</f>
        <v>#VALUE!</v>
      </c>
    </row>
    <row r="201" spans="15:20" x14ac:dyDescent="0.2">
      <c r="O201">
        <v>200</v>
      </c>
      <c r="P201" t="str">
        <f>IFERROR(INDEX(TableWRCalcPts[PLAYER],MATCH(TableWRRanks[[#This Row],[RK]],TableWRCalcPts[RK],0)),"")</f>
        <v/>
      </c>
      <c r="Q201" t="str">
        <f>IFERROR(INDEX(TableWRCalcPts[TM],MATCH(TableWRRanks[[#This Row],[RK]],TableWRCalcPts[RK],0)),"")</f>
        <v/>
      </c>
      <c r="R201" t="str">
        <f>IFERROR(INDEX(TableWRCalcPts[BYE],MATCH(TableWRRanks[[#This Row],[RK]],TableWRCalcPts[RK],0)),"")</f>
        <v/>
      </c>
      <c r="S201" s="57" t="str">
        <f>IFERROR(INDEX(TableWRCalcPts[Custom],MATCH(TableWRRanks[[#This Row],[RK]],TableWRCalcPts[RK],0)),"")</f>
        <v/>
      </c>
      <c r="T201" s="125" t="e">
        <f>(((VLOOKUP(TableWRRanks[[#This Row],[Player]],'OVR &amp; VORP Ranks'!$P:$T,5,FALSE)))/('OVR &amp; VORP Ranks'!$BM$6))*(Settings!$E$10*TEAMS)</f>
        <v>#VALUE!</v>
      </c>
    </row>
    <row r="202" spans="15:20" x14ac:dyDescent="0.2">
      <c r="O202">
        <v>201</v>
      </c>
      <c r="P202" t="str">
        <f>IFERROR(INDEX(TableWRCalcPts[PLAYER],MATCH(TableWRRanks[[#This Row],[RK]],TableWRCalcPts[RK],0)),"")</f>
        <v/>
      </c>
      <c r="Q202" t="str">
        <f>IFERROR(INDEX(TableWRCalcPts[TM],MATCH(TableWRRanks[[#This Row],[RK]],TableWRCalcPts[RK],0)),"")</f>
        <v/>
      </c>
      <c r="R202" t="str">
        <f>IFERROR(INDEX(TableWRCalcPts[BYE],MATCH(TableWRRanks[[#This Row],[RK]],TableWRCalcPts[RK],0)),"")</f>
        <v/>
      </c>
      <c r="S202" s="57" t="str">
        <f>IFERROR(INDEX(TableWRCalcPts[Custom],MATCH(TableWRRanks[[#This Row],[RK]],TableWRCalcPts[RK],0)),"")</f>
        <v/>
      </c>
      <c r="T202" s="125" t="e">
        <f>(((VLOOKUP(TableWRRanks[[#This Row],[Player]],'OVR &amp; VORP Ranks'!$P:$T,5,FALSE)))/('OVR &amp; VORP Ranks'!$BM$6))*(Settings!$E$10*TEAMS)</f>
        <v>#VALUE!</v>
      </c>
    </row>
    <row r="203" spans="15:20" x14ac:dyDescent="0.2">
      <c r="O203">
        <v>202</v>
      </c>
      <c r="P203" t="str">
        <f>IFERROR(INDEX(TableWRCalcPts[PLAYER],MATCH(TableWRRanks[[#This Row],[RK]],TableWRCalcPts[RK],0)),"")</f>
        <v/>
      </c>
      <c r="Q203" t="str">
        <f>IFERROR(INDEX(TableWRCalcPts[TM],MATCH(TableWRRanks[[#This Row],[RK]],TableWRCalcPts[RK],0)),"")</f>
        <v/>
      </c>
      <c r="R203" t="str">
        <f>IFERROR(INDEX(TableWRCalcPts[BYE],MATCH(TableWRRanks[[#This Row],[RK]],TableWRCalcPts[RK],0)),"")</f>
        <v/>
      </c>
      <c r="S203" s="57" t="str">
        <f>IFERROR(INDEX(TableWRCalcPts[Custom],MATCH(TableWRRanks[[#This Row],[RK]],TableWRCalcPts[RK],0)),"")</f>
        <v/>
      </c>
      <c r="T203" s="125" t="e">
        <f>(((VLOOKUP(TableWRRanks[[#This Row],[Player]],'OVR &amp; VORP Ranks'!$P:$T,5,FALSE)))/('OVR &amp; VORP Ranks'!$BM$6))*(Settings!$E$10*TEAMS)</f>
        <v>#VALUE!</v>
      </c>
    </row>
    <row r="204" spans="15:20" x14ac:dyDescent="0.2">
      <c r="O204">
        <v>203</v>
      </c>
      <c r="P204" t="str">
        <f>IFERROR(INDEX(TableWRCalcPts[PLAYER],MATCH(TableWRRanks[[#This Row],[RK]],TableWRCalcPts[RK],0)),"")</f>
        <v/>
      </c>
      <c r="Q204" t="str">
        <f>IFERROR(INDEX(TableWRCalcPts[TM],MATCH(TableWRRanks[[#This Row],[RK]],TableWRCalcPts[RK],0)),"")</f>
        <v/>
      </c>
      <c r="R204" t="str">
        <f>IFERROR(INDEX(TableWRCalcPts[BYE],MATCH(TableWRRanks[[#This Row],[RK]],TableWRCalcPts[RK],0)),"")</f>
        <v/>
      </c>
      <c r="S204" s="57" t="str">
        <f>IFERROR(INDEX(TableWRCalcPts[Custom],MATCH(TableWRRanks[[#This Row],[RK]],TableWRCalcPts[RK],0)),"")</f>
        <v/>
      </c>
      <c r="T204" s="125" t="e">
        <f>(((VLOOKUP(TableWRRanks[[#This Row],[Player]],'OVR &amp; VORP Ranks'!$P:$T,5,FALSE)))/('OVR &amp; VORP Ranks'!$BM$6))*(Settings!$E$10*TEAMS)</f>
        <v>#VALUE!</v>
      </c>
    </row>
    <row r="205" spans="15:20" x14ac:dyDescent="0.2">
      <c r="O205">
        <v>204</v>
      </c>
      <c r="P205" t="str">
        <f>IFERROR(INDEX(TableWRCalcPts[PLAYER],MATCH(TableWRRanks[[#This Row],[RK]],TableWRCalcPts[RK],0)),"")</f>
        <v/>
      </c>
      <c r="Q205" t="str">
        <f>IFERROR(INDEX(TableWRCalcPts[TM],MATCH(TableWRRanks[[#This Row],[RK]],TableWRCalcPts[RK],0)),"")</f>
        <v/>
      </c>
      <c r="R205" t="str">
        <f>IFERROR(INDEX(TableWRCalcPts[BYE],MATCH(TableWRRanks[[#This Row],[RK]],TableWRCalcPts[RK],0)),"")</f>
        <v/>
      </c>
      <c r="S205" s="57" t="str">
        <f>IFERROR(INDEX(TableWRCalcPts[Custom],MATCH(TableWRRanks[[#This Row],[RK]],TableWRCalcPts[RK],0)),"")</f>
        <v/>
      </c>
      <c r="T205" s="125" t="e">
        <f>(((VLOOKUP(TableWRRanks[[#This Row],[Player]],'OVR &amp; VORP Ranks'!$P:$T,5,FALSE)))/('OVR &amp; VORP Ranks'!$BM$6))*(Settings!$E$10*TEAMS)</f>
        <v>#VALUE!</v>
      </c>
    </row>
    <row r="206" spans="15:20" x14ac:dyDescent="0.2">
      <c r="O206">
        <v>205</v>
      </c>
      <c r="P206" t="str">
        <f>IFERROR(INDEX(TableWRCalcPts[PLAYER],MATCH(TableWRRanks[[#This Row],[RK]],TableWRCalcPts[RK],0)),"")</f>
        <v/>
      </c>
      <c r="Q206" t="str">
        <f>IFERROR(INDEX(TableWRCalcPts[TM],MATCH(TableWRRanks[[#This Row],[RK]],TableWRCalcPts[RK],0)),"")</f>
        <v/>
      </c>
      <c r="R206" t="str">
        <f>IFERROR(INDEX(TableWRCalcPts[BYE],MATCH(TableWRRanks[[#This Row],[RK]],TableWRCalcPts[RK],0)),"")</f>
        <v/>
      </c>
      <c r="S206" s="57" t="str">
        <f>IFERROR(INDEX(TableWRCalcPts[Custom],MATCH(TableWRRanks[[#This Row],[RK]],TableWRCalcPts[RK],0)),"")</f>
        <v/>
      </c>
      <c r="T206" s="125" t="e">
        <f>(((VLOOKUP(TableWRRanks[[#This Row],[Player]],'OVR &amp; VORP Ranks'!$P:$T,5,FALSE)))/('OVR &amp; VORP Ranks'!$BM$6))*(Settings!$E$10*TEAMS)</f>
        <v>#VALUE!</v>
      </c>
    </row>
    <row r="207" spans="15:20" x14ac:dyDescent="0.2">
      <c r="O207">
        <v>206</v>
      </c>
      <c r="P207" t="str">
        <f>IFERROR(INDEX(TableWRCalcPts[PLAYER],MATCH(TableWRRanks[[#This Row],[RK]],TableWRCalcPts[RK],0)),"")</f>
        <v/>
      </c>
      <c r="Q207" t="str">
        <f>IFERROR(INDEX(TableWRCalcPts[TM],MATCH(TableWRRanks[[#This Row],[RK]],TableWRCalcPts[RK],0)),"")</f>
        <v/>
      </c>
      <c r="R207" t="str">
        <f>IFERROR(INDEX(TableWRCalcPts[BYE],MATCH(TableWRRanks[[#This Row],[RK]],TableWRCalcPts[RK],0)),"")</f>
        <v/>
      </c>
      <c r="S207" s="57" t="str">
        <f>IFERROR(INDEX(TableWRCalcPts[Custom],MATCH(TableWRRanks[[#This Row],[RK]],TableWRCalcPts[RK],0)),"")</f>
        <v/>
      </c>
      <c r="T207" s="125" t="e">
        <f>(((VLOOKUP(TableWRRanks[[#This Row],[Player]],'OVR &amp; VORP Ranks'!$P:$T,5,FALSE)))/('OVR &amp; VORP Ranks'!$BM$6))*(Settings!$E$10*TEAMS)</f>
        <v>#VALUE!</v>
      </c>
    </row>
    <row r="208" spans="15:20" x14ac:dyDescent="0.2">
      <c r="O208">
        <v>207</v>
      </c>
      <c r="P208" t="str">
        <f>IFERROR(INDEX(TableWRCalcPts[PLAYER],MATCH(TableWRRanks[[#This Row],[RK]],TableWRCalcPts[RK],0)),"")</f>
        <v/>
      </c>
      <c r="Q208" t="str">
        <f>IFERROR(INDEX(TableWRCalcPts[TM],MATCH(TableWRRanks[[#This Row],[RK]],TableWRCalcPts[RK],0)),"")</f>
        <v/>
      </c>
      <c r="R208" t="str">
        <f>IFERROR(INDEX(TableWRCalcPts[BYE],MATCH(TableWRRanks[[#This Row],[RK]],TableWRCalcPts[RK],0)),"")</f>
        <v/>
      </c>
      <c r="S208" s="57" t="str">
        <f>IFERROR(INDEX(TableWRCalcPts[Custom],MATCH(TableWRRanks[[#This Row],[RK]],TableWRCalcPts[RK],0)),"")</f>
        <v/>
      </c>
      <c r="T208" s="125" t="e">
        <f>(((VLOOKUP(TableWRRanks[[#This Row],[Player]],'OVR &amp; VORP Ranks'!$P:$T,5,FALSE)))/('OVR &amp; VORP Ranks'!$BM$6))*(Settings!$E$10*TEAMS)</f>
        <v>#VALUE!</v>
      </c>
    </row>
    <row r="209" spans="15:20" x14ac:dyDescent="0.2">
      <c r="O209">
        <v>208</v>
      </c>
      <c r="P209" t="str">
        <f>IFERROR(INDEX(TableWRCalcPts[PLAYER],MATCH(TableWRRanks[[#This Row],[RK]],TableWRCalcPts[RK],0)),"")</f>
        <v/>
      </c>
      <c r="Q209" t="str">
        <f>IFERROR(INDEX(TableWRCalcPts[TM],MATCH(TableWRRanks[[#This Row],[RK]],TableWRCalcPts[RK],0)),"")</f>
        <v/>
      </c>
      <c r="R209" t="str">
        <f>IFERROR(INDEX(TableWRCalcPts[BYE],MATCH(TableWRRanks[[#This Row],[RK]],TableWRCalcPts[RK],0)),"")</f>
        <v/>
      </c>
      <c r="S209" s="57" t="str">
        <f>IFERROR(INDEX(TableWRCalcPts[Custom],MATCH(TableWRRanks[[#This Row],[RK]],TableWRCalcPts[RK],0)),"")</f>
        <v/>
      </c>
      <c r="T209" s="125" t="e">
        <f>(((VLOOKUP(TableWRRanks[[#This Row],[Player]],'OVR &amp; VORP Ranks'!$P:$T,5,FALSE)))/('OVR &amp; VORP Ranks'!$BM$6))*(Settings!$E$10*TEAMS)</f>
        <v>#VALUE!</v>
      </c>
    </row>
    <row r="210" spans="15:20" x14ac:dyDescent="0.2">
      <c r="O210">
        <v>209</v>
      </c>
      <c r="P210" t="str">
        <f>IFERROR(INDEX(TableWRCalcPts[PLAYER],MATCH(TableWRRanks[[#This Row],[RK]],TableWRCalcPts[RK],0)),"")</f>
        <v/>
      </c>
      <c r="Q210" t="str">
        <f>IFERROR(INDEX(TableWRCalcPts[TM],MATCH(TableWRRanks[[#This Row],[RK]],TableWRCalcPts[RK],0)),"")</f>
        <v/>
      </c>
      <c r="R210" t="str">
        <f>IFERROR(INDEX(TableWRCalcPts[BYE],MATCH(TableWRRanks[[#This Row],[RK]],TableWRCalcPts[RK],0)),"")</f>
        <v/>
      </c>
      <c r="S210" s="57" t="str">
        <f>IFERROR(INDEX(TableWRCalcPts[Custom],MATCH(TableWRRanks[[#This Row],[RK]],TableWRCalcPts[RK],0)),"")</f>
        <v/>
      </c>
      <c r="T210" s="125" t="e">
        <f>(((VLOOKUP(TableWRRanks[[#This Row],[Player]],'OVR &amp; VORP Ranks'!$P:$T,5,FALSE)))/('OVR &amp; VORP Ranks'!$BM$6))*(Settings!$E$10*TEAMS)</f>
        <v>#VALUE!</v>
      </c>
    </row>
    <row r="211" spans="15:20" x14ac:dyDescent="0.2">
      <c r="O211">
        <v>210</v>
      </c>
      <c r="P211" t="str">
        <f>IFERROR(INDEX(TableWRCalcPts[PLAYER],MATCH(TableWRRanks[[#This Row],[RK]],TableWRCalcPts[RK],0)),"")</f>
        <v/>
      </c>
      <c r="Q211" t="str">
        <f>IFERROR(INDEX(TableWRCalcPts[TM],MATCH(TableWRRanks[[#This Row],[RK]],TableWRCalcPts[RK],0)),"")</f>
        <v/>
      </c>
      <c r="R211" t="str">
        <f>IFERROR(INDEX(TableWRCalcPts[BYE],MATCH(TableWRRanks[[#This Row],[RK]],TableWRCalcPts[RK],0)),"")</f>
        <v/>
      </c>
      <c r="S211" s="57" t="str">
        <f>IFERROR(INDEX(TableWRCalcPts[Custom],MATCH(TableWRRanks[[#This Row],[RK]],TableWRCalcPts[RK],0)),"")</f>
        <v/>
      </c>
      <c r="T211" s="125" t="e">
        <f>(((VLOOKUP(TableWRRanks[[#This Row],[Player]],'OVR &amp; VORP Ranks'!$P:$T,5,FALSE)))/('OVR &amp; VORP Ranks'!$BM$6))*(Settings!$E$10*TEAMS)</f>
        <v>#VALUE!</v>
      </c>
    </row>
    <row r="212" spans="15:20" x14ac:dyDescent="0.2">
      <c r="O212">
        <v>211</v>
      </c>
      <c r="P212" t="str">
        <f>IFERROR(INDEX(TableWRCalcPts[PLAYER],MATCH(TableWRRanks[[#This Row],[RK]],TableWRCalcPts[RK],0)),"")</f>
        <v/>
      </c>
      <c r="Q212" t="str">
        <f>IFERROR(INDEX(TableWRCalcPts[TM],MATCH(TableWRRanks[[#This Row],[RK]],TableWRCalcPts[RK],0)),"")</f>
        <v/>
      </c>
      <c r="R212" t="str">
        <f>IFERROR(INDEX(TableWRCalcPts[BYE],MATCH(TableWRRanks[[#This Row],[RK]],TableWRCalcPts[RK],0)),"")</f>
        <v/>
      </c>
      <c r="S212" s="57" t="str">
        <f>IFERROR(INDEX(TableWRCalcPts[Custom],MATCH(TableWRRanks[[#This Row],[RK]],TableWRCalcPts[RK],0)),"")</f>
        <v/>
      </c>
      <c r="T212" s="125" t="e">
        <f>(((VLOOKUP(TableWRRanks[[#This Row],[Player]],'OVR &amp; VORP Ranks'!$P:$T,5,FALSE)))/('OVR &amp; VORP Ranks'!$BM$6))*(Settings!$E$10*TEAMS)</f>
        <v>#VALUE!</v>
      </c>
    </row>
    <row r="213" spans="15:20" x14ac:dyDescent="0.2">
      <c r="O213">
        <v>212</v>
      </c>
      <c r="P213" t="str">
        <f>IFERROR(INDEX(TableWRCalcPts[PLAYER],MATCH(TableWRRanks[[#This Row],[RK]],TableWRCalcPts[RK],0)),"")</f>
        <v/>
      </c>
      <c r="Q213" t="str">
        <f>IFERROR(INDEX(TableWRCalcPts[TM],MATCH(TableWRRanks[[#This Row],[RK]],TableWRCalcPts[RK],0)),"")</f>
        <v/>
      </c>
      <c r="R213" t="str">
        <f>IFERROR(INDEX(TableWRCalcPts[BYE],MATCH(TableWRRanks[[#This Row],[RK]],TableWRCalcPts[RK],0)),"")</f>
        <v/>
      </c>
      <c r="S213" s="57" t="str">
        <f>IFERROR(INDEX(TableWRCalcPts[Custom],MATCH(TableWRRanks[[#This Row],[RK]],TableWRCalcPts[RK],0)),"")</f>
        <v/>
      </c>
      <c r="T213" s="125" t="e">
        <f>(((VLOOKUP(TableWRRanks[[#This Row],[Player]],'OVR &amp; VORP Ranks'!$P:$T,5,FALSE)))/('OVR &amp; VORP Ranks'!$BM$6))*(Settings!$E$10*TEAMS)</f>
        <v>#VALUE!</v>
      </c>
    </row>
    <row r="214" spans="15:20" x14ac:dyDescent="0.2">
      <c r="O214">
        <v>213</v>
      </c>
      <c r="P214" t="str">
        <f>IFERROR(INDEX(TableWRCalcPts[PLAYER],MATCH(TableWRRanks[[#This Row],[RK]],TableWRCalcPts[RK],0)),"")</f>
        <v/>
      </c>
      <c r="Q214" t="str">
        <f>IFERROR(INDEX(TableWRCalcPts[TM],MATCH(TableWRRanks[[#This Row],[RK]],TableWRCalcPts[RK],0)),"")</f>
        <v/>
      </c>
      <c r="R214" t="str">
        <f>IFERROR(INDEX(TableWRCalcPts[BYE],MATCH(TableWRRanks[[#This Row],[RK]],TableWRCalcPts[RK],0)),"")</f>
        <v/>
      </c>
      <c r="S214" s="57" t="str">
        <f>IFERROR(INDEX(TableWRCalcPts[Custom],MATCH(TableWRRanks[[#This Row],[RK]],TableWRCalcPts[RK],0)),"")</f>
        <v/>
      </c>
      <c r="T214" s="125" t="e">
        <f>(((VLOOKUP(TableWRRanks[[#This Row],[Player]],'OVR &amp; VORP Ranks'!$P:$T,5,FALSE)))/('OVR &amp; VORP Ranks'!$BM$6))*(Settings!$E$10*TEAMS)</f>
        <v>#VALUE!</v>
      </c>
    </row>
    <row r="215" spans="15:20" x14ac:dyDescent="0.2">
      <c r="O215">
        <v>214</v>
      </c>
      <c r="P215" t="str">
        <f>IFERROR(INDEX(TableWRCalcPts[PLAYER],MATCH(TableWRRanks[[#This Row],[RK]],TableWRCalcPts[RK],0)),"")</f>
        <v/>
      </c>
      <c r="Q215" t="str">
        <f>IFERROR(INDEX(TableWRCalcPts[TM],MATCH(TableWRRanks[[#This Row],[RK]],TableWRCalcPts[RK],0)),"")</f>
        <v/>
      </c>
      <c r="R215" t="str">
        <f>IFERROR(INDEX(TableWRCalcPts[BYE],MATCH(TableWRRanks[[#This Row],[RK]],TableWRCalcPts[RK],0)),"")</f>
        <v/>
      </c>
      <c r="S215" s="57" t="str">
        <f>IFERROR(INDEX(TableWRCalcPts[Custom],MATCH(TableWRRanks[[#This Row],[RK]],TableWRCalcPts[RK],0)),"")</f>
        <v/>
      </c>
      <c r="T215" s="125" t="e">
        <f>(((VLOOKUP(TableWRRanks[[#This Row],[Player]],'OVR &amp; VORP Ranks'!$P:$T,5,FALSE)))/('OVR &amp; VORP Ranks'!$BM$6))*(Settings!$E$10*TEAMS)</f>
        <v>#VALUE!</v>
      </c>
    </row>
    <row r="216" spans="15:20" x14ac:dyDescent="0.2">
      <c r="O216">
        <v>215</v>
      </c>
      <c r="P216" t="str">
        <f>IFERROR(INDEX(TableWRCalcPts[PLAYER],MATCH(TableWRRanks[[#This Row],[RK]],TableWRCalcPts[RK],0)),"")</f>
        <v/>
      </c>
      <c r="Q216" t="str">
        <f>IFERROR(INDEX(TableWRCalcPts[TM],MATCH(TableWRRanks[[#This Row],[RK]],TableWRCalcPts[RK],0)),"")</f>
        <v/>
      </c>
      <c r="R216" t="str">
        <f>IFERROR(INDEX(TableWRCalcPts[BYE],MATCH(TableWRRanks[[#This Row],[RK]],TableWRCalcPts[RK],0)),"")</f>
        <v/>
      </c>
      <c r="S216" s="57" t="str">
        <f>IFERROR(INDEX(TableWRCalcPts[Custom],MATCH(TableWRRanks[[#This Row],[RK]],TableWRCalcPts[RK],0)),"")</f>
        <v/>
      </c>
      <c r="T216" s="125" t="e">
        <f>(((VLOOKUP(TableWRRanks[[#This Row],[Player]],'OVR &amp; VORP Ranks'!$P:$T,5,FALSE)))/('OVR &amp; VORP Ranks'!$BM$6))*(Settings!$E$10*TEAMS)</f>
        <v>#VALUE!</v>
      </c>
    </row>
    <row r="217" spans="15:20" x14ac:dyDescent="0.2">
      <c r="O217">
        <v>216</v>
      </c>
      <c r="P217" t="str">
        <f>IFERROR(INDEX(TableWRCalcPts[PLAYER],MATCH(TableWRRanks[[#This Row],[RK]],TableWRCalcPts[RK],0)),"")</f>
        <v/>
      </c>
      <c r="Q217" t="str">
        <f>IFERROR(INDEX(TableWRCalcPts[TM],MATCH(TableWRRanks[[#This Row],[RK]],TableWRCalcPts[RK],0)),"")</f>
        <v/>
      </c>
      <c r="R217" t="str">
        <f>IFERROR(INDEX(TableWRCalcPts[BYE],MATCH(TableWRRanks[[#This Row],[RK]],TableWRCalcPts[RK],0)),"")</f>
        <v/>
      </c>
      <c r="S217" s="57" t="str">
        <f>IFERROR(INDEX(TableWRCalcPts[Custom],MATCH(TableWRRanks[[#This Row],[RK]],TableWRCalcPts[RK],0)),"")</f>
        <v/>
      </c>
      <c r="T217" s="125" t="e">
        <f>(((VLOOKUP(TableWRRanks[[#This Row],[Player]],'OVR &amp; VORP Ranks'!$P:$T,5,FALSE)))/('OVR &amp; VORP Ranks'!$BM$6))*(Settings!$E$10*TEAMS)</f>
        <v>#VALUE!</v>
      </c>
    </row>
    <row r="218" spans="15:20" x14ac:dyDescent="0.2">
      <c r="O218">
        <v>217</v>
      </c>
      <c r="P218" t="str">
        <f>IFERROR(INDEX(TableWRCalcPts[PLAYER],MATCH(TableWRRanks[[#This Row],[RK]],TableWRCalcPts[RK],0)),"")</f>
        <v/>
      </c>
      <c r="Q218" t="str">
        <f>IFERROR(INDEX(TableWRCalcPts[TM],MATCH(TableWRRanks[[#This Row],[RK]],TableWRCalcPts[RK],0)),"")</f>
        <v/>
      </c>
      <c r="R218" t="str">
        <f>IFERROR(INDEX(TableWRCalcPts[BYE],MATCH(TableWRRanks[[#This Row],[RK]],TableWRCalcPts[RK],0)),"")</f>
        <v/>
      </c>
      <c r="S218" s="57" t="str">
        <f>IFERROR(INDEX(TableWRCalcPts[Custom],MATCH(TableWRRanks[[#This Row],[RK]],TableWRCalcPts[RK],0)),"")</f>
        <v/>
      </c>
      <c r="T218" s="125" t="e">
        <f>(((VLOOKUP(TableWRRanks[[#This Row],[Player]],'OVR &amp; VORP Ranks'!$P:$T,5,FALSE)))/('OVR &amp; VORP Ranks'!$BM$6))*(Settings!$E$10*TEAMS)</f>
        <v>#VALUE!</v>
      </c>
    </row>
    <row r="219" spans="15:20" x14ac:dyDescent="0.2">
      <c r="O219">
        <v>218</v>
      </c>
      <c r="P219" t="str">
        <f>IFERROR(INDEX(TableWRCalcPts[PLAYER],MATCH(TableWRRanks[[#This Row],[RK]],TableWRCalcPts[RK],0)),"")</f>
        <v/>
      </c>
      <c r="Q219" t="str">
        <f>IFERROR(INDEX(TableWRCalcPts[TM],MATCH(TableWRRanks[[#This Row],[RK]],TableWRCalcPts[RK],0)),"")</f>
        <v/>
      </c>
      <c r="R219" t="str">
        <f>IFERROR(INDEX(TableWRCalcPts[BYE],MATCH(TableWRRanks[[#This Row],[RK]],TableWRCalcPts[RK],0)),"")</f>
        <v/>
      </c>
      <c r="S219" s="57" t="str">
        <f>IFERROR(INDEX(TableWRCalcPts[Custom],MATCH(TableWRRanks[[#This Row],[RK]],TableWRCalcPts[RK],0)),"")</f>
        <v/>
      </c>
      <c r="T219" s="125" t="e">
        <f>(((VLOOKUP(TableWRRanks[[#This Row],[Player]],'OVR &amp; VORP Ranks'!$P:$T,5,FALSE)))/('OVR &amp; VORP Ranks'!$BM$6))*(Settings!$E$10*TEAMS)</f>
        <v>#VALUE!</v>
      </c>
    </row>
    <row r="220" spans="15:20" x14ac:dyDescent="0.2">
      <c r="O220">
        <v>219</v>
      </c>
      <c r="P220" t="str">
        <f>IFERROR(INDEX(TableWRCalcPts[PLAYER],MATCH(TableWRRanks[[#This Row],[RK]],TableWRCalcPts[RK],0)),"")</f>
        <v/>
      </c>
      <c r="Q220" t="str">
        <f>IFERROR(INDEX(TableWRCalcPts[TM],MATCH(TableWRRanks[[#This Row],[RK]],TableWRCalcPts[RK],0)),"")</f>
        <v/>
      </c>
      <c r="R220" t="str">
        <f>IFERROR(INDEX(TableWRCalcPts[BYE],MATCH(TableWRRanks[[#This Row],[RK]],TableWRCalcPts[RK],0)),"")</f>
        <v/>
      </c>
      <c r="S220" s="57" t="str">
        <f>IFERROR(INDEX(TableWRCalcPts[Custom],MATCH(TableWRRanks[[#This Row],[RK]],TableWRCalcPts[RK],0)),"")</f>
        <v/>
      </c>
      <c r="T220" s="125" t="e">
        <f>(((VLOOKUP(TableWRRanks[[#This Row],[Player]],'OVR &amp; VORP Ranks'!$P:$T,5,FALSE)))/('OVR &amp; VORP Ranks'!$BM$6))*(Settings!$E$10*TEAMS)</f>
        <v>#VALUE!</v>
      </c>
    </row>
    <row r="221" spans="15:20" x14ac:dyDescent="0.2">
      <c r="O221">
        <v>220</v>
      </c>
      <c r="P221" t="str">
        <f>IFERROR(INDEX(TableWRCalcPts[PLAYER],MATCH(TableWRRanks[[#This Row],[RK]],TableWRCalcPts[RK],0)),"")</f>
        <v/>
      </c>
      <c r="Q221" t="str">
        <f>IFERROR(INDEX(TableWRCalcPts[TM],MATCH(TableWRRanks[[#This Row],[RK]],TableWRCalcPts[RK],0)),"")</f>
        <v/>
      </c>
      <c r="R221" t="str">
        <f>IFERROR(INDEX(TableWRCalcPts[BYE],MATCH(TableWRRanks[[#This Row],[RK]],TableWRCalcPts[RK],0)),"")</f>
        <v/>
      </c>
      <c r="S221" s="57" t="str">
        <f>IFERROR(INDEX(TableWRCalcPts[Custom],MATCH(TableWRRanks[[#This Row],[RK]],TableWRCalcPts[RK],0)),"")</f>
        <v/>
      </c>
      <c r="T221" s="125" t="e">
        <f>(((VLOOKUP(TableWRRanks[[#This Row],[Player]],'OVR &amp; VORP Ranks'!$P:$T,5,FALSE)))/('OVR &amp; VORP Ranks'!$BM$6))*(Settings!$E$10*TEAMS)</f>
        <v>#VALUE!</v>
      </c>
    </row>
  </sheetData>
  <sheetProtection sheet="1" objects="1" scenarios="1" sort="0" autoFilter="0"/>
  <protectedRanges>
    <protectedRange sqref="A1:AG239" name="QBRanks"/>
  </protectedRanges>
  <phoneticPr fontId="19" type="noConversion"/>
  <pageMargins left="0.7" right="0.7" top="0.75" bottom="0.75" header="0.3" footer="0.3"/>
  <pageSetup orientation="portrait" horizontalDpi="90" verticalDpi="90" r:id="rId1"/>
  <ignoredErrors>
    <ignoredError sqref="A2:A68 H2:H150 V2:V97 AC2:AC33 H151:H171 V98:V101 O2:O221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theme="7" tint="-0.249977111117893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75</v>
      </c>
      <c r="B2" s="18" t="s">
        <v>9</v>
      </c>
      <c r="C2" s="18">
        <v>11</v>
      </c>
      <c r="D2" s="146">
        <f>D$32*Q2</f>
        <v>555.98179999999991</v>
      </c>
      <c r="E2" s="146">
        <f>D2*R2</f>
        <v>369.72789699999998</v>
      </c>
      <c r="F2" s="146">
        <f>E2*S2</f>
        <v>4020.4211519780001</v>
      </c>
      <c r="G2" s="146">
        <f>D2*T2</f>
        <v>23.907217399999993</v>
      </c>
      <c r="H2" s="146">
        <f>E2*U2</f>
        <v>6.6551021459999991</v>
      </c>
      <c r="I2" s="146">
        <f>D$35*W2</f>
        <v>21.989044000000003</v>
      </c>
      <c r="J2" s="146">
        <f>I2*V2</f>
        <v>57.391404840000007</v>
      </c>
      <c r="K2" s="146">
        <f>I2*X2</f>
        <v>0.35182470400000004</v>
      </c>
      <c r="L2" s="147"/>
      <c r="M2" s="147"/>
      <c r="N2" s="147"/>
      <c r="O2" s="147"/>
      <c r="Q2" s="150">
        <f>(AE2/SUM(AE$2:AE$25))</f>
        <v>0.95</v>
      </c>
      <c r="R2" s="19">
        <v>0.66500000000000004</v>
      </c>
      <c r="S2" s="107">
        <v>10.874000000000001</v>
      </c>
      <c r="T2" s="19">
        <v>4.2999999999999997E-2</v>
      </c>
      <c r="U2" s="19">
        <v>1.7999999999999999E-2</v>
      </c>
      <c r="V2" s="107">
        <v>2.61</v>
      </c>
      <c r="W2" s="150">
        <f>(AF2/SUM(AF$2:AF$25))*0.98</f>
        <v>4.9000000000000002E-2</v>
      </c>
      <c r="X2" s="19">
        <v>1.6E-2</v>
      </c>
      <c r="Y2" s="21"/>
      <c r="Z2" s="22"/>
      <c r="AA2" s="1"/>
      <c r="AB2" s="1"/>
      <c r="AC2" s="1"/>
      <c r="AE2" s="19">
        <v>0.95</v>
      </c>
      <c r="AF2" s="19">
        <v>0.05</v>
      </c>
      <c r="AG2" s="168"/>
      <c r="AH2" s="168"/>
    </row>
    <row r="3" spans="1:34" x14ac:dyDescent="0.2">
      <c r="A3" s="17" t="s">
        <v>616</v>
      </c>
      <c r="B3" s="18" t="s">
        <v>9</v>
      </c>
      <c r="C3" s="18">
        <v>11</v>
      </c>
      <c r="D3" s="146">
        <f>D$32*Q3</f>
        <v>11.704879999999999</v>
      </c>
      <c r="E3" s="146">
        <f t="shared" ref="E3:F4" si="0">D3*R3</f>
        <v>7.1048621599999997</v>
      </c>
      <c r="F3" s="146">
        <f t="shared" si="0"/>
        <v>72.82483714</v>
      </c>
      <c r="G3" s="146">
        <f t="shared" ref="G3:G4" si="1">D3*T3</f>
        <v>0.39796592000000003</v>
      </c>
      <c r="H3" s="146">
        <f t="shared" ref="H3:H4" si="2">E3*U3</f>
        <v>0.1420972432</v>
      </c>
      <c r="I3" s="146">
        <f>D$35*W3</f>
        <v>2.1989044</v>
      </c>
      <c r="J3" s="146">
        <f>I3*V3</f>
        <v>3.0564771159999999</v>
      </c>
      <c r="K3" s="146">
        <f>I3*X3</f>
        <v>2.1989043999999999E-2</v>
      </c>
      <c r="L3" s="147">
        <v>32.190800000000003</v>
      </c>
      <c r="M3" s="147">
        <v>23.66</v>
      </c>
      <c r="N3" s="147">
        <v>258.72550000000001</v>
      </c>
      <c r="O3" s="147">
        <v>2.3847999999999998</v>
      </c>
      <c r="Q3" s="150">
        <f>(AE3/SUM(AE$2:AE$25))</f>
        <v>0.02</v>
      </c>
      <c r="R3" s="19">
        <v>0.60699999999999998</v>
      </c>
      <c r="S3" s="107">
        <v>10.25</v>
      </c>
      <c r="T3" s="19">
        <v>3.4000000000000002E-2</v>
      </c>
      <c r="U3" s="19">
        <v>0.02</v>
      </c>
      <c r="V3" s="107">
        <v>1.39</v>
      </c>
      <c r="W3" s="150">
        <f>(AF3/SUM(AF$2:AF$25))*0.98</f>
        <v>4.8999999999999998E-3</v>
      </c>
      <c r="X3" s="19">
        <v>0.01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34" x14ac:dyDescent="0.2">
      <c r="A4" s="42"/>
      <c r="B4" s="18" t="s">
        <v>9</v>
      </c>
      <c r="C4" s="18"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(AF4/SUM(AF$2:AF$25))*0.98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84</v>
      </c>
      <c r="B6" s="18" t="s">
        <v>222</v>
      </c>
      <c r="C6" s="18">
        <v>11</v>
      </c>
      <c r="D6" s="147"/>
      <c r="E6" s="147"/>
      <c r="F6" s="147"/>
      <c r="G6" s="147"/>
      <c r="H6" s="147"/>
      <c r="I6" s="146">
        <f t="shared" ref="I6:I11" si="3">D$35*W6</f>
        <v>175.91235200000003</v>
      </c>
      <c r="J6" s="146">
        <f>I6*V6</f>
        <v>687.81729632000008</v>
      </c>
      <c r="K6" s="146">
        <f>I6*X6</f>
        <v>5.4532829120000006</v>
      </c>
      <c r="L6" s="146">
        <f>((D$2+D$3+D$4)*AA6)</f>
        <v>72.323283031999992</v>
      </c>
      <c r="M6" s="146">
        <f t="shared" ref="M6:N11" si="4">L6*Y6</f>
        <v>59.305092086239988</v>
      </c>
      <c r="N6" s="146">
        <f t="shared" si="4"/>
        <v>409.20513539505595</v>
      </c>
      <c r="O6" s="146">
        <f>M6*AH6</f>
        <v>2.3722036834495994</v>
      </c>
      <c r="Q6" s="13"/>
      <c r="R6" s="139"/>
      <c r="S6" s="138"/>
      <c r="T6" s="139"/>
      <c r="U6" s="139"/>
      <c r="V6" s="107">
        <v>3.91</v>
      </c>
      <c r="W6" s="150">
        <f t="shared" ref="W6:W11" si="5">(AF6/SUM(AF$2:AF$25))*0.98</f>
        <v>0.39200000000000002</v>
      </c>
      <c r="X6" s="19">
        <v>3.1E-2</v>
      </c>
      <c r="Y6" s="19">
        <v>0.82</v>
      </c>
      <c r="Z6" s="20">
        <v>6.9</v>
      </c>
      <c r="AA6" s="150">
        <f t="shared" ref="AA6:AA11" si="6">(AG6/SUM(AG$6:AG$25))*0.98</f>
        <v>0.12740000000000001</v>
      </c>
      <c r="AB6" s="7">
        <v>0.19720064693653186</v>
      </c>
      <c r="AC6" s="150">
        <f t="shared" ref="AC6:AC11" si="7">(AH6/SUM(AH$6:AH$25))*0.98</f>
        <v>5.1920529801324507E-2</v>
      </c>
      <c r="AE6" s="168"/>
      <c r="AF6" s="19">
        <v>0.4</v>
      </c>
      <c r="AG6" s="19">
        <v>0.13</v>
      </c>
      <c r="AH6" s="19">
        <v>0.04</v>
      </c>
    </row>
    <row r="7" spans="1:34" x14ac:dyDescent="0.2">
      <c r="A7" s="17" t="s">
        <v>172</v>
      </c>
      <c r="B7" s="18" t="s">
        <v>222</v>
      </c>
      <c r="C7" s="18">
        <v>11</v>
      </c>
      <c r="D7" s="147"/>
      <c r="E7" s="147"/>
      <c r="F7" s="147"/>
      <c r="G7" s="147"/>
      <c r="H7" s="147"/>
      <c r="I7" s="146">
        <f t="shared" si="3"/>
        <v>65.967132000000007</v>
      </c>
      <c r="J7" s="146">
        <f>I7*V7</f>
        <v>247.37674500000003</v>
      </c>
      <c r="K7" s="146">
        <f>I7*X7</f>
        <v>1.8470796960000002</v>
      </c>
      <c r="L7" s="146">
        <f>((D$2+D$3+D$4)*AA7)</f>
        <v>11.126658927999998</v>
      </c>
      <c r="M7" s="146">
        <f t="shared" si="4"/>
        <v>8.8234405299039977</v>
      </c>
      <c r="N7" s="146">
        <f t="shared" si="4"/>
        <v>54.528862474806701</v>
      </c>
      <c r="O7" s="146">
        <f t="shared" ref="O7:O11" si="8">M7*AH7</f>
        <v>0.22058601324759997</v>
      </c>
      <c r="Q7" s="13"/>
      <c r="R7" s="139"/>
      <c r="S7" s="138"/>
      <c r="T7" s="139"/>
      <c r="U7" s="139"/>
      <c r="V7" s="107">
        <v>3.75</v>
      </c>
      <c r="W7" s="150">
        <f t="shared" si="5"/>
        <v>0.14699999999999999</v>
      </c>
      <c r="X7" s="19">
        <v>2.8000000000000001E-2</v>
      </c>
      <c r="Y7" s="19">
        <v>0.79300000000000004</v>
      </c>
      <c r="Z7" s="20">
        <v>6.18</v>
      </c>
      <c r="AA7" s="150">
        <f t="shared" si="6"/>
        <v>1.9599999999999999E-2</v>
      </c>
      <c r="AB7" s="7">
        <v>6.3834614997554232E-2</v>
      </c>
      <c r="AC7" s="150">
        <f t="shared" si="7"/>
        <v>3.2450331125827826E-2</v>
      </c>
      <c r="AE7" s="168"/>
      <c r="AF7" s="19">
        <v>0.15</v>
      </c>
      <c r="AG7" s="19">
        <v>0.02</v>
      </c>
      <c r="AH7" s="19">
        <v>2.5000000000000001E-2</v>
      </c>
    </row>
    <row r="8" spans="1:34" x14ac:dyDescent="0.2">
      <c r="A8" s="17" t="s">
        <v>537</v>
      </c>
      <c r="B8" s="18" t="s">
        <v>222</v>
      </c>
      <c r="C8" s="18">
        <v>11</v>
      </c>
      <c r="D8" s="147"/>
      <c r="E8" s="147"/>
      <c r="F8" s="147"/>
      <c r="G8" s="147"/>
      <c r="H8" s="147"/>
      <c r="I8" s="146">
        <f t="shared" si="3"/>
        <v>123.13864640000003</v>
      </c>
      <c r="J8" s="146">
        <f>I8*V8</f>
        <v>541.81004416000019</v>
      </c>
      <c r="K8" s="146">
        <f>I8*X8</f>
        <v>3.817298038400001</v>
      </c>
      <c r="L8" s="146">
        <f>((D$2+D$3+D$4)*AA8)</f>
        <v>27.816647319999998</v>
      </c>
      <c r="M8" s="146">
        <f t="shared" si="4"/>
        <v>21.001568726599999</v>
      </c>
      <c r="N8" s="146">
        <f t="shared" si="4"/>
        <v>143.02068302814598</v>
      </c>
      <c r="O8" s="146">
        <f t="shared" si="8"/>
        <v>0.73505490543100005</v>
      </c>
      <c r="Q8" s="13"/>
      <c r="R8" s="139"/>
      <c r="S8" s="138"/>
      <c r="T8" s="139"/>
      <c r="U8" s="139"/>
      <c r="V8" s="107">
        <v>4.4000000000000004</v>
      </c>
      <c r="W8" s="150">
        <f t="shared" si="5"/>
        <v>0.27440000000000003</v>
      </c>
      <c r="X8" s="19">
        <v>3.1E-2</v>
      </c>
      <c r="Y8" s="19">
        <v>0.755</v>
      </c>
      <c r="Z8" s="20">
        <v>6.81</v>
      </c>
      <c r="AA8" s="150">
        <f t="shared" si="6"/>
        <v>4.9000000000000002E-2</v>
      </c>
      <c r="AB8" s="7">
        <v>1.6265863442866128E-2</v>
      </c>
      <c r="AC8" s="150">
        <f t="shared" si="7"/>
        <v>4.5430463576158944E-2</v>
      </c>
      <c r="AE8" s="168"/>
      <c r="AF8" s="19">
        <v>0.28000000000000003</v>
      </c>
      <c r="AG8" s="19">
        <v>0.05</v>
      </c>
      <c r="AH8" s="19">
        <v>3.5000000000000003E-2</v>
      </c>
    </row>
    <row r="9" spans="1:34" x14ac:dyDescent="0.2">
      <c r="B9" s="18" t="s">
        <v>222</v>
      </c>
      <c r="C9" s="18"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3.0139782715548381E-3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7.876825306294152E-3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420</v>
      </c>
      <c r="B13" s="18" t="s">
        <v>223</v>
      </c>
      <c r="C13" s="18"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130.73824240399998</v>
      </c>
      <c r="M13" s="146">
        <f t="shared" ref="M13:N20" si="16">L13*Y13</f>
        <v>81.972877987307982</v>
      </c>
      <c r="N13" s="146">
        <f t="shared" si="16"/>
        <v>1127.1270723254847</v>
      </c>
      <c r="O13" s="146">
        <f t="shared" ref="O13:O20" si="17">M13*AH13</f>
        <v>6.0659929710607905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(AF13/SUM(AF$2:AF$25))*0.98</f>
        <v>0</v>
      </c>
      <c r="X13" s="19">
        <v>1.4999999999999999E-2</v>
      </c>
      <c r="Y13" s="19">
        <v>0.627</v>
      </c>
      <c r="Z13" s="20">
        <v>13.75</v>
      </c>
      <c r="AA13" s="150">
        <f t="shared" ref="AA13:AA20" si="19">(AG13/SUM(AG$6:AG$25))*0.98</f>
        <v>0.23029999999999998</v>
      </c>
      <c r="AB13" s="7">
        <v>0.26142915529951832</v>
      </c>
      <c r="AC13" s="150">
        <f t="shared" ref="AC13:AC20" si="20">(AH13/SUM(AH$6:AH$25))*0.98</f>
        <v>9.6052980132450339E-2</v>
      </c>
      <c r="AE13" s="168"/>
      <c r="AF13" s="19">
        <v>0</v>
      </c>
      <c r="AG13" s="19">
        <v>0.23499999999999999</v>
      </c>
      <c r="AH13" s="19">
        <v>7.3999999999999996E-2</v>
      </c>
    </row>
    <row r="14" spans="1:34" x14ac:dyDescent="0.2">
      <c r="A14" s="17" t="s">
        <v>496</v>
      </c>
      <c r="B14" s="18" t="s">
        <v>223</v>
      </c>
      <c r="C14" s="18">
        <v>11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91.794936155999991</v>
      </c>
      <c r="M14" s="146">
        <f t="shared" si="16"/>
        <v>56.729270544407996</v>
      </c>
      <c r="N14" s="146">
        <f t="shared" si="16"/>
        <v>819.73795936669546</v>
      </c>
      <c r="O14" s="146">
        <f t="shared" si="17"/>
        <v>4.5950709140970476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0.61799999999999999</v>
      </c>
      <c r="Z14" s="20">
        <v>14.45</v>
      </c>
      <c r="AA14" s="150">
        <f t="shared" si="19"/>
        <v>0.16170000000000001</v>
      </c>
      <c r="AB14" s="7">
        <v>0.12797470258530405</v>
      </c>
      <c r="AC14" s="150">
        <f t="shared" si="20"/>
        <v>0.10513907284768215</v>
      </c>
      <c r="AE14" s="168"/>
      <c r="AF14" s="19">
        <v>0</v>
      </c>
      <c r="AG14" s="19">
        <v>0.16500000000000001</v>
      </c>
      <c r="AH14" s="19">
        <v>8.1000000000000003E-2</v>
      </c>
    </row>
    <row r="15" spans="1:34" x14ac:dyDescent="0.2">
      <c r="A15" s="17" t="s">
        <v>208</v>
      </c>
      <c r="B15" s="18" t="s">
        <v>223</v>
      </c>
      <c r="C15" s="18">
        <v>11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61.196624103999987</v>
      </c>
      <c r="M15" s="146">
        <f t="shared" si="16"/>
        <v>36.717974462399994</v>
      </c>
      <c r="N15" s="146">
        <f t="shared" si="16"/>
        <v>396.55412419391996</v>
      </c>
      <c r="O15" s="146">
        <f t="shared" si="17"/>
        <v>1.9827706209695997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</v>
      </c>
      <c r="Z15" s="20">
        <v>10.8</v>
      </c>
      <c r="AA15" s="150">
        <f t="shared" si="19"/>
        <v>0.10779999999999999</v>
      </c>
      <c r="AB15" s="7">
        <v>6.275169059917024E-2</v>
      </c>
      <c r="AC15" s="150">
        <f t="shared" si="20"/>
        <v>7.0092715231788089E-2</v>
      </c>
      <c r="AE15" s="168"/>
      <c r="AF15" s="19">
        <v>0</v>
      </c>
      <c r="AG15" s="19">
        <v>0.11</v>
      </c>
      <c r="AH15" s="19">
        <v>5.3999999999999999E-2</v>
      </c>
    </row>
    <row r="16" spans="1:34" x14ac:dyDescent="0.2">
      <c r="A16" s="17" t="s">
        <v>538</v>
      </c>
      <c r="B16" s="18" t="s">
        <v>223</v>
      </c>
      <c r="C16" s="18">
        <v>11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33.379976783999993</v>
      </c>
      <c r="M16" s="146">
        <f t="shared" si="16"/>
        <v>19.894466163263996</v>
      </c>
      <c r="N16" s="146">
        <f t="shared" si="16"/>
        <v>257.23544749100347</v>
      </c>
      <c r="O16" s="146">
        <f t="shared" si="17"/>
        <v>1.6910296238774398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0.59599999999999997</v>
      </c>
      <c r="Z16" s="20">
        <v>12.93</v>
      </c>
      <c r="AA16" s="150">
        <f t="shared" si="19"/>
        <v>5.8799999999999998E-2</v>
      </c>
      <c r="AB16" s="7">
        <v>3.8004297463698711E-2</v>
      </c>
      <c r="AC16" s="150">
        <f t="shared" si="20"/>
        <v>0.11033112582781458</v>
      </c>
      <c r="AE16" s="168"/>
      <c r="AF16" s="19">
        <v>0</v>
      </c>
      <c r="AG16" s="19">
        <v>0.06</v>
      </c>
      <c r="AH16" s="19">
        <v>8.5000000000000006E-2</v>
      </c>
    </row>
    <row r="17" spans="1:34" x14ac:dyDescent="0.2">
      <c r="A17" s="17" t="s">
        <v>669</v>
      </c>
      <c r="B17" s="18" t="s">
        <v>223</v>
      </c>
      <c r="C17" s="18">
        <v>11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11.126658927999998</v>
      </c>
      <c r="M17" s="146">
        <f t="shared" si="16"/>
        <v>7.065428419279999</v>
      </c>
      <c r="N17" s="146">
        <f t="shared" si="16"/>
        <v>87.752620967457588</v>
      </c>
      <c r="O17" s="146">
        <f t="shared" si="17"/>
        <v>0.49457998934959996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0.63500000000000001</v>
      </c>
      <c r="Z17" s="20">
        <v>12.42</v>
      </c>
      <c r="AA17" s="150">
        <f t="shared" si="19"/>
        <v>1.9599999999999999E-2</v>
      </c>
      <c r="AB17" s="7">
        <v>1.497626220331523E-2</v>
      </c>
      <c r="AC17" s="150">
        <f t="shared" si="20"/>
        <v>9.0860927152317889E-2</v>
      </c>
      <c r="AE17" s="168"/>
      <c r="AF17" s="19">
        <v>0</v>
      </c>
      <c r="AG17" s="19">
        <v>0.02</v>
      </c>
      <c r="AH17" s="19">
        <v>7.0000000000000007E-2</v>
      </c>
    </row>
    <row r="18" spans="1:34" x14ac:dyDescent="0.2">
      <c r="A18" s="17" t="s">
        <v>604</v>
      </c>
      <c r="B18" s="18" t="s">
        <v>223</v>
      </c>
      <c r="C18" s="18"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11.126658927999998</v>
      </c>
      <c r="M18" s="146">
        <f t="shared" si="16"/>
        <v>6.6759953567999988</v>
      </c>
      <c r="N18" s="146">
        <f t="shared" si="16"/>
        <v>73.435948924799987</v>
      </c>
      <c r="O18" s="146">
        <f t="shared" si="17"/>
        <v>0.33379976783999998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0.6</v>
      </c>
      <c r="Z18" s="20">
        <v>11</v>
      </c>
      <c r="AA18" s="150">
        <f t="shared" si="19"/>
        <v>1.9599999999999999E-2</v>
      </c>
      <c r="AB18" s="7">
        <v>2.8164098786400027E-2</v>
      </c>
      <c r="AC18" s="150">
        <f t="shared" si="20"/>
        <v>6.4900662251655653E-2</v>
      </c>
      <c r="AE18" s="168"/>
      <c r="AF18" s="19">
        <v>0</v>
      </c>
      <c r="AG18" s="19">
        <v>0.02</v>
      </c>
      <c r="AH18" s="19">
        <v>0.05</v>
      </c>
    </row>
    <row r="19" spans="1:34" x14ac:dyDescent="0.2">
      <c r="B19" s="18" t="s">
        <v>223</v>
      </c>
      <c r="C19" s="18"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2" t="s">
        <v>400</v>
      </c>
      <c r="B22" s="18" t="s">
        <v>10</v>
      </c>
      <c r="C22" s="18"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66.759953567999986</v>
      </c>
      <c r="M22" s="146">
        <f t="shared" ref="M22:N25" si="21">L22*Y22</f>
        <v>42.859890190655989</v>
      </c>
      <c r="N22" s="146">
        <f t="shared" si="21"/>
        <v>454.74343492285999</v>
      </c>
      <c r="O22" s="146">
        <f t="shared" ref="O22:O25" si="22">M22*AH22</f>
        <v>3.6002307760151031</v>
      </c>
      <c r="Q22" s="13"/>
      <c r="R22" s="139"/>
      <c r="S22" s="138"/>
      <c r="T22" s="139"/>
      <c r="U22" s="139"/>
      <c r="V22" s="140"/>
      <c r="W22" s="154"/>
      <c r="X22" s="139"/>
      <c r="Y22" s="19">
        <v>0.64200000000000002</v>
      </c>
      <c r="Z22" s="20">
        <v>10.61</v>
      </c>
      <c r="AA22" s="150">
        <f>(AG22/SUM(AG$6:AG$25))*0.98</f>
        <v>0.1176</v>
      </c>
      <c r="AB22" s="7">
        <v>0.10905631606380603</v>
      </c>
      <c r="AC22" s="150">
        <f>(AH22/SUM(AH$6:AH$25))*0.98</f>
        <v>0.10903311258278148</v>
      </c>
      <c r="AE22" s="168"/>
      <c r="AF22" s="168"/>
      <c r="AG22" s="19">
        <v>0.12</v>
      </c>
      <c r="AH22" s="19">
        <v>8.4000000000000005E-2</v>
      </c>
    </row>
    <row r="23" spans="1:34" x14ac:dyDescent="0.2">
      <c r="A23" s="172" t="s">
        <v>76</v>
      </c>
      <c r="B23" s="18" t="s">
        <v>10</v>
      </c>
      <c r="C23" s="18"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8.3449941959999983</v>
      </c>
      <c r="M23" s="146">
        <f t="shared" si="21"/>
        <v>5.9332908733559986</v>
      </c>
      <c r="N23" s="146">
        <f t="shared" si="21"/>
        <v>60.104236547096271</v>
      </c>
      <c r="O23" s="146">
        <f t="shared" si="22"/>
        <v>0.44499681550169989</v>
      </c>
      <c r="Q23" s="13"/>
      <c r="R23" s="139"/>
      <c r="S23" s="138"/>
      <c r="T23" s="139"/>
      <c r="U23" s="139"/>
      <c r="V23" s="140"/>
      <c r="W23" s="154"/>
      <c r="X23" s="139"/>
      <c r="Y23" s="19">
        <v>0.71099999999999997</v>
      </c>
      <c r="Z23" s="20">
        <v>10.130000000000001</v>
      </c>
      <c r="AA23" s="150">
        <f>(AG23/SUM(AG$6:AG$25))*0.98</f>
        <v>1.47E-2</v>
      </c>
      <c r="AB23" s="7">
        <v>3.7452350641812744E-2</v>
      </c>
      <c r="AC23" s="150">
        <f>(AH23/SUM(AH$6:AH$25))*0.98</f>
        <v>9.7350993377483444E-2</v>
      </c>
      <c r="AE23" s="168"/>
      <c r="AF23" s="168"/>
      <c r="AG23" s="19">
        <v>1.4999999999999999E-2</v>
      </c>
      <c r="AH23" s="19">
        <v>7.4999999999999997E-2</v>
      </c>
    </row>
    <row r="24" spans="1:34" x14ac:dyDescent="0.2">
      <c r="A24" s="17" t="s">
        <v>83</v>
      </c>
      <c r="B24" s="18" t="s">
        <v>10</v>
      </c>
      <c r="C24" s="18">
        <v>11</v>
      </c>
      <c r="D24" s="146">
        <f>D$32*Q24</f>
        <v>17.557319999999997</v>
      </c>
      <c r="E24" s="146">
        <f t="shared" ref="E24:F24" si="23">D24*R24</f>
        <v>10.797751799999999</v>
      </c>
      <c r="F24" s="146">
        <f t="shared" si="23"/>
        <v>130.11290918999998</v>
      </c>
      <c r="G24" s="146">
        <f t="shared" ref="G24" si="24">E24*T24</f>
        <v>0.60467410079999995</v>
      </c>
      <c r="H24" s="146">
        <f t="shared" ref="H24" si="25">E24*U24</f>
        <v>0.29153929859999994</v>
      </c>
      <c r="I24" s="146">
        <f t="shared" ref="I24" si="26">D$35*W24</f>
        <v>50.57480120000001</v>
      </c>
      <c r="J24" s="146">
        <f t="shared" ref="J24" si="27">I24*V24</f>
        <v>292.32235093600008</v>
      </c>
      <c r="K24" s="146">
        <f t="shared" ref="K24" si="28">I24*X24</f>
        <v>3.7425352888000005</v>
      </c>
      <c r="L24" s="146">
        <f>((D$2+D$3+D$4)*AA24)</f>
        <v>30.598312051999994</v>
      </c>
      <c r="M24" s="146">
        <f t="shared" si="21"/>
        <v>21.174031939983994</v>
      </c>
      <c r="N24" s="146">
        <f t="shared" si="21"/>
        <v>201.15330342984794</v>
      </c>
      <c r="O24" s="146">
        <f t="shared" si="22"/>
        <v>1.7362706190786876</v>
      </c>
      <c r="Q24" s="150">
        <v>0.03</v>
      </c>
      <c r="R24" s="19">
        <v>0.61499999999999999</v>
      </c>
      <c r="S24" s="107">
        <v>12.05</v>
      </c>
      <c r="T24" s="108">
        <v>5.6000000000000001E-2</v>
      </c>
      <c r="U24" s="108">
        <v>2.7E-2</v>
      </c>
      <c r="V24" s="20">
        <v>5.78</v>
      </c>
      <c r="W24" s="150">
        <f>(AF24/SUM(AF$2:AF$25))*0.98</f>
        <v>0.11270000000000001</v>
      </c>
      <c r="X24" s="108">
        <v>7.3999999999999996E-2</v>
      </c>
      <c r="Y24" s="19">
        <v>0.69199999999999995</v>
      </c>
      <c r="Z24" s="20">
        <v>9.5</v>
      </c>
      <c r="AA24" s="150">
        <f>(AG24/SUM(AG$6:AG$25))*0.98</f>
        <v>5.3899999999999997E-2</v>
      </c>
      <c r="AB24" s="7">
        <v>6.9991974021732777E-3</v>
      </c>
      <c r="AC24" s="150">
        <f>(AH24/SUM(AH$6:AH$25))*0.98</f>
        <v>0.10643708609271525</v>
      </c>
      <c r="AE24" s="19">
        <v>0.03</v>
      </c>
      <c r="AF24" s="19">
        <v>0.115</v>
      </c>
      <c r="AG24" s="19">
        <v>5.5E-2</v>
      </c>
      <c r="AH24" s="19">
        <v>8.2000000000000003E-2</v>
      </c>
    </row>
    <row r="25" spans="1:34" x14ac:dyDescent="0.2">
      <c r="A25" s="172"/>
      <c r="B25" s="18" t="s">
        <v>10</v>
      </c>
      <c r="C25" s="18"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17" t="s">
        <v>557</v>
      </c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0.97499999999999998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1034</v>
      </c>
      <c r="E29" s="47">
        <v>0.56599999999999995</v>
      </c>
      <c r="F29" s="2">
        <f>1-E29</f>
        <v>0.43400000000000005</v>
      </c>
      <c r="G29" s="106">
        <v>4.1500000000000004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585.24399999999991</v>
      </c>
      <c r="E32" s="156">
        <f>SUM(E2:E4)</f>
        <v>376.83275915999997</v>
      </c>
      <c r="F32" s="156">
        <f>SUM(F2:F4)</f>
        <v>4093.2459891180001</v>
      </c>
      <c r="G32" s="156">
        <f>SUM(G2:G4)</f>
        <v>24.305183319999994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448.75600000000003</v>
      </c>
      <c r="E35" s="156">
        <f>D35*G29</f>
        <v>1862.3374000000003</v>
      </c>
      <c r="F35" s="156">
        <f>D35*H29</f>
        <v>15.257704000000002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SUM(I2:I25)</f>
        <v>439.78088000000008</v>
      </c>
      <c r="E38" s="157">
        <f>SUM(J2:J4,J6:J11,J13:J25)</f>
        <v>1829.7743183720004</v>
      </c>
      <c r="F38" s="157">
        <f>SUM(K2:K4,K6:K11,K13:K25)</f>
        <v>15.234009683200002</v>
      </c>
      <c r="G38" s="157">
        <f>SUM(L6:L11,L13:L20,L22:L25)</f>
        <v>556.33294639999986</v>
      </c>
      <c r="H38" s="157">
        <f>SUM(M6:M11,M13:M20,M22:M25)</f>
        <v>368.1533272801999</v>
      </c>
      <c r="I38" s="157">
        <f>SUM(N6:N11,N13:N20,N22:N25)</f>
        <v>4084.5988290671739</v>
      </c>
      <c r="J38" s="157">
        <f>SUM(O6:O11,O13:O20,O22:O25)</f>
        <v>24.272586699918165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8.9751199999999471</v>
      </c>
      <c r="E39" s="158">
        <f>E35-E38</f>
        <v>32.563081627999964</v>
      </c>
      <c r="F39" s="158">
        <f>F35-F38</f>
        <v>2.3694316800000337E-2</v>
      </c>
      <c r="G39" s="158">
        <f>SUM(D2:D4)-G38</f>
        <v>11.353733600000055</v>
      </c>
      <c r="H39" s="158">
        <f>E32-H38</f>
        <v>8.6794318798000631</v>
      </c>
      <c r="I39" s="158">
        <f>F32-I38</f>
        <v>8.6471600508261872</v>
      </c>
      <c r="J39" s="158">
        <f>G32-J38</f>
        <v>3.2596620081829286E-2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29" priority="1" operator="lessThan">
      <formula>0</formula>
    </cfRule>
  </conditionalFormatting>
  <conditionalFormatting sqref="W28">
    <cfRule type="cellIs" dxfId="28" priority="2" operator="greaterThan">
      <formula>1</formula>
    </cfRule>
  </conditionalFormatting>
  <conditionalFormatting sqref="AA28:AG28">
    <cfRule type="cellIs" dxfId="2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00FF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82</v>
      </c>
      <c r="B2" s="18" t="s">
        <v>9</v>
      </c>
      <c r="C2" s="18">
        <v>13</v>
      </c>
      <c r="D2" s="146">
        <f>D$32*Q2</f>
        <v>450.37799999999993</v>
      </c>
      <c r="E2" s="146">
        <f>D2*R2</f>
        <v>298.60061399999995</v>
      </c>
      <c r="F2" s="146">
        <f>E2*S2</f>
        <v>3023.6298173639993</v>
      </c>
      <c r="G2" s="146">
        <f>D2*T2</f>
        <v>15.312851999999999</v>
      </c>
      <c r="H2" s="146">
        <f>E2*U2</f>
        <v>6.2706128939999992</v>
      </c>
      <c r="I2" s="146">
        <f>D$35*W2</f>
        <v>65.781912000000005</v>
      </c>
      <c r="J2" s="146">
        <f>I2*V2</f>
        <v>335.48775119999999</v>
      </c>
      <c r="K2" s="146">
        <f>I2*X2</f>
        <v>2.1050211840000004</v>
      </c>
      <c r="L2" s="147"/>
      <c r="M2" s="147"/>
      <c r="N2" s="147"/>
      <c r="O2" s="147"/>
      <c r="Q2" s="150">
        <f>(AE2/SUM(AE$2:AE$25))</f>
        <v>0.75</v>
      </c>
      <c r="R2" s="19">
        <v>0.66300000000000003</v>
      </c>
      <c r="S2" s="107">
        <v>10.125999999999999</v>
      </c>
      <c r="T2" s="19">
        <v>3.4000000000000002E-2</v>
      </c>
      <c r="U2" s="19">
        <v>2.1000000000000001E-2</v>
      </c>
      <c r="V2" s="107">
        <v>5.0999999999999996</v>
      </c>
      <c r="W2" s="150">
        <f>(AF2/SUM(AF$2:AF$20))*0.98</f>
        <v>0.14699999999999999</v>
      </c>
      <c r="X2" s="19">
        <v>3.2000000000000001E-2</v>
      </c>
      <c r="Y2" s="21"/>
      <c r="Z2" s="22"/>
      <c r="AA2" s="1"/>
      <c r="AB2" s="1"/>
      <c r="AC2" s="1"/>
      <c r="AE2" s="19">
        <v>0.75</v>
      </c>
      <c r="AF2" s="19">
        <v>0.15</v>
      </c>
      <c r="AG2" s="168"/>
      <c r="AH2" s="168"/>
    </row>
    <row r="3" spans="1:34" x14ac:dyDescent="0.2">
      <c r="A3" s="17" t="s">
        <v>151</v>
      </c>
      <c r="B3" s="18" t="s">
        <v>9</v>
      </c>
      <c r="C3" s="18">
        <v>13</v>
      </c>
      <c r="D3" s="146">
        <f>D$32*Q3</f>
        <v>150.12599999999998</v>
      </c>
      <c r="E3" s="146">
        <f t="shared" ref="E3:F4" si="0">D3*R3</f>
        <v>92.327489999999983</v>
      </c>
      <c r="F3" s="146">
        <f t="shared" si="0"/>
        <v>1019.1108346199999</v>
      </c>
      <c r="G3" s="146">
        <f t="shared" ref="G3:G4" si="1">D3*T3</f>
        <v>5.4045359999999985</v>
      </c>
      <c r="H3" s="146">
        <f t="shared" ref="H3:H4" si="2">E3*U3</f>
        <v>2.2158597599999998</v>
      </c>
      <c r="I3" s="146">
        <f>D$35*W3</f>
        <v>8.7709216000000012</v>
      </c>
      <c r="J3" s="146">
        <f>I3*V3</f>
        <v>33.768048160000006</v>
      </c>
      <c r="K3" s="146">
        <f>I3*X3</f>
        <v>0.22804396160000001</v>
      </c>
      <c r="L3" s="147"/>
      <c r="M3" s="147"/>
      <c r="N3" s="147"/>
      <c r="O3" s="147"/>
      <c r="Q3" s="150">
        <f>(AE3/SUM(AE$2:AE$25))</f>
        <v>0.25</v>
      </c>
      <c r="R3" s="19">
        <v>0.61499999999999999</v>
      </c>
      <c r="S3" s="107">
        <v>11.038</v>
      </c>
      <c r="T3" s="19">
        <v>3.5999999999999997E-2</v>
      </c>
      <c r="U3" s="19">
        <v>2.4E-2</v>
      </c>
      <c r="V3" s="107">
        <v>3.85</v>
      </c>
      <c r="W3" s="150">
        <f>(AF3/SUM(AF$2:AF$20))*0.98</f>
        <v>1.9599999999999999E-2</v>
      </c>
      <c r="X3" s="19">
        <v>2.5999999999999999E-2</v>
      </c>
      <c r="Y3" s="21"/>
      <c r="Z3" s="22"/>
      <c r="AA3" s="1"/>
      <c r="AB3" s="1"/>
      <c r="AC3" s="1"/>
      <c r="AE3" s="19">
        <v>0.25</v>
      </c>
      <c r="AF3" s="19">
        <v>0.02</v>
      </c>
      <c r="AG3" s="168"/>
      <c r="AH3" s="168"/>
    </row>
    <row r="4" spans="1:34" x14ac:dyDescent="0.2">
      <c r="B4" s="18" t="s">
        <v>9</v>
      </c>
      <c r="C4" s="18">
        <v>13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25</v>
      </c>
      <c r="B6" s="18" t="s">
        <v>222</v>
      </c>
      <c r="C6" s="18">
        <v>13</v>
      </c>
      <c r="D6" s="147"/>
      <c r="E6" s="147"/>
      <c r="F6" s="147"/>
      <c r="G6" s="147"/>
      <c r="H6" s="147"/>
      <c r="I6" s="146">
        <f t="shared" ref="I6:I11" si="3">D$35*W6</f>
        <v>197.34573600000002</v>
      </c>
      <c r="J6" s="146">
        <f>I6*V6</f>
        <v>820.95826176000014</v>
      </c>
      <c r="K6" s="146">
        <f>I6*X6</f>
        <v>5.3283348720000001</v>
      </c>
      <c r="L6" s="146">
        <f>((D$2+D$3+D$4)*AA6)</f>
        <v>47.079513599999984</v>
      </c>
      <c r="M6" s="146">
        <f t="shared" ref="M6:N11" si="4">L6*Y6</f>
        <v>34.650522009599989</v>
      </c>
      <c r="N6" s="146">
        <f t="shared" si="4"/>
        <v>232.15849746431994</v>
      </c>
      <c r="O6" s="146">
        <f>M6*AH6</f>
        <v>1.0048651382783997</v>
      </c>
      <c r="Q6" s="13"/>
      <c r="R6" s="139"/>
      <c r="S6" s="138"/>
      <c r="T6" s="139"/>
      <c r="U6" s="139"/>
      <c r="V6" s="107">
        <v>4.16</v>
      </c>
      <c r="W6" s="150">
        <f t="shared" ref="W6:W11" si="5">(AF6/SUM(AF$2:AF$20))*0.98</f>
        <v>0.441</v>
      </c>
      <c r="X6" s="19">
        <v>2.7E-2</v>
      </c>
      <c r="Y6" s="19">
        <v>0.73599999999999999</v>
      </c>
      <c r="Z6" s="20">
        <v>6.7</v>
      </c>
      <c r="AA6" s="150">
        <f t="shared" ref="AA6:AA11" si="6">(AG6/SUM(AG$6:AG$25))*0.98</f>
        <v>7.8399999999999984E-2</v>
      </c>
      <c r="AB6" s="7">
        <v>0.12370711764278007</v>
      </c>
      <c r="AC6" s="150">
        <f t="shared" ref="AC6:AC11" si="7">(AH6/SUM(AH$6:AH$25))*0.98</f>
        <v>4.5987055016181229E-2</v>
      </c>
      <c r="AE6" s="168"/>
      <c r="AF6" s="19">
        <v>0.45</v>
      </c>
      <c r="AG6" s="19">
        <v>0.08</v>
      </c>
      <c r="AH6" s="19">
        <v>2.9000000000000001E-2</v>
      </c>
    </row>
    <row r="7" spans="1:34" x14ac:dyDescent="0.2">
      <c r="A7" s="17" t="s">
        <v>539</v>
      </c>
      <c r="B7" s="18" t="s">
        <v>222</v>
      </c>
      <c r="C7" s="18">
        <v>13</v>
      </c>
      <c r="D7" s="147"/>
      <c r="E7" s="147"/>
      <c r="F7" s="147"/>
      <c r="G7" s="147"/>
      <c r="H7" s="147"/>
      <c r="I7" s="146">
        <f t="shared" si="3"/>
        <v>70.16737280000001</v>
      </c>
      <c r="J7" s="146">
        <f>I7*V7</f>
        <v>289.08957593600007</v>
      </c>
      <c r="K7" s="146">
        <f>I7*X7</f>
        <v>2.4558580480000005</v>
      </c>
      <c r="L7" s="146">
        <f>((D$2+D$3+D$4)*AA7)</f>
        <v>17.654817599999994</v>
      </c>
      <c r="M7" s="146">
        <f t="shared" si="4"/>
        <v>13.276422835199996</v>
      </c>
      <c r="N7" s="146">
        <f t="shared" si="4"/>
        <v>95.988537098495982</v>
      </c>
      <c r="O7" s="146">
        <f t="shared" ref="O7:O11" si="8">M7*AH7</f>
        <v>0.45139837639679992</v>
      </c>
      <c r="Q7" s="13"/>
      <c r="R7" s="139"/>
      <c r="S7" s="138"/>
      <c r="T7" s="139"/>
      <c r="U7" s="139"/>
      <c r="V7" s="107">
        <v>4.12</v>
      </c>
      <c r="W7" s="150">
        <f t="shared" si="5"/>
        <v>0.15679999999999999</v>
      </c>
      <c r="X7" s="19">
        <v>3.5000000000000003E-2</v>
      </c>
      <c r="Y7" s="19">
        <v>0.752</v>
      </c>
      <c r="Z7" s="20">
        <v>7.23</v>
      </c>
      <c r="AA7" s="150">
        <f t="shared" si="6"/>
        <v>2.9399999999999992E-2</v>
      </c>
      <c r="AB7" s="7">
        <v>3.1012128421327868E-2</v>
      </c>
      <c r="AC7" s="150">
        <f t="shared" si="7"/>
        <v>5.3915857605177982E-2</v>
      </c>
      <c r="AE7" s="168"/>
      <c r="AF7" s="19">
        <v>0.16</v>
      </c>
      <c r="AG7" s="19">
        <v>0.03</v>
      </c>
      <c r="AH7" s="19">
        <v>3.4000000000000002E-2</v>
      </c>
    </row>
    <row r="8" spans="1:34" x14ac:dyDescent="0.2">
      <c r="A8" s="17" t="s">
        <v>410</v>
      </c>
      <c r="B8" s="18" t="s">
        <v>222</v>
      </c>
      <c r="C8" s="18">
        <v>13</v>
      </c>
      <c r="D8" s="147"/>
      <c r="E8" s="147"/>
      <c r="F8" s="147"/>
      <c r="G8" s="147"/>
      <c r="H8" s="147"/>
      <c r="I8" s="146">
        <f t="shared" si="3"/>
        <v>21.927304000000003</v>
      </c>
      <c r="J8" s="146">
        <f>I8*V8</f>
        <v>86.612850800000018</v>
      </c>
      <c r="K8" s="146">
        <f>I8*X8</f>
        <v>0.74552833600000012</v>
      </c>
      <c r="L8" s="146">
        <f>((D$2+D$3+D$4)*AA8)</f>
        <v>5.884939199999998</v>
      </c>
      <c r="M8" s="146">
        <f t="shared" si="4"/>
        <v>4.1959616495999983</v>
      </c>
      <c r="N8" s="146">
        <f t="shared" si="4"/>
        <v>31.469712371999986</v>
      </c>
      <c r="O8" s="146">
        <f t="shared" si="8"/>
        <v>0.12587884948799993</v>
      </c>
      <c r="Q8" s="13"/>
      <c r="R8" s="139"/>
      <c r="S8" s="138"/>
      <c r="T8" s="139"/>
      <c r="U8" s="139"/>
      <c r="V8" s="107">
        <v>3.95</v>
      </c>
      <c r="W8" s="150">
        <f t="shared" si="5"/>
        <v>4.9000000000000002E-2</v>
      </c>
      <c r="X8" s="19">
        <v>3.4000000000000002E-2</v>
      </c>
      <c r="Y8" s="19">
        <v>0.71299999999999997</v>
      </c>
      <c r="Z8" s="20">
        <v>7.5</v>
      </c>
      <c r="AA8" s="150">
        <f t="shared" si="6"/>
        <v>9.7999999999999979E-3</v>
      </c>
      <c r="AB8" s="7">
        <v>6.4298407150253367E-3</v>
      </c>
      <c r="AC8" s="150">
        <f t="shared" si="7"/>
        <v>4.7572815533980572E-2</v>
      </c>
      <c r="AE8" s="168"/>
      <c r="AF8" s="19">
        <v>0.05</v>
      </c>
      <c r="AG8" s="19">
        <v>0.01</v>
      </c>
      <c r="AH8" s="19">
        <v>0.03</v>
      </c>
    </row>
    <row r="9" spans="1:34" x14ac:dyDescent="0.2">
      <c r="A9" s="17" t="s">
        <v>671</v>
      </c>
      <c r="B9" s="18" t="s">
        <v>222</v>
      </c>
      <c r="C9" s="18">
        <v>13</v>
      </c>
      <c r="D9" s="147"/>
      <c r="E9" s="147"/>
      <c r="F9" s="147"/>
      <c r="G9" s="147"/>
      <c r="H9" s="147"/>
      <c r="I9" s="146">
        <f t="shared" si="3"/>
        <v>65.781912000000005</v>
      </c>
      <c r="J9" s="146">
        <f t="shared" ref="J9:J11" si="9">I9*V9</f>
        <v>277.59966864</v>
      </c>
      <c r="K9" s="146">
        <f t="shared" ref="K9:K11" si="10">I9*X9</f>
        <v>2.1050211840000004</v>
      </c>
      <c r="L9" s="146">
        <f t="shared" ref="L9:L11" si="11">((D$2+D$3+D$4)*AA9)</f>
        <v>17.654817599999994</v>
      </c>
      <c r="M9" s="146">
        <f t="shared" si="4"/>
        <v>13.364696923199995</v>
      </c>
      <c r="N9" s="146">
        <f t="shared" si="4"/>
        <v>97.695934508591961</v>
      </c>
      <c r="O9" s="146">
        <f t="shared" si="8"/>
        <v>0.46776439231199984</v>
      </c>
      <c r="Q9" s="13"/>
      <c r="R9" s="139"/>
      <c r="S9" s="138"/>
      <c r="T9" s="139"/>
      <c r="U9" s="139"/>
      <c r="V9" s="107">
        <v>4.22</v>
      </c>
      <c r="W9" s="150">
        <f t="shared" si="5"/>
        <v>0.14699999999999999</v>
      </c>
      <c r="X9" s="19">
        <v>3.2000000000000001E-2</v>
      </c>
      <c r="Y9" s="19">
        <v>0.75700000000000001</v>
      </c>
      <c r="Z9" s="20">
        <v>7.31</v>
      </c>
      <c r="AA9" s="150">
        <f t="shared" si="6"/>
        <v>2.9399999999999992E-2</v>
      </c>
      <c r="AB9" s="7">
        <v>9.0461824454686045E-3</v>
      </c>
      <c r="AC9" s="150">
        <f t="shared" si="7"/>
        <v>5.5501618122977339E-2</v>
      </c>
      <c r="AE9" s="168"/>
      <c r="AF9" s="19">
        <v>0.15</v>
      </c>
      <c r="AG9" s="19">
        <v>0.03</v>
      </c>
      <c r="AH9" s="19">
        <v>3.5000000000000003E-2</v>
      </c>
    </row>
    <row r="10" spans="1:34" x14ac:dyDescent="0.2">
      <c r="B10" s="18" t="s">
        <v>222</v>
      </c>
      <c r="C10" s="18">
        <v>13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4.3107327501132574E-3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13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4.9546447786346544E-3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6" t="s">
        <v>622</v>
      </c>
      <c r="B13" s="18" t="s">
        <v>223</v>
      </c>
      <c r="C13" s="18">
        <v>13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129.46866239999994</v>
      </c>
      <c r="M13" s="146">
        <f t="shared" ref="M13:N20" si="16">L13*Y13</f>
        <v>83.248349923199967</v>
      </c>
      <c r="N13" s="146">
        <f t="shared" si="16"/>
        <v>1067.2438460154235</v>
      </c>
      <c r="O13" s="146">
        <f t="shared" ref="O13:O20" si="17">M13*AH13</f>
        <v>5.8273844946239981</v>
      </c>
      <c r="Q13" s="13"/>
      <c r="R13" s="139"/>
      <c r="S13" s="138"/>
      <c r="T13" s="139"/>
      <c r="U13" s="139"/>
      <c r="V13" s="107">
        <v>5.88</v>
      </c>
      <c r="W13" s="150">
        <f t="shared" ref="W13:W20" si="18">(AF13/SUM(AF$2:AF$20))*0.98</f>
        <v>0</v>
      </c>
      <c r="X13" s="19">
        <v>3.3000000000000002E-2</v>
      </c>
      <c r="Y13" s="19">
        <v>0.64300000000000002</v>
      </c>
      <c r="Z13" s="20">
        <v>12.82</v>
      </c>
      <c r="AA13" s="150">
        <f t="shared" ref="AA13:AA20" si="19">(AG13/SUM(AG$6:AG$25))*0.98</f>
        <v>0.21559999999999993</v>
      </c>
      <c r="AB13" s="7">
        <v>0.14808457240330558</v>
      </c>
      <c r="AC13" s="150">
        <f t="shared" ref="AC13:AC20" si="20">(AH13/SUM(AH$6:AH$25))*0.98</f>
        <v>0.11100323624595468</v>
      </c>
      <c r="AE13" s="168"/>
      <c r="AF13" s="19">
        <v>0</v>
      </c>
      <c r="AG13" s="19">
        <v>0.22</v>
      </c>
      <c r="AH13" s="19">
        <v>7.0000000000000007E-2</v>
      </c>
    </row>
    <row r="14" spans="1:34" x14ac:dyDescent="0.2">
      <c r="A14" s="176" t="s">
        <v>455</v>
      </c>
      <c r="B14" s="18" t="s">
        <v>223</v>
      </c>
      <c r="C14" s="18">
        <v>13</v>
      </c>
      <c r="D14" s="147"/>
      <c r="E14" s="147"/>
      <c r="F14" s="147"/>
      <c r="G14" s="147"/>
      <c r="H14" s="147"/>
      <c r="I14" s="146">
        <f t="shared" ref="I14:I18" si="21">D$35*W14</f>
        <v>8.7709216000000012</v>
      </c>
      <c r="J14" s="146">
        <f t="shared" ref="J14:J18" si="22">I14*V14</f>
        <v>52.713238816000008</v>
      </c>
      <c r="K14" s="146">
        <f t="shared" ref="K14:K18" si="23">I14*X14</f>
        <v>0.43854608000000006</v>
      </c>
      <c r="L14" s="146">
        <f t="shared" ref="L14:L18" si="24">((D$2+D$3+D$4)*AA14)</f>
        <v>94.159027199999969</v>
      </c>
      <c r="M14" s="146">
        <f t="shared" ref="M14:M18" si="25">L14*Y14</f>
        <v>65.440523903999974</v>
      </c>
      <c r="N14" s="146">
        <f t="shared" ref="N14:N18" si="26">M14*Z14</f>
        <v>647.20678141055976</v>
      </c>
      <c r="O14" s="146">
        <f t="shared" ref="O14:O18" si="27">M14*AH14</f>
        <v>3.2720261951999987</v>
      </c>
      <c r="Q14" s="13"/>
      <c r="R14" s="139"/>
      <c r="S14" s="138"/>
      <c r="T14" s="139"/>
      <c r="U14" s="139"/>
      <c r="V14" s="107">
        <v>6.01</v>
      </c>
      <c r="W14" s="150">
        <f t="shared" ref="W14:W18" si="28">(AF14/SUM(AF$2:AF$20))*0.98</f>
        <v>1.9599999999999999E-2</v>
      </c>
      <c r="X14" s="19">
        <v>0.05</v>
      </c>
      <c r="Y14" s="19">
        <v>0.69499999999999995</v>
      </c>
      <c r="Z14" s="20">
        <v>9.89</v>
      </c>
      <c r="AA14" s="150">
        <f t="shared" ref="AA14:AA18" si="29">(AG14/SUM(AG$6:AG$25))*0.98</f>
        <v>0.15679999999999997</v>
      </c>
      <c r="AB14" s="7">
        <v>0.14808457240330558</v>
      </c>
      <c r="AC14" s="150">
        <f t="shared" ref="AC14:AC18" si="30">(AH14/SUM(AH$6:AH$25))*0.98</f>
        <v>7.9288025889967639E-2</v>
      </c>
      <c r="AE14" s="168"/>
      <c r="AF14" s="19">
        <v>0.02</v>
      </c>
      <c r="AG14" s="19">
        <v>0.16</v>
      </c>
      <c r="AH14" s="19">
        <v>0.05</v>
      </c>
    </row>
    <row r="15" spans="1:34" x14ac:dyDescent="0.2">
      <c r="A15" s="176" t="s">
        <v>80</v>
      </c>
      <c r="B15" s="18" t="s">
        <v>223</v>
      </c>
      <c r="C15" s="18">
        <v>13</v>
      </c>
      <c r="D15" s="147"/>
      <c r="E15" s="147"/>
      <c r="F15" s="147"/>
      <c r="G15" s="147"/>
      <c r="H15" s="147"/>
      <c r="I15" s="146">
        <f t="shared" si="21"/>
        <v>0</v>
      </c>
      <c r="J15" s="146">
        <f t="shared" si="22"/>
        <v>0</v>
      </c>
      <c r="K15" s="146">
        <f t="shared" si="23"/>
        <v>0</v>
      </c>
      <c r="L15" s="146">
        <f t="shared" si="24"/>
        <v>76.504209599999982</v>
      </c>
      <c r="M15" s="146">
        <f t="shared" si="25"/>
        <v>45.74951734079999</v>
      </c>
      <c r="N15" s="146">
        <f t="shared" si="26"/>
        <v>605.72360959219191</v>
      </c>
      <c r="O15" s="146">
        <f t="shared" si="27"/>
        <v>2.7449710404479992</v>
      </c>
      <c r="Q15" s="13"/>
      <c r="R15" s="139"/>
      <c r="S15" s="138"/>
      <c r="T15" s="139"/>
      <c r="U15" s="139"/>
      <c r="V15" s="107">
        <v>5.0199999999999996</v>
      </c>
      <c r="W15" s="150">
        <f t="shared" si="28"/>
        <v>0</v>
      </c>
      <c r="X15" s="19">
        <v>1.4999999999999999E-2</v>
      </c>
      <c r="Y15" s="19">
        <v>0.59799999999999998</v>
      </c>
      <c r="Z15" s="20">
        <v>13.24</v>
      </c>
      <c r="AA15" s="150">
        <f t="shared" si="29"/>
        <v>0.12739999999999999</v>
      </c>
      <c r="AB15" s="7">
        <v>0.13774648800743444</v>
      </c>
      <c r="AC15" s="150">
        <f t="shared" si="30"/>
        <v>9.5145631067961145E-2</v>
      </c>
      <c r="AE15" s="168"/>
      <c r="AF15" s="19">
        <v>0</v>
      </c>
      <c r="AG15" s="19">
        <v>0.13</v>
      </c>
      <c r="AH15" s="19">
        <v>0.06</v>
      </c>
    </row>
    <row r="16" spans="1:34" x14ac:dyDescent="0.2">
      <c r="A16" s="176" t="s">
        <v>540</v>
      </c>
      <c r="B16" s="18" t="s">
        <v>223</v>
      </c>
      <c r="C16" s="18">
        <v>13</v>
      </c>
      <c r="D16" s="147"/>
      <c r="E16" s="147"/>
      <c r="F16" s="147"/>
      <c r="G16" s="147"/>
      <c r="H16" s="147"/>
      <c r="I16" s="146">
        <f t="shared" si="21"/>
        <v>0</v>
      </c>
      <c r="J16" s="146">
        <f t="shared" si="22"/>
        <v>0</v>
      </c>
      <c r="K16" s="146">
        <f t="shared" si="23"/>
        <v>0</v>
      </c>
      <c r="L16" s="146">
        <f t="shared" si="24"/>
        <v>29.424695999999987</v>
      </c>
      <c r="M16" s="146">
        <f t="shared" si="25"/>
        <v>16.507254455999995</v>
      </c>
      <c r="N16" s="146">
        <f t="shared" si="26"/>
        <v>232.75228782959991</v>
      </c>
      <c r="O16" s="146">
        <f t="shared" si="27"/>
        <v>0.90789899507999972</v>
      </c>
      <c r="Q16" s="13"/>
      <c r="R16" s="139"/>
      <c r="S16" s="138"/>
      <c r="T16" s="139"/>
      <c r="U16" s="139"/>
      <c r="V16" s="107">
        <v>5.0199999999999996</v>
      </c>
      <c r="W16" s="150">
        <f t="shared" si="28"/>
        <v>0</v>
      </c>
      <c r="X16" s="19">
        <v>1.4999999999999999E-2</v>
      </c>
      <c r="Y16" s="19">
        <v>0.56100000000000005</v>
      </c>
      <c r="Z16" s="20">
        <v>14.1</v>
      </c>
      <c r="AA16" s="150">
        <f t="shared" si="29"/>
        <v>4.8999999999999988E-2</v>
      </c>
      <c r="AB16" s="7">
        <v>8.9841626569696784E-2</v>
      </c>
      <c r="AC16" s="150">
        <f t="shared" si="30"/>
        <v>8.7216828478964378E-2</v>
      </c>
      <c r="AE16" s="168"/>
      <c r="AF16" s="19">
        <v>0</v>
      </c>
      <c r="AG16" s="19">
        <v>0.05</v>
      </c>
      <c r="AH16" s="19">
        <v>5.5E-2</v>
      </c>
    </row>
    <row r="17" spans="1:34" x14ac:dyDescent="0.2">
      <c r="A17" s="176" t="s">
        <v>174</v>
      </c>
      <c r="B17" s="18" t="s">
        <v>223</v>
      </c>
      <c r="C17" s="18">
        <v>13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17.654817599999994</v>
      </c>
      <c r="M17" s="146">
        <f t="shared" si="25"/>
        <v>10.416342383999996</v>
      </c>
      <c r="N17" s="146">
        <f t="shared" si="26"/>
        <v>104.16342383999996</v>
      </c>
      <c r="O17" s="146">
        <f t="shared" si="27"/>
        <v>0.52081711919999985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1.4999999999999999E-2</v>
      </c>
      <c r="Y17" s="19">
        <v>0.59</v>
      </c>
      <c r="Z17" s="20">
        <v>10</v>
      </c>
      <c r="AA17" s="150">
        <f t="shared" si="29"/>
        <v>2.9399999999999992E-2</v>
      </c>
      <c r="AB17" s="7">
        <v>9.8806467430178402E-2</v>
      </c>
      <c r="AC17" s="150">
        <f t="shared" si="30"/>
        <v>7.9288025889967639E-2</v>
      </c>
      <c r="AE17" s="168"/>
      <c r="AF17" s="19">
        <v>0</v>
      </c>
      <c r="AG17" s="19">
        <v>0.03</v>
      </c>
      <c r="AH17" s="19">
        <v>0.05</v>
      </c>
    </row>
    <row r="18" spans="1:34" x14ac:dyDescent="0.2">
      <c r="A18" s="17" t="s">
        <v>489</v>
      </c>
      <c r="B18" s="18" t="s">
        <v>223</v>
      </c>
      <c r="C18" s="18">
        <v>13</v>
      </c>
      <c r="D18" s="147"/>
      <c r="E18" s="147"/>
      <c r="F18" s="147"/>
      <c r="G18" s="147"/>
      <c r="H18" s="147"/>
      <c r="I18" s="146">
        <f t="shared" si="21"/>
        <v>0</v>
      </c>
      <c r="J18" s="146">
        <f t="shared" si="22"/>
        <v>0</v>
      </c>
      <c r="K18" s="146">
        <f t="shared" si="23"/>
        <v>0</v>
      </c>
      <c r="L18" s="146">
        <f t="shared" si="24"/>
        <v>17.654817599999994</v>
      </c>
      <c r="M18" s="146">
        <f t="shared" si="25"/>
        <v>10.592890559999995</v>
      </c>
      <c r="N18" s="146">
        <f t="shared" si="26"/>
        <v>99.996886886399949</v>
      </c>
      <c r="O18" s="146">
        <f t="shared" si="27"/>
        <v>0.47668007519999978</v>
      </c>
      <c r="Q18" s="13"/>
      <c r="R18" s="139"/>
      <c r="S18" s="138"/>
      <c r="T18" s="139"/>
      <c r="U18" s="139"/>
      <c r="V18" s="107">
        <v>5.0199999999999996</v>
      </c>
      <c r="W18" s="150">
        <f t="shared" si="28"/>
        <v>0</v>
      </c>
      <c r="X18" s="19">
        <v>1.4999999999999999E-2</v>
      </c>
      <c r="Y18" s="19">
        <v>0.6</v>
      </c>
      <c r="Z18" s="20">
        <v>9.44</v>
      </c>
      <c r="AA18" s="150">
        <f t="shared" si="29"/>
        <v>2.9399999999999992E-2</v>
      </c>
      <c r="AB18" s="7">
        <v>4.5445355113694866E-2</v>
      </c>
      <c r="AC18" s="150">
        <f t="shared" si="30"/>
        <v>7.1359223300970859E-2</v>
      </c>
      <c r="AE18" s="168"/>
      <c r="AF18" s="19">
        <v>0</v>
      </c>
      <c r="AG18" s="19">
        <v>0.03</v>
      </c>
      <c r="AH18" s="19">
        <v>4.4999999999999998E-2</v>
      </c>
    </row>
    <row r="19" spans="1:34" x14ac:dyDescent="0.2">
      <c r="B19" s="18" t="s">
        <v>223</v>
      </c>
      <c r="C19" s="18">
        <v>13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3.8045584119883277E-2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13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11"/>
      <c r="R21" s="51"/>
      <c r="T21" s="51"/>
      <c r="U21" s="51"/>
      <c r="W21" s="153"/>
      <c r="X21" s="51"/>
      <c r="Y21" s="51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454</v>
      </c>
      <c r="B22" s="18" t="s">
        <v>10</v>
      </c>
      <c r="C22" s="18">
        <v>13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76.504209599999982</v>
      </c>
      <c r="M22" s="146">
        <f t="shared" ref="M22:N25" si="31">L22*Y22</f>
        <v>53.093921462399983</v>
      </c>
      <c r="N22" s="146">
        <f t="shared" si="31"/>
        <v>453.95302850351987</v>
      </c>
      <c r="O22" s="146">
        <f t="shared" ref="O22:O25" si="32">M22*AH22</f>
        <v>2.6546960731199993</v>
      </c>
      <c r="Q22" s="13"/>
      <c r="R22" s="139"/>
      <c r="S22" s="138"/>
      <c r="T22" s="139"/>
      <c r="U22" s="139"/>
      <c r="V22" s="140"/>
      <c r="W22" s="154"/>
      <c r="X22" s="139"/>
      <c r="Y22" s="19">
        <v>0.69399999999999995</v>
      </c>
      <c r="Z22" s="20">
        <v>8.5500000000000007</v>
      </c>
      <c r="AA22" s="150">
        <f>(AG22/SUM(AG$6:AG$25))*0.98</f>
        <v>0.12739999999999999</v>
      </c>
      <c r="AB22" s="7">
        <v>0.1196457914525775</v>
      </c>
      <c r="AC22" s="150">
        <f>(AH22/SUM(AH$6:AH$25))*0.98</f>
        <v>7.9288025889967639E-2</v>
      </c>
      <c r="AE22" s="168"/>
      <c r="AF22" s="168"/>
      <c r="AG22" s="19">
        <v>0.13</v>
      </c>
      <c r="AH22" s="19">
        <v>0.05</v>
      </c>
    </row>
    <row r="23" spans="1:34" x14ac:dyDescent="0.2">
      <c r="A23" s="17" t="s">
        <v>575</v>
      </c>
      <c r="B23" s="18" t="s">
        <v>10</v>
      </c>
      <c r="C23" s="18">
        <v>13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23.539756799999992</v>
      </c>
      <c r="M23" s="146">
        <f t="shared" si="31"/>
        <v>15.300841919999995</v>
      </c>
      <c r="N23" s="146">
        <f t="shared" si="31"/>
        <v>137.70757727999995</v>
      </c>
      <c r="O23" s="146">
        <f t="shared" si="32"/>
        <v>0.76504209599999973</v>
      </c>
      <c r="Q23" s="13"/>
      <c r="R23" s="139"/>
      <c r="S23" s="138"/>
      <c r="T23" s="139"/>
      <c r="U23" s="139"/>
      <c r="V23" s="140"/>
      <c r="W23" s="154"/>
      <c r="X23" s="139"/>
      <c r="Y23" s="19">
        <v>0.65</v>
      </c>
      <c r="Z23" s="20">
        <v>9</v>
      </c>
      <c r="AA23" s="150">
        <f>(AG23/SUM(AG$6:AG$25))*0.98</f>
        <v>3.9199999999999992E-2</v>
      </c>
      <c r="AB23" s="7">
        <v>5.7550231945047735E-2</v>
      </c>
      <c r="AC23" s="150">
        <f>(AH23/SUM(AH$6:AH$25))*0.98</f>
        <v>7.9288025889967639E-2</v>
      </c>
      <c r="AE23" s="168"/>
      <c r="AF23" s="168"/>
      <c r="AG23" s="19">
        <v>0.04</v>
      </c>
      <c r="AH23" s="19">
        <v>0.05</v>
      </c>
    </row>
    <row r="24" spans="1:34" x14ac:dyDescent="0.2">
      <c r="A24" s="42" t="s">
        <v>670</v>
      </c>
      <c r="B24" s="18" t="s">
        <v>10</v>
      </c>
      <c r="C24" s="18">
        <v>13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35.309635199999988</v>
      </c>
      <c r="M24" s="146">
        <f t="shared" si="31"/>
        <v>24.434267558399991</v>
      </c>
      <c r="N24" s="146">
        <f t="shared" si="31"/>
        <v>226.99434561753588</v>
      </c>
      <c r="O24" s="146">
        <f t="shared" si="32"/>
        <v>1.4660560535039995</v>
      </c>
      <c r="Q24" s="13"/>
      <c r="R24" s="139"/>
      <c r="S24" s="138"/>
      <c r="T24" s="139"/>
      <c r="U24" s="139"/>
      <c r="V24" s="140"/>
      <c r="W24" s="154"/>
      <c r="X24" s="139"/>
      <c r="Y24" s="19">
        <v>0.69199999999999995</v>
      </c>
      <c r="Z24" s="20">
        <v>9.2899999999999991</v>
      </c>
      <c r="AA24" s="150">
        <f>(AG24/SUM(AG$6:AG$25))*0.98</f>
        <v>5.8799999999999984E-2</v>
      </c>
      <c r="AB24" s="7">
        <v>3.5560833324881892E-2</v>
      </c>
      <c r="AC24" s="150">
        <f>(AH24/SUM(AH$6:AH$25))*0.98</f>
        <v>9.5145631067961145E-2</v>
      </c>
      <c r="AE24" s="168"/>
      <c r="AF24" s="168"/>
      <c r="AG24" s="19">
        <v>0.06</v>
      </c>
      <c r="AH24" s="19">
        <v>0.06</v>
      </c>
    </row>
    <row r="25" spans="1:34" x14ac:dyDescent="0.2">
      <c r="B25" s="18" t="s">
        <v>10</v>
      </c>
      <c r="C25" s="18">
        <v>13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0.97999999999999965</v>
      </c>
      <c r="AB28" s="150">
        <f>SUM(AB2:AB4,AB6:AB11,AB13:AB20,AB22:AB25)</f>
        <v>1.0982721695233557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1048</v>
      </c>
      <c r="E29" s="47">
        <v>0.57299999999999995</v>
      </c>
      <c r="F29" s="2">
        <f>1-E29</f>
        <v>0.42700000000000005</v>
      </c>
      <c r="G29" s="106">
        <v>4.25</v>
      </c>
      <c r="H29" s="126">
        <v>0.03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600.50399999999991</v>
      </c>
      <c r="E32" s="156">
        <f>SUM(E2:E4)</f>
        <v>390.92810399999996</v>
      </c>
      <c r="F32" s="156">
        <f>SUM(F2:F4)</f>
        <v>4042.7406519839992</v>
      </c>
      <c r="G32" s="156">
        <f>SUM(G2:G4)</f>
        <v>20.717388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447.49600000000004</v>
      </c>
      <c r="E35" s="156">
        <f>D35*G29</f>
        <v>1901.8580000000002</v>
      </c>
      <c r="F35" s="156">
        <f>D35*H29</f>
        <v>13.42488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438.54608000000002</v>
      </c>
      <c r="E38" s="157">
        <f>SUM(J2:J4,J6:J11,J13:J20)</f>
        <v>1896.2293953120004</v>
      </c>
      <c r="F38" s="157">
        <f>SUM(K2:K4,K6:K11,K13:K20)</f>
        <v>13.406353665600001</v>
      </c>
      <c r="G38" s="157">
        <f>SUM(L6:L11,L13:L20,L22:L25)</f>
        <v>588.49391999999978</v>
      </c>
      <c r="H38" s="157">
        <f>SUM(M6:M11,M13:M20,M22:M25)</f>
        <v>390.27151292639985</v>
      </c>
      <c r="I38" s="157">
        <f>SUM(N6:N11,N13:N20,N22:N25)</f>
        <v>4033.0544684186384</v>
      </c>
      <c r="J38" s="157">
        <f>SUM(O6:O11,O13:O20,O22:O25)</f>
        <v>20.685478898851194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8.9499200000000201</v>
      </c>
      <c r="E39" s="158">
        <f>E35-E38</f>
        <v>5.6286046879997684</v>
      </c>
      <c r="F39" s="158">
        <f>F35-F38</f>
        <v>1.8526334399998845E-2</v>
      </c>
      <c r="G39" s="158">
        <f>SUM(D2:D4)-G38</f>
        <v>12.01008000000013</v>
      </c>
      <c r="H39" s="158">
        <f>E32-H38</f>
        <v>0.65659107360011149</v>
      </c>
      <c r="I39" s="158">
        <f>F32-I38</f>
        <v>9.6861835653608068</v>
      </c>
      <c r="J39" s="158">
        <f>G32-J38</f>
        <v>3.1909101148805519E-2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O45" s="23"/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26" priority="1" operator="lessThan">
      <formula>0</formula>
    </cfRule>
  </conditionalFormatting>
  <conditionalFormatting sqref="W28">
    <cfRule type="cellIs" dxfId="25" priority="2" operator="greaterThan">
      <formula>1</formula>
    </cfRule>
  </conditionalFormatting>
  <conditionalFormatting sqref="AA28:AG28">
    <cfRule type="cellIs" dxfId="2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>
    <tabColor rgb="FF00A4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43</v>
      </c>
      <c r="B2" s="18" t="s">
        <v>9</v>
      </c>
      <c r="C2" s="18">
        <v>7</v>
      </c>
      <c r="D2" s="146">
        <f>D$32*Q2</f>
        <v>592.51191999999992</v>
      </c>
      <c r="E2" s="146">
        <f>D2*R2</f>
        <v>382.17018839999997</v>
      </c>
      <c r="F2" s="146">
        <f>E2*S2</f>
        <v>4314.7014270359996</v>
      </c>
      <c r="G2" s="146">
        <f>D2*T2</f>
        <v>29.625595999999998</v>
      </c>
      <c r="H2" s="146">
        <f>E2*U2</f>
        <v>6.1147230144</v>
      </c>
      <c r="I2" s="146">
        <f>D$35*W2</f>
        <v>31.034365600000008</v>
      </c>
      <c r="J2" s="146">
        <f>I2*V2</f>
        <v>93.413440456000018</v>
      </c>
      <c r="K2" s="146">
        <f>I2*X2</f>
        <v>0.83792787120000023</v>
      </c>
      <c r="L2" s="147"/>
      <c r="M2" s="147"/>
      <c r="N2" s="147"/>
      <c r="O2" s="147"/>
      <c r="Q2" s="150">
        <f>(AE2/SUM(AE$2:AE$25))</f>
        <v>0.98</v>
      </c>
      <c r="R2" s="19">
        <v>0.64500000000000002</v>
      </c>
      <c r="S2" s="107">
        <v>11.29</v>
      </c>
      <c r="T2" s="19">
        <v>0.05</v>
      </c>
      <c r="U2" s="19">
        <v>1.6E-2</v>
      </c>
      <c r="V2" s="107">
        <v>3.01</v>
      </c>
      <c r="W2" s="150">
        <f>(AF2/SUM(AF$2:AF$20))*0.98</f>
        <v>6.8600000000000008E-2</v>
      </c>
      <c r="X2" s="19">
        <v>2.7E-2</v>
      </c>
      <c r="Y2" s="21"/>
      <c r="Z2" s="22"/>
      <c r="AA2" s="1"/>
      <c r="AB2" s="1"/>
      <c r="AC2" s="1"/>
      <c r="AE2" s="19">
        <v>0.98</v>
      </c>
      <c r="AF2" s="19">
        <v>7.0000000000000007E-2</v>
      </c>
      <c r="AG2" s="168"/>
      <c r="AH2" s="168"/>
    </row>
    <row r="3" spans="1:34" x14ac:dyDescent="0.2">
      <c r="A3" s="17" t="s">
        <v>458</v>
      </c>
      <c r="B3" s="18" t="s">
        <v>9</v>
      </c>
      <c r="C3" s="18">
        <v>7</v>
      </c>
      <c r="D3" s="146">
        <f>D$32*Q3</f>
        <v>12.092079999999999</v>
      </c>
      <c r="E3" s="146">
        <f t="shared" ref="E3:F4" si="0">D3*R3</f>
        <v>7.3398925599999991</v>
      </c>
      <c r="F3" s="146">
        <f t="shared" si="0"/>
        <v>77.876260061599993</v>
      </c>
      <c r="G3" s="146">
        <f t="shared" ref="G3:G4" si="1">D3*T3</f>
        <v>0.41113072000000001</v>
      </c>
      <c r="H3" s="146">
        <f t="shared" ref="H3:H4" si="2">E3*U3</f>
        <v>0.1467978512</v>
      </c>
      <c r="I3" s="146">
        <f>D$35*W3</f>
        <v>2.2167404000000004</v>
      </c>
      <c r="J3" s="146">
        <f>I3*V3</f>
        <v>4.8768288800000015</v>
      </c>
      <c r="K3" s="146">
        <f>I3*X3</f>
        <v>0</v>
      </c>
      <c r="L3" s="147"/>
      <c r="M3" s="147"/>
      <c r="N3" s="147"/>
      <c r="O3" s="147"/>
      <c r="Q3" s="150">
        <f>(AE3/SUM(AE$2:AE$25))</f>
        <v>0.02</v>
      </c>
      <c r="R3" s="19">
        <v>0.60699999999999998</v>
      </c>
      <c r="S3" s="107">
        <v>10.61</v>
      </c>
      <c r="T3" s="19">
        <v>3.4000000000000002E-2</v>
      </c>
      <c r="U3" s="19">
        <v>0.02</v>
      </c>
      <c r="V3" s="107">
        <v>2.2000000000000002</v>
      </c>
      <c r="W3" s="150">
        <f>(AF3/SUM(AF$2:AF$20))*0.98</f>
        <v>4.8999999999999998E-3</v>
      </c>
      <c r="X3" s="19">
        <v>0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432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3">D$35*W6</f>
        <v>241.62470360000006</v>
      </c>
      <c r="J6" s="146">
        <f>I6*V6</f>
        <v>1101.8086484160001</v>
      </c>
      <c r="K6" s="146">
        <f>I6*X6</f>
        <v>9.4233634404000028</v>
      </c>
      <c r="L6" s="146">
        <f>((D$2+D$3+D$4)*AA6)</f>
        <v>74.06398999999999</v>
      </c>
      <c r="M6" s="146">
        <f t="shared" ref="M6:N11" si="4">L6*Y6</f>
        <v>58.066168159999997</v>
      </c>
      <c r="N6" s="146">
        <f t="shared" si="4"/>
        <v>452.91611164799997</v>
      </c>
      <c r="O6" s="146">
        <f>M6*AH6</f>
        <v>2.6710437353599996</v>
      </c>
      <c r="Q6" s="13"/>
      <c r="R6" s="139"/>
      <c r="S6" s="138"/>
      <c r="T6" s="139"/>
      <c r="U6" s="139"/>
      <c r="V6" s="107">
        <v>4.5599999999999996</v>
      </c>
      <c r="W6" s="150">
        <f t="shared" ref="W6:W11" si="5">(AF6/SUM(AF$2:AF$20))*0.98</f>
        <v>0.53410000000000002</v>
      </c>
      <c r="X6" s="19">
        <v>3.9E-2</v>
      </c>
      <c r="Y6" s="19">
        <v>0.78400000000000003</v>
      </c>
      <c r="Z6" s="20">
        <v>7.8</v>
      </c>
      <c r="AA6" s="150">
        <f t="shared" ref="AA6:AA11" si="6">(AG6/SUM(AG$6:AG$25))*0.98</f>
        <v>0.1225</v>
      </c>
      <c r="AB6" s="7">
        <v>7.2515753783603323E-2</v>
      </c>
      <c r="AC6" s="150">
        <f t="shared" ref="AC6:AC11" si="7">(AH6/SUM(AH$6:AH$25))*0.98</f>
        <v>5.3988023952095815E-2</v>
      </c>
      <c r="AE6" s="168"/>
      <c r="AF6" s="19">
        <v>0.54500000000000004</v>
      </c>
      <c r="AG6" s="19">
        <v>0.125</v>
      </c>
      <c r="AH6" s="19">
        <v>4.5999999999999999E-2</v>
      </c>
    </row>
    <row r="7" spans="1:34" x14ac:dyDescent="0.2">
      <c r="A7" s="176" t="s">
        <v>541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3"/>
        <v>31.034365600000008</v>
      </c>
      <c r="J7" s="146">
        <f>I7*V7</f>
        <v>130.34433552000004</v>
      </c>
      <c r="K7" s="146">
        <f>I7*X7</f>
        <v>1.0241340648000004</v>
      </c>
      <c r="L7" s="146">
        <f>((D$2+D$3+D$4)*AA7)</f>
        <v>11.850238399999999</v>
      </c>
      <c r="M7" s="146">
        <f t="shared" si="4"/>
        <v>9.5157414351999989</v>
      </c>
      <c r="N7" s="146">
        <f t="shared" si="4"/>
        <v>69.750384720015987</v>
      </c>
      <c r="O7" s="146">
        <f t="shared" ref="O7:O11" si="8">M7*AH7</f>
        <v>0.38062965740799998</v>
      </c>
      <c r="Q7" s="13"/>
      <c r="R7" s="139"/>
      <c r="S7" s="138"/>
      <c r="T7" s="139"/>
      <c r="U7" s="139"/>
      <c r="V7" s="107">
        <v>4.2</v>
      </c>
      <c r="W7" s="150">
        <f t="shared" si="5"/>
        <v>6.8600000000000008E-2</v>
      </c>
      <c r="X7" s="19">
        <v>3.3000000000000002E-2</v>
      </c>
      <c r="Y7" s="19">
        <v>0.80300000000000005</v>
      </c>
      <c r="Z7" s="20">
        <v>7.33</v>
      </c>
      <c r="AA7" s="150">
        <f t="shared" si="6"/>
        <v>1.9599999999999999E-2</v>
      </c>
      <c r="AB7" s="7">
        <v>3.7087319769310421E-2</v>
      </c>
      <c r="AC7" s="150">
        <f t="shared" si="7"/>
        <v>4.6946107784431146E-2</v>
      </c>
      <c r="AE7" s="168"/>
      <c r="AF7" s="19">
        <v>7.0000000000000007E-2</v>
      </c>
      <c r="AG7" s="19">
        <v>0.02</v>
      </c>
      <c r="AH7" s="19">
        <v>0.04</v>
      </c>
    </row>
    <row r="8" spans="1:34" x14ac:dyDescent="0.2">
      <c r="A8" s="176" t="s">
        <v>672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si="3"/>
        <v>97.536577600000015</v>
      </c>
      <c r="J8" s="146">
        <f>I8*V8</f>
        <v>429.1609414400001</v>
      </c>
      <c r="K8" s="146">
        <f>I8*X8</f>
        <v>3.9014631040000007</v>
      </c>
      <c r="L8" s="146">
        <f>((D$2+D$3+D$4)*AA8)</f>
        <v>5.9251191999999993</v>
      </c>
      <c r="M8" s="146">
        <f t="shared" si="4"/>
        <v>4.337187254399999</v>
      </c>
      <c r="N8" s="146">
        <f t="shared" si="4"/>
        <v>31.227748231679993</v>
      </c>
      <c r="O8" s="146">
        <f t="shared" si="8"/>
        <v>0.16481311566719994</v>
      </c>
      <c r="Q8" s="13"/>
      <c r="R8" s="139"/>
      <c r="S8" s="138"/>
      <c r="T8" s="139"/>
      <c r="U8" s="139"/>
      <c r="V8" s="107">
        <v>4.4000000000000004</v>
      </c>
      <c r="W8" s="150">
        <f t="shared" si="5"/>
        <v>0.21559999999999999</v>
      </c>
      <c r="X8" s="19">
        <v>0.04</v>
      </c>
      <c r="Y8" s="19">
        <v>0.73199999999999998</v>
      </c>
      <c r="Z8" s="20">
        <v>7.2</v>
      </c>
      <c r="AA8" s="150">
        <f t="shared" si="6"/>
        <v>9.7999999999999997E-3</v>
      </c>
      <c r="AB8" s="7">
        <v>2.6310907060795967E-2</v>
      </c>
      <c r="AC8" s="150">
        <f t="shared" si="7"/>
        <v>4.4598802395209587E-2</v>
      </c>
      <c r="AE8" s="168"/>
      <c r="AF8" s="19">
        <v>0.22</v>
      </c>
      <c r="AG8" s="19">
        <v>0.01</v>
      </c>
      <c r="AH8" s="19">
        <v>3.7999999999999999E-2</v>
      </c>
    </row>
    <row r="9" spans="1:34" x14ac:dyDescent="0.2">
      <c r="A9" s="176" t="s">
        <v>673</v>
      </c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3"/>
        <v>35.467846400000006</v>
      </c>
      <c r="J9" s="146">
        <f t="shared" ref="J9:J11" si="9">I9*V9</f>
        <v>150.02899027200004</v>
      </c>
      <c r="K9" s="146">
        <f t="shared" ref="K9:K11" si="10">I9*X9</f>
        <v>1.1349710848000003</v>
      </c>
      <c r="L9" s="146">
        <f t="shared" ref="L9:L11" si="11">((D$2+D$3+D$4)*AA9)</f>
        <v>20.737917199999998</v>
      </c>
      <c r="M9" s="146">
        <f t="shared" si="4"/>
        <v>16.382954588</v>
      </c>
      <c r="N9" s="146">
        <f t="shared" si="4"/>
        <v>123.19981850175999</v>
      </c>
      <c r="O9" s="146">
        <f t="shared" si="8"/>
        <v>0.65531818352000004</v>
      </c>
      <c r="Q9" s="13"/>
      <c r="R9" s="139"/>
      <c r="S9" s="138"/>
      <c r="T9" s="139"/>
      <c r="U9" s="139"/>
      <c r="V9" s="107">
        <v>4.2300000000000004</v>
      </c>
      <c r="W9" s="150">
        <f t="shared" si="5"/>
        <v>7.8399999999999997E-2</v>
      </c>
      <c r="X9" s="19">
        <v>3.2000000000000001E-2</v>
      </c>
      <c r="Y9" s="19">
        <v>0.79</v>
      </c>
      <c r="Z9" s="20">
        <v>7.52</v>
      </c>
      <c r="AA9" s="150">
        <f t="shared" si="6"/>
        <v>3.4300000000000004E-2</v>
      </c>
      <c r="AB9" s="7">
        <v>2.7504812306038788E-2</v>
      </c>
      <c r="AC9" s="150">
        <f t="shared" si="7"/>
        <v>4.6946107784431146E-2</v>
      </c>
      <c r="AE9" s="168"/>
      <c r="AF9" s="19">
        <v>0.08</v>
      </c>
      <c r="AG9" s="19">
        <v>3.5000000000000003E-2</v>
      </c>
      <c r="AH9" s="19">
        <v>0.04</v>
      </c>
    </row>
    <row r="10" spans="1:34" x14ac:dyDescent="0.2">
      <c r="A10" s="172"/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1.470421123413082E-3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419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136.27774159999998</v>
      </c>
      <c r="M13" s="146">
        <f t="shared" ref="M13:N20" si="16">L13*Y13</f>
        <v>83.401977859199988</v>
      </c>
      <c r="N13" s="146">
        <f t="shared" si="16"/>
        <v>1068.3793363763518</v>
      </c>
      <c r="O13" s="146">
        <f t="shared" ref="O13:O20" si="17">M13*AH13</f>
        <v>7.5061780073279989</v>
      </c>
      <c r="Q13" s="13"/>
      <c r="R13" s="139"/>
      <c r="S13" s="138"/>
      <c r="T13" s="139"/>
      <c r="U13" s="139"/>
      <c r="V13" s="107">
        <v>4.68</v>
      </c>
      <c r="W13" s="150">
        <f t="shared" ref="W13:W20" si="18">(AF13/SUM(AF$2:AF$20))*0.98</f>
        <v>0</v>
      </c>
      <c r="X13" s="19">
        <v>2.4E-2</v>
      </c>
      <c r="Y13" s="19">
        <v>0.61199999999999999</v>
      </c>
      <c r="Z13" s="20">
        <v>12.81</v>
      </c>
      <c r="AA13" s="150">
        <f t="shared" ref="AA13:AA20" si="19">(AG13/SUM(AG$6:AG$25))*0.98</f>
        <v>0.22540000000000002</v>
      </c>
      <c r="AB13" s="7">
        <v>0.14384719911729207</v>
      </c>
      <c r="AC13" s="150">
        <f t="shared" ref="AC13:AC20" si="20">(AH13/SUM(AH$6:AH$25))*0.98</f>
        <v>0.10562874251497008</v>
      </c>
      <c r="AE13" s="168"/>
      <c r="AF13" s="19">
        <v>0</v>
      </c>
      <c r="AG13" s="19">
        <v>0.23</v>
      </c>
      <c r="AH13" s="19">
        <v>0.09</v>
      </c>
    </row>
    <row r="14" spans="1:34" x14ac:dyDescent="0.2">
      <c r="A14" s="17" t="s">
        <v>16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103.68958599999998</v>
      </c>
      <c r="M14" s="146">
        <f t="shared" si="16"/>
        <v>61.176855739999986</v>
      </c>
      <c r="N14" s="146">
        <f t="shared" si="16"/>
        <v>869.32312006539985</v>
      </c>
      <c r="O14" s="146">
        <f t="shared" si="17"/>
        <v>6.1176855739999993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0.59</v>
      </c>
      <c r="Z14" s="20">
        <v>14.21</v>
      </c>
      <c r="AA14" s="150">
        <f t="shared" si="19"/>
        <v>0.17149999999999999</v>
      </c>
      <c r="AB14" s="7">
        <v>0.14016318844957668</v>
      </c>
      <c r="AC14" s="150">
        <f t="shared" si="20"/>
        <v>0.11736526946107786</v>
      </c>
      <c r="AE14" s="168"/>
      <c r="AF14" s="19">
        <v>0</v>
      </c>
      <c r="AG14" s="19">
        <v>0.17499999999999999</v>
      </c>
      <c r="AH14" s="19">
        <v>0.1</v>
      </c>
    </row>
    <row r="15" spans="1:34" x14ac:dyDescent="0.2">
      <c r="A15" s="17" t="s">
        <v>674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si="12"/>
        <v>4.4334808000000008</v>
      </c>
      <c r="J15" s="146">
        <f t="shared" si="13"/>
        <v>24.960496904000003</v>
      </c>
      <c r="K15" s="146">
        <f t="shared" si="14"/>
        <v>0.14630486640000004</v>
      </c>
      <c r="L15" s="146">
        <f t="shared" si="15"/>
        <v>79.989109199999987</v>
      </c>
      <c r="M15" s="146">
        <f t="shared" si="16"/>
        <v>50.713095232799994</v>
      </c>
      <c r="N15" s="146">
        <f t="shared" si="16"/>
        <v>611.59992850756794</v>
      </c>
      <c r="O15" s="146">
        <f t="shared" si="17"/>
        <v>4.3106130947879997</v>
      </c>
      <c r="Q15" s="13"/>
      <c r="R15" s="139"/>
      <c r="S15" s="138"/>
      <c r="T15" s="139"/>
      <c r="U15" s="139"/>
      <c r="V15" s="107">
        <v>5.63</v>
      </c>
      <c r="W15" s="150">
        <f t="shared" si="18"/>
        <v>9.7999999999999997E-3</v>
      </c>
      <c r="X15" s="19">
        <v>3.3000000000000002E-2</v>
      </c>
      <c r="Y15" s="19">
        <v>0.63400000000000001</v>
      </c>
      <c r="Z15" s="20">
        <v>12.06</v>
      </c>
      <c r="AA15" s="150">
        <f t="shared" si="19"/>
        <v>0.1323</v>
      </c>
      <c r="AB15" s="7">
        <v>3.3563135947518793E-3</v>
      </c>
      <c r="AC15" s="150">
        <f t="shared" si="20"/>
        <v>9.9760479041916192E-2</v>
      </c>
      <c r="AE15" s="168"/>
      <c r="AF15" s="19">
        <v>0.01</v>
      </c>
      <c r="AG15" s="19">
        <v>0.13500000000000001</v>
      </c>
      <c r="AH15" s="19">
        <v>8.5000000000000006E-2</v>
      </c>
    </row>
    <row r="16" spans="1:34" x14ac:dyDescent="0.2">
      <c r="A16" s="17" t="s">
        <v>153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29.625595999999998</v>
      </c>
      <c r="M16" s="146">
        <f t="shared" si="16"/>
        <v>17.834608791999997</v>
      </c>
      <c r="N16" s="146">
        <f t="shared" si="16"/>
        <v>232.91999082351998</v>
      </c>
      <c r="O16" s="146">
        <f t="shared" si="17"/>
        <v>1.6051147912799997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0.60199999999999998</v>
      </c>
      <c r="Z16" s="20">
        <v>13.06</v>
      </c>
      <c r="AA16" s="150">
        <f t="shared" si="19"/>
        <v>4.9000000000000002E-2</v>
      </c>
      <c r="AB16" s="7">
        <v>0.10908969025471149</v>
      </c>
      <c r="AC16" s="150">
        <f t="shared" si="20"/>
        <v>0.10562874251497008</v>
      </c>
      <c r="AE16" s="168"/>
      <c r="AF16" s="19">
        <v>0</v>
      </c>
      <c r="AG16" s="19">
        <v>0.05</v>
      </c>
      <c r="AH16" s="19">
        <v>0.09</v>
      </c>
    </row>
    <row r="17" spans="1:34" x14ac:dyDescent="0.2">
      <c r="A17" s="17" t="s">
        <v>565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17.775357599999996</v>
      </c>
      <c r="M17" s="146">
        <f t="shared" si="16"/>
        <v>10.665214559999997</v>
      </c>
      <c r="N17" s="146">
        <f t="shared" si="16"/>
        <v>121.79675027519997</v>
      </c>
      <c r="O17" s="146">
        <f t="shared" si="17"/>
        <v>0.83188673567999982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</v>
      </c>
      <c r="Z17" s="20">
        <v>11.42</v>
      </c>
      <c r="AA17" s="150">
        <f t="shared" si="19"/>
        <v>2.9399999999999999E-2</v>
      </c>
      <c r="AB17" s="7">
        <v>7.0807233927287466E-2</v>
      </c>
      <c r="AC17" s="150">
        <f t="shared" si="20"/>
        <v>9.1544910179640726E-2</v>
      </c>
      <c r="AE17" s="168"/>
      <c r="AF17" s="19">
        <v>0</v>
      </c>
      <c r="AG17" s="19">
        <v>0.03</v>
      </c>
      <c r="AH17" s="19">
        <v>7.8E-2</v>
      </c>
    </row>
    <row r="18" spans="1:34" x14ac:dyDescent="0.2">
      <c r="A18" s="17" t="s">
        <v>605</v>
      </c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17.775357599999996</v>
      </c>
      <c r="M18" s="146">
        <f t="shared" si="16"/>
        <v>10.807417420799997</v>
      </c>
      <c r="N18" s="146">
        <f t="shared" si="16"/>
        <v>119.20581415142395</v>
      </c>
      <c r="O18" s="146">
        <f t="shared" si="17"/>
        <v>0.86459339366399979</v>
      </c>
      <c r="Q18" s="13"/>
      <c r="R18" s="139"/>
      <c r="S18" s="138"/>
      <c r="T18" s="139"/>
      <c r="U18" s="139"/>
      <c r="V18" s="107">
        <v>5.34</v>
      </c>
      <c r="W18" s="150">
        <f t="shared" si="18"/>
        <v>0</v>
      </c>
      <c r="X18" s="19">
        <v>2.4E-2</v>
      </c>
      <c r="Y18" s="19">
        <v>0.60799999999999998</v>
      </c>
      <c r="Z18" s="20">
        <v>11.03</v>
      </c>
      <c r="AA18" s="150">
        <f t="shared" si="19"/>
        <v>2.9399999999999999E-2</v>
      </c>
      <c r="AB18" s="7">
        <v>0.12200080736462221</v>
      </c>
      <c r="AC18" s="150">
        <f t="shared" si="20"/>
        <v>9.3892215568862292E-2</v>
      </c>
      <c r="AE18" s="168"/>
      <c r="AF18" s="19">
        <v>0</v>
      </c>
      <c r="AG18" s="19">
        <v>0.03</v>
      </c>
      <c r="AH18" s="19">
        <v>0.08</v>
      </c>
    </row>
    <row r="19" spans="1:34" x14ac:dyDescent="0.2"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1.5360433820360337E-2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472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59.251191999999996</v>
      </c>
      <c r="M22" s="146">
        <f t="shared" ref="M22:N25" si="21">L22*Y22</f>
        <v>41.949843935999994</v>
      </c>
      <c r="N22" s="146">
        <f t="shared" si="21"/>
        <v>435.01988161631988</v>
      </c>
      <c r="O22" s="146">
        <f t="shared" ref="O22:O25" si="22">M22*AH22</f>
        <v>3.0203887633919995</v>
      </c>
      <c r="Q22" s="13"/>
      <c r="R22" s="139"/>
      <c r="S22" s="138"/>
      <c r="T22" s="139"/>
      <c r="U22" s="139"/>
      <c r="V22" s="140"/>
      <c r="W22" s="154"/>
      <c r="X22" s="139"/>
      <c r="Y22" s="19">
        <v>0.70799999999999996</v>
      </c>
      <c r="Z22" s="20">
        <v>10.37</v>
      </c>
      <c r="AA22" s="150">
        <f>(AG22/SUM(AG$6:AG$25))*0.98</f>
        <v>9.8000000000000004E-2</v>
      </c>
      <c r="AB22" s="7">
        <v>9.1397463479426053E-2</v>
      </c>
      <c r="AC22" s="150">
        <f>(AH22/SUM(AH$6:AH$25))*0.98</f>
        <v>8.4502994011976043E-2</v>
      </c>
      <c r="AE22" s="168"/>
      <c r="AF22" s="168"/>
      <c r="AG22" s="19">
        <v>0.1</v>
      </c>
      <c r="AH22" s="19">
        <v>7.1999999999999995E-2</v>
      </c>
    </row>
    <row r="23" spans="1:34" x14ac:dyDescent="0.2">
      <c r="A23" s="17" t="s">
        <v>433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35.550715199999992</v>
      </c>
      <c r="M23" s="146">
        <f t="shared" si="21"/>
        <v>24.636645633599993</v>
      </c>
      <c r="N23" s="146">
        <f t="shared" si="21"/>
        <v>243.90279177263994</v>
      </c>
      <c r="O23" s="146">
        <f t="shared" si="22"/>
        <v>1.8723850681535994</v>
      </c>
      <c r="Q23" s="13"/>
      <c r="R23" s="139"/>
      <c r="S23" s="138"/>
      <c r="T23" s="139"/>
      <c r="U23" s="139"/>
      <c r="V23" s="140"/>
      <c r="W23" s="154"/>
      <c r="X23" s="139"/>
      <c r="Y23" s="19">
        <v>0.69299999999999995</v>
      </c>
      <c r="Z23" s="20">
        <v>9.9</v>
      </c>
      <c r="AA23" s="150">
        <f>(AG23/SUM(AG$6:AG$25))*0.98</f>
        <v>5.8799999999999998E-2</v>
      </c>
      <c r="AB23" s="7">
        <v>4.1322530214849523E-2</v>
      </c>
      <c r="AC23" s="150">
        <f>(AH23/SUM(AH$6:AH$25))*0.98</f>
        <v>8.9197604790419174E-2</v>
      </c>
      <c r="AE23" s="168"/>
      <c r="AF23" s="168"/>
      <c r="AG23" s="19">
        <v>0.06</v>
      </c>
      <c r="AH23" s="19">
        <v>7.5999999999999998E-2</v>
      </c>
    </row>
    <row r="24" spans="1:34" x14ac:dyDescent="0.2"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4.2231344065620888E-2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3.0534581668339708E-2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0.97499999999999987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1057</v>
      </c>
      <c r="E29" s="47">
        <v>0.57199999999999995</v>
      </c>
      <c r="F29" s="2">
        <f>1-E29</f>
        <v>0.42800000000000005</v>
      </c>
      <c r="G29" s="106">
        <v>4.3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604.60399999999993</v>
      </c>
      <c r="E32" s="156">
        <f>SUM(E2:E4)</f>
        <v>389.51008095999998</v>
      </c>
      <c r="F32" s="156">
        <f>SUM(F2:F4)</f>
        <v>4392.5776870975997</v>
      </c>
      <c r="G32" s="156">
        <f>SUM(G2:G4)</f>
        <v>30.036726719999997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452.39600000000007</v>
      </c>
      <c r="E35" s="156">
        <f>D35*G29</f>
        <v>1945.3028000000002</v>
      </c>
      <c r="F35" s="156">
        <f>D35*H29</f>
        <v>16.512454000000002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443.3480800000001</v>
      </c>
      <c r="E38" s="157">
        <f>SUM(J2:J4,J6:J11,J13:J20)</f>
        <v>1934.5936818880002</v>
      </c>
      <c r="F38" s="157">
        <f>SUM(K2:K4,K6:K11,K13:K20)</f>
        <v>16.468164431600005</v>
      </c>
      <c r="G38" s="157">
        <f>SUM(L6:L11,L13:L20,L22:L25)</f>
        <v>592.51191999999992</v>
      </c>
      <c r="H38" s="157">
        <f>SUM(M6:M11,M13:M20,M22:M25)</f>
        <v>389.48771061199989</v>
      </c>
      <c r="I38" s="157">
        <f>SUM(N6:N11,N13:N20,N22:N25)</f>
        <v>4379.2416766898796</v>
      </c>
      <c r="J38" s="157">
        <f>SUM(O6:O11,O13:O20,O22:O25)</f>
        <v>30.000650120240792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9.0479199999999764</v>
      </c>
      <c r="E39" s="158">
        <f>E35-E38</f>
        <v>10.709118111999942</v>
      </c>
      <c r="F39" s="158">
        <f>F35-F38</f>
        <v>4.4289568399996426E-2</v>
      </c>
      <c r="G39" s="158">
        <f>SUM(D2:D4)-G38</f>
        <v>12.09208000000001</v>
      </c>
      <c r="H39" s="158">
        <f>E32-H38</f>
        <v>2.2370348000094964E-2</v>
      </c>
      <c r="I39" s="158">
        <f>F32-I38</f>
        <v>13.336010407720096</v>
      </c>
      <c r="J39" s="158">
        <f>G32-J38</f>
        <v>3.6076599759205408E-2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23" priority="1" operator="lessThan">
      <formula>0</formula>
    </cfRule>
  </conditionalFormatting>
  <conditionalFormatting sqref="W28">
    <cfRule type="cellIs" dxfId="22" priority="2" operator="greaterThan">
      <formula>1</formula>
    </cfRule>
  </conditionalFormatting>
  <conditionalFormatting sqref="AA28:AG28">
    <cfRule type="cellIs" dxfId="2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9" tint="-0.249977111117893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164</v>
      </c>
      <c r="B2" s="18" t="s">
        <v>9</v>
      </c>
      <c r="C2" s="18">
        <v>10</v>
      </c>
      <c r="D2" s="146">
        <f>D$32*Q2</f>
        <v>557.84736000000009</v>
      </c>
      <c r="E2" s="146">
        <f>D2*R2</f>
        <v>367.06356288000006</v>
      </c>
      <c r="F2" s="146">
        <f>E2*S2</f>
        <v>4210.5861297964811</v>
      </c>
      <c r="G2" s="146">
        <f>D2*T2</f>
        <v>24.545283840000003</v>
      </c>
      <c r="H2" s="146">
        <f>E2*U2</f>
        <v>7.3412712576000017</v>
      </c>
      <c r="I2" s="146">
        <f>D$35*W2</f>
        <v>127.97184959999998</v>
      </c>
      <c r="J2" s="146">
        <f>I2*V2</f>
        <v>574.59360470399997</v>
      </c>
      <c r="K2" s="146">
        <f>I2*X2</f>
        <v>9.4699168703999987</v>
      </c>
      <c r="L2" s="147"/>
      <c r="M2" s="147"/>
      <c r="N2" s="147"/>
      <c r="O2" s="147"/>
      <c r="Q2" s="150">
        <f>(AE2/SUM(AE$2:AE$25))</f>
        <v>0.98</v>
      </c>
      <c r="R2" s="19">
        <v>0.65800000000000003</v>
      </c>
      <c r="S2" s="107">
        <v>11.471</v>
      </c>
      <c r="T2" s="19">
        <v>4.3999999999999997E-2</v>
      </c>
      <c r="U2" s="19">
        <v>0.02</v>
      </c>
      <c r="V2" s="107">
        <v>4.49</v>
      </c>
      <c r="W2" s="150">
        <f>(AF2/SUM(AF$2:AF$20))*0.98</f>
        <v>0.25969999999999999</v>
      </c>
      <c r="X2" s="19">
        <v>7.3999999999999996E-2</v>
      </c>
      <c r="Y2" s="21"/>
      <c r="Z2" s="22"/>
      <c r="AA2" s="1"/>
      <c r="AB2" s="1"/>
      <c r="AC2" s="1"/>
      <c r="AE2" s="19">
        <v>0.98</v>
      </c>
      <c r="AF2" s="19">
        <v>0.26500000000000001</v>
      </c>
      <c r="AG2" s="168"/>
      <c r="AH2" s="168"/>
    </row>
    <row r="3" spans="1:34" x14ac:dyDescent="0.2">
      <c r="A3" s="17" t="s">
        <v>418</v>
      </c>
      <c r="B3" s="18" t="s">
        <v>9</v>
      </c>
      <c r="C3" s="18">
        <v>10</v>
      </c>
      <c r="D3" s="146">
        <f>D$32*Q3</f>
        <v>11.384640000000012</v>
      </c>
      <c r="E3" s="146">
        <f t="shared" ref="E3:F4" si="0">D3*R3</f>
        <v>7.3089388800000075</v>
      </c>
      <c r="F3" s="146">
        <f t="shared" si="0"/>
        <v>76.890037017600079</v>
      </c>
      <c r="G3" s="146">
        <f t="shared" ref="G3:G4" si="1">D3*T3</f>
        <v>0.31876992000000032</v>
      </c>
      <c r="H3" s="146">
        <f t="shared" ref="H3:H4" si="2">E3*U3</f>
        <v>0.14617877760000014</v>
      </c>
      <c r="I3" s="146">
        <f>D$35*W3</f>
        <v>2.4145631999999999</v>
      </c>
      <c r="J3" s="146">
        <f>I3*V3</f>
        <v>7.316126495999999</v>
      </c>
      <c r="K3" s="146">
        <f>I3*X3</f>
        <v>7.7266022399999995E-2</v>
      </c>
      <c r="L3" s="147"/>
      <c r="M3" s="147"/>
      <c r="N3" s="147"/>
      <c r="O3" s="147"/>
      <c r="Q3" s="150">
        <f>(AE3/SUM(AE$2:AE$25))</f>
        <v>2.0000000000000018E-2</v>
      </c>
      <c r="R3" s="19">
        <v>0.64200000000000002</v>
      </c>
      <c r="S3" s="107">
        <v>10.52</v>
      </c>
      <c r="T3" s="19">
        <v>2.8000000000000001E-2</v>
      </c>
      <c r="U3" s="19">
        <v>0.02</v>
      </c>
      <c r="V3" s="107">
        <v>3.03</v>
      </c>
      <c r="W3" s="150">
        <f>(AF3/SUM(AF$2:AF$20))*0.98</f>
        <v>4.8999999999999998E-3</v>
      </c>
      <c r="X3" s="19">
        <v>3.2000000000000001E-2</v>
      </c>
      <c r="Y3" s="21"/>
      <c r="Z3" s="22"/>
      <c r="AA3" s="1"/>
      <c r="AB3" s="1"/>
      <c r="AC3" s="1"/>
      <c r="AE3" s="19">
        <v>2.0000000000000018E-2</v>
      </c>
      <c r="AF3" s="19">
        <v>5.0000000000000001E-3</v>
      </c>
      <c r="AG3" s="168"/>
      <c r="AH3" s="168"/>
    </row>
    <row r="4" spans="1:34" x14ac:dyDescent="0.2">
      <c r="B4" s="18" t="s">
        <v>9</v>
      </c>
      <c r="C4" s="18"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81</v>
      </c>
      <c r="B6" s="18" t="s">
        <v>222</v>
      </c>
      <c r="C6" s="18">
        <v>10</v>
      </c>
      <c r="D6" s="147"/>
      <c r="E6" s="147"/>
      <c r="F6" s="147"/>
      <c r="G6" s="147"/>
      <c r="H6" s="147"/>
      <c r="I6" s="146">
        <f t="shared" ref="I6:I11" si="3">D$35*W6</f>
        <v>251.11457280000002</v>
      </c>
      <c r="J6" s="146">
        <f>I6*V6</f>
        <v>1104.9041203200002</v>
      </c>
      <c r="K6" s="146">
        <f>I6*X6</f>
        <v>9.5423537663999998</v>
      </c>
      <c r="L6" s="146">
        <f>((D$2+D$3+D$4)*AA6)</f>
        <v>61.363209600000005</v>
      </c>
      <c r="M6" s="146">
        <f t="shared" ref="M6:N11" si="4">L6*Y6</f>
        <v>46.758765715200006</v>
      </c>
      <c r="N6" s="146">
        <f t="shared" si="4"/>
        <v>346.01486629248006</v>
      </c>
      <c r="O6" s="146">
        <f>M6*AH6</f>
        <v>1.7768330971776003</v>
      </c>
      <c r="Q6" s="13"/>
      <c r="R6" s="139"/>
      <c r="S6" s="138"/>
      <c r="T6" s="139"/>
      <c r="U6" s="139"/>
      <c r="V6" s="107">
        <v>4.4000000000000004</v>
      </c>
      <c r="W6" s="150">
        <f t="shared" ref="W6:W11" si="5">(AF6/SUM(AF$2:AF$20))*0.98</f>
        <v>0.50960000000000005</v>
      </c>
      <c r="X6" s="19">
        <v>3.7999999999999999E-2</v>
      </c>
      <c r="Y6" s="19">
        <v>0.76200000000000001</v>
      </c>
      <c r="Z6" s="20">
        <v>7.4</v>
      </c>
      <c r="AA6" s="150">
        <f t="shared" ref="AA6:AA11" si="6">(AG6/SUM(AG$6:AG$25))*0.98</f>
        <v>0.10779999999999999</v>
      </c>
      <c r="AB6" s="7">
        <v>9.6993486762411749E-2</v>
      </c>
      <c r="AC6" s="150">
        <f t="shared" ref="AC6:AC11" si="7">(AH6/SUM(AH$6:AH$25))*0.98</f>
        <v>5.3276108726752494E-2</v>
      </c>
      <c r="AE6" s="168"/>
      <c r="AF6" s="19">
        <v>0.52</v>
      </c>
      <c r="AG6" s="19">
        <v>0.11</v>
      </c>
      <c r="AH6" s="19">
        <v>3.7999999999999999E-2</v>
      </c>
    </row>
    <row r="7" spans="1:34" x14ac:dyDescent="0.2">
      <c r="A7" s="17" t="s">
        <v>462</v>
      </c>
      <c r="B7" s="18" t="s">
        <v>222</v>
      </c>
      <c r="C7" s="18">
        <v>10</v>
      </c>
      <c r="D7" s="147"/>
      <c r="E7" s="147"/>
      <c r="F7" s="147"/>
      <c r="G7" s="147"/>
      <c r="H7" s="147"/>
      <c r="I7" s="146">
        <f t="shared" si="3"/>
        <v>62.778643200000005</v>
      </c>
      <c r="J7" s="146">
        <f>I7*V7</f>
        <v>271.20373862400004</v>
      </c>
      <c r="K7" s="146">
        <f>I7*X7</f>
        <v>2.5111457280000002</v>
      </c>
      <c r="L7" s="146">
        <f>((D$2+D$3+D$4)*AA7)</f>
        <v>27.892368000000005</v>
      </c>
      <c r="M7" s="146">
        <f t="shared" si="4"/>
        <v>20.751921792000005</v>
      </c>
      <c r="N7" s="146">
        <f t="shared" si="4"/>
        <v>146.71608706944005</v>
      </c>
      <c r="O7" s="146">
        <f t="shared" ref="O7:O11" si="8">M7*AH7</f>
        <v>0.62255765376000016</v>
      </c>
      <c r="Q7" s="13"/>
      <c r="R7" s="139"/>
      <c r="S7" s="138"/>
      <c r="T7" s="139"/>
      <c r="U7" s="139"/>
      <c r="V7" s="107">
        <v>4.32</v>
      </c>
      <c r="W7" s="150">
        <f t="shared" si="5"/>
        <v>0.12740000000000001</v>
      </c>
      <c r="X7" s="19">
        <v>0.04</v>
      </c>
      <c r="Y7" s="19">
        <v>0.74399999999999999</v>
      </c>
      <c r="Z7" s="20">
        <v>7.07</v>
      </c>
      <c r="AA7" s="150">
        <f t="shared" si="6"/>
        <v>4.9000000000000002E-2</v>
      </c>
      <c r="AB7" s="7">
        <v>4.1665556811962538E-2</v>
      </c>
      <c r="AC7" s="150">
        <f t="shared" si="7"/>
        <v>4.2060085836909865E-2</v>
      </c>
      <c r="AE7" s="168"/>
      <c r="AF7" s="19">
        <v>0.13</v>
      </c>
      <c r="AG7" s="19">
        <v>0.05</v>
      </c>
      <c r="AH7" s="19">
        <v>0.03</v>
      </c>
    </row>
    <row r="8" spans="1:34" x14ac:dyDescent="0.2">
      <c r="A8" s="177" t="s">
        <v>675</v>
      </c>
      <c r="B8" s="18" t="s">
        <v>222</v>
      </c>
      <c r="C8" s="18">
        <v>10</v>
      </c>
      <c r="D8" s="147"/>
      <c r="E8" s="147"/>
      <c r="F8" s="147"/>
      <c r="G8" s="147"/>
      <c r="H8" s="147"/>
      <c r="I8" s="146">
        <f t="shared" si="3"/>
        <v>33.803884799999999</v>
      </c>
      <c r="J8" s="146">
        <f>I8*V8</f>
        <v>143.66651039999999</v>
      </c>
      <c r="K8" s="146">
        <f>I8*X8</f>
        <v>1.2169398527999999</v>
      </c>
      <c r="L8" s="146">
        <f>((D$2+D$3+D$4)*AA8)</f>
        <v>22.313894400000002</v>
      </c>
      <c r="M8" s="146">
        <f t="shared" si="4"/>
        <v>16.958559744000002</v>
      </c>
      <c r="N8" s="146">
        <f t="shared" si="4"/>
        <v>121.59287336448001</v>
      </c>
      <c r="O8" s="146">
        <f t="shared" si="8"/>
        <v>0.62746671052800007</v>
      </c>
      <c r="Q8" s="13"/>
      <c r="R8" s="139"/>
      <c r="S8" s="138"/>
      <c r="T8" s="139"/>
      <c r="U8" s="139"/>
      <c r="V8" s="107">
        <v>4.25</v>
      </c>
      <c r="W8" s="150">
        <f t="shared" si="5"/>
        <v>6.8600000000000008E-2</v>
      </c>
      <c r="X8" s="19">
        <v>3.5999999999999997E-2</v>
      </c>
      <c r="Y8" s="19">
        <v>0.76</v>
      </c>
      <c r="Z8" s="20">
        <v>7.17</v>
      </c>
      <c r="AA8" s="150">
        <f t="shared" si="6"/>
        <v>3.9199999999999999E-2</v>
      </c>
      <c r="AB8" s="7">
        <v>4.6807622627180211E-2</v>
      </c>
      <c r="AC8" s="150">
        <f t="shared" si="7"/>
        <v>5.1874105865522165E-2</v>
      </c>
      <c r="AE8" s="168"/>
      <c r="AF8" s="19">
        <v>7.0000000000000007E-2</v>
      </c>
      <c r="AG8" s="19">
        <v>0.04</v>
      </c>
      <c r="AH8" s="19">
        <v>3.6999999999999998E-2</v>
      </c>
    </row>
    <row r="9" spans="1:34" x14ac:dyDescent="0.2">
      <c r="B9" s="18" t="s">
        <v>222</v>
      </c>
      <c r="C9" s="18"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2.6078201129355875E-2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5.4516741920817983E-4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A12" s="50"/>
      <c r="B12" s="2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6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62</v>
      </c>
      <c r="B13" s="18" t="s">
        <v>223</v>
      </c>
      <c r="C13" s="18">
        <v>10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136.6726032</v>
      </c>
      <c r="M13" s="146">
        <f t="shared" ref="M13:N20" si="16">L13*Y13</f>
        <v>86.240412619200001</v>
      </c>
      <c r="N13" s="146">
        <f t="shared" si="16"/>
        <v>1237.5499210855201</v>
      </c>
      <c r="O13" s="146">
        <f t="shared" ref="O13:O20" si="17">M13*AH13</f>
        <v>8.2790796114431995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0.63100000000000001</v>
      </c>
      <c r="Z13" s="20">
        <v>14.35</v>
      </c>
      <c r="AA13" s="150">
        <f t="shared" ref="AA13:AA20" si="19">(AG13/SUM(AG$6:AG$25))*0.98</f>
        <v>0.24009999999999998</v>
      </c>
      <c r="AB13" s="7">
        <v>0.18264070564647064</v>
      </c>
      <c r="AC13" s="150">
        <f t="shared" ref="AC13:AC20" si="20">(AH13/SUM(AH$6:AH$25))*0.98</f>
        <v>0.13459227467811158</v>
      </c>
      <c r="AE13" s="168"/>
      <c r="AF13" s="19">
        <v>0</v>
      </c>
      <c r="AG13" s="19">
        <v>0.245</v>
      </c>
      <c r="AH13" s="19">
        <v>9.6000000000000002E-2</v>
      </c>
    </row>
    <row r="14" spans="1:34" x14ac:dyDescent="0.2">
      <c r="A14" s="17" t="s">
        <v>216</v>
      </c>
      <c r="B14" s="18" t="s">
        <v>223</v>
      </c>
      <c r="C14" s="18">
        <v>10</v>
      </c>
      <c r="D14" s="147"/>
      <c r="E14" s="147"/>
      <c r="F14" s="147"/>
      <c r="G14" s="147"/>
      <c r="H14" s="147"/>
      <c r="I14" s="146">
        <f t="shared" si="12"/>
        <v>4.8291263999999998</v>
      </c>
      <c r="J14" s="146">
        <f t="shared" si="13"/>
        <v>24.242214527999998</v>
      </c>
      <c r="K14" s="146">
        <f t="shared" si="14"/>
        <v>7.2436896000000001E-2</v>
      </c>
      <c r="L14" s="146">
        <f t="shared" si="15"/>
        <v>122.72641920000001</v>
      </c>
      <c r="M14" s="146">
        <f t="shared" si="16"/>
        <v>80.385804576000012</v>
      </c>
      <c r="N14" s="146">
        <f t="shared" si="16"/>
        <v>1039.3884531676802</v>
      </c>
      <c r="O14" s="146">
        <f t="shared" si="17"/>
        <v>6.189706952352001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9.7999999999999997E-3</v>
      </c>
      <c r="X14" s="19">
        <v>1.4999999999999999E-2</v>
      </c>
      <c r="Y14" s="19">
        <v>0.65500000000000003</v>
      </c>
      <c r="Z14" s="20">
        <v>12.93</v>
      </c>
      <c r="AA14" s="150">
        <f t="shared" si="19"/>
        <v>0.21559999999999999</v>
      </c>
      <c r="AB14" s="7">
        <v>0.14215481835505084</v>
      </c>
      <c r="AC14" s="150">
        <f t="shared" si="20"/>
        <v>0.10795422031473531</v>
      </c>
      <c r="AE14" s="168"/>
      <c r="AF14" s="19">
        <v>0.01</v>
      </c>
      <c r="AG14" s="19">
        <v>0.22</v>
      </c>
      <c r="AH14" s="19">
        <v>7.6999999999999999E-2</v>
      </c>
    </row>
    <row r="15" spans="1:34" x14ac:dyDescent="0.2">
      <c r="A15" s="17" t="s">
        <v>58</v>
      </c>
      <c r="B15" s="18" t="s">
        <v>223</v>
      </c>
      <c r="C15" s="18"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41.838552000000007</v>
      </c>
      <c r="M15" s="146">
        <f t="shared" si="16"/>
        <v>25.186808304000003</v>
      </c>
      <c r="N15" s="146">
        <f t="shared" si="16"/>
        <v>321.13180587600004</v>
      </c>
      <c r="O15" s="146">
        <f t="shared" si="17"/>
        <v>1.8890106228000001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0.60199999999999998</v>
      </c>
      <c r="Z15" s="20">
        <v>12.75</v>
      </c>
      <c r="AA15" s="150">
        <f t="shared" si="19"/>
        <v>7.3499999999999996E-2</v>
      </c>
      <c r="AB15" s="7">
        <v>4.5812438744618697E-2</v>
      </c>
      <c r="AC15" s="150">
        <f t="shared" si="20"/>
        <v>0.10515021459227467</v>
      </c>
      <c r="AE15" s="168"/>
      <c r="AF15" s="19">
        <v>0</v>
      </c>
      <c r="AG15" s="19">
        <v>7.4999999999999997E-2</v>
      </c>
      <c r="AH15" s="19">
        <v>7.4999999999999997E-2</v>
      </c>
    </row>
    <row r="16" spans="1:34" x14ac:dyDescent="0.2">
      <c r="A16" s="17" t="s">
        <v>47</v>
      </c>
      <c r="B16" s="18" t="s">
        <v>223</v>
      </c>
      <c r="C16" s="18"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13.946184000000002</v>
      </c>
      <c r="M16" s="146">
        <f t="shared" si="16"/>
        <v>8.9813424960000017</v>
      </c>
      <c r="N16" s="146">
        <f t="shared" si="16"/>
        <v>87.657902760960013</v>
      </c>
      <c r="O16" s="146">
        <f t="shared" si="17"/>
        <v>0.44906712480000011</v>
      </c>
      <c r="Q16" s="13"/>
      <c r="R16" s="139"/>
      <c r="S16" s="138"/>
      <c r="T16" s="139"/>
      <c r="U16" s="139"/>
      <c r="V16" s="107">
        <v>6.01</v>
      </c>
      <c r="W16" s="150">
        <f t="shared" si="18"/>
        <v>0</v>
      </c>
      <c r="X16" s="19">
        <v>2.4E-2</v>
      </c>
      <c r="Y16" s="19">
        <v>0.64400000000000002</v>
      </c>
      <c r="Z16" s="20">
        <v>9.76</v>
      </c>
      <c r="AA16" s="150">
        <f t="shared" si="19"/>
        <v>2.4500000000000001E-2</v>
      </c>
      <c r="AB16" s="7">
        <v>4.8683418398659473E-2</v>
      </c>
      <c r="AC16" s="150">
        <f t="shared" si="20"/>
        <v>7.0100143061516448E-2</v>
      </c>
      <c r="AE16" s="168"/>
      <c r="AF16" s="19">
        <v>0</v>
      </c>
      <c r="AG16" s="19">
        <v>2.5000000000000001E-2</v>
      </c>
      <c r="AH16" s="19">
        <v>0.05</v>
      </c>
    </row>
    <row r="17" spans="1:34" x14ac:dyDescent="0.2">
      <c r="A17" s="17" t="s">
        <v>676</v>
      </c>
      <c r="B17" s="18" t="s">
        <v>223</v>
      </c>
      <c r="C17" s="18"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8.3677104000000018</v>
      </c>
      <c r="M17" s="146">
        <f t="shared" si="16"/>
        <v>5.1461418960000014</v>
      </c>
      <c r="N17" s="146">
        <f t="shared" si="16"/>
        <v>55.526871057840012</v>
      </c>
      <c r="O17" s="146">
        <f t="shared" si="17"/>
        <v>0.30876851376000009</v>
      </c>
      <c r="Q17" s="13"/>
      <c r="R17" s="139"/>
      <c r="S17" s="138"/>
      <c r="T17" s="139"/>
      <c r="U17" s="139"/>
      <c r="V17" s="107">
        <v>4.76</v>
      </c>
      <c r="W17" s="150">
        <f t="shared" si="18"/>
        <v>0</v>
      </c>
      <c r="X17" s="19">
        <v>3.3000000000000002E-2</v>
      </c>
      <c r="Y17" s="19">
        <v>0.61499999999999999</v>
      </c>
      <c r="Z17" s="20">
        <v>10.79</v>
      </c>
      <c r="AA17" s="150">
        <f t="shared" si="19"/>
        <v>1.47E-2</v>
      </c>
      <c r="AB17" s="7">
        <v>1.9177589085116745E-2</v>
      </c>
      <c r="AC17" s="150">
        <f t="shared" si="20"/>
        <v>8.412017167381973E-2</v>
      </c>
      <c r="AE17" s="168"/>
      <c r="AF17" s="19">
        <v>0</v>
      </c>
      <c r="AG17" s="19">
        <v>1.4999999999999999E-2</v>
      </c>
      <c r="AH17" s="19">
        <v>0.06</v>
      </c>
    </row>
    <row r="18" spans="1:34" x14ac:dyDescent="0.2">
      <c r="A18" s="17" t="s">
        <v>677</v>
      </c>
      <c r="B18" s="18" t="s">
        <v>223</v>
      </c>
      <c r="C18" s="18"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8.3677104000000018</v>
      </c>
      <c r="M18" s="146">
        <f t="shared" si="16"/>
        <v>4.8616397424000004</v>
      </c>
      <c r="N18" s="146">
        <f t="shared" si="16"/>
        <v>65.097356150736005</v>
      </c>
      <c r="O18" s="146">
        <f t="shared" si="17"/>
        <v>0.34031478196800008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0.58099999999999996</v>
      </c>
      <c r="Z18" s="20">
        <v>13.39</v>
      </c>
      <c r="AA18" s="150">
        <f t="shared" si="19"/>
        <v>1.47E-2</v>
      </c>
      <c r="AB18" s="7">
        <v>1.6528415377832083E-2</v>
      </c>
      <c r="AC18" s="150">
        <f t="shared" si="20"/>
        <v>9.8140200286123039E-2</v>
      </c>
      <c r="AE18" s="168"/>
      <c r="AF18" s="19">
        <v>0</v>
      </c>
      <c r="AG18" s="19">
        <v>1.4999999999999999E-2</v>
      </c>
      <c r="AH18" s="19">
        <v>7.0000000000000007E-2</v>
      </c>
    </row>
    <row r="19" spans="1:34" x14ac:dyDescent="0.2">
      <c r="B19" s="18" t="s">
        <v>223</v>
      </c>
      <c r="C19" s="18"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11"/>
      <c r="R21" s="51"/>
      <c r="T21" s="51"/>
      <c r="U21" s="51"/>
      <c r="W21" s="153"/>
      <c r="X21" s="51"/>
      <c r="Y21" s="51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74</v>
      </c>
      <c r="B22" s="18" t="s">
        <v>10</v>
      </c>
      <c r="C22" s="18"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97.623288000000002</v>
      </c>
      <c r="M22" s="146">
        <f t="shared" ref="M22:N25" si="21">L22*Y22</f>
        <v>67.84818516</v>
      </c>
      <c r="N22" s="146">
        <f t="shared" si="21"/>
        <v>751.07940972120002</v>
      </c>
      <c r="O22" s="146">
        <f t="shared" ref="O22:O25" si="22">M22*AH22</f>
        <v>3.7316501837999998</v>
      </c>
      <c r="Q22" s="13"/>
      <c r="R22" s="139"/>
      <c r="S22" s="138"/>
      <c r="T22" s="139"/>
      <c r="U22" s="139"/>
      <c r="V22" s="140"/>
      <c r="W22" s="154"/>
      <c r="X22" s="139"/>
      <c r="Y22" s="19">
        <v>0.69499999999999995</v>
      </c>
      <c r="Z22" s="20">
        <v>11.07</v>
      </c>
      <c r="AA22" s="150">
        <f>(AG22/SUM(AG$6:AG$25))*0.98</f>
        <v>0.17149999999999999</v>
      </c>
      <c r="AB22" s="7">
        <v>0.17179191628893564</v>
      </c>
      <c r="AC22" s="150">
        <f>(AH22/SUM(AH$6:AH$25))*0.98</f>
        <v>7.7110157367668089E-2</v>
      </c>
      <c r="AE22" s="168"/>
      <c r="AF22" s="168"/>
      <c r="AG22" s="19">
        <v>0.17499999999999999</v>
      </c>
      <c r="AH22" s="19">
        <v>5.5E-2</v>
      </c>
    </row>
    <row r="23" spans="1:34" x14ac:dyDescent="0.2">
      <c r="A23" s="17" t="s">
        <v>29</v>
      </c>
      <c r="B23" s="18" t="s">
        <v>10</v>
      </c>
      <c r="C23" s="18"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11.156947200000001</v>
      </c>
      <c r="M23" s="146">
        <f t="shared" si="21"/>
        <v>7.3635851520000015</v>
      </c>
      <c r="N23" s="146">
        <f t="shared" si="21"/>
        <v>69.95405894400001</v>
      </c>
      <c r="O23" s="146">
        <f t="shared" si="22"/>
        <v>0.44917869427200008</v>
      </c>
      <c r="Q23" s="13"/>
      <c r="R23" s="139"/>
      <c r="S23" s="138"/>
      <c r="T23" s="139"/>
      <c r="U23" s="139"/>
      <c r="V23" s="140"/>
      <c r="W23" s="154"/>
      <c r="X23" s="139"/>
      <c r="Y23" s="19">
        <v>0.66</v>
      </c>
      <c r="Z23" s="20">
        <v>9.5</v>
      </c>
      <c r="AA23" s="150">
        <f>(AG23/SUM(AG$6:AG$25))*0.98</f>
        <v>1.9599999999999999E-2</v>
      </c>
      <c r="AB23" s="7">
        <v>0.10897770864733301</v>
      </c>
      <c r="AC23" s="150">
        <f>(AH23/SUM(AH$6:AH$25))*0.98</f>
        <v>8.5522174535050066E-2</v>
      </c>
      <c r="AE23" s="168"/>
      <c r="AF23" s="168"/>
      <c r="AG23" s="19">
        <v>0.02</v>
      </c>
      <c r="AH23" s="19">
        <v>6.0999999999999999E-2</v>
      </c>
    </row>
    <row r="24" spans="1:34" x14ac:dyDescent="0.2">
      <c r="A24" s="17" t="s">
        <v>176</v>
      </c>
      <c r="B24" s="18" t="s">
        <v>10</v>
      </c>
      <c r="C24" s="18"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5.5784736000000006</v>
      </c>
      <c r="M24" s="146">
        <f t="shared" si="21"/>
        <v>3.6650571552000004</v>
      </c>
      <c r="N24" s="146">
        <f t="shared" si="21"/>
        <v>42.148157284800007</v>
      </c>
      <c r="O24" s="146">
        <f t="shared" si="22"/>
        <v>0.18325285776000003</v>
      </c>
      <c r="Q24" s="13"/>
      <c r="R24" s="139"/>
      <c r="S24" s="138"/>
      <c r="T24" s="139"/>
      <c r="U24" s="139"/>
      <c r="V24" s="140"/>
      <c r="W24" s="154"/>
      <c r="X24" s="139"/>
      <c r="Y24" s="19">
        <v>0.65700000000000003</v>
      </c>
      <c r="Z24" s="20">
        <v>11.5</v>
      </c>
      <c r="AA24" s="150">
        <f>(AG24/SUM(AG$6:AG$25))*0.98</f>
        <v>9.7999999999999997E-3</v>
      </c>
      <c r="AB24" s="7">
        <v>2.7142954705864437E-2</v>
      </c>
      <c r="AC24" s="150">
        <f>(AH24/SUM(AH$6:AH$25))*0.98</f>
        <v>7.0100143061516448E-2</v>
      </c>
      <c r="AE24" s="168"/>
      <c r="AF24" s="168"/>
      <c r="AG24" s="19">
        <v>0.01</v>
      </c>
      <c r="AH24" s="19">
        <v>0.05</v>
      </c>
    </row>
    <row r="25" spans="1:34" x14ac:dyDescent="0.2">
      <c r="B25" s="18" t="s">
        <v>10</v>
      </c>
      <c r="C25" s="18"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0.97500000000000031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1062</v>
      </c>
      <c r="E29" s="47">
        <v>0.53600000000000003</v>
      </c>
      <c r="F29" s="2">
        <f>1-E29</f>
        <v>0.46399999999999997</v>
      </c>
      <c r="G29" s="106">
        <v>4.3499999999999996</v>
      </c>
      <c r="H29" s="126">
        <v>4.65E-2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569.23200000000008</v>
      </c>
      <c r="E32" s="156">
        <f>SUM(E2:E4)</f>
        <v>374.37250176000009</v>
      </c>
      <c r="F32" s="156">
        <f>SUM(F2:F4)</f>
        <v>4287.4761668140809</v>
      </c>
      <c r="G32" s="156">
        <f>SUM(G2:G4)</f>
        <v>24.864053760000004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492.76799999999997</v>
      </c>
      <c r="E35" s="156">
        <f>D35*G29</f>
        <v>2143.5407999999998</v>
      </c>
      <c r="F35" s="156">
        <f>D35*H29</f>
        <v>22.913712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482.91264000000007</v>
      </c>
      <c r="E38" s="157">
        <f>SUM(J2:J4,J6:J11,J13:J20)</f>
        <v>2125.9263150720003</v>
      </c>
      <c r="F38" s="157">
        <f>SUM(K2:K4,K6:K11,K13:K20)</f>
        <v>22.890059135999998</v>
      </c>
      <c r="G38" s="157">
        <f>SUM(L6:L11,L13:L20,L22:L25)</f>
        <v>557.84736000000009</v>
      </c>
      <c r="H38" s="157">
        <f>SUM(M6:M11,M13:M20,M22:M25)</f>
        <v>374.148224352</v>
      </c>
      <c r="I38" s="157">
        <f>SUM(N6:N11,N13:N20,N22:N25)</f>
        <v>4283.8577627751365</v>
      </c>
      <c r="J38" s="157">
        <f>SUM(O6:O11,O13:O20,O22:O25)</f>
        <v>24.846886804420802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9.8553599999999051</v>
      </c>
      <c r="E39" s="158">
        <f>E35-E38</f>
        <v>17.614484927999456</v>
      </c>
      <c r="F39" s="158">
        <f>F35-F38</f>
        <v>2.3652864000002438E-2</v>
      </c>
      <c r="G39" s="158">
        <f>SUM(D2:D4)-G38</f>
        <v>11.38463999999999</v>
      </c>
      <c r="H39" s="158">
        <f>E32-H38</f>
        <v>0.22427740800009133</v>
      </c>
      <c r="I39" s="158">
        <f>F32-I38</f>
        <v>3.6184040389443908</v>
      </c>
      <c r="J39" s="158">
        <f>G32-J38</f>
        <v>1.7166955579202892E-2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20" priority="1" operator="lessThan">
      <formula>0</formula>
    </cfRule>
  </conditionalFormatting>
  <conditionalFormatting sqref="W28">
    <cfRule type="cellIs" dxfId="19" priority="2" operator="greaterThan">
      <formula>1</formula>
    </cfRule>
  </conditionalFormatting>
  <conditionalFormatting sqref="AA28:AG28">
    <cfRule type="cellIs" dxfId="1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theme="1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66</v>
      </c>
      <c r="B2" s="18" t="s">
        <v>9</v>
      </c>
      <c r="C2" s="18">
        <v>6</v>
      </c>
      <c r="D2" s="146">
        <f>D$32*Q2</f>
        <v>393.22499999999997</v>
      </c>
      <c r="E2" s="146">
        <f>D2*R2</f>
        <v>254.8098</v>
      </c>
      <c r="F2" s="146">
        <f>E2*S2</f>
        <v>2757.5516555999998</v>
      </c>
      <c r="G2" s="146">
        <f>D2*T2</f>
        <v>16.908674999999999</v>
      </c>
      <c r="H2" s="146">
        <f>E2*U2</f>
        <v>4.5865763999999993</v>
      </c>
      <c r="I2" s="146">
        <f>D$35*W2</f>
        <v>47.848500000000001</v>
      </c>
      <c r="J2" s="146">
        <f>I2*V2</f>
        <v>212.925825</v>
      </c>
      <c r="K2" s="146">
        <f>I2*X2</f>
        <v>1.1483640000000002</v>
      </c>
      <c r="L2" s="147"/>
      <c r="M2" s="147"/>
      <c r="N2" s="147"/>
      <c r="O2" s="147"/>
      <c r="Q2" s="150">
        <f>(AE2/SUM(AE$2:AE$25))</f>
        <v>0.7</v>
      </c>
      <c r="R2" s="19">
        <v>0.64800000000000002</v>
      </c>
      <c r="S2" s="107">
        <v>10.821999999999999</v>
      </c>
      <c r="T2" s="19">
        <v>4.2999999999999997E-2</v>
      </c>
      <c r="U2" s="19">
        <v>1.7999999999999999E-2</v>
      </c>
      <c r="V2" s="107">
        <v>4.45</v>
      </c>
      <c r="W2" s="150">
        <f>(AF2/SUM(AF$2:AF$20))*0.98</f>
        <v>9.8000000000000018E-2</v>
      </c>
      <c r="X2" s="19">
        <v>2.4E-2</v>
      </c>
      <c r="Y2" s="21"/>
      <c r="Z2" s="22"/>
      <c r="AA2" s="1"/>
      <c r="AB2" s="1"/>
      <c r="AC2" s="1"/>
      <c r="AE2" s="19">
        <v>0.7</v>
      </c>
      <c r="AF2" s="19">
        <v>0.1</v>
      </c>
      <c r="AG2" s="168"/>
      <c r="AH2" s="168"/>
    </row>
    <row r="3" spans="1:34" x14ac:dyDescent="0.2">
      <c r="A3" s="17" t="s">
        <v>180</v>
      </c>
      <c r="B3" s="18" t="s">
        <v>9</v>
      </c>
      <c r="C3" s="18">
        <v>6</v>
      </c>
      <c r="D3" s="146">
        <f>D$32*Q3</f>
        <v>168.52500000000001</v>
      </c>
      <c r="E3" s="146">
        <f t="shared" ref="E3:F4" si="0">D3*R3</f>
        <v>104.316975</v>
      </c>
      <c r="F3" s="146">
        <f t="shared" si="0"/>
        <v>1189.4221489499998</v>
      </c>
      <c r="G3" s="146">
        <f t="shared" ref="G3:G4" si="1">D3*T3</f>
        <v>6.9095250000000004</v>
      </c>
      <c r="H3" s="146">
        <f t="shared" ref="H3:H4" si="2">E3*U3</f>
        <v>2.6079243750000001</v>
      </c>
      <c r="I3" s="146">
        <f>D$35*W3</f>
        <v>33.493950000000005</v>
      </c>
      <c r="J3" s="146">
        <f>I3*V3</f>
        <v>190.58057550000004</v>
      </c>
      <c r="K3" s="146">
        <f>I3*X3</f>
        <v>1.5072277500000002</v>
      </c>
      <c r="L3" s="147"/>
      <c r="M3" s="147"/>
      <c r="N3" s="147"/>
      <c r="O3" s="147"/>
      <c r="Q3" s="150">
        <f>(AE3/SUM(AE$2:AE$25))</f>
        <v>0.3</v>
      </c>
      <c r="R3" s="19">
        <v>0.61899999999999999</v>
      </c>
      <c r="S3" s="107">
        <v>11.401999999999999</v>
      </c>
      <c r="T3" s="19">
        <v>4.1000000000000002E-2</v>
      </c>
      <c r="U3" s="19">
        <v>2.5000000000000001E-2</v>
      </c>
      <c r="V3" s="107">
        <v>5.69</v>
      </c>
      <c r="W3" s="150">
        <f>(AF3/SUM(AF$2:AF$20))*0.98</f>
        <v>6.8600000000000022E-2</v>
      </c>
      <c r="X3" s="19">
        <v>4.4999999999999998E-2</v>
      </c>
      <c r="Y3" s="21"/>
      <c r="Z3" s="22"/>
      <c r="AA3" s="1"/>
      <c r="AB3" s="1"/>
      <c r="AC3" s="1"/>
      <c r="AE3" s="19">
        <v>0.3</v>
      </c>
      <c r="AF3" s="19">
        <v>7.0000000000000007E-2</v>
      </c>
      <c r="AG3" s="168"/>
      <c r="AH3" s="168"/>
    </row>
    <row r="4" spans="1:34" x14ac:dyDescent="0.2">
      <c r="B4" s="18" t="s">
        <v>9</v>
      </c>
      <c r="C4" s="18">
        <v>6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201</v>
      </c>
      <c r="B6" s="18" t="s">
        <v>222</v>
      </c>
      <c r="C6" s="18">
        <v>6</v>
      </c>
      <c r="D6" s="147"/>
      <c r="E6" s="147"/>
      <c r="F6" s="147"/>
      <c r="G6" s="147"/>
      <c r="H6" s="147"/>
      <c r="I6" s="146">
        <f t="shared" ref="I6:I11" si="3">D$35*W6</f>
        <v>200.96369999999999</v>
      </c>
      <c r="J6" s="146">
        <f>I6*V6</f>
        <v>821.94153299999994</v>
      </c>
      <c r="K6" s="146">
        <f>I6*X6</f>
        <v>7.0337295000000006</v>
      </c>
      <c r="L6" s="146">
        <f>((D$2+D$3+D$4)*AA6)</f>
        <v>28.62678</v>
      </c>
      <c r="M6" s="146">
        <f t="shared" ref="M6:N11" si="4">L6*Y6</f>
        <v>21.384204660000002</v>
      </c>
      <c r="N6" s="146">
        <f t="shared" si="4"/>
        <v>133.00975298520001</v>
      </c>
      <c r="O6" s="146">
        <f>M6*AH6</f>
        <v>0.64152613980000006</v>
      </c>
      <c r="Q6" s="13"/>
      <c r="R6" s="139"/>
      <c r="S6" s="138"/>
      <c r="T6" s="139"/>
      <c r="U6" s="139"/>
      <c r="V6" s="107">
        <v>4.09</v>
      </c>
      <c r="W6" s="150">
        <f t="shared" ref="W6:W11" si="5">(AF6/SUM(AF$2:AF$20))*0.98</f>
        <v>0.41160000000000002</v>
      </c>
      <c r="X6" s="19">
        <v>3.5000000000000003E-2</v>
      </c>
      <c r="Y6" s="19">
        <v>0.747</v>
      </c>
      <c r="Z6" s="20">
        <v>6.22</v>
      </c>
      <c r="AA6" s="150">
        <f t="shared" ref="AA6:AA11" si="6">(AG6/SUM(AG$6:AG$25))*0.98</f>
        <v>5.0959999999999998E-2</v>
      </c>
      <c r="AB6" s="7">
        <v>9.4003088285339625E-2</v>
      </c>
      <c r="AC6" s="150">
        <f t="shared" ref="AC6:AC11" si="7">(AH6/SUM(AH$6:AH$25))*0.98</f>
        <v>4.8117839607201306E-2</v>
      </c>
      <c r="AE6" s="168"/>
      <c r="AF6" s="19">
        <v>0.42</v>
      </c>
      <c r="AG6" s="19">
        <v>5.1999999999999998E-2</v>
      </c>
      <c r="AH6" s="19">
        <v>0.03</v>
      </c>
    </row>
    <row r="7" spans="1:34" x14ac:dyDescent="0.2">
      <c r="A7" s="17" t="s">
        <v>485</v>
      </c>
      <c r="B7" s="18" t="s">
        <v>222</v>
      </c>
      <c r="C7" s="18">
        <v>6</v>
      </c>
      <c r="D7" s="147"/>
      <c r="E7" s="147"/>
      <c r="F7" s="147"/>
      <c r="G7" s="147"/>
      <c r="H7" s="147"/>
      <c r="I7" s="146">
        <f t="shared" si="3"/>
        <v>148.33035000000001</v>
      </c>
      <c r="J7" s="146">
        <f>I7*V7</f>
        <v>700.11925199999996</v>
      </c>
      <c r="K7" s="146">
        <f>I7*X7</f>
        <v>4.4499105000000005</v>
      </c>
      <c r="L7" s="146">
        <f>((D$2+D$3+D$4)*AA7)</f>
        <v>36.884504999999997</v>
      </c>
      <c r="M7" s="146">
        <f t="shared" si="4"/>
        <v>29.58137301</v>
      </c>
      <c r="N7" s="146">
        <f t="shared" si="4"/>
        <v>209.73193464089999</v>
      </c>
      <c r="O7" s="146">
        <f t="shared" ref="O7:O11" si="8">M7*AH7</f>
        <v>1.1832549204</v>
      </c>
      <c r="Q7" s="13"/>
      <c r="R7" s="139"/>
      <c r="S7" s="138"/>
      <c r="T7" s="139"/>
      <c r="U7" s="139"/>
      <c r="V7" s="107">
        <v>4.72</v>
      </c>
      <c r="W7" s="150">
        <f t="shared" si="5"/>
        <v>0.30380000000000007</v>
      </c>
      <c r="X7" s="19">
        <v>0.03</v>
      </c>
      <c r="Y7" s="19">
        <v>0.80200000000000005</v>
      </c>
      <c r="Z7" s="20">
        <v>7.09</v>
      </c>
      <c r="AA7" s="150">
        <f t="shared" si="6"/>
        <v>6.5659999999999996E-2</v>
      </c>
      <c r="AB7" s="7">
        <v>1.7081766775947718E-2</v>
      </c>
      <c r="AC7" s="150">
        <f t="shared" si="7"/>
        <v>6.4157119476268412E-2</v>
      </c>
      <c r="AE7" s="168"/>
      <c r="AF7" s="19">
        <v>0.31</v>
      </c>
      <c r="AG7" s="19">
        <v>6.7000000000000004E-2</v>
      </c>
      <c r="AH7" s="19">
        <v>0.04</v>
      </c>
    </row>
    <row r="8" spans="1:34" x14ac:dyDescent="0.2">
      <c r="A8" s="17" t="s">
        <v>28</v>
      </c>
      <c r="B8" s="18" t="s">
        <v>222</v>
      </c>
      <c r="C8" s="18">
        <v>6</v>
      </c>
      <c r="D8" s="147"/>
      <c r="E8" s="147"/>
      <c r="F8" s="147"/>
      <c r="G8" s="147"/>
      <c r="H8" s="147"/>
      <c r="I8" s="146">
        <f t="shared" si="3"/>
        <v>47.848500000000001</v>
      </c>
      <c r="J8" s="146">
        <f>I8*V8</f>
        <v>189.001575</v>
      </c>
      <c r="K8" s="146">
        <f>I8*X8</f>
        <v>1.9617885000000002</v>
      </c>
      <c r="L8" s="146">
        <f>((D$2+D$3+D$4)*AA8)</f>
        <v>45.692745000000002</v>
      </c>
      <c r="M8" s="146">
        <f t="shared" si="4"/>
        <v>35.046335415000001</v>
      </c>
      <c r="N8" s="146">
        <f t="shared" si="4"/>
        <v>230.60488703070001</v>
      </c>
      <c r="O8" s="146">
        <f t="shared" si="8"/>
        <v>1.577085093675</v>
      </c>
      <c r="Q8" s="13"/>
      <c r="R8" s="139"/>
      <c r="S8" s="138"/>
      <c r="T8" s="139"/>
      <c r="U8" s="139"/>
      <c r="V8" s="107">
        <v>3.95</v>
      </c>
      <c r="W8" s="150">
        <f t="shared" si="5"/>
        <v>9.8000000000000018E-2</v>
      </c>
      <c r="X8" s="19">
        <v>4.1000000000000002E-2</v>
      </c>
      <c r="Y8" s="19">
        <v>0.76700000000000002</v>
      </c>
      <c r="Z8" s="20">
        <v>6.58</v>
      </c>
      <c r="AA8" s="150">
        <f t="shared" si="6"/>
        <v>8.134000000000001E-2</v>
      </c>
      <c r="AB8" s="7">
        <v>1.4118777251519742E-2</v>
      </c>
      <c r="AC8" s="150">
        <f t="shared" si="7"/>
        <v>7.2176759410801955E-2</v>
      </c>
      <c r="AE8" s="168"/>
      <c r="AF8" s="19">
        <v>0.1</v>
      </c>
      <c r="AG8" s="19">
        <v>8.3000000000000004E-2</v>
      </c>
      <c r="AH8" s="19">
        <v>4.4999999999999998E-2</v>
      </c>
    </row>
    <row r="9" spans="1:34" x14ac:dyDescent="0.2">
      <c r="B9" s="18" t="s">
        <v>222</v>
      </c>
      <c r="C9" s="18">
        <v>6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1.3379236892567929E-2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B10" s="18" t="s">
        <v>222</v>
      </c>
      <c r="C10" s="18">
        <v>6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2.3577489377191441E-2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6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434</v>
      </c>
      <c r="B13" s="18" t="s">
        <v>223</v>
      </c>
      <c r="C13" s="18">
        <v>6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129.37102499999997</v>
      </c>
      <c r="M13" s="146">
        <f t="shared" ref="M13:N20" si="16">L13*Y13</f>
        <v>78.010728074999989</v>
      </c>
      <c r="N13" s="146">
        <f t="shared" si="16"/>
        <v>1126.4749134029998</v>
      </c>
      <c r="O13" s="146">
        <f t="shared" ref="O13:O20" si="17">M13*AH13</f>
        <v>6.2408582459999993</v>
      </c>
      <c r="Q13" s="13"/>
      <c r="R13" s="139"/>
      <c r="S13" s="138"/>
      <c r="T13" s="139"/>
      <c r="U13" s="139"/>
      <c r="V13" s="107">
        <v>6.33</v>
      </c>
      <c r="W13" s="150">
        <f t="shared" ref="W13:W20" si="18">(AF13/SUM(AF$2:AF$20))*0.98</f>
        <v>0</v>
      </c>
      <c r="X13" s="19">
        <v>4.3999999999999997E-2</v>
      </c>
      <c r="Y13" s="19">
        <v>0.60299999999999998</v>
      </c>
      <c r="Z13" s="20">
        <v>14.44</v>
      </c>
      <c r="AA13" s="150">
        <f t="shared" ref="AA13:AA20" si="19">(AG13/SUM(AG$6:AG$25))*0.98</f>
        <v>0.23029999999999998</v>
      </c>
      <c r="AB13" s="7">
        <v>0.19282410575076411</v>
      </c>
      <c r="AC13" s="150">
        <f t="shared" ref="AC13:AC20" si="20">(AH13/SUM(AH$6:AH$25))*0.98</f>
        <v>0.12831423895253682</v>
      </c>
      <c r="AE13" s="168"/>
      <c r="AF13" s="19">
        <v>0</v>
      </c>
      <c r="AG13" s="19">
        <v>0.23499999999999999</v>
      </c>
      <c r="AH13" s="19">
        <v>0.08</v>
      </c>
    </row>
    <row r="14" spans="1:34" x14ac:dyDescent="0.2">
      <c r="A14" s="17" t="s">
        <v>678</v>
      </c>
      <c r="B14" s="18" t="s">
        <v>223</v>
      </c>
      <c r="C14" s="18">
        <v>6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105.14836500000001</v>
      </c>
      <c r="M14" s="146">
        <f t="shared" si="16"/>
        <v>66.453766680000015</v>
      </c>
      <c r="N14" s="146">
        <f t="shared" si="16"/>
        <v>820.70401849800021</v>
      </c>
      <c r="O14" s="146">
        <f t="shared" si="17"/>
        <v>4.8511249676400006</v>
      </c>
      <c r="Q14" s="13"/>
      <c r="R14" s="139"/>
      <c r="S14" s="138"/>
      <c r="T14" s="139"/>
      <c r="U14" s="139"/>
      <c r="V14" s="107">
        <v>5.4</v>
      </c>
      <c r="W14" s="150">
        <f t="shared" si="18"/>
        <v>0</v>
      </c>
      <c r="X14" s="19">
        <v>2.4E-2</v>
      </c>
      <c r="Y14" s="19">
        <v>0.63200000000000001</v>
      </c>
      <c r="Z14" s="20">
        <v>12.35</v>
      </c>
      <c r="AA14" s="150">
        <f t="shared" si="19"/>
        <v>0.18718000000000001</v>
      </c>
      <c r="AB14" s="7">
        <v>2.5459916688375248E-2</v>
      </c>
      <c r="AC14" s="150">
        <f t="shared" si="20"/>
        <v>0.11708674304418985</v>
      </c>
      <c r="AE14" s="168"/>
      <c r="AF14" s="19">
        <v>0</v>
      </c>
      <c r="AG14" s="19">
        <v>0.191</v>
      </c>
      <c r="AH14" s="19">
        <v>7.2999999999999995E-2</v>
      </c>
    </row>
    <row r="15" spans="1:34" x14ac:dyDescent="0.2">
      <c r="A15" s="17" t="s">
        <v>159</v>
      </c>
      <c r="B15" s="18" t="s">
        <v>223</v>
      </c>
      <c r="C15" s="18">
        <v>6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63.859740000000002</v>
      </c>
      <c r="M15" s="146">
        <f t="shared" si="16"/>
        <v>35.250576480000007</v>
      </c>
      <c r="N15" s="146">
        <f t="shared" si="16"/>
        <v>482.22788624640009</v>
      </c>
      <c r="O15" s="146">
        <f t="shared" si="17"/>
        <v>2.7847955419200003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0.55200000000000005</v>
      </c>
      <c r="Z15" s="20">
        <v>13.68</v>
      </c>
      <c r="AA15" s="150">
        <f t="shared" si="19"/>
        <v>0.11368</v>
      </c>
      <c r="AB15" s="7">
        <v>0.15216714264823544</v>
      </c>
      <c r="AC15" s="150">
        <f t="shared" si="20"/>
        <v>0.12671031096563012</v>
      </c>
      <c r="AE15" s="168"/>
      <c r="AF15" s="19">
        <v>0</v>
      </c>
      <c r="AG15" s="19">
        <v>0.11600000000000001</v>
      </c>
      <c r="AH15" s="19">
        <v>7.9000000000000001E-2</v>
      </c>
    </row>
    <row r="16" spans="1:34" x14ac:dyDescent="0.2">
      <c r="A16" s="17" t="s">
        <v>435</v>
      </c>
      <c r="B16" s="18" t="s">
        <v>223</v>
      </c>
      <c r="C16" s="18">
        <v>6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27.525750000000002</v>
      </c>
      <c r="M16" s="146">
        <f t="shared" si="16"/>
        <v>16.37782125</v>
      </c>
      <c r="N16" s="146">
        <f t="shared" si="16"/>
        <v>168.36400244999999</v>
      </c>
      <c r="O16" s="146">
        <f t="shared" si="17"/>
        <v>0.98266927500000001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0.59499999999999997</v>
      </c>
      <c r="Z16" s="20">
        <v>10.28</v>
      </c>
      <c r="AA16" s="150">
        <f t="shared" si="19"/>
        <v>4.9000000000000002E-2</v>
      </c>
      <c r="AB16" s="7">
        <v>0.19103445530097071</v>
      </c>
      <c r="AC16" s="150">
        <f t="shared" si="20"/>
        <v>9.6235679214402611E-2</v>
      </c>
      <c r="AE16" s="168"/>
      <c r="AF16" s="19">
        <v>0</v>
      </c>
      <c r="AG16" s="19">
        <v>0.05</v>
      </c>
      <c r="AH16" s="19">
        <v>0.06</v>
      </c>
    </row>
    <row r="17" spans="1:34" x14ac:dyDescent="0.2">
      <c r="A17" s="17" t="s">
        <v>217</v>
      </c>
      <c r="B17" s="18" t="s">
        <v>223</v>
      </c>
      <c r="C17" s="18">
        <v>6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13.762875000000001</v>
      </c>
      <c r="M17" s="146">
        <f t="shared" si="16"/>
        <v>7.9411788750000003</v>
      </c>
      <c r="N17" s="146">
        <f t="shared" si="16"/>
        <v>101.329442445</v>
      </c>
      <c r="O17" s="146">
        <f t="shared" si="17"/>
        <v>0.47647073249999999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0.57699999999999996</v>
      </c>
      <c r="Z17" s="20">
        <v>12.76</v>
      </c>
      <c r="AA17" s="150">
        <f t="shared" si="19"/>
        <v>2.4500000000000001E-2</v>
      </c>
      <c r="AB17" s="7">
        <v>7.5978874302309263E-2</v>
      </c>
      <c r="AC17" s="150">
        <f t="shared" si="20"/>
        <v>9.6235679214402611E-2</v>
      </c>
      <c r="AE17" s="168"/>
      <c r="AF17" s="19">
        <v>0</v>
      </c>
      <c r="AG17" s="19">
        <v>2.5000000000000001E-2</v>
      </c>
      <c r="AH17" s="19">
        <v>0.06</v>
      </c>
    </row>
    <row r="18" spans="1:34" x14ac:dyDescent="0.2">
      <c r="B18" s="18" t="s">
        <v>223</v>
      </c>
      <c r="C18" s="18">
        <v>6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1.3006363201804224E-2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6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6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191</v>
      </c>
      <c r="B22" s="18" t="s">
        <v>10</v>
      </c>
      <c r="C22" s="18"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83.127764999999997</v>
      </c>
      <c r="M22" s="146">
        <f t="shared" ref="M22:N25" si="21">L22*Y22</f>
        <v>57.690668909999992</v>
      </c>
      <c r="N22" s="146">
        <f t="shared" si="21"/>
        <v>566.52236869619992</v>
      </c>
      <c r="O22" s="146">
        <f t="shared" ref="O22:O25" si="22">M22*AH22</f>
        <v>4.2691094993399989</v>
      </c>
      <c r="Q22" s="13"/>
      <c r="R22" s="139"/>
      <c r="S22" s="138"/>
      <c r="T22" s="139"/>
      <c r="U22" s="139"/>
      <c r="V22" s="140"/>
      <c r="W22" s="154"/>
      <c r="X22" s="139"/>
      <c r="Y22" s="19">
        <v>0.69399999999999995</v>
      </c>
      <c r="Z22" s="20">
        <v>9.82</v>
      </c>
      <c r="AA22" s="150">
        <f>(AG22/SUM(AG$6:AG$25))*0.98</f>
        <v>0.14798</v>
      </c>
      <c r="AB22" s="7">
        <v>0.10219297467587733</v>
      </c>
      <c r="AC22" s="150">
        <f>(AH22/SUM(AH$6:AH$25))*0.98</f>
        <v>0.11869067103109655</v>
      </c>
      <c r="AE22" s="168"/>
      <c r="AF22" s="168"/>
      <c r="AG22" s="19">
        <v>0.151</v>
      </c>
      <c r="AH22" s="19">
        <v>7.3999999999999996E-2</v>
      </c>
    </row>
    <row r="23" spans="1:34" x14ac:dyDescent="0.2">
      <c r="A23" s="17" t="s">
        <v>542</v>
      </c>
      <c r="B23" s="18" t="s">
        <v>10</v>
      </c>
      <c r="C23" s="18"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16.515449999999998</v>
      </c>
      <c r="M23" s="146">
        <f t="shared" si="21"/>
        <v>11.147928749999998</v>
      </c>
      <c r="N23" s="146">
        <f t="shared" si="21"/>
        <v>106.68567813749999</v>
      </c>
      <c r="O23" s="146">
        <f t="shared" si="22"/>
        <v>0.78035501249999994</v>
      </c>
      <c r="Q23" s="13"/>
      <c r="R23" s="139"/>
      <c r="S23" s="138"/>
      <c r="T23" s="139"/>
      <c r="U23" s="139"/>
      <c r="V23" s="140"/>
      <c r="W23" s="154"/>
      <c r="X23" s="139"/>
      <c r="Y23" s="19">
        <v>0.67500000000000004</v>
      </c>
      <c r="Z23" s="20">
        <v>9.57</v>
      </c>
      <c r="AA23" s="150">
        <f>(AG23/SUM(AG$6:AG$25))*0.98</f>
        <v>2.9399999999999999E-2</v>
      </c>
      <c r="AB23" s="7">
        <v>5.1876755570689152E-2</v>
      </c>
      <c r="AC23" s="150">
        <f>(AH23/SUM(AH$6:AH$25))*0.98</f>
        <v>0.11227495908346972</v>
      </c>
      <c r="AE23" s="168"/>
      <c r="AF23" s="168"/>
      <c r="AG23" s="19">
        <v>0.03</v>
      </c>
      <c r="AH23" s="19">
        <v>7.0000000000000007E-2</v>
      </c>
    </row>
    <row r="24" spans="1:34" x14ac:dyDescent="0.2">
      <c r="B24" s="18" t="s">
        <v>10</v>
      </c>
      <c r="C24" s="18"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8.2990532784079935E-3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0.97499999999999998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0.99999999999999989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1050</v>
      </c>
      <c r="E29" s="47">
        <v>0.53500000000000003</v>
      </c>
      <c r="F29" s="2">
        <f>1-E29</f>
        <v>0.46499999999999997</v>
      </c>
      <c r="G29" s="106">
        <v>4.3499999999999996</v>
      </c>
      <c r="H29" s="126">
        <v>3.3000000000000002E-2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561.75</v>
      </c>
      <c r="E32" s="156">
        <f>SUM(E2:E4)</f>
        <v>359.12677500000001</v>
      </c>
      <c r="F32" s="156">
        <f>SUM(F2:F4)</f>
        <v>3946.9738045499998</v>
      </c>
      <c r="G32" s="156">
        <f>SUM(G2:G4)</f>
        <v>23.818199999999997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488.24999999999994</v>
      </c>
      <c r="E35" s="156">
        <f>D35*G29</f>
        <v>2123.8874999999994</v>
      </c>
      <c r="F35" s="156">
        <f>D35*H29</f>
        <v>16.11225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478.48500000000001</v>
      </c>
      <c r="E38" s="157">
        <f>SUM(J2:J4,J6:J11,J13:J20)</f>
        <v>2114.5687605000003</v>
      </c>
      <c r="F38" s="157">
        <f>SUM(K2:K4,K6:K11,K13:K20)</f>
        <v>16.101020250000001</v>
      </c>
      <c r="G38" s="157">
        <f>SUM(L6:L11,L13:L20,L22:L25)</f>
        <v>550.51499999999999</v>
      </c>
      <c r="H38" s="157">
        <f>SUM(M6:M11,M13:M20,M22:M25)</f>
        <v>358.88458210499999</v>
      </c>
      <c r="I38" s="157">
        <f>SUM(N6:N11,N13:N20,N22:N25)</f>
        <v>3945.6548845328998</v>
      </c>
      <c r="J38" s="157">
        <f>SUM(O6:O11,O13:O20,O22:O25)</f>
        <v>23.787249428775002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9.7649999999999295</v>
      </c>
      <c r="E39" s="158">
        <f>E35-E38</f>
        <v>9.3187394999990829</v>
      </c>
      <c r="F39" s="158">
        <f>F35-F38</f>
        <v>1.1229749999998262E-2</v>
      </c>
      <c r="G39" s="158">
        <f>SUM(D2:D4)-G38</f>
        <v>11.235000000000014</v>
      </c>
      <c r="H39" s="158">
        <f>E32-H38</f>
        <v>0.24219289500001651</v>
      </c>
      <c r="I39" s="158">
        <f>F32-I38</f>
        <v>1.3189200171000266</v>
      </c>
      <c r="J39" s="158">
        <f>G32-J38</f>
        <v>3.0950571224995116E-2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17" priority="1" operator="lessThan">
      <formula>0</formula>
    </cfRule>
  </conditionalFormatting>
  <conditionalFormatting sqref="W28">
    <cfRule type="cellIs" dxfId="16" priority="2" operator="greaterThan">
      <formula>1</formula>
    </cfRule>
  </conditionalFormatting>
  <conditionalFormatting sqref="AA28:AG28">
    <cfRule type="cellIs" dxfId="1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A50021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495</v>
      </c>
      <c r="B2" s="18" t="s">
        <v>9</v>
      </c>
      <c r="C2" s="18">
        <v>9</v>
      </c>
      <c r="D2" s="146">
        <f>D$32*Q2</f>
        <v>532.53395999999998</v>
      </c>
      <c r="E2" s="146">
        <f>D2*R2</f>
        <v>362.65562676000002</v>
      </c>
      <c r="F2" s="146">
        <f>E2*S2</f>
        <v>4482.4235467536</v>
      </c>
      <c r="G2" s="146">
        <f>D2*T2</f>
        <v>30.354435720000001</v>
      </c>
      <c r="H2" s="146">
        <f>E2*U2</f>
        <v>7.9784237887199998</v>
      </c>
      <c r="I2" s="146">
        <f>D$35*W2</f>
        <v>39.011683199999993</v>
      </c>
      <c r="J2" s="146">
        <f>I2*V2</f>
        <v>122.88680207999998</v>
      </c>
      <c r="K2" s="146">
        <f>I2*X2</f>
        <v>1.0533154463999999</v>
      </c>
      <c r="L2" s="147"/>
      <c r="M2" s="147"/>
      <c r="N2" s="147"/>
      <c r="O2" s="147"/>
      <c r="Q2" s="150">
        <f>(AE2/SUM(AE$2:AE$25))</f>
        <v>0.98</v>
      </c>
      <c r="R2" s="19">
        <v>0.68100000000000005</v>
      </c>
      <c r="S2" s="107">
        <v>12.36</v>
      </c>
      <c r="T2" s="19">
        <v>5.7000000000000002E-2</v>
      </c>
      <c r="U2" s="19">
        <v>2.1999999999999999E-2</v>
      </c>
      <c r="V2" s="107">
        <v>3.15</v>
      </c>
      <c r="W2" s="150">
        <f>(AF2/SUM(AF$2:AF$20))*0.98</f>
        <v>7.8399999999999997E-2</v>
      </c>
      <c r="X2" s="19">
        <v>2.7E-2</v>
      </c>
      <c r="Y2" s="21"/>
      <c r="Z2" s="22"/>
      <c r="AA2" s="1"/>
      <c r="AB2" s="1"/>
      <c r="AC2" s="1"/>
      <c r="AE2" s="19">
        <v>0.98</v>
      </c>
      <c r="AF2" s="19">
        <v>0.08</v>
      </c>
      <c r="AG2" s="168"/>
      <c r="AH2" s="168"/>
    </row>
    <row r="3" spans="1:34" x14ac:dyDescent="0.2">
      <c r="A3" s="17" t="s">
        <v>606</v>
      </c>
      <c r="B3" s="18" t="s">
        <v>9</v>
      </c>
      <c r="C3" s="18">
        <v>9</v>
      </c>
      <c r="D3" s="146">
        <f>D$32*Q3</f>
        <v>10.868040000000001</v>
      </c>
      <c r="E3" s="146">
        <f t="shared" ref="E3:F4" si="0">D3*R3</f>
        <v>6.5969002799999998</v>
      </c>
      <c r="F3" s="146">
        <f t="shared" si="0"/>
        <v>71.70830604359999</v>
      </c>
      <c r="G3" s="146">
        <f t="shared" ref="G3:G4" si="1">D3*T3</f>
        <v>0.36951336000000007</v>
      </c>
      <c r="H3" s="146">
        <f t="shared" ref="H3:H4" si="2">E3*U3</f>
        <v>0.13193800559999999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0.02</v>
      </c>
      <c r="R3" s="19">
        <v>0.60699999999999998</v>
      </c>
      <c r="S3" s="107">
        <v>10.87</v>
      </c>
      <c r="T3" s="19">
        <v>3.4000000000000002E-2</v>
      </c>
      <c r="U3" s="19">
        <v>0.02</v>
      </c>
      <c r="V3" s="107">
        <v>4.5</v>
      </c>
      <c r="W3" s="150">
        <f>(AF3/SUM(AF$2:AF$20))*0.98</f>
        <v>0</v>
      </c>
      <c r="X3" s="19">
        <v>0.03</v>
      </c>
      <c r="Y3" s="21"/>
      <c r="Z3" s="22"/>
      <c r="AA3" s="1"/>
      <c r="AB3" s="1"/>
      <c r="AC3" s="1"/>
      <c r="AE3" s="19">
        <v>0.02</v>
      </c>
      <c r="AF3" s="19">
        <v>0</v>
      </c>
      <c r="AG3" s="168"/>
      <c r="AH3" s="168"/>
    </row>
    <row r="4" spans="1:34" x14ac:dyDescent="0.2">
      <c r="B4" s="18" t="s">
        <v>9</v>
      </c>
      <c r="C4" s="18">
        <v>9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5</v>
      </c>
      <c r="B6" s="18" t="s">
        <v>222</v>
      </c>
      <c r="C6" s="18">
        <v>9</v>
      </c>
      <c r="D6" s="147"/>
      <c r="E6" s="147"/>
      <c r="F6" s="147"/>
      <c r="G6" s="147"/>
      <c r="H6" s="147"/>
      <c r="I6" s="146">
        <f t="shared" ref="I6:I11" si="3">D$35*W6</f>
        <v>219.44071799999998</v>
      </c>
      <c r="J6" s="146">
        <f>I6*V6</f>
        <v>1059.89866794</v>
      </c>
      <c r="K6" s="146">
        <f>I6*X6</f>
        <v>11.849798771999998</v>
      </c>
      <c r="L6" s="146">
        <f>((D$2+D$3+D$4)*AA6)</f>
        <v>90.530773199999985</v>
      </c>
      <c r="M6" s="146">
        <f t="shared" ref="M6:N11" si="4">L6*Y6</f>
        <v>72.424618559999985</v>
      </c>
      <c r="N6" s="146">
        <f t="shared" si="4"/>
        <v>600.4000878623998</v>
      </c>
      <c r="O6" s="146">
        <f>M6*AH6</f>
        <v>4.8524494435199994</v>
      </c>
      <c r="Q6" s="13"/>
      <c r="R6" s="139"/>
      <c r="S6" s="138"/>
      <c r="T6" s="139"/>
      <c r="U6" s="139"/>
      <c r="V6" s="107">
        <v>4.83</v>
      </c>
      <c r="W6" s="150">
        <f t="shared" ref="W6:W11" si="5">(AF6/SUM(AF$2:AF$20))*0.98</f>
        <v>0.441</v>
      </c>
      <c r="X6" s="19">
        <v>5.3999999999999999E-2</v>
      </c>
      <c r="Y6" s="19">
        <v>0.8</v>
      </c>
      <c r="Z6" s="20">
        <v>8.2899999999999991</v>
      </c>
      <c r="AA6" s="150">
        <f t="shared" ref="AA6:AA11" si="6">(AG6/SUM(AG$6:AG$25))*0.98</f>
        <v>0.1666</v>
      </c>
      <c r="AB6" s="7">
        <v>6.0223142452124193E-2</v>
      </c>
      <c r="AC6" s="150">
        <f t="shared" ref="AC6:AC11" si="7">(AH6/SUM(AH$6:AH$25))*0.98</f>
        <v>7.0907127429805622E-2</v>
      </c>
      <c r="AE6" s="168"/>
      <c r="AF6" s="19">
        <v>0.45</v>
      </c>
      <c r="AG6" s="19">
        <v>0.17</v>
      </c>
      <c r="AH6" s="19">
        <v>6.7000000000000004E-2</v>
      </c>
    </row>
    <row r="7" spans="1:34" x14ac:dyDescent="0.2">
      <c r="A7" s="17" t="s">
        <v>202</v>
      </c>
      <c r="B7" s="18" t="s">
        <v>222</v>
      </c>
      <c r="C7" s="18">
        <v>9</v>
      </c>
      <c r="D7" s="147"/>
      <c r="E7" s="147"/>
      <c r="F7" s="147"/>
      <c r="G7" s="147"/>
      <c r="H7" s="147"/>
      <c r="I7" s="146">
        <f t="shared" si="3"/>
        <v>97.529207999999997</v>
      </c>
      <c r="J7" s="146">
        <f>I7*V7</f>
        <v>391.09212407999996</v>
      </c>
      <c r="K7" s="146">
        <f>I7*X7</f>
        <v>2.92587624</v>
      </c>
      <c r="L7" s="146">
        <f>((D$2+D$3+D$4)*AA7)</f>
        <v>10.650679199999999</v>
      </c>
      <c r="M7" s="146">
        <f t="shared" si="4"/>
        <v>8.7442076231999994</v>
      </c>
      <c r="N7" s="146">
        <f t="shared" si="4"/>
        <v>54.563855568767998</v>
      </c>
      <c r="O7" s="146">
        <f t="shared" ref="O7:O11" si="8">M7*AH7</f>
        <v>0.28855885156560002</v>
      </c>
      <c r="Q7" s="13"/>
      <c r="R7" s="139"/>
      <c r="S7" s="138"/>
      <c r="T7" s="139"/>
      <c r="U7" s="139"/>
      <c r="V7" s="107">
        <v>4.01</v>
      </c>
      <c r="W7" s="150">
        <f t="shared" si="5"/>
        <v>0.19600000000000001</v>
      </c>
      <c r="X7" s="19">
        <v>0.03</v>
      </c>
      <c r="Y7" s="19">
        <v>0.82099999999999995</v>
      </c>
      <c r="Z7" s="20">
        <v>6.24</v>
      </c>
      <c r="AA7" s="150">
        <f t="shared" si="6"/>
        <v>1.9599999999999999E-2</v>
      </c>
      <c r="AB7" s="7">
        <v>4.9307936449275558E-2</v>
      </c>
      <c r="AC7" s="150">
        <f t="shared" si="7"/>
        <v>3.4924406047516197E-2</v>
      </c>
      <c r="AE7" s="168"/>
      <c r="AF7" s="19">
        <v>0.2</v>
      </c>
      <c r="AG7" s="19">
        <v>0.02</v>
      </c>
      <c r="AH7" s="19">
        <v>3.3000000000000002E-2</v>
      </c>
    </row>
    <row r="8" spans="1:34" x14ac:dyDescent="0.2">
      <c r="A8" s="17" t="s">
        <v>490</v>
      </c>
      <c r="B8" s="18" t="s">
        <v>222</v>
      </c>
      <c r="C8" s="18">
        <v>9</v>
      </c>
      <c r="D8" s="147"/>
      <c r="E8" s="147"/>
      <c r="F8" s="147"/>
      <c r="G8" s="147"/>
      <c r="H8" s="147"/>
      <c r="I8" s="146">
        <f t="shared" si="3"/>
        <v>14.629381199999997</v>
      </c>
      <c r="J8" s="146">
        <f>I8*V8</f>
        <v>63.637808219999982</v>
      </c>
      <c r="K8" s="146">
        <f>I8*X8</f>
        <v>0.36573452999999995</v>
      </c>
      <c r="L8" s="146">
        <f>((D$2+D$3+D$4)*AA8)</f>
        <v>5.3253395999999995</v>
      </c>
      <c r="M8" s="146">
        <f t="shared" si="4"/>
        <v>3.7277377199999995</v>
      </c>
      <c r="N8" s="146">
        <f t="shared" si="4"/>
        <v>30.530171926799994</v>
      </c>
      <c r="O8" s="146">
        <f t="shared" si="8"/>
        <v>0.14165403335999999</v>
      </c>
      <c r="Q8" s="13"/>
      <c r="R8" s="139"/>
      <c r="S8" s="138"/>
      <c r="T8" s="139"/>
      <c r="U8" s="139"/>
      <c r="V8" s="107">
        <v>4.3499999999999996</v>
      </c>
      <c r="W8" s="150">
        <f t="shared" si="5"/>
        <v>2.9399999999999999E-2</v>
      </c>
      <c r="X8" s="19">
        <v>2.5000000000000001E-2</v>
      </c>
      <c r="Y8" s="19">
        <v>0.7</v>
      </c>
      <c r="Z8" s="20">
        <v>8.19</v>
      </c>
      <c r="AA8" s="150">
        <f t="shared" si="6"/>
        <v>9.7999999999999997E-3</v>
      </c>
      <c r="AB8" s="7">
        <v>6.8676840680918349E-3</v>
      </c>
      <c r="AC8" s="150">
        <f t="shared" si="7"/>
        <v>4.0215982721382285E-2</v>
      </c>
      <c r="AE8" s="168"/>
      <c r="AF8" s="19">
        <v>0.03</v>
      </c>
      <c r="AG8" s="19">
        <v>0.01</v>
      </c>
      <c r="AH8" s="19">
        <v>3.7999999999999999E-2</v>
      </c>
    </row>
    <row r="9" spans="1:34" x14ac:dyDescent="0.2">
      <c r="A9" s="17" t="s">
        <v>679</v>
      </c>
      <c r="B9" s="18" t="s">
        <v>222</v>
      </c>
      <c r="C9" s="18">
        <v>9</v>
      </c>
      <c r="D9" s="147"/>
      <c r="E9" s="147"/>
      <c r="F9" s="147"/>
      <c r="G9" s="147"/>
      <c r="H9" s="147"/>
      <c r="I9" s="146">
        <f t="shared" si="3"/>
        <v>73.146905999999987</v>
      </c>
      <c r="J9" s="146">
        <f t="shared" ref="J9:J11" si="9">I9*V9</f>
        <v>330.62401511999991</v>
      </c>
      <c r="K9" s="146">
        <f t="shared" ref="K9:K11" si="10">I9*X9</f>
        <v>2.3407009919999995</v>
      </c>
      <c r="L9" s="146">
        <f t="shared" ref="L9:L11" si="11">((D$2+D$3+D$4)*AA9)</f>
        <v>15.976018799999997</v>
      </c>
      <c r="M9" s="146">
        <f t="shared" si="4"/>
        <v>12.109822250399997</v>
      </c>
      <c r="N9" s="146">
        <f t="shared" si="4"/>
        <v>96.878578003199976</v>
      </c>
      <c r="O9" s="146">
        <f t="shared" si="8"/>
        <v>0.5207223567671998</v>
      </c>
      <c r="Q9" s="13"/>
      <c r="R9" s="139"/>
      <c r="S9" s="138"/>
      <c r="T9" s="139"/>
      <c r="U9" s="139"/>
      <c r="V9" s="107">
        <v>4.5199999999999996</v>
      </c>
      <c r="W9" s="150">
        <f t="shared" si="5"/>
        <v>0.14699999999999999</v>
      </c>
      <c r="X9" s="19">
        <v>3.2000000000000001E-2</v>
      </c>
      <c r="Y9" s="19">
        <v>0.75800000000000001</v>
      </c>
      <c r="Z9" s="20">
        <v>8</v>
      </c>
      <c r="AA9" s="150">
        <f t="shared" si="6"/>
        <v>2.9399999999999999E-2</v>
      </c>
      <c r="AB9" s="7">
        <v>2.5186668471229221E-2</v>
      </c>
      <c r="AC9" s="150">
        <f t="shared" si="7"/>
        <v>4.5507559395248379E-2</v>
      </c>
      <c r="AE9" s="168"/>
      <c r="AF9" s="19">
        <v>0.15</v>
      </c>
      <c r="AG9" s="19">
        <v>0.03</v>
      </c>
      <c r="AH9" s="19">
        <v>4.2999999999999997E-2</v>
      </c>
    </row>
    <row r="10" spans="1:34" x14ac:dyDescent="0.2">
      <c r="A10" s="42"/>
      <c r="B10" s="18" t="s">
        <v>222</v>
      </c>
      <c r="C10" s="18"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1.9224065025707279E-2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42"/>
      <c r="B11" s="18" t="s">
        <v>222</v>
      </c>
      <c r="C11" s="18"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5.4490533164705542E-2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A12" s="49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26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2" t="s">
        <v>12</v>
      </c>
      <c r="B13" s="18" t="s">
        <v>223</v>
      </c>
      <c r="C13" s="18">
        <v>9</v>
      </c>
      <c r="D13" s="147"/>
      <c r="E13" s="147"/>
      <c r="F13" s="147"/>
      <c r="G13" s="147"/>
      <c r="H13" s="147"/>
      <c r="I13" s="146">
        <f t="shared" ref="I13:I20" si="12">D$35*W13</f>
        <v>43.888143599999999</v>
      </c>
      <c r="J13" s="146">
        <f t="shared" ref="J13:J20" si="13">I13*V13</f>
        <v>281.323000476</v>
      </c>
      <c r="K13" s="146">
        <f t="shared" ref="K13:K20" si="14">I13*X13</f>
        <v>5.3104653755999998</v>
      </c>
      <c r="L13" s="146">
        <f t="shared" ref="L13:L20" si="15">((D$2+D$3+D$4)*AA13)</f>
        <v>101.18145239999998</v>
      </c>
      <c r="M13" s="146">
        <f t="shared" ref="M13:N20" si="16">L13*Y13</f>
        <v>67.892754560399993</v>
      </c>
      <c r="N13" s="146">
        <f t="shared" si="16"/>
        <v>967.47175248569988</v>
      </c>
      <c r="O13" s="146">
        <f t="shared" ref="O13:O20" si="17">M13*AH13</f>
        <v>6.1103479104359995</v>
      </c>
      <c r="Q13" s="13"/>
      <c r="R13" s="139"/>
      <c r="S13" s="138"/>
      <c r="T13" s="139"/>
      <c r="U13" s="139"/>
      <c r="V13" s="107">
        <v>6.41</v>
      </c>
      <c r="W13" s="150">
        <f t="shared" ref="W13:W20" si="18">(AF13/SUM(AF$2:AF$20))*0.98</f>
        <v>8.8200000000000001E-2</v>
      </c>
      <c r="X13" s="19">
        <v>0.121</v>
      </c>
      <c r="Y13" s="19">
        <v>0.67100000000000004</v>
      </c>
      <c r="Z13" s="20">
        <v>14.25</v>
      </c>
      <c r="AA13" s="150">
        <f t="shared" ref="AA13:AA20" si="19">(AG13/SUM(AG$6:AG$25))*0.98</f>
        <v>0.1862</v>
      </c>
      <c r="AB13" s="7">
        <v>0.18311092108428928</v>
      </c>
      <c r="AC13" s="150">
        <f t="shared" ref="AC13:AC20" si="20">(AH13/SUM(AH$6:AH$25))*0.98</f>
        <v>9.5248380129589638E-2</v>
      </c>
      <c r="AE13" s="168"/>
      <c r="AF13" s="19">
        <v>0.09</v>
      </c>
      <c r="AG13" s="19">
        <v>0.19</v>
      </c>
      <c r="AH13" s="19">
        <v>0.09</v>
      </c>
    </row>
    <row r="14" spans="1:34" x14ac:dyDescent="0.2">
      <c r="A14" s="172" t="s">
        <v>165</v>
      </c>
      <c r="B14" s="18" t="s">
        <v>223</v>
      </c>
      <c r="C14" s="18">
        <v>9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117.15747119999997</v>
      </c>
      <c r="M14" s="146">
        <f t="shared" si="16"/>
        <v>79.66708041599999</v>
      </c>
      <c r="N14" s="146">
        <f t="shared" si="16"/>
        <v>1198.1928894566397</v>
      </c>
      <c r="O14" s="146">
        <f t="shared" si="17"/>
        <v>8.3650434436799994</v>
      </c>
      <c r="Q14" s="13"/>
      <c r="R14" s="139"/>
      <c r="S14" s="138"/>
      <c r="T14" s="139"/>
      <c r="U14" s="139"/>
      <c r="V14" s="107">
        <v>8.51</v>
      </c>
      <c r="W14" s="150">
        <f t="shared" si="18"/>
        <v>0</v>
      </c>
      <c r="X14" s="19">
        <v>5.8000000000000003E-2</v>
      </c>
      <c r="Y14" s="19">
        <v>0.68</v>
      </c>
      <c r="Z14" s="20">
        <v>15.04</v>
      </c>
      <c r="AA14" s="150">
        <f t="shared" si="19"/>
        <v>0.21559999999999999</v>
      </c>
      <c r="AB14" s="7">
        <v>0.19020901101057089</v>
      </c>
      <c r="AC14" s="150">
        <f t="shared" si="20"/>
        <v>0.11112311015118791</v>
      </c>
      <c r="AE14" s="168"/>
      <c r="AF14" s="19">
        <v>0</v>
      </c>
      <c r="AG14" s="19">
        <v>0.22</v>
      </c>
      <c r="AH14" s="19">
        <v>0.105</v>
      </c>
    </row>
    <row r="15" spans="1:34" x14ac:dyDescent="0.2">
      <c r="A15" s="176" t="s">
        <v>630</v>
      </c>
      <c r="B15" s="18" t="s">
        <v>223</v>
      </c>
      <c r="C15" s="18">
        <v>9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42.602716799999996</v>
      </c>
      <c r="M15" s="146">
        <f t="shared" si="16"/>
        <v>27.521355052799997</v>
      </c>
      <c r="N15" s="146">
        <f t="shared" si="16"/>
        <v>356.12633438323195</v>
      </c>
      <c r="O15" s="146">
        <f t="shared" si="17"/>
        <v>2.3393151794880001</v>
      </c>
      <c r="Q15" s="13"/>
      <c r="R15" s="139"/>
      <c r="S15" s="138"/>
      <c r="T15" s="139"/>
      <c r="U15" s="139"/>
      <c r="V15" s="107">
        <v>5.34</v>
      </c>
      <c r="W15" s="150">
        <f t="shared" si="18"/>
        <v>0</v>
      </c>
      <c r="X15" s="19">
        <v>2.4E-2</v>
      </c>
      <c r="Y15" s="19">
        <v>0.64600000000000002</v>
      </c>
      <c r="Z15" s="20">
        <v>12.94</v>
      </c>
      <c r="AA15" s="150">
        <f t="shared" si="19"/>
        <v>7.8399999999999997E-2</v>
      </c>
      <c r="AB15" s="7">
        <v>4.537101313707418E-2</v>
      </c>
      <c r="AC15" s="150">
        <f t="shared" si="20"/>
        <v>8.9956803455723558E-2</v>
      </c>
      <c r="AE15" s="168"/>
      <c r="AF15" s="19">
        <v>0</v>
      </c>
      <c r="AG15" s="19">
        <v>0.08</v>
      </c>
      <c r="AH15" s="19">
        <v>8.5000000000000006E-2</v>
      </c>
    </row>
    <row r="16" spans="1:34" x14ac:dyDescent="0.2">
      <c r="A16" s="172" t="s">
        <v>398</v>
      </c>
      <c r="B16" s="18" t="s">
        <v>223</v>
      </c>
      <c r="C16" s="18">
        <v>9</v>
      </c>
      <c r="D16" s="147"/>
      <c r="E16" s="147"/>
      <c r="F16" s="147"/>
      <c r="G16" s="147"/>
      <c r="H16" s="147"/>
      <c r="I16" s="146">
        <f t="shared" ref="I16:I18" si="21">D$35*W16</f>
        <v>0</v>
      </c>
      <c r="J16" s="146">
        <f t="shared" ref="J16:J18" si="22">I16*V16</f>
        <v>0</v>
      </c>
      <c r="K16" s="146">
        <f t="shared" ref="K16:K18" si="23">I16*X16</f>
        <v>0</v>
      </c>
      <c r="L16" s="146">
        <f t="shared" ref="L16:L18" si="24">((D$2+D$3+D$4)*AA16)</f>
        <v>21.301358399999998</v>
      </c>
      <c r="M16" s="146">
        <f t="shared" ref="M16:M18" si="25">L16*Y16</f>
        <v>13.228143566399998</v>
      </c>
      <c r="N16" s="146">
        <f t="shared" ref="N16:N18" si="26">M16*Z16</f>
        <v>166.41004606531197</v>
      </c>
      <c r="O16" s="146">
        <f t="shared" ref="O16:O18" si="27">M16*AH16</f>
        <v>0.99211076747999982</v>
      </c>
      <c r="Q16" s="13"/>
      <c r="R16" s="139"/>
      <c r="S16" s="138"/>
      <c r="T16" s="139"/>
      <c r="U16" s="139"/>
      <c r="V16" s="107">
        <v>5.0199999999999996</v>
      </c>
      <c r="W16" s="150">
        <f t="shared" ref="W16:W18" si="28">(AF16/SUM(AF$2:AF$20))*0.98</f>
        <v>0</v>
      </c>
      <c r="X16" s="19">
        <v>1.4999999999999999E-2</v>
      </c>
      <c r="Y16" s="19">
        <v>0.621</v>
      </c>
      <c r="Z16" s="20">
        <v>12.58</v>
      </c>
      <c r="AA16" s="150">
        <f t="shared" ref="AA16:AA18" si="29">(AG16/SUM(AG$6:AG$25))*0.98</f>
        <v>3.9199999999999999E-2</v>
      </c>
      <c r="AB16" s="7">
        <v>4.537101313707418E-2</v>
      </c>
      <c r="AC16" s="150">
        <f t="shared" ref="AC16:AC18" si="30">(AH16/SUM(AH$6:AH$25))*0.98</f>
        <v>7.937365010799137E-2</v>
      </c>
      <c r="AE16" s="168"/>
      <c r="AF16" s="19">
        <v>0</v>
      </c>
      <c r="AG16" s="19">
        <v>0.04</v>
      </c>
      <c r="AH16" s="19">
        <v>7.4999999999999997E-2</v>
      </c>
    </row>
    <row r="17" spans="1:34" x14ac:dyDescent="0.2">
      <c r="A17" s="17" t="s">
        <v>576</v>
      </c>
      <c r="B17" s="18" t="s">
        <v>223</v>
      </c>
      <c r="C17" s="18">
        <v>9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10.650679199999999</v>
      </c>
      <c r="M17" s="146">
        <f t="shared" si="25"/>
        <v>6.8057840087999999</v>
      </c>
      <c r="N17" s="146">
        <f t="shared" si="26"/>
        <v>82.554160026744</v>
      </c>
      <c r="O17" s="146">
        <f t="shared" si="27"/>
        <v>0.47640488061600006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1.4999999999999999E-2</v>
      </c>
      <c r="Y17" s="19">
        <v>0.63900000000000001</v>
      </c>
      <c r="Z17" s="20">
        <v>12.13</v>
      </c>
      <c r="AA17" s="150">
        <f t="shared" si="29"/>
        <v>1.9599999999999999E-2</v>
      </c>
      <c r="AB17" s="7">
        <v>2.3790559285205654E-2</v>
      </c>
      <c r="AC17" s="150">
        <f t="shared" si="30"/>
        <v>7.408207343412529E-2</v>
      </c>
      <c r="AE17" s="168"/>
      <c r="AF17" s="19">
        <v>0</v>
      </c>
      <c r="AG17" s="19">
        <v>0.02</v>
      </c>
      <c r="AH17" s="19">
        <v>7.0000000000000007E-2</v>
      </c>
    </row>
    <row r="18" spans="1:34" x14ac:dyDescent="0.2">
      <c r="A18" s="17" t="s">
        <v>441</v>
      </c>
      <c r="B18" s="18" t="s">
        <v>223</v>
      </c>
      <c r="C18" s="18">
        <v>9</v>
      </c>
      <c r="D18" s="147"/>
      <c r="E18" s="147"/>
      <c r="F18" s="147"/>
      <c r="G18" s="147"/>
      <c r="H18" s="147"/>
      <c r="I18" s="146">
        <f t="shared" si="21"/>
        <v>0</v>
      </c>
      <c r="J18" s="146">
        <f t="shared" si="22"/>
        <v>0</v>
      </c>
      <c r="K18" s="146">
        <f t="shared" si="23"/>
        <v>0</v>
      </c>
      <c r="L18" s="146">
        <f t="shared" si="24"/>
        <v>5.3253395999999995</v>
      </c>
      <c r="M18" s="146">
        <f t="shared" si="25"/>
        <v>3.3389879291999995</v>
      </c>
      <c r="N18" s="146">
        <f t="shared" si="26"/>
        <v>54.258553849499989</v>
      </c>
      <c r="O18" s="146">
        <f t="shared" si="27"/>
        <v>0.25042409468999993</v>
      </c>
      <c r="Q18" s="13"/>
      <c r="R18" s="139"/>
      <c r="S18" s="138"/>
      <c r="T18" s="139"/>
      <c r="U18" s="139"/>
      <c r="V18" s="107">
        <v>5.0199999999999996</v>
      </c>
      <c r="W18" s="150">
        <f t="shared" si="28"/>
        <v>0</v>
      </c>
      <c r="X18" s="19">
        <v>1.4999999999999999E-2</v>
      </c>
      <c r="Y18" s="19">
        <v>0.627</v>
      </c>
      <c r="Z18" s="20">
        <v>16.25</v>
      </c>
      <c r="AA18" s="150">
        <f t="shared" si="29"/>
        <v>9.7999999999999997E-3</v>
      </c>
      <c r="AB18" s="7">
        <v>3.3683771170054368E-2</v>
      </c>
      <c r="AC18" s="150">
        <f t="shared" si="30"/>
        <v>7.937365010799137E-2</v>
      </c>
      <c r="AE18" s="168"/>
      <c r="AF18" s="19">
        <v>0</v>
      </c>
      <c r="AG18" s="19">
        <v>0.01</v>
      </c>
      <c r="AH18" s="19">
        <v>7.4999999999999997E-2</v>
      </c>
    </row>
    <row r="19" spans="1:34" x14ac:dyDescent="0.2">
      <c r="A19" s="17" t="s">
        <v>680</v>
      </c>
      <c r="B19" s="18" t="s">
        <v>223</v>
      </c>
      <c r="C19" s="18">
        <v>9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10.650679199999999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1.9599999999999999E-2</v>
      </c>
      <c r="AB19" s="7">
        <v>0</v>
      </c>
      <c r="AC19" s="150">
        <f t="shared" si="20"/>
        <v>8.9956803455723558E-2</v>
      </c>
      <c r="AE19" s="168"/>
      <c r="AF19" s="19">
        <v>0</v>
      </c>
      <c r="AG19" s="19">
        <v>0.02</v>
      </c>
      <c r="AH19" s="19">
        <v>8.5000000000000006E-2</v>
      </c>
    </row>
    <row r="20" spans="1:34" x14ac:dyDescent="0.2">
      <c r="B20" s="18" t="s">
        <v>223</v>
      </c>
      <c r="C20" s="18">
        <v>9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A21" s="50"/>
      <c r="B21" s="2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6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13</v>
      </c>
      <c r="B22" s="18" t="s">
        <v>10</v>
      </c>
      <c r="C22" s="18"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90.530773199999985</v>
      </c>
      <c r="M22" s="146">
        <f t="shared" ref="M22:N25" si="31">L22*Y22</f>
        <v>65.544279796799984</v>
      </c>
      <c r="N22" s="146">
        <f t="shared" si="31"/>
        <v>869.11715010556782</v>
      </c>
      <c r="O22" s="146">
        <f t="shared" ref="O22:O25" si="32">M22*AH22</f>
        <v>5.898985181711998</v>
      </c>
      <c r="Q22" s="13"/>
      <c r="R22" s="139"/>
      <c r="S22" s="138"/>
      <c r="T22" s="139"/>
      <c r="U22" s="139"/>
      <c r="V22" s="140"/>
      <c r="W22" s="154"/>
      <c r="X22" s="139"/>
      <c r="Y22" s="19">
        <v>0.72399999999999998</v>
      </c>
      <c r="Z22" s="20">
        <v>13.26</v>
      </c>
      <c r="AA22" s="150">
        <f>(AG22/SUM(AG$6:AG$25))*0.98</f>
        <v>0.1666</v>
      </c>
      <c r="AB22" s="7">
        <v>0.22762675123096426</v>
      </c>
      <c r="AC22" s="150">
        <f>(AH22/SUM(AH$6:AH$25))*0.98</f>
        <v>9.5248380129589638E-2</v>
      </c>
      <c r="AE22" s="168"/>
      <c r="AF22" s="168"/>
      <c r="AG22" s="19">
        <v>0.17</v>
      </c>
      <c r="AH22" s="19">
        <v>0.09</v>
      </c>
    </row>
    <row r="23" spans="1:34" x14ac:dyDescent="0.2">
      <c r="A23" s="17" t="s">
        <v>607</v>
      </c>
      <c r="B23" s="18" t="s">
        <v>10</v>
      </c>
      <c r="C23" s="18"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10.650679199999999</v>
      </c>
      <c r="M23" s="146">
        <f t="shared" si="31"/>
        <v>6.8164346879999993</v>
      </c>
      <c r="N23" s="146">
        <f t="shared" si="31"/>
        <v>61.347912191999995</v>
      </c>
      <c r="O23" s="146">
        <f t="shared" si="32"/>
        <v>0.47715042815999997</v>
      </c>
      <c r="Q23" s="13"/>
      <c r="R23" s="139"/>
      <c r="S23" s="138"/>
      <c r="T23" s="139"/>
      <c r="U23" s="139"/>
      <c r="V23" s="140"/>
      <c r="W23" s="154"/>
      <c r="X23" s="139"/>
      <c r="Y23" s="19">
        <v>0.64</v>
      </c>
      <c r="Z23" s="20">
        <v>9</v>
      </c>
      <c r="AA23" s="150">
        <f>(AG23/SUM(AG$6:AG$25))*0.98</f>
        <v>1.9599999999999999E-2</v>
      </c>
      <c r="AB23" s="7">
        <v>2.6487046459472658E-2</v>
      </c>
      <c r="AC23" s="150">
        <f>(AH23/SUM(AH$6:AH$25))*0.98</f>
        <v>7.408207343412529E-2</v>
      </c>
      <c r="AE23" s="168"/>
      <c r="AF23" s="168"/>
      <c r="AG23" s="19">
        <v>0.02</v>
      </c>
      <c r="AH23" s="19">
        <v>7.0000000000000007E-2</v>
      </c>
    </row>
    <row r="24" spans="1:34" x14ac:dyDescent="0.2">
      <c r="B24" s="18" t="s">
        <v>10</v>
      </c>
      <c r="C24" s="18"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1.3248626864088215E-2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1.0041987430099271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1041</v>
      </c>
      <c r="E29" s="47">
        <v>0.52200000000000002</v>
      </c>
      <c r="F29" s="2">
        <f>1-E29</f>
        <v>0.47799999999999998</v>
      </c>
      <c r="G29" s="106">
        <v>4.55</v>
      </c>
      <c r="H29" s="126">
        <v>4.8000000000000001E-2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543.40200000000004</v>
      </c>
      <c r="E32" s="156">
        <f>SUM(E2:E4)</f>
        <v>369.25252704000002</v>
      </c>
      <c r="F32" s="156">
        <f>SUM(F2:F4)</f>
        <v>4554.1318527971998</v>
      </c>
      <c r="G32" s="156">
        <f>SUM(G2:G4)</f>
        <v>30.723949080000001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497.59799999999996</v>
      </c>
      <c r="E35" s="156">
        <f>D35*G29</f>
        <v>2264.0708999999997</v>
      </c>
      <c r="F35" s="156">
        <f>D35*H29</f>
        <v>23.884703999999999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487.64603999999991</v>
      </c>
      <c r="E38" s="157">
        <f>SUM(J2:J4,J6:J11,J13:J20)</f>
        <v>2249.4624179159996</v>
      </c>
      <c r="F38" s="157">
        <f>SUM(K2:K4,K6:K11,K13:K20)</f>
        <v>23.845891355999996</v>
      </c>
      <c r="G38" s="157">
        <f>SUM(L6:L11,L13:L20,L22:L25)</f>
        <v>532.53395999999998</v>
      </c>
      <c r="H38" s="157">
        <f>SUM(M6:M11,M13:M20,M22:M25)</f>
        <v>367.82120617199996</v>
      </c>
      <c r="I38" s="157">
        <f>SUM(N6:N11,N13:N20,N22:N25)</f>
        <v>4537.8514919258632</v>
      </c>
      <c r="J38" s="157">
        <f>SUM(O6:O11,O13:O20,O22:O25)</f>
        <v>30.713166571474794</v>
      </c>
      <c r="P38" s="26"/>
      <c r="Q38" s="25"/>
      <c r="R38" s="25"/>
      <c r="S38" s="26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5" thickTop="1" x14ac:dyDescent="0.2">
      <c r="D39" s="158">
        <f>D35-D38</f>
        <v>9.9519600000000423</v>
      </c>
      <c r="E39" s="158">
        <f>E35-E38</f>
        <v>14.608482084000116</v>
      </c>
      <c r="F39" s="158">
        <f>F35-F38</f>
        <v>3.8812644000003615E-2</v>
      </c>
      <c r="G39" s="158">
        <f>SUM(D2:D4)-G38</f>
        <v>10.868039999999951</v>
      </c>
      <c r="H39" s="158">
        <f>E32-H38</f>
        <v>1.4313208680000571</v>
      </c>
      <c r="I39" s="158">
        <f>F32-I38</f>
        <v>16.280360871336597</v>
      </c>
      <c r="J39" s="158">
        <f>G32-J38</f>
        <v>1.078250852520668E-2</v>
      </c>
      <c r="P39" s="26"/>
      <c r="Q39" s="25"/>
      <c r="R39" s="25"/>
      <c r="S39" s="26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K40" s="26"/>
      <c r="M40" s="26"/>
      <c r="N40" s="25"/>
      <c r="O40" s="26"/>
      <c r="P40" s="26"/>
      <c r="Q40" s="25"/>
      <c r="R40" s="25"/>
      <c r="S40" s="26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14" priority="1" operator="lessThan">
      <formula>0</formula>
    </cfRule>
  </conditionalFormatting>
  <conditionalFormatting sqref="W28">
    <cfRule type="cellIs" dxfId="13" priority="2" operator="greaterThan">
      <formula>1</formula>
    </cfRule>
  </conditionalFormatting>
  <conditionalFormatting sqref="AA28:AG28">
    <cfRule type="cellIs" dxfId="1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80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185</v>
      </c>
      <c r="B2" s="18" t="s">
        <v>9</v>
      </c>
      <c r="C2" s="18">
        <v>5</v>
      </c>
      <c r="D2" s="146">
        <f>D$32*Q2</f>
        <v>533.09609999999998</v>
      </c>
      <c r="E2" s="146">
        <f>D2*R2</f>
        <v>352.90961820000001</v>
      </c>
      <c r="F2" s="146">
        <f>E2*S2</f>
        <v>3943.0591641486003</v>
      </c>
      <c r="G2" s="146">
        <f>D2*T2</f>
        <v>24.5224206</v>
      </c>
      <c r="H2" s="146">
        <f>E2*U2</f>
        <v>6.7052827457999999</v>
      </c>
      <c r="I2" s="146">
        <f>D$35*W2</f>
        <v>43.969758000000006</v>
      </c>
      <c r="J2" s="146">
        <f>I2*V2</f>
        <v>198.74330616</v>
      </c>
      <c r="K2" s="146">
        <f>I2*X2</f>
        <v>1.5389415300000004</v>
      </c>
      <c r="L2" s="147"/>
      <c r="M2" s="147"/>
      <c r="N2" s="147"/>
      <c r="O2" s="147"/>
      <c r="Q2" s="150">
        <f>(AE2/SUM(AE$2:AE$25))</f>
        <v>0.9</v>
      </c>
      <c r="R2" s="19">
        <v>0.66200000000000003</v>
      </c>
      <c r="S2" s="107">
        <v>11.173</v>
      </c>
      <c r="T2" s="19">
        <v>4.5999999999999999E-2</v>
      </c>
      <c r="U2" s="19">
        <v>1.9E-2</v>
      </c>
      <c r="V2" s="107">
        <v>4.5199999999999996</v>
      </c>
      <c r="W2" s="150">
        <f>(AF2/SUM(AF$2:AF$20))*0.98</f>
        <v>9.8000000000000004E-2</v>
      </c>
      <c r="X2" s="19">
        <v>3.5000000000000003E-2</v>
      </c>
      <c r="Y2" s="21"/>
      <c r="Z2" s="22"/>
      <c r="AA2" s="1"/>
      <c r="AB2" s="1"/>
      <c r="AC2" s="1"/>
      <c r="AE2" s="19">
        <v>0.9</v>
      </c>
      <c r="AF2" s="19">
        <v>0.1</v>
      </c>
      <c r="AG2" s="168"/>
      <c r="AH2" s="168"/>
    </row>
    <row r="3" spans="1:34" x14ac:dyDescent="0.2">
      <c r="A3" s="17" t="s">
        <v>436</v>
      </c>
      <c r="B3" s="18" t="s">
        <v>9</v>
      </c>
      <c r="C3" s="18">
        <v>5</v>
      </c>
      <c r="D3" s="146">
        <f>D$32*Q3</f>
        <v>59.232900000000001</v>
      </c>
      <c r="E3" s="146">
        <f t="shared" ref="E3:F4" si="0">D3*R3</f>
        <v>37.435192800000003</v>
      </c>
      <c r="F3" s="146">
        <f t="shared" si="0"/>
        <v>404.82417493920002</v>
      </c>
      <c r="G3" s="146">
        <f t="shared" ref="G3:G4" si="1">D3*T3</f>
        <v>2.4285489</v>
      </c>
      <c r="H3" s="146">
        <f t="shared" ref="H3:H4" si="2">E3*U3</f>
        <v>1.0107502056000002</v>
      </c>
      <c r="I3" s="146">
        <f>D$35*W3</f>
        <v>4.3969758000000008</v>
      </c>
      <c r="J3" s="146">
        <f>I3*V3</f>
        <v>22.864274160000004</v>
      </c>
      <c r="K3" s="146">
        <f>I3*X3</f>
        <v>8.7939516000000023E-2</v>
      </c>
      <c r="L3" s="147"/>
      <c r="M3" s="147"/>
      <c r="N3" s="147"/>
      <c r="O3" s="147"/>
      <c r="Q3" s="150">
        <f>(AE3/SUM(AE$2:AE$25))</f>
        <v>0.1</v>
      </c>
      <c r="R3" s="19">
        <v>0.63200000000000001</v>
      </c>
      <c r="S3" s="107">
        <v>10.814</v>
      </c>
      <c r="T3" s="19">
        <v>4.1000000000000002E-2</v>
      </c>
      <c r="U3" s="19">
        <v>2.7E-2</v>
      </c>
      <c r="V3" s="107">
        <v>5.2</v>
      </c>
      <c r="W3" s="150">
        <f>(AF3/SUM(AF$2:AF$20))*0.98</f>
        <v>9.7999999999999997E-3</v>
      </c>
      <c r="X3" s="19">
        <v>0.02</v>
      </c>
      <c r="Y3" s="21"/>
      <c r="Z3" s="22"/>
      <c r="AA3" s="1"/>
      <c r="AB3" s="1"/>
      <c r="AC3" s="1"/>
      <c r="AE3" s="19">
        <v>0.1</v>
      </c>
      <c r="AF3" s="19">
        <v>0.01</v>
      </c>
      <c r="AG3" s="168"/>
      <c r="AH3" s="168"/>
    </row>
    <row r="4" spans="1:34" x14ac:dyDescent="0.2">
      <c r="B4" s="18" t="s">
        <v>9</v>
      </c>
      <c r="C4" s="18"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553</v>
      </c>
      <c r="B6" s="18" t="s">
        <v>222</v>
      </c>
      <c r="C6" s="18">
        <v>5</v>
      </c>
      <c r="D6" s="147"/>
      <c r="E6" s="147"/>
      <c r="F6" s="147"/>
      <c r="G6" s="147"/>
      <c r="H6" s="147"/>
      <c r="I6" s="146">
        <f t="shared" ref="I6:I11" si="3">D$35*W6</f>
        <v>228.64274160000005</v>
      </c>
      <c r="J6" s="146">
        <f>I6*V6</f>
        <v>1006.0280630400003</v>
      </c>
      <c r="K6" s="146">
        <f>I6*X6</f>
        <v>8.4597814392000021</v>
      </c>
      <c r="L6" s="146">
        <f>((D$2+D$3+D$4)*AA6)</f>
        <v>34.828945199999993</v>
      </c>
      <c r="M6" s="146">
        <f t="shared" ref="M6:N11" si="4">L6*Y6</f>
        <v>26.853116749199994</v>
      </c>
      <c r="N6" s="146">
        <f t="shared" si="4"/>
        <v>210.52843531372795</v>
      </c>
      <c r="O6" s="146">
        <f>M6*AH6</f>
        <v>0.80559350247599981</v>
      </c>
      <c r="Q6" s="13"/>
      <c r="R6" s="139"/>
      <c r="S6" s="138"/>
      <c r="T6" s="139"/>
      <c r="U6" s="139"/>
      <c r="V6" s="107">
        <v>4.4000000000000004</v>
      </c>
      <c r="W6" s="150">
        <f t="shared" ref="W6:W11" si="5">(AF6/SUM(AF$2:AF$20))*0.98</f>
        <v>0.50960000000000005</v>
      </c>
      <c r="X6" s="19">
        <v>3.6999999999999998E-2</v>
      </c>
      <c r="Y6" s="19">
        <v>0.77100000000000002</v>
      </c>
      <c r="Z6" s="20">
        <v>7.84</v>
      </c>
      <c r="AA6" s="150">
        <f t="shared" ref="AA6:AA11" si="6">(AG6/SUM(AG$6:AG$25))*0.98</f>
        <v>5.8799999999999998E-2</v>
      </c>
      <c r="AB6" s="7">
        <v>0.1070680511147743</v>
      </c>
      <c r="AC6" s="150">
        <f t="shared" ref="AC6:AC11" si="7">(AH6/SUM(AH$6:AH$25))*0.98</f>
        <v>4.5510835913312682E-2</v>
      </c>
      <c r="AE6" s="168"/>
      <c r="AF6" s="19">
        <v>0.52</v>
      </c>
      <c r="AG6" s="19">
        <v>0.06</v>
      </c>
      <c r="AH6" s="19">
        <v>0.03</v>
      </c>
    </row>
    <row r="7" spans="1:34" x14ac:dyDescent="0.2">
      <c r="A7" s="176" t="s">
        <v>543</v>
      </c>
      <c r="B7" s="18" t="s">
        <v>222</v>
      </c>
      <c r="C7" s="18">
        <v>5</v>
      </c>
      <c r="D7" s="147"/>
      <c r="E7" s="147"/>
      <c r="F7" s="147"/>
      <c r="G7" s="147"/>
      <c r="H7" s="147"/>
      <c r="I7" s="146">
        <f t="shared" si="3"/>
        <v>140.70322560000002</v>
      </c>
      <c r="J7" s="146">
        <f>I7*V7</f>
        <v>609.2449668480001</v>
      </c>
      <c r="K7" s="146">
        <f>I7*X7</f>
        <v>4.2210967680000007</v>
      </c>
      <c r="L7" s="146">
        <f>((D$2+D$3+D$4)*AA7)</f>
        <v>49.341005699999997</v>
      </c>
      <c r="M7" s="146">
        <f t="shared" si="4"/>
        <v>39.226099531499997</v>
      </c>
      <c r="N7" s="146">
        <f t="shared" si="4"/>
        <v>282.03565563148499</v>
      </c>
      <c r="O7" s="146">
        <f t="shared" ref="O7:O11" si="8">M7*AH7</f>
        <v>1.1767829859449999</v>
      </c>
      <c r="Q7" s="13"/>
      <c r="R7" s="139"/>
      <c r="S7" s="138"/>
      <c r="T7" s="139"/>
      <c r="U7" s="139"/>
      <c r="V7" s="107">
        <v>4.33</v>
      </c>
      <c r="W7" s="150">
        <f t="shared" si="5"/>
        <v>0.31359999999999999</v>
      </c>
      <c r="X7" s="19">
        <v>0.03</v>
      </c>
      <c r="Y7" s="19">
        <v>0.79500000000000004</v>
      </c>
      <c r="Z7" s="20">
        <v>7.19</v>
      </c>
      <c r="AA7" s="150">
        <f t="shared" si="6"/>
        <v>8.3299999999999999E-2</v>
      </c>
      <c r="AB7" s="7">
        <v>3.8978641072082904E-2</v>
      </c>
      <c r="AC7" s="150">
        <f t="shared" si="7"/>
        <v>4.5510835913312682E-2</v>
      </c>
      <c r="AE7" s="168"/>
      <c r="AF7" s="19">
        <v>0.32</v>
      </c>
      <c r="AG7" s="19">
        <v>8.5000000000000006E-2</v>
      </c>
      <c r="AH7" s="19">
        <v>0.03</v>
      </c>
    </row>
    <row r="8" spans="1:34" x14ac:dyDescent="0.2">
      <c r="A8" s="176" t="s">
        <v>558</v>
      </c>
      <c r="B8" s="18" t="s">
        <v>222</v>
      </c>
      <c r="C8" s="18">
        <v>5</v>
      </c>
      <c r="D8" s="147"/>
      <c r="E8" s="147"/>
      <c r="F8" s="147"/>
      <c r="G8" s="147"/>
      <c r="H8" s="147"/>
      <c r="I8" s="146">
        <f t="shared" si="3"/>
        <v>21.984879000000003</v>
      </c>
      <c r="J8" s="146">
        <f>I8*V8</f>
        <v>91.896794220000004</v>
      </c>
      <c r="K8" s="146">
        <f>I8*X8</f>
        <v>0.65954637000000005</v>
      </c>
      <c r="L8" s="146">
        <f>((D$2+D$3+D$4)*AA8)</f>
        <v>14.512060499999999</v>
      </c>
      <c r="M8" s="146">
        <f t="shared" si="4"/>
        <v>11.406479552999999</v>
      </c>
      <c r="N8" s="146">
        <f t="shared" si="4"/>
        <v>82.696976759249992</v>
      </c>
      <c r="O8" s="146">
        <f t="shared" si="8"/>
        <v>0.28516198882499999</v>
      </c>
      <c r="Q8" s="13"/>
      <c r="R8" s="139"/>
      <c r="S8" s="138"/>
      <c r="T8" s="139"/>
      <c r="U8" s="139"/>
      <c r="V8" s="107">
        <v>4.18</v>
      </c>
      <c r="W8" s="150">
        <f t="shared" si="5"/>
        <v>4.9000000000000002E-2</v>
      </c>
      <c r="X8" s="19">
        <v>0.03</v>
      </c>
      <c r="Y8" s="19">
        <v>0.78600000000000003</v>
      </c>
      <c r="Z8" s="20">
        <v>7.25</v>
      </c>
      <c r="AA8" s="150">
        <f t="shared" si="6"/>
        <v>2.4500000000000001E-2</v>
      </c>
      <c r="AB8" s="7">
        <v>3.6429375557923881E-2</v>
      </c>
      <c r="AC8" s="150">
        <f t="shared" si="7"/>
        <v>3.7925696594427238E-2</v>
      </c>
      <c r="AE8" s="168"/>
      <c r="AF8" s="19">
        <v>0.05</v>
      </c>
      <c r="AG8" s="19">
        <v>2.5000000000000001E-2</v>
      </c>
      <c r="AH8" s="19">
        <v>2.5000000000000001E-2</v>
      </c>
    </row>
    <row r="9" spans="1:34" x14ac:dyDescent="0.2">
      <c r="A9" s="172"/>
      <c r="B9" s="18" t="s">
        <v>222</v>
      </c>
      <c r="C9" s="18">
        <v>5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5.3838524086909662E-3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1.8730144186191514E-2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177</v>
      </c>
      <c r="B13" s="18" t="s">
        <v>223</v>
      </c>
      <c r="C13" s="18"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121.90130819999997</v>
      </c>
      <c r="M13" s="146">
        <f t="shared" ref="M13:N20" si="16">L13*Y13</f>
        <v>72.409377070799977</v>
      </c>
      <c r="N13" s="146">
        <f t="shared" si="16"/>
        <v>1124.5176259095235</v>
      </c>
      <c r="O13" s="146">
        <f t="shared" ref="O13:O20" si="17">M13*AH13</f>
        <v>8.5443064943543963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0.59399999999999997</v>
      </c>
      <c r="Z13" s="20">
        <v>15.53</v>
      </c>
      <c r="AA13" s="150">
        <f t="shared" ref="AA13:AA20" si="19">(AG13/SUM(AG$6:AG$25))*0.98</f>
        <v>0.20579999999999998</v>
      </c>
      <c r="AB13" s="7">
        <v>0.20728868073355985</v>
      </c>
      <c r="AC13" s="150">
        <f t="shared" ref="AC13:AC20" si="20">(AH13/SUM(AH$6:AH$25))*0.98</f>
        <v>0.17900928792569654</v>
      </c>
      <c r="AE13" s="168"/>
      <c r="AF13" s="19">
        <v>0</v>
      </c>
      <c r="AG13" s="19">
        <v>0.21</v>
      </c>
      <c r="AH13" s="19">
        <v>0.11799999999999999</v>
      </c>
    </row>
    <row r="14" spans="1:34" x14ac:dyDescent="0.2">
      <c r="A14" s="17" t="s">
        <v>67</v>
      </c>
      <c r="B14" s="18" t="s">
        <v>223</v>
      </c>
      <c r="C14" s="18">
        <v>5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110.29165979999999</v>
      </c>
      <c r="M14" s="146">
        <f t="shared" si="16"/>
        <v>71.910162189600001</v>
      </c>
      <c r="N14" s="146">
        <f t="shared" si="16"/>
        <v>826.96686518039996</v>
      </c>
      <c r="O14" s="146">
        <f t="shared" si="17"/>
        <v>5.1056215154615998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1.4999999999999999E-2</v>
      </c>
      <c r="Y14" s="19">
        <v>0.65200000000000002</v>
      </c>
      <c r="Z14" s="20">
        <v>11.5</v>
      </c>
      <c r="AA14" s="150">
        <f t="shared" si="19"/>
        <v>0.1862</v>
      </c>
      <c r="AB14" s="7">
        <v>0.22006126333134546</v>
      </c>
      <c r="AC14" s="150">
        <f t="shared" si="20"/>
        <v>0.10770897832817333</v>
      </c>
      <c r="AE14" s="168"/>
      <c r="AF14" s="19">
        <v>0</v>
      </c>
      <c r="AG14" s="19">
        <v>0.19</v>
      </c>
      <c r="AH14" s="19">
        <v>7.0999999999999994E-2</v>
      </c>
    </row>
    <row r="15" spans="1:34" x14ac:dyDescent="0.2">
      <c r="A15" s="17" t="s">
        <v>544</v>
      </c>
      <c r="B15" s="18" t="s">
        <v>223</v>
      </c>
      <c r="C15" s="18">
        <v>5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116.09648399999999</v>
      </c>
      <c r="M15" s="146">
        <f t="shared" si="16"/>
        <v>77.088065376000003</v>
      </c>
      <c r="N15" s="146">
        <f t="shared" si="16"/>
        <v>878.80394528640011</v>
      </c>
      <c r="O15" s="146">
        <f t="shared" si="17"/>
        <v>5.5503407070719994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0.66400000000000003</v>
      </c>
      <c r="Z15" s="20">
        <v>11.4</v>
      </c>
      <c r="AA15" s="150">
        <f t="shared" si="19"/>
        <v>0.19600000000000001</v>
      </c>
      <c r="AB15" s="7">
        <v>8.3548874942313098E-2</v>
      </c>
      <c r="AC15" s="150">
        <f t="shared" si="20"/>
        <v>0.10922600619195043</v>
      </c>
      <c r="AE15" s="168"/>
      <c r="AF15" s="19">
        <v>0</v>
      </c>
      <c r="AG15" s="19">
        <v>0.2</v>
      </c>
      <c r="AH15" s="19">
        <v>7.1999999999999995E-2</v>
      </c>
    </row>
    <row r="16" spans="1:34" x14ac:dyDescent="0.2">
      <c r="A16" s="17" t="s">
        <v>581</v>
      </c>
      <c r="B16" s="18" t="s">
        <v>223</v>
      </c>
      <c r="C16" s="18">
        <v>5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29.024120999999997</v>
      </c>
      <c r="M16" s="146">
        <f t="shared" si="16"/>
        <v>19.097871617999999</v>
      </c>
      <c r="N16" s="146">
        <f t="shared" si="16"/>
        <v>207.02092833911999</v>
      </c>
      <c r="O16" s="146">
        <f t="shared" si="17"/>
        <v>1.33685101326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0.65800000000000003</v>
      </c>
      <c r="Z16" s="20">
        <v>10.84</v>
      </c>
      <c r="AA16" s="150">
        <f t="shared" si="19"/>
        <v>4.9000000000000002E-2</v>
      </c>
      <c r="AB16" s="7">
        <v>3.5415477643150291E-2</v>
      </c>
      <c r="AC16" s="150">
        <f t="shared" si="20"/>
        <v>0.10619195046439626</v>
      </c>
      <c r="AE16" s="168"/>
      <c r="AF16" s="19">
        <v>0</v>
      </c>
      <c r="AG16" s="19">
        <v>0.05</v>
      </c>
      <c r="AH16" s="19">
        <v>7.0000000000000007E-2</v>
      </c>
    </row>
    <row r="17" spans="1:34" x14ac:dyDescent="0.2">
      <c r="A17" s="17" t="s">
        <v>467</v>
      </c>
      <c r="B17" s="18" t="s">
        <v>223</v>
      </c>
      <c r="C17" s="18">
        <v>5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17.414472599999996</v>
      </c>
      <c r="M17" s="146">
        <f t="shared" si="16"/>
        <v>11.998571621399996</v>
      </c>
      <c r="N17" s="146">
        <f t="shared" si="16"/>
        <v>116.98607330864996</v>
      </c>
      <c r="O17" s="146">
        <f t="shared" si="17"/>
        <v>0.7199142972839998</v>
      </c>
      <c r="Q17" s="13"/>
      <c r="R17" s="139"/>
      <c r="S17" s="138"/>
      <c r="T17" s="139"/>
      <c r="U17" s="139"/>
      <c r="V17" s="107">
        <v>4.95</v>
      </c>
      <c r="W17" s="150">
        <f t="shared" si="18"/>
        <v>0</v>
      </c>
      <c r="X17" s="19">
        <v>2.5999999999999999E-2</v>
      </c>
      <c r="Y17" s="19">
        <v>0.68899999999999995</v>
      </c>
      <c r="Z17" s="20">
        <v>9.75</v>
      </c>
      <c r="AA17" s="150">
        <f t="shared" si="19"/>
        <v>2.9399999999999999E-2</v>
      </c>
      <c r="AB17" s="7">
        <v>2.690521441900991E-2</v>
      </c>
      <c r="AC17" s="150">
        <f t="shared" si="20"/>
        <v>9.1021671826625364E-2</v>
      </c>
      <c r="AE17" s="168"/>
      <c r="AF17" s="19">
        <v>0</v>
      </c>
      <c r="AG17" s="19">
        <v>0.03</v>
      </c>
      <c r="AH17" s="19">
        <v>0.06</v>
      </c>
    </row>
    <row r="18" spans="1:34" x14ac:dyDescent="0.2">
      <c r="B18" s="18" t="s">
        <v>223</v>
      </c>
      <c r="C18" s="18"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0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40</v>
      </c>
      <c r="B22" s="18" t="s">
        <v>10</v>
      </c>
      <c r="C22" s="18"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58.048241999999995</v>
      </c>
      <c r="M22" s="146">
        <f t="shared" ref="M22:N25" si="21">L22*Y22</f>
        <v>40.22743170599999</v>
      </c>
      <c r="N22" s="146">
        <f t="shared" si="21"/>
        <v>429.22669630301988</v>
      </c>
      <c r="O22" s="146">
        <f t="shared" ref="O22:O25" si="22">M22*AH22</f>
        <v>2.4136459023599994</v>
      </c>
      <c r="Q22" s="13"/>
      <c r="R22" s="139"/>
      <c r="S22" s="138"/>
      <c r="T22" s="139"/>
      <c r="U22" s="139"/>
      <c r="V22" s="140"/>
      <c r="W22" s="154"/>
      <c r="X22" s="139"/>
      <c r="Y22" s="19">
        <v>0.69299999999999995</v>
      </c>
      <c r="Z22" s="20">
        <v>10.67</v>
      </c>
      <c r="AA22" s="150">
        <f>(AG22/SUM(AG$6:AG$25))*0.98</f>
        <v>9.8000000000000004E-2</v>
      </c>
      <c r="AB22" s="7">
        <v>0.12027831168368815</v>
      </c>
      <c r="AC22" s="150">
        <f>(AH22/SUM(AH$6:AH$25))*0.98</f>
        <v>9.1021671826625364E-2</v>
      </c>
      <c r="AE22" s="168"/>
      <c r="AF22" s="168"/>
      <c r="AG22" s="19">
        <v>0.1</v>
      </c>
      <c r="AH22" s="19">
        <v>0.06</v>
      </c>
    </row>
    <row r="23" spans="1:34" x14ac:dyDescent="0.2">
      <c r="A23" s="17" t="s">
        <v>608</v>
      </c>
      <c r="B23" s="18" t="s">
        <v>10</v>
      </c>
      <c r="C23" s="18"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23.219296799999999</v>
      </c>
      <c r="M23" s="146">
        <f t="shared" si="21"/>
        <v>15.09254292</v>
      </c>
      <c r="N23" s="146">
        <f t="shared" si="21"/>
        <v>143.37915773999998</v>
      </c>
      <c r="O23" s="146">
        <f t="shared" si="22"/>
        <v>0.75462714600000003</v>
      </c>
      <c r="Q23" s="13"/>
      <c r="R23" s="139"/>
      <c r="S23" s="138"/>
      <c r="T23" s="139"/>
      <c r="U23" s="139"/>
      <c r="V23" s="140"/>
      <c r="W23" s="154"/>
      <c r="X23" s="139"/>
      <c r="Y23" s="19">
        <v>0.65</v>
      </c>
      <c r="Z23" s="20">
        <v>9.5</v>
      </c>
      <c r="AA23" s="150">
        <f>(AG23/SUM(AG$6:AG$25))*0.98</f>
        <v>3.9199999999999999E-2</v>
      </c>
      <c r="AB23" s="7">
        <v>5.9721342767752948E-2</v>
      </c>
      <c r="AC23" s="150">
        <f>(AH23/SUM(AH$6:AH$25))*0.98</f>
        <v>7.5851393188854477E-2</v>
      </c>
      <c r="AE23" s="168"/>
      <c r="AF23" s="168"/>
      <c r="AG23" s="19">
        <v>0.04</v>
      </c>
      <c r="AH23" s="19">
        <v>0.05</v>
      </c>
    </row>
    <row r="24" spans="1:34" x14ac:dyDescent="0.2">
      <c r="A24" s="17" t="s">
        <v>681</v>
      </c>
      <c r="B24" s="18" t="s">
        <v>10</v>
      </c>
      <c r="C24" s="18"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5.8048241999999997</v>
      </c>
      <c r="M24" s="146">
        <f t="shared" si="21"/>
        <v>3.8950370381999999</v>
      </c>
      <c r="N24" s="146">
        <f t="shared" si="21"/>
        <v>40.157831863841999</v>
      </c>
      <c r="O24" s="146">
        <f t="shared" si="22"/>
        <v>0.23370222229199999</v>
      </c>
      <c r="Q24" s="13"/>
      <c r="R24" s="139"/>
      <c r="S24" s="138"/>
      <c r="T24" s="139"/>
      <c r="U24" s="139"/>
      <c r="V24" s="140"/>
      <c r="W24" s="154"/>
      <c r="X24" s="139"/>
      <c r="Y24" s="19">
        <v>0.67100000000000004</v>
      </c>
      <c r="Z24" s="20">
        <v>10.31</v>
      </c>
      <c r="AA24" s="150">
        <f>(AG24/SUM(AG$6:AG$25))*0.98</f>
        <v>9.7999999999999997E-3</v>
      </c>
      <c r="AB24" s="7">
        <v>1.5190770139516549E-2</v>
      </c>
      <c r="AC24" s="150">
        <f>(AH24/SUM(AH$6:AH$25))*0.98</f>
        <v>9.1021671826625364E-2</v>
      </c>
      <c r="AE24" s="168"/>
      <c r="AF24" s="168"/>
      <c r="AG24" s="19">
        <v>0.01</v>
      </c>
      <c r="AH24" s="19">
        <v>0.06</v>
      </c>
    </row>
    <row r="25" spans="1:34" x14ac:dyDescent="0.2">
      <c r="B25" s="18" t="s">
        <v>10</v>
      </c>
      <c r="C25" s="18"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0.97499999999999998</v>
      </c>
      <c r="AC28" s="150">
        <f>SUM(AC6:AC25)</f>
        <v>0.97999999999999965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1041</v>
      </c>
      <c r="E29" s="47">
        <v>0.56899999999999995</v>
      </c>
      <c r="F29" s="2">
        <f>1-E29</f>
        <v>0.43100000000000005</v>
      </c>
      <c r="G29" s="106">
        <v>4.3</v>
      </c>
      <c r="H29" s="126">
        <v>3.3500000000000002E-2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592.32899999999995</v>
      </c>
      <c r="E32" s="156">
        <f>SUM(E2:E4)</f>
        <v>390.34481099999999</v>
      </c>
      <c r="F32" s="156">
        <f>SUM(F2:F4)</f>
        <v>4347.8833390878008</v>
      </c>
      <c r="G32" s="156">
        <f>SUM(G2:G4)</f>
        <v>26.950969499999999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448.67100000000005</v>
      </c>
      <c r="E35" s="156">
        <f>D35*G29</f>
        <v>1929.2853000000002</v>
      </c>
      <c r="F35" s="156">
        <f>D35*H29</f>
        <v>15.030478500000003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439.69758000000002</v>
      </c>
      <c r="E38" s="157">
        <f>SUM(J2:J4,J6:J11,J13:J20)</f>
        <v>1928.7774044280004</v>
      </c>
      <c r="F38" s="157">
        <f>SUM(K2:K4,K6:K11,K13:K20)</f>
        <v>14.967305623200003</v>
      </c>
      <c r="G38" s="157">
        <f>SUM(L6:L11,L13:L20,L22:L25)</f>
        <v>580.48241999999993</v>
      </c>
      <c r="H38" s="157">
        <f>SUM(M6:M11,M13:M20,M22:M25)</f>
        <v>389.20475537369992</v>
      </c>
      <c r="I38" s="157">
        <f>SUM(N6:N11,N13:N20,N22:N25)</f>
        <v>4342.3201916354183</v>
      </c>
      <c r="J38" s="157">
        <f>SUM(O6:O11,O13:O20,O22:O25)</f>
        <v>26.926547775329993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8.9734200000000328</v>
      </c>
      <c r="E39" s="158">
        <f>E35-E38</f>
        <v>0.50789557199982482</v>
      </c>
      <c r="F39" s="158">
        <f>F35-F38</f>
        <v>6.31728767999995E-2</v>
      </c>
      <c r="G39" s="158">
        <f>SUM(D2:D4)-G38</f>
        <v>11.846580000000017</v>
      </c>
      <c r="H39" s="158">
        <f>E32-H38</f>
        <v>1.1400556263000681</v>
      </c>
      <c r="I39" s="158">
        <f>F32-I38</f>
        <v>5.5631474523825091</v>
      </c>
      <c r="J39" s="158">
        <f>G32-J38</f>
        <v>2.4421724670006029E-2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L43" s="18"/>
      <c r="M43" s="26"/>
      <c r="N43" s="23"/>
      <c r="O43" s="26"/>
      <c r="P43" s="25"/>
      <c r="S43" s="26"/>
      <c r="T43" s="25"/>
      <c r="U43" s="25"/>
      <c r="V43" s="181"/>
      <c r="W43" s="26"/>
      <c r="X43" s="30"/>
      <c r="Y43" s="30"/>
      <c r="Z43" s="181"/>
      <c r="AC43" s="18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11" priority="1" operator="lessThan">
      <formula>0</formula>
    </cfRule>
  </conditionalFormatting>
  <conditionalFormatting sqref="W28">
    <cfRule type="cellIs" dxfId="10" priority="2" operator="greaterThan">
      <formula>1</formula>
    </cfRule>
  </conditionalFormatting>
  <conditionalFormatting sqref="AA28:AG28">
    <cfRule type="cellIs" dxfId="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DA00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483</v>
      </c>
      <c r="B2" s="18" t="s">
        <v>9</v>
      </c>
      <c r="C2" s="18">
        <v>5</v>
      </c>
      <c r="D2" s="146">
        <f>D$32*Q2</f>
        <v>574.8963</v>
      </c>
      <c r="E2" s="146">
        <f>D2*R2</f>
        <v>366.78383939999998</v>
      </c>
      <c r="F2" s="146">
        <f>E2*S2</f>
        <v>4193.0728520207995</v>
      </c>
      <c r="G2" s="146">
        <f>D2*T2</f>
        <v>26.4452298</v>
      </c>
      <c r="H2" s="146">
        <f>E2*U2</f>
        <v>7.3356767879999998</v>
      </c>
      <c r="I2" s="146">
        <f>D$35*W2</f>
        <v>46.660798800000002</v>
      </c>
      <c r="J2" s="146">
        <f>I2*V2</f>
        <v>137.64935646000001</v>
      </c>
      <c r="K2" s="146">
        <f>I2*X2</f>
        <v>0.79323357960000007</v>
      </c>
      <c r="L2" s="147"/>
      <c r="M2" s="147"/>
      <c r="N2" s="147"/>
      <c r="O2" s="147"/>
      <c r="Q2" s="150">
        <f>(AE2/SUM(AE$2:AE$25))</f>
        <v>0.95</v>
      </c>
      <c r="R2" s="19">
        <v>0.63800000000000001</v>
      </c>
      <c r="S2" s="107">
        <v>11.432</v>
      </c>
      <c r="T2" s="19">
        <v>4.5999999999999999E-2</v>
      </c>
      <c r="U2" s="19">
        <v>0.02</v>
      </c>
      <c r="V2" s="107">
        <v>2.95</v>
      </c>
      <c r="W2" s="150">
        <f>(AF2/SUM(AF$2:AF$20))*0.98</f>
        <v>0.10779999999999999</v>
      </c>
      <c r="X2" s="19">
        <v>1.7000000000000001E-2</v>
      </c>
      <c r="Y2" s="21"/>
      <c r="Z2" s="22"/>
      <c r="AA2" s="1"/>
      <c r="AB2" s="1"/>
      <c r="AC2" s="1"/>
      <c r="AE2" s="19">
        <v>0.95</v>
      </c>
      <c r="AF2" s="19">
        <v>0.11</v>
      </c>
      <c r="AG2" s="168"/>
      <c r="AH2" s="168"/>
    </row>
    <row r="3" spans="1:34" x14ac:dyDescent="0.2">
      <c r="A3" s="17" t="s">
        <v>457</v>
      </c>
      <c r="B3" s="18" t="s">
        <v>9</v>
      </c>
      <c r="C3" s="18">
        <v>5</v>
      </c>
      <c r="D3" s="146">
        <f>D$32*Q3</f>
        <v>30.2577</v>
      </c>
      <c r="E3" s="146">
        <f t="shared" ref="E3:F4" si="0">D3*R3</f>
        <v>18.487454700000001</v>
      </c>
      <c r="F3" s="146">
        <f t="shared" si="0"/>
        <v>200.03425985400003</v>
      </c>
      <c r="G3" s="146">
        <f t="shared" ref="G3:G4" si="1">D3*T3</f>
        <v>1.0287618000000001</v>
      </c>
      <c r="H3" s="146">
        <f t="shared" ref="H3:H4" si="2">E3*U3</f>
        <v>0.369749094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0.61099999999999999</v>
      </c>
      <c r="S3" s="107">
        <v>10.82</v>
      </c>
      <c r="T3" s="19">
        <v>3.4000000000000002E-2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0.05</v>
      </c>
      <c r="AF3" s="19">
        <v>0</v>
      </c>
      <c r="AG3" s="168"/>
      <c r="AH3" s="168"/>
    </row>
    <row r="4" spans="1:34" x14ac:dyDescent="0.2">
      <c r="B4" s="18" t="s">
        <v>9</v>
      </c>
      <c r="C4" s="18"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2" t="s">
        <v>440</v>
      </c>
      <c r="B6" s="18" t="s">
        <v>222</v>
      </c>
      <c r="C6" s="18">
        <v>5</v>
      </c>
      <c r="D6" s="147"/>
      <c r="E6" s="147"/>
      <c r="F6" s="147"/>
      <c r="G6" s="147"/>
      <c r="H6" s="147"/>
      <c r="I6" s="146">
        <f t="shared" ref="I6:I11" si="3">D$35*W6</f>
        <v>216.33643080000004</v>
      </c>
      <c r="J6" s="146">
        <f>I6*V6</f>
        <v>886.97936628000014</v>
      </c>
      <c r="K6" s="146">
        <f>I6*X6</f>
        <v>6.4900929240000007</v>
      </c>
      <c r="L6" s="146">
        <f>((D$2+D$3+D$4)*AA6)</f>
        <v>62.270346599999996</v>
      </c>
      <c r="M6" s="146">
        <f t="shared" ref="M6:N11" si="4">L6*Y6</f>
        <v>50.812602825599996</v>
      </c>
      <c r="N6" s="146">
        <f t="shared" si="4"/>
        <v>416.66334316991993</v>
      </c>
      <c r="O6" s="146">
        <f>M6*AH6</f>
        <v>2.0325041130239998</v>
      </c>
      <c r="Q6" s="13"/>
      <c r="R6" s="139"/>
      <c r="S6" s="138"/>
      <c r="T6" s="139"/>
      <c r="U6" s="139"/>
      <c r="V6" s="107">
        <v>4.0999999999999996</v>
      </c>
      <c r="W6" s="150">
        <f t="shared" ref="W6:W11" si="5">(AF6/SUM(AF$2:AF$20))*0.98</f>
        <v>0.49980000000000002</v>
      </c>
      <c r="X6" s="19">
        <v>0.03</v>
      </c>
      <c r="Y6" s="19">
        <v>0.81599999999999995</v>
      </c>
      <c r="Z6" s="20">
        <v>8.1999999999999993</v>
      </c>
      <c r="AA6" s="150">
        <f t="shared" ref="AA6:AA11" si="6">(AG6/SUM(AG$6:AG$25))*0.98</f>
        <v>0.10289999999999999</v>
      </c>
      <c r="AB6" s="7">
        <v>3.3595991528852176E-2</v>
      </c>
      <c r="AC6" s="150">
        <f t="shared" ref="AC6:AC11" si="7">(AH6/SUM(AH$6:AH$25))*0.98</f>
        <v>5.6402877697841719E-2</v>
      </c>
      <c r="AE6" s="168"/>
      <c r="AF6" s="19">
        <v>0.51</v>
      </c>
      <c r="AG6" s="19">
        <v>0.105</v>
      </c>
      <c r="AH6" s="19">
        <v>0.04</v>
      </c>
    </row>
    <row r="7" spans="1:34" x14ac:dyDescent="0.2">
      <c r="A7" s="172" t="s">
        <v>90</v>
      </c>
      <c r="B7" s="18" t="s">
        <v>222</v>
      </c>
      <c r="C7" s="18">
        <v>5</v>
      </c>
      <c r="D7" s="147"/>
      <c r="E7" s="147"/>
      <c r="F7" s="147"/>
      <c r="G7" s="147"/>
      <c r="H7" s="147"/>
      <c r="I7" s="146">
        <f t="shared" si="3"/>
        <v>55.144580400000017</v>
      </c>
      <c r="J7" s="146">
        <f>I7*V7</f>
        <v>215.61530936400007</v>
      </c>
      <c r="K7" s="146">
        <f>I7*X7</f>
        <v>1.4889036708000005</v>
      </c>
      <c r="L7" s="146">
        <f>((D$2+D$3+D$4)*AA7)</f>
        <v>26.687291399999999</v>
      </c>
      <c r="M7" s="146">
        <f t="shared" si="4"/>
        <v>19.348286264999999</v>
      </c>
      <c r="N7" s="146">
        <f t="shared" si="4"/>
        <v>137.95328106944999</v>
      </c>
      <c r="O7" s="146">
        <f t="shared" ref="O7:O11" si="8">M7*AH7</f>
        <v>0.77393145060000001</v>
      </c>
      <c r="Q7" s="13"/>
      <c r="R7" s="139"/>
      <c r="S7" s="138"/>
      <c r="T7" s="139"/>
      <c r="U7" s="139"/>
      <c r="V7" s="107">
        <v>3.91</v>
      </c>
      <c r="W7" s="150">
        <f t="shared" si="5"/>
        <v>0.12740000000000001</v>
      </c>
      <c r="X7" s="19">
        <v>2.7E-2</v>
      </c>
      <c r="Y7" s="19">
        <v>0.72499999999999998</v>
      </c>
      <c r="Z7" s="20">
        <v>7.13</v>
      </c>
      <c r="AA7" s="150">
        <f t="shared" si="6"/>
        <v>4.41E-2</v>
      </c>
      <c r="AB7" s="7">
        <v>7.0896253682675769E-2</v>
      </c>
      <c r="AC7" s="150">
        <f t="shared" si="7"/>
        <v>5.6402877697841719E-2</v>
      </c>
      <c r="AE7" s="168"/>
      <c r="AF7" s="19">
        <v>0.13</v>
      </c>
      <c r="AG7" s="19">
        <v>4.4999999999999998E-2</v>
      </c>
      <c r="AH7" s="19">
        <v>0.04</v>
      </c>
    </row>
    <row r="8" spans="1:34" x14ac:dyDescent="0.2">
      <c r="A8" s="176" t="s">
        <v>545</v>
      </c>
      <c r="B8" s="18" t="s">
        <v>222</v>
      </c>
      <c r="C8" s="18">
        <v>5</v>
      </c>
      <c r="D8" s="147"/>
      <c r="E8" s="147"/>
      <c r="F8" s="147"/>
      <c r="G8" s="147"/>
      <c r="H8" s="147"/>
      <c r="I8" s="146">
        <f t="shared" si="3"/>
        <v>12.725672400000001</v>
      </c>
      <c r="J8" s="146">
        <f>I8*V8</f>
        <v>51.284459772000005</v>
      </c>
      <c r="K8" s="146">
        <f>I8*X8</f>
        <v>0.38177017200000002</v>
      </c>
      <c r="L8" s="146">
        <f>((D$2+D$3+D$4)*AA8)</f>
        <v>8.8957637999999992</v>
      </c>
      <c r="M8" s="146">
        <f t="shared" si="4"/>
        <v>6.3960541721999995</v>
      </c>
      <c r="N8" s="146">
        <f t="shared" si="4"/>
        <v>43.621089454404</v>
      </c>
      <c r="O8" s="146">
        <f t="shared" si="8"/>
        <v>0.15990135430499999</v>
      </c>
      <c r="Q8" s="13"/>
      <c r="R8" s="139"/>
      <c r="S8" s="138"/>
      <c r="T8" s="139"/>
      <c r="U8" s="139"/>
      <c r="V8" s="107">
        <v>4.03</v>
      </c>
      <c r="W8" s="150">
        <f t="shared" si="5"/>
        <v>2.9399999999999999E-2</v>
      </c>
      <c r="X8" s="19">
        <v>0.03</v>
      </c>
      <c r="Y8" s="19">
        <v>0.71899999999999997</v>
      </c>
      <c r="Z8" s="20">
        <v>6.82</v>
      </c>
      <c r="AA8" s="150">
        <f t="shared" si="6"/>
        <v>1.47E-2</v>
      </c>
      <c r="AB8" s="7">
        <v>5.3655302356648456E-2</v>
      </c>
      <c r="AC8" s="150">
        <f t="shared" si="7"/>
        <v>3.5251798561151078E-2</v>
      </c>
      <c r="AE8" s="168"/>
      <c r="AF8" s="19">
        <v>0.03</v>
      </c>
      <c r="AG8" s="19">
        <v>1.4999999999999999E-2</v>
      </c>
      <c r="AH8" s="19">
        <v>2.5000000000000001E-2</v>
      </c>
    </row>
    <row r="9" spans="1:34" x14ac:dyDescent="0.2">
      <c r="A9" s="176" t="s">
        <v>683</v>
      </c>
      <c r="B9" s="18" t="s">
        <v>222</v>
      </c>
      <c r="C9" s="18">
        <v>5</v>
      </c>
      <c r="D9" s="147"/>
      <c r="E9" s="147"/>
      <c r="F9" s="147"/>
      <c r="G9" s="147"/>
      <c r="H9" s="147"/>
      <c r="I9" s="146">
        <f t="shared" si="3"/>
        <v>84.837816000000018</v>
      </c>
      <c r="J9" s="146">
        <f t="shared" ref="J9:J11" si="9">I9*V9</f>
        <v>355.47044904000012</v>
      </c>
      <c r="K9" s="146">
        <f t="shared" ref="K9:K11" si="10">I9*X9</f>
        <v>2.6299722960000005</v>
      </c>
      <c r="L9" s="146">
        <f t="shared" ref="L9:L11" si="11">((D$2+D$3+D$4)*AA9)</f>
        <v>23.722036799999998</v>
      </c>
      <c r="M9" s="146">
        <f t="shared" si="4"/>
        <v>19.119961660799998</v>
      </c>
      <c r="N9" s="146">
        <f t="shared" si="4"/>
        <v>153.72449175283197</v>
      </c>
      <c r="O9" s="146">
        <f t="shared" si="8"/>
        <v>0.66919865812799995</v>
      </c>
      <c r="Q9" s="13"/>
      <c r="R9" s="139"/>
      <c r="S9" s="138"/>
      <c r="T9" s="139"/>
      <c r="U9" s="139"/>
      <c r="V9" s="107">
        <v>4.1900000000000004</v>
      </c>
      <c r="W9" s="150">
        <f t="shared" si="5"/>
        <v>0.19600000000000001</v>
      </c>
      <c r="X9" s="19">
        <v>3.1E-2</v>
      </c>
      <c r="Y9" s="19">
        <v>0.80600000000000005</v>
      </c>
      <c r="Z9" s="20">
        <v>8.0399999999999991</v>
      </c>
      <c r="AA9" s="150">
        <f t="shared" si="6"/>
        <v>3.9199999999999999E-2</v>
      </c>
      <c r="AB9" s="7">
        <v>1.0415354030662981E-2</v>
      </c>
      <c r="AC9" s="150">
        <f t="shared" si="7"/>
        <v>4.9352517985611508E-2</v>
      </c>
      <c r="AE9" s="168"/>
      <c r="AF9" s="19">
        <v>0.2</v>
      </c>
      <c r="AG9" s="19">
        <v>0.04</v>
      </c>
      <c r="AH9" s="19">
        <v>3.5000000000000003E-2</v>
      </c>
    </row>
    <row r="10" spans="1:34" x14ac:dyDescent="0.2">
      <c r="A10" s="172"/>
      <c r="B10" s="18" t="s">
        <v>222</v>
      </c>
      <c r="C10" s="18"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A12" s="172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Q12" s="99"/>
      <c r="R12" s="101"/>
      <c r="S12" s="132"/>
      <c r="T12" s="101"/>
      <c r="U12" s="101"/>
      <c r="V12" s="100"/>
      <c r="W12" s="166"/>
      <c r="X12" s="101"/>
      <c r="Y12" s="101"/>
      <c r="Z12" s="100"/>
      <c r="AA12" s="152"/>
      <c r="AB12" s="167"/>
      <c r="AC12"/>
      <c r="AE12" s="124"/>
      <c r="AF12" s="124"/>
      <c r="AG12" s="26"/>
      <c r="AH12" s="26"/>
    </row>
    <row r="13" spans="1:34" x14ac:dyDescent="0.2">
      <c r="A13" s="17" t="s">
        <v>64</v>
      </c>
      <c r="B13" s="18" t="s">
        <v>223</v>
      </c>
      <c r="C13" s="18"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130.47120239999998</v>
      </c>
      <c r="M13" s="146">
        <f t="shared" ref="M13:N20" si="16">L13*Y13</f>
        <v>76.195182201599991</v>
      </c>
      <c r="N13" s="146">
        <f t="shared" si="16"/>
        <v>1156.6428658202879</v>
      </c>
      <c r="O13" s="146">
        <f t="shared" ref="O13:O20" si="17">M13*AH13</f>
        <v>9.5243977751999989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0.58399999999999996</v>
      </c>
      <c r="Z13" s="20">
        <v>15.18</v>
      </c>
      <c r="AA13" s="150">
        <f t="shared" ref="AA13:AA20" si="19">(AG13/SUM(AG$6:AG$25))*0.98</f>
        <v>0.21559999999999999</v>
      </c>
      <c r="AB13" s="7">
        <v>0.16554122006311245</v>
      </c>
      <c r="AC13" s="150">
        <f t="shared" ref="AC13:AC20" si="20">(AH13/SUM(AH$6:AH$25))*0.98</f>
        <v>0.17625899280575538</v>
      </c>
      <c r="AE13" s="168"/>
      <c r="AF13" s="19">
        <v>0</v>
      </c>
      <c r="AG13" s="19">
        <v>0.22</v>
      </c>
      <c r="AH13" s="19">
        <v>0.125</v>
      </c>
    </row>
    <row r="14" spans="1:34" x14ac:dyDescent="0.2">
      <c r="A14" s="17" t="s">
        <v>65</v>
      </c>
      <c r="B14" s="18" t="s">
        <v>223</v>
      </c>
      <c r="C14" s="18">
        <v>5</v>
      </c>
      <c r="D14" s="147"/>
      <c r="E14" s="147"/>
      <c r="F14" s="147"/>
      <c r="G14" s="147"/>
      <c r="H14" s="147"/>
      <c r="I14" s="146">
        <f t="shared" si="12"/>
        <v>4.2418908000000002</v>
      </c>
      <c r="J14" s="146">
        <f t="shared" si="13"/>
        <v>21.251872907999999</v>
      </c>
      <c r="K14" s="146">
        <f t="shared" si="14"/>
        <v>0.1018053792</v>
      </c>
      <c r="L14" s="146">
        <f t="shared" si="15"/>
        <v>124.54069319999999</v>
      </c>
      <c r="M14" s="146">
        <f t="shared" si="16"/>
        <v>79.706043647999991</v>
      </c>
      <c r="N14" s="146">
        <f t="shared" si="16"/>
        <v>991.5431829811198</v>
      </c>
      <c r="O14" s="146">
        <f t="shared" si="17"/>
        <v>5.1808928371199992</v>
      </c>
      <c r="Q14" s="13"/>
      <c r="R14" s="139"/>
      <c r="S14" s="138"/>
      <c r="T14" s="139"/>
      <c r="U14" s="139"/>
      <c r="V14" s="107">
        <v>5.01</v>
      </c>
      <c r="W14" s="150">
        <f t="shared" si="18"/>
        <v>9.7999999999999997E-3</v>
      </c>
      <c r="X14" s="19">
        <v>2.4E-2</v>
      </c>
      <c r="Y14" s="19">
        <v>0.64</v>
      </c>
      <c r="Z14" s="20">
        <v>12.44</v>
      </c>
      <c r="AA14" s="150">
        <f t="shared" si="19"/>
        <v>0.20579999999999998</v>
      </c>
      <c r="AB14" s="7">
        <v>0.14253792246286248</v>
      </c>
      <c r="AC14" s="150">
        <f t="shared" si="20"/>
        <v>9.1654676258992804E-2</v>
      </c>
      <c r="AE14" s="168"/>
      <c r="AF14" s="19">
        <v>0.01</v>
      </c>
      <c r="AG14" s="19">
        <v>0.21</v>
      </c>
      <c r="AH14" s="19">
        <v>6.5000000000000002E-2</v>
      </c>
    </row>
    <row r="15" spans="1:34" x14ac:dyDescent="0.2">
      <c r="A15" s="17" t="s">
        <v>546</v>
      </c>
      <c r="B15" s="18" t="s">
        <v>223</v>
      </c>
      <c r="C15" s="18">
        <v>5</v>
      </c>
      <c r="D15" s="147"/>
      <c r="E15" s="147"/>
      <c r="F15" s="147"/>
      <c r="G15" s="147"/>
      <c r="H15" s="147"/>
      <c r="I15" s="146">
        <f t="shared" si="12"/>
        <v>4.2418908000000002</v>
      </c>
      <c r="J15" s="146">
        <f t="shared" si="13"/>
        <v>24.730223364</v>
      </c>
      <c r="K15" s="146">
        <f t="shared" si="14"/>
        <v>0.1866431952</v>
      </c>
      <c r="L15" s="146">
        <f t="shared" si="15"/>
        <v>56.3398374</v>
      </c>
      <c r="M15" s="146">
        <f t="shared" si="16"/>
        <v>33.184164228599997</v>
      </c>
      <c r="N15" s="146">
        <f t="shared" si="16"/>
        <v>426.08466869522397</v>
      </c>
      <c r="O15" s="146">
        <f t="shared" si="17"/>
        <v>2.3228914960020002</v>
      </c>
      <c r="Q15" s="13"/>
      <c r="R15" s="139"/>
      <c r="S15" s="138"/>
      <c r="T15" s="139"/>
      <c r="U15" s="139"/>
      <c r="V15" s="107">
        <v>5.83</v>
      </c>
      <c r="W15" s="150">
        <f t="shared" si="18"/>
        <v>9.7999999999999997E-3</v>
      </c>
      <c r="X15" s="19">
        <v>4.3999999999999997E-2</v>
      </c>
      <c r="Y15" s="19">
        <v>0.58899999999999997</v>
      </c>
      <c r="Z15" s="20">
        <v>12.84</v>
      </c>
      <c r="AA15" s="150">
        <f t="shared" si="19"/>
        <v>9.3100000000000002E-2</v>
      </c>
      <c r="AB15" s="7">
        <v>0.12728498853548104</v>
      </c>
      <c r="AC15" s="150">
        <f t="shared" si="20"/>
        <v>9.8705035971223015E-2</v>
      </c>
      <c r="AE15" s="168"/>
      <c r="AF15" s="19">
        <v>0.01</v>
      </c>
      <c r="AG15" s="19">
        <v>9.5000000000000001E-2</v>
      </c>
      <c r="AH15" s="19">
        <v>7.0000000000000007E-2</v>
      </c>
    </row>
    <row r="16" spans="1:34" x14ac:dyDescent="0.2">
      <c r="A16" s="17" t="s">
        <v>562</v>
      </c>
      <c r="B16" s="18" t="s">
        <v>223</v>
      </c>
      <c r="C16" s="18">
        <v>5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11.861018399999999</v>
      </c>
      <c r="M16" s="146">
        <f t="shared" si="16"/>
        <v>6.8793906719999987</v>
      </c>
      <c r="N16" s="146">
        <f t="shared" si="16"/>
        <v>65.560593104159977</v>
      </c>
      <c r="O16" s="146">
        <f t="shared" si="17"/>
        <v>0.34396953359999993</v>
      </c>
      <c r="Q16" s="13"/>
      <c r="R16" s="139"/>
      <c r="S16" s="138"/>
      <c r="T16" s="139"/>
      <c r="U16" s="139"/>
      <c r="V16" s="107">
        <v>5.88</v>
      </c>
      <c r="W16" s="150">
        <f t="shared" si="18"/>
        <v>0</v>
      </c>
      <c r="X16" s="19">
        <v>3.3000000000000002E-2</v>
      </c>
      <c r="Y16" s="19">
        <v>0.57999999999999996</v>
      </c>
      <c r="Z16" s="20">
        <v>9.5299999999999994</v>
      </c>
      <c r="AA16" s="150">
        <f t="shared" si="19"/>
        <v>1.9599999999999999E-2</v>
      </c>
      <c r="AB16" s="7">
        <v>5.8351912385236793E-2</v>
      </c>
      <c r="AC16" s="150">
        <f t="shared" si="20"/>
        <v>7.0503597122302156E-2</v>
      </c>
      <c r="AE16" s="168"/>
      <c r="AF16" s="19">
        <v>0</v>
      </c>
      <c r="AG16" s="19">
        <v>0.02</v>
      </c>
      <c r="AH16" s="19">
        <v>0.05</v>
      </c>
    </row>
    <row r="17" spans="1:34" x14ac:dyDescent="0.2">
      <c r="A17" s="17" t="s">
        <v>682</v>
      </c>
      <c r="B17" s="18" t="s">
        <v>223</v>
      </c>
      <c r="C17" s="18">
        <v>5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53.374582799999999</v>
      </c>
      <c r="M17" s="146">
        <f t="shared" si="16"/>
        <v>32.558495508</v>
      </c>
      <c r="N17" s="146">
        <f t="shared" si="16"/>
        <v>383.53907708423998</v>
      </c>
      <c r="O17" s="146">
        <f t="shared" si="17"/>
        <v>2.2790946855600001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0.61</v>
      </c>
      <c r="Z17" s="20">
        <v>11.78</v>
      </c>
      <c r="AA17" s="150">
        <f t="shared" si="19"/>
        <v>8.8200000000000001E-2</v>
      </c>
      <c r="AB17" s="7">
        <v>3.5792586135455981E-2</v>
      </c>
      <c r="AC17" s="150">
        <f t="shared" si="20"/>
        <v>9.8705035971223015E-2</v>
      </c>
      <c r="AE17" s="168"/>
      <c r="AF17" s="19">
        <v>0</v>
      </c>
      <c r="AG17" s="19">
        <v>0.09</v>
      </c>
      <c r="AH17" s="19">
        <v>7.0000000000000007E-2</v>
      </c>
    </row>
    <row r="18" spans="1:34" x14ac:dyDescent="0.2">
      <c r="B18" s="18" t="s">
        <v>223</v>
      </c>
      <c r="C18" s="18"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4.8416185017190957E-2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1.6298685731047181E-2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439</v>
      </c>
      <c r="B22" s="18" t="s">
        <v>10</v>
      </c>
      <c r="C22" s="18"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68.200855799999999</v>
      </c>
      <c r="M22" s="146">
        <f t="shared" ref="M22:N25" si="21">L22*Y22</f>
        <v>44.671560548999999</v>
      </c>
      <c r="N22" s="146">
        <f t="shared" si="21"/>
        <v>450.73604593940996</v>
      </c>
      <c r="O22" s="146">
        <f t="shared" ref="O22:O25" si="22">M22*AH22</f>
        <v>3.3503670411749997</v>
      </c>
      <c r="Q22" s="13"/>
      <c r="R22" s="139"/>
      <c r="S22" s="138"/>
      <c r="T22" s="139"/>
      <c r="U22" s="139"/>
      <c r="V22" s="140"/>
      <c r="W22" s="154"/>
      <c r="X22" s="139"/>
      <c r="Y22" s="19">
        <v>0.65500000000000003</v>
      </c>
      <c r="Z22" s="20">
        <v>10.09</v>
      </c>
      <c r="AA22" s="150">
        <f>(AG22/SUM(AG$6:AG$25))*0.98</f>
        <v>0.11270000000000001</v>
      </c>
      <c r="AB22" s="7">
        <v>9.1585925676698793E-2</v>
      </c>
      <c r="AC22" s="150">
        <f>(AH22/SUM(AH$6:AH$25))*0.98</f>
        <v>0.10575539568345321</v>
      </c>
      <c r="AE22" s="168"/>
      <c r="AF22" s="168"/>
      <c r="AG22" s="19">
        <v>0.115</v>
      </c>
      <c r="AH22" s="19">
        <v>7.4999999999999997E-2</v>
      </c>
    </row>
    <row r="23" spans="1:34" x14ac:dyDescent="0.2">
      <c r="A23" s="17" t="s">
        <v>471</v>
      </c>
      <c r="B23" s="18" t="s">
        <v>10</v>
      </c>
      <c r="C23" s="18"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20.756782200000004</v>
      </c>
      <c r="M23" s="146">
        <f t="shared" si="21"/>
        <v>12.661637142000002</v>
      </c>
      <c r="N23" s="146">
        <f t="shared" si="21"/>
        <v>113.95473427800002</v>
      </c>
      <c r="O23" s="146">
        <f t="shared" si="22"/>
        <v>0.63308185710000009</v>
      </c>
      <c r="Q23" s="13"/>
      <c r="R23" s="139"/>
      <c r="S23" s="138"/>
      <c r="T23" s="139"/>
      <c r="U23" s="139"/>
      <c r="V23" s="140"/>
      <c r="W23" s="154"/>
      <c r="X23" s="139"/>
      <c r="Y23" s="19">
        <v>0.61</v>
      </c>
      <c r="Z23" s="20">
        <v>9</v>
      </c>
      <c r="AA23" s="150">
        <f>(AG23/SUM(AG$6:AG$25))*0.98</f>
        <v>3.4300000000000004E-2</v>
      </c>
      <c r="AB23" s="7">
        <v>7.0109403762887379E-2</v>
      </c>
      <c r="AC23" s="150">
        <f>(AH23/SUM(AH$6:AH$25))*0.98</f>
        <v>7.0503597122302156E-2</v>
      </c>
      <c r="AE23" s="168"/>
      <c r="AF23" s="168"/>
      <c r="AG23" s="19">
        <v>3.5000000000000003E-2</v>
      </c>
      <c r="AH23" s="19">
        <v>0.05</v>
      </c>
    </row>
    <row r="24" spans="1:34" x14ac:dyDescent="0.2">
      <c r="A24" s="17" t="s">
        <v>547</v>
      </c>
      <c r="B24" s="18" t="s">
        <v>10</v>
      </c>
      <c r="C24" s="18"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5.9305091999999995</v>
      </c>
      <c r="M24" s="146">
        <f t="shared" si="21"/>
        <v>3.6057495935999997</v>
      </c>
      <c r="N24" s="146">
        <f t="shared" si="21"/>
        <v>37.8603707328</v>
      </c>
      <c r="O24" s="146">
        <f t="shared" si="22"/>
        <v>0.18028747968</v>
      </c>
      <c r="Q24" s="13"/>
      <c r="R24" s="139"/>
      <c r="S24" s="138"/>
      <c r="T24" s="139"/>
      <c r="U24" s="139"/>
      <c r="V24" s="140"/>
      <c r="W24" s="154"/>
      <c r="X24" s="139"/>
      <c r="Y24" s="19">
        <v>0.60799999999999998</v>
      </c>
      <c r="Z24" s="20">
        <v>10.5</v>
      </c>
      <c r="AA24" s="150">
        <f>(AG24/SUM(AG$6:AG$25))*0.98</f>
        <v>9.7999999999999997E-3</v>
      </c>
      <c r="AB24" s="7">
        <v>4.7233375561925223E-2</v>
      </c>
      <c r="AC24" s="150">
        <f>(AH24/SUM(AH$6:AH$25))*0.98</f>
        <v>7.0503597122302156E-2</v>
      </c>
      <c r="AE24" s="168"/>
      <c r="AF24" s="168"/>
      <c r="AG24" s="19">
        <v>0.01</v>
      </c>
      <c r="AH24" s="19">
        <v>0.05</v>
      </c>
    </row>
    <row r="25" spans="1:34" x14ac:dyDescent="0.2">
      <c r="B25" s="18" t="s">
        <v>10</v>
      </c>
      <c r="C25" s="18"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3.2848930692624327E-3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0.9800000000000002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0.97499999999999987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1038</v>
      </c>
      <c r="E29" s="47">
        <v>0.58299999999999996</v>
      </c>
      <c r="F29" s="2">
        <f>1-E29</f>
        <v>0.41700000000000004</v>
      </c>
      <c r="G29" s="106">
        <v>3.95</v>
      </c>
      <c r="H29" s="126">
        <v>2.8000000000000001E-2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605.154</v>
      </c>
      <c r="E32" s="156">
        <f>SUM(E2:E4)</f>
        <v>385.27129409999998</v>
      </c>
      <c r="F32" s="156">
        <f>SUM(F2:F4)</f>
        <v>4393.1071118747996</v>
      </c>
      <c r="G32" s="156">
        <f>SUM(G2:G4)</f>
        <v>27.473991600000002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432.84600000000006</v>
      </c>
      <c r="E35" s="156">
        <f>D35*G29</f>
        <v>1709.7417000000003</v>
      </c>
      <c r="F35" s="156">
        <f>D35*H29</f>
        <v>12.119688000000002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424.1890800000001</v>
      </c>
      <c r="E38" s="157">
        <f>SUM(J2:J4,J6:J11,J13:J20)</f>
        <v>1692.9810371880003</v>
      </c>
      <c r="F38" s="157">
        <f>SUM(K2:K4,K6:K11,K13:K20)</f>
        <v>12.0724212168</v>
      </c>
      <c r="G38" s="157">
        <f>SUM(L6:L11,L13:L20,L22:L25)</f>
        <v>593.05091999999991</v>
      </c>
      <c r="H38" s="157">
        <f>SUM(M6:M11,M13:M20,M22:M25)</f>
        <v>385.13912846640005</v>
      </c>
      <c r="I38" s="157">
        <f>SUM(N6:N11,N13:N20,N22:N25)</f>
        <v>4377.8837440818479</v>
      </c>
      <c r="J38" s="157">
        <f>SUM(O6:O11,O13:O20,O22:O25)</f>
        <v>27.450518281493999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8.6569199999999569</v>
      </c>
      <c r="E39" s="158">
        <f>E35-E38</f>
        <v>16.760662811999964</v>
      </c>
      <c r="F39" s="158">
        <f>F35-F38</f>
        <v>4.7266783200001328E-2</v>
      </c>
      <c r="G39" s="158">
        <f>SUM(D2:D4)-G38</f>
        <v>12.103080000000091</v>
      </c>
      <c r="H39" s="158">
        <f>E32-H38</f>
        <v>0.13216563359992506</v>
      </c>
      <c r="I39" s="158">
        <f>F32-I38</f>
        <v>15.223367792951649</v>
      </c>
      <c r="J39" s="158">
        <f>G32-J38</f>
        <v>2.3473318506002983E-2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8" priority="1" operator="lessThan">
      <formula>0</formula>
    </cfRule>
  </conditionalFormatting>
  <conditionalFormatting sqref="W28">
    <cfRule type="cellIs" dxfId="7" priority="2" operator="greaterThan">
      <formula>1</formula>
    </cfRule>
  </conditionalFormatting>
  <conditionalFormatting sqref="AA28:AG28">
    <cfRule type="cellIs" dxfId="6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theme="4" tint="0.39997558519241921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548</v>
      </c>
      <c r="B2" s="18" t="s">
        <v>9</v>
      </c>
      <c r="C2" s="18">
        <v>7</v>
      </c>
      <c r="D2" s="146">
        <f>D$32*Q2</f>
        <v>568.53224999999986</v>
      </c>
      <c r="E2" s="146">
        <f>D2*R2</f>
        <v>352.48999499999991</v>
      </c>
      <c r="F2" s="146">
        <f>E2*S2</f>
        <v>4133.6501713649986</v>
      </c>
      <c r="G2" s="146">
        <f>D2*T2</f>
        <v>22.172757749999995</v>
      </c>
      <c r="H2" s="146">
        <f>E2*U2</f>
        <v>6.3448199099999982</v>
      </c>
      <c r="I2" s="146">
        <f>D$35*W2</f>
        <v>41.605410000000006</v>
      </c>
      <c r="J2" s="146">
        <f>I2*V2</f>
        <v>143.95471860000001</v>
      </c>
      <c r="K2" s="146">
        <f>I2*X2</f>
        <v>1.7474272200000003</v>
      </c>
      <c r="L2" s="147"/>
      <c r="M2" s="147"/>
      <c r="N2" s="147"/>
      <c r="O2" s="147"/>
      <c r="Q2" s="150">
        <f>(AE2/SUM(AE$2:AE$25))</f>
        <v>0.95</v>
      </c>
      <c r="R2" s="19">
        <v>0.62</v>
      </c>
      <c r="S2" s="107">
        <v>11.727</v>
      </c>
      <c r="T2" s="19">
        <v>3.9E-2</v>
      </c>
      <c r="U2" s="19">
        <v>1.7999999999999999E-2</v>
      </c>
      <c r="V2" s="107">
        <v>3.46</v>
      </c>
      <c r="W2" s="150">
        <f>(AF2/SUM(AF$2:AF$20))*0.98</f>
        <v>9.8000000000000004E-2</v>
      </c>
      <c r="X2" s="19">
        <v>4.2000000000000003E-2</v>
      </c>
      <c r="Y2" s="21"/>
      <c r="Z2" s="22"/>
      <c r="AA2" s="1"/>
      <c r="AB2" s="1"/>
      <c r="AC2" s="1"/>
      <c r="AE2" s="19">
        <v>0.95</v>
      </c>
      <c r="AF2" s="19">
        <v>0.1</v>
      </c>
      <c r="AG2" s="168"/>
      <c r="AH2" s="168"/>
    </row>
    <row r="3" spans="1:34" x14ac:dyDescent="0.2">
      <c r="A3" s="17" t="s">
        <v>609</v>
      </c>
      <c r="B3" s="18" t="s">
        <v>9</v>
      </c>
      <c r="C3" s="18">
        <v>7</v>
      </c>
      <c r="D3" s="146">
        <f>D$32*Q3</f>
        <v>29.922749999999997</v>
      </c>
      <c r="E3" s="146">
        <f t="shared" ref="E3:F4" si="0">D3*R3</f>
        <v>18.163109249999998</v>
      </c>
      <c r="F3" s="146">
        <f t="shared" si="0"/>
        <v>67.294319771249988</v>
      </c>
      <c r="G3" s="146">
        <f t="shared" ref="G3:G4" si="1">D3*T3</f>
        <v>1.0772189999999997</v>
      </c>
      <c r="H3" s="146">
        <f t="shared" ref="H3:H4" si="2">E3*U3</f>
        <v>0.36326218499999996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0.60699999999999998</v>
      </c>
      <c r="S3" s="107">
        <v>3.7050000000000001</v>
      </c>
      <c r="T3" s="19">
        <v>3.5999999999999997E-2</v>
      </c>
      <c r="U3" s="19">
        <v>0.02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0.05</v>
      </c>
      <c r="AF3" s="19">
        <v>0</v>
      </c>
      <c r="AG3" s="168"/>
      <c r="AH3" s="168"/>
    </row>
    <row r="4" spans="1:34" x14ac:dyDescent="0.2">
      <c r="B4" s="18" t="s">
        <v>9</v>
      </c>
      <c r="C4" s="18"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6" t="s">
        <v>37</v>
      </c>
      <c r="B6" s="18" t="s">
        <v>222</v>
      </c>
      <c r="C6" s="18">
        <v>7</v>
      </c>
      <c r="D6" s="147"/>
      <c r="E6" s="147"/>
      <c r="F6" s="147"/>
      <c r="G6" s="147"/>
      <c r="H6" s="147"/>
      <c r="I6" s="146">
        <f t="shared" ref="I6:I11" si="3">D$35*W6</f>
        <v>187.224345</v>
      </c>
      <c r="J6" s="146">
        <f>I6*V6</f>
        <v>786.34224900000004</v>
      </c>
      <c r="K6" s="146">
        <f>I6*X6</f>
        <v>5.6167303500000001</v>
      </c>
      <c r="L6" s="146">
        <f>((D$2+D$3+D$4)*AA6)</f>
        <v>41.054012999999991</v>
      </c>
      <c r="M6" s="146">
        <f t="shared" ref="M6:N11" si="4">L6*Y6</f>
        <v>31.488427970999993</v>
      </c>
      <c r="N6" s="146">
        <f t="shared" si="4"/>
        <v>234.27390410423996</v>
      </c>
      <c r="O6" s="146">
        <f>M6*AH6</f>
        <v>1.1020949789849999</v>
      </c>
      <c r="Q6" s="13"/>
      <c r="R6" s="139"/>
      <c r="S6" s="138"/>
      <c r="T6" s="139"/>
      <c r="U6" s="139"/>
      <c r="V6" s="107">
        <v>4.2</v>
      </c>
      <c r="W6" s="150">
        <f t="shared" ref="W6:W11" si="5">(AF6/SUM(AF$2:AF$20))*0.98</f>
        <v>0.441</v>
      </c>
      <c r="X6" s="19">
        <v>0.03</v>
      </c>
      <c r="Y6" s="19">
        <v>0.76700000000000002</v>
      </c>
      <c r="Z6" s="20">
        <v>7.44</v>
      </c>
      <c r="AA6" s="150">
        <f t="shared" ref="AA6:AA11" si="6">(AG6/SUM(AG$6:AG$25))*0.98</f>
        <v>6.8600000000000008E-2</v>
      </c>
      <c r="AB6" s="7">
        <v>6.766231240602695E-2</v>
      </c>
      <c r="AC6" s="150">
        <f t="shared" ref="AC6:AC11" si="7">(AH6/SUM(AH$6:AH$25))*0.98</f>
        <v>5.0814814814814813E-2</v>
      </c>
      <c r="AE6" s="168"/>
      <c r="AF6" s="19">
        <v>0.45</v>
      </c>
      <c r="AG6" s="19">
        <v>7.0000000000000007E-2</v>
      </c>
      <c r="AH6" s="19">
        <v>3.5000000000000003E-2</v>
      </c>
    </row>
    <row r="7" spans="1:34" x14ac:dyDescent="0.2">
      <c r="A7" s="172" t="s">
        <v>549</v>
      </c>
      <c r="B7" s="18" t="s">
        <v>222</v>
      </c>
      <c r="C7" s="18">
        <v>7</v>
      </c>
      <c r="D7" s="147"/>
      <c r="E7" s="147"/>
      <c r="F7" s="147"/>
      <c r="G7" s="147"/>
      <c r="H7" s="147"/>
      <c r="I7" s="146">
        <f t="shared" si="3"/>
        <v>166.42164000000002</v>
      </c>
      <c r="J7" s="146">
        <f>I7*V7</f>
        <v>722.2699176000001</v>
      </c>
      <c r="K7" s="146">
        <f>I7*X7</f>
        <v>5.4919141200000015</v>
      </c>
      <c r="L7" s="146">
        <f>((D$2+D$3+D$4)*AA7)</f>
        <v>64.51344899999998</v>
      </c>
      <c r="M7" s="146">
        <f t="shared" si="4"/>
        <v>48.707653994999987</v>
      </c>
      <c r="N7" s="146">
        <f>M7*Z7</f>
        <v>385.27754310044992</v>
      </c>
      <c r="O7" s="146">
        <f t="shared" ref="O7:O11" si="8">M7*AH7</f>
        <v>1.9483061597999995</v>
      </c>
      <c r="Q7" s="13"/>
      <c r="R7" s="139"/>
      <c r="S7" s="138"/>
      <c r="T7" s="139"/>
      <c r="U7" s="139"/>
      <c r="V7" s="107">
        <v>4.34</v>
      </c>
      <c r="W7" s="150">
        <f t="shared" si="5"/>
        <v>0.39200000000000002</v>
      </c>
      <c r="X7" s="19">
        <v>3.3000000000000002E-2</v>
      </c>
      <c r="Y7" s="19">
        <v>0.755</v>
      </c>
      <c r="Z7" s="20">
        <v>7.91</v>
      </c>
      <c r="AA7" s="150">
        <f t="shared" si="6"/>
        <v>0.10779999999999999</v>
      </c>
      <c r="AB7" s="7">
        <v>1.6022973907447016E-2</v>
      </c>
      <c r="AC7" s="150">
        <f t="shared" si="7"/>
        <v>5.807407407407407E-2</v>
      </c>
      <c r="AE7" s="168"/>
      <c r="AF7" s="19">
        <v>0.4</v>
      </c>
      <c r="AG7" s="19">
        <v>0.11</v>
      </c>
      <c r="AH7" s="19">
        <v>0.04</v>
      </c>
    </row>
    <row r="8" spans="1:34" x14ac:dyDescent="0.2">
      <c r="A8" s="176" t="s">
        <v>617</v>
      </c>
      <c r="B8" s="18" t="s">
        <v>222</v>
      </c>
      <c r="C8" s="18">
        <v>7</v>
      </c>
      <c r="D8" s="147"/>
      <c r="E8" s="147"/>
      <c r="F8" s="147"/>
      <c r="G8" s="147"/>
      <c r="H8" s="147"/>
      <c r="I8" s="146">
        <f t="shared" si="3"/>
        <v>20.802705000000003</v>
      </c>
      <c r="J8" s="146">
        <f>I8*V8</f>
        <v>83.834901150000022</v>
      </c>
      <c r="K8" s="146">
        <f>I8*X8</f>
        <v>0.72809467500000014</v>
      </c>
      <c r="L8" s="146">
        <f>((D$2+D$3+D$4)*AA8)</f>
        <v>11.729717999999997</v>
      </c>
      <c r="M8" s="146">
        <f t="shared" si="4"/>
        <v>7.9175596499999985</v>
      </c>
      <c r="N8" s="146">
        <f>M8*Z8</f>
        <v>56.214673514999987</v>
      </c>
      <c r="O8" s="146">
        <f t="shared" si="8"/>
        <v>0.19793899124999997</v>
      </c>
      <c r="Q8" s="13"/>
      <c r="R8" s="139"/>
      <c r="S8" s="138"/>
      <c r="T8" s="139"/>
      <c r="U8" s="139"/>
      <c r="V8" s="107">
        <v>4.03</v>
      </c>
      <c r="W8" s="150">
        <f t="shared" si="5"/>
        <v>4.9000000000000002E-2</v>
      </c>
      <c r="X8" s="19">
        <v>3.5000000000000003E-2</v>
      </c>
      <c r="Y8" s="19">
        <v>0.67500000000000004</v>
      </c>
      <c r="Z8" s="20">
        <v>7.1</v>
      </c>
      <c r="AA8" s="150">
        <f t="shared" si="6"/>
        <v>1.9599999999999999E-2</v>
      </c>
      <c r="AB8" s="7">
        <v>4.551645359361401E-2</v>
      </c>
      <c r="AC8" s="150">
        <f t="shared" si="7"/>
        <v>3.6296296296296292E-2</v>
      </c>
      <c r="AE8" s="168"/>
      <c r="AF8" s="19">
        <v>0.05</v>
      </c>
      <c r="AG8" s="19">
        <v>0.02</v>
      </c>
      <c r="AH8" s="19">
        <v>2.5000000000000001E-2</v>
      </c>
    </row>
    <row r="9" spans="1:34" x14ac:dyDescent="0.2">
      <c r="A9" s="172"/>
      <c r="B9" s="18" t="s">
        <v>222</v>
      </c>
      <c r="C9" s="18">
        <v>7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>M9*Z9</f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1.7878882490393575E-2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>M10*Z10</f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2.7741635502223148E-3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>M11*Z11</f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173</v>
      </c>
      <c r="B13" s="18" t="s">
        <v>223</v>
      </c>
      <c r="C13" s="18">
        <v>7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134.89175699999996</v>
      </c>
      <c r="M13" s="146">
        <f t="shared" ref="M13:N20" si="16">L13*Y13</f>
        <v>78.776786087999966</v>
      </c>
      <c r="N13" s="146">
        <f t="shared" si="16"/>
        <v>1035.9147370571995</v>
      </c>
      <c r="O13" s="146">
        <f t="shared" ref="O13:O20" si="17">M13*AH13</f>
        <v>6.3021428870399978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0.58399999999999996</v>
      </c>
      <c r="Z13" s="20">
        <v>13.15</v>
      </c>
      <c r="AA13" s="150">
        <f t="shared" ref="AA13:AA20" si="19">(AG13/SUM(AG$6:AG$25))*0.98</f>
        <v>0.22540000000000002</v>
      </c>
      <c r="AB13" s="7">
        <v>0.23091547885977109</v>
      </c>
      <c r="AC13" s="150">
        <f t="shared" ref="AC13:AC20" si="20">(AH13/SUM(AH$6:AH$25))*0.98</f>
        <v>0.11614814814814814</v>
      </c>
      <c r="AE13" s="168"/>
      <c r="AF13" s="19">
        <v>0</v>
      </c>
      <c r="AG13" s="19">
        <v>0.23</v>
      </c>
      <c r="AH13" s="19">
        <v>0.08</v>
      </c>
    </row>
    <row r="14" spans="1:34" x14ac:dyDescent="0.2">
      <c r="A14" s="17" t="s">
        <v>493</v>
      </c>
      <c r="B14" s="18" t="s">
        <v>223</v>
      </c>
      <c r="C14" s="18">
        <v>7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117.29717999999997</v>
      </c>
      <c r="M14" s="146">
        <f t="shared" si="16"/>
        <v>65.803717979999988</v>
      </c>
      <c r="N14" s="146">
        <f t="shared" si="16"/>
        <v>919.93597736039987</v>
      </c>
      <c r="O14" s="146">
        <f t="shared" si="17"/>
        <v>4.9352788484999985</v>
      </c>
      <c r="Q14" s="13"/>
      <c r="R14" s="139"/>
      <c r="S14" s="138"/>
      <c r="T14" s="139"/>
      <c r="U14" s="139"/>
      <c r="V14" s="107">
        <v>4.68</v>
      </c>
      <c r="W14" s="150">
        <f t="shared" si="18"/>
        <v>0</v>
      </c>
      <c r="X14" s="19">
        <v>2.4E-2</v>
      </c>
      <c r="Y14" s="19">
        <v>0.56100000000000005</v>
      </c>
      <c r="Z14" s="20">
        <v>13.98</v>
      </c>
      <c r="AA14" s="150">
        <f t="shared" si="19"/>
        <v>0.19600000000000001</v>
      </c>
      <c r="AB14" s="7">
        <v>0.2258883375128273</v>
      </c>
      <c r="AC14" s="150">
        <f t="shared" si="20"/>
        <v>0.10888888888888888</v>
      </c>
      <c r="AE14" s="168"/>
      <c r="AF14" s="19">
        <v>0</v>
      </c>
      <c r="AG14" s="19">
        <v>0.2</v>
      </c>
      <c r="AH14" s="19">
        <v>7.4999999999999997E-2</v>
      </c>
    </row>
    <row r="15" spans="1:34" x14ac:dyDescent="0.2">
      <c r="A15" s="17" t="s">
        <v>721</v>
      </c>
      <c r="B15" s="18" t="s">
        <v>223</v>
      </c>
      <c r="C15" s="18">
        <v>7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55.716160499999987</v>
      </c>
      <c r="M15" s="146">
        <f t="shared" si="16"/>
        <v>34.822600312499993</v>
      </c>
      <c r="N15" s="146">
        <f t="shared" si="16"/>
        <v>402.89748561562493</v>
      </c>
      <c r="O15" s="146">
        <f t="shared" si="17"/>
        <v>2.1590012193749994</v>
      </c>
      <c r="Q15" s="13"/>
      <c r="R15" s="139"/>
      <c r="S15" s="138"/>
      <c r="T15" s="139"/>
      <c r="U15" s="139"/>
      <c r="V15" s="107">
        <v>5.84</v>
      </c>
      <c r="W15" s="150">
        <f t="shared" si="18"/>
        <v>0</v>
      </c>
      <c r="X15" s="19">
        <v>2.4E-2</v>
      </c>
      <c r="Y15" s="19">
        <v>0.625</v>
      </c>
      <c r="Z15" s="20">
        <v>11.57</v>
      </c>
      <c r="AA15" s="150">
        <f t="shared" si="19"/>
        <v>9.3100000000000002E-2</v>
      </c>
      <c r="AB15" s="7">
        <v>9.988529849482794E-2</v>
      </c>
      <c r="AC15" s="150">
        <f t="shared" si="20"/>
        <v>9.0014814814814811E-2</v>
      </c>
      <c r="AE15" s="168"/>
      <c r="AF15" s="19">
        <v>0</v>
      </c>
      <c r="AG15" s="19">
        <v>9.5000000000000001E-2</v>
      </c>
      <c r="AH15" s="19">
        <v>6.2E-2</v>
      </c>
    </row>
    <row r="16" spans="1:34" x14ac:dyDescent="0.2">
      <c r="A16" s="17" t="s">
        <v>417</v>
      </c>
      <c r="B16" s="18" t="s">
        <v>223</v>
      </c>
      <c r="C16" s="18">
        <v>7</v>
      </c>
      <c r="D16" s="147"/>
      <c r="E16" s="147"/>
      <c r="F16" s="147"/>
      <c r="G16" s="147"/>
      <c r="H16" s="147"/>
      <c r="I16" s="146">
        <f t="shared" ref="I16:I19" si="21">D$35*W16</f>
        <v>0</v>
      </c>
      <c r="J16" s="146">
        <f t="shared" ref="J16:J19" si="22">I16*V16</f>
        <v>0</v>
      </c>
      <c r="K16" s="146">
        <f t="shared" ref="K16:K19" si="23">I16*X16</f>
        <v>0</v>
      </c>
      <c r="L16" s="146">
        <f t="shared" ref="L16:L19" si="24">((D$2+D$3+D$4)*AA16)</f>
        <v>23.459435999999993</v>
      </c>
      <c r="M16" s="146">
        <f t="shared" ref="M16:M19" si="25">L16*Y16</f>
        <v>13.723770059999994</v>
      </c>
      <c r="N16" s="146">
        <f t="shared" ref="N16:N19" si="26">M16*Z16</f>
        <v>187.32946131899993</v>
      </c>
      <c r="O16" s="146">
        <f t="shared" ref="O16:O19" si="27">M16*AH16</f>
        <v>1.0292827544999996</v>
      </c>
      <c r="Q16" s="13"/>
      <c r="R16" s="139"/>
      <c r="S16" s="138"/>
      <c r="T16" s="139"/>
      <c r="U16" s="139"/>
      <c r="V16" s="107">
        <v>5.84</v>
      </c>
      <c r="W16" s="150">
        <f t="shared" ref="W16:W19" si="28">(AF16/SUM(AF$2:AF$20))*0.98</f>
        <v>0</v>
      </c>
      <c r="X16" s="19">
        <v>2.4E-2</v>
      </c>
      <c r="Y16" s="19">
        <v>0.58499999999999996</v>
      </c>
      <c r="Z16" s="20">
        <v>13.65</v>
      </c>
      <c r="AA16" s="150">
        <f t="shared" ref="AA16:AA19" si="29">(AG16/SUM(AG$6:AG$25))*0.98</f>
        <v>3.9199999999999999E-2</v>
      </c>
      <c r="AB16" s="7">
        <v>9.988529849482794E-2</v>
      </c>
      <c r="AC16" s="150">
        <f t="shared" ref="AC16:AC19" si="30">(AH16/SUM(AH$6:AH$25))*0.98</f>
        <v>0.10888888888888888</v>
      </c>
      <c r="AE16" s="168"/>
      <c r="AF16" s="19">
        <v>0</v>
      </c>
      <c r="AG16" s="19">
        <v>0.04</v>
      </c>
      <c r="AH16" s="19">
        <v>7.4999999999999997E-2</v>
      </c>
    </row>
    <row r="17" spans="1:34" x14ac:dyDescent="0.2">
      <c r="A17" s="17" t="s">
        <v>218</v>
      </c>
      <c r="B17" s="18" t="s">
        <v>223</v>
      </c>
      <c r="C17" s="18">
        <v>7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17.594576999999994</v>
      </c>
      <c r="M17" s="146">
        <f t="shared" si="25"/>
        <v>10.468773314999996</v>
      </c>
      <c r="N17" s="146">
        <f t="shared" si="26"/>
        <v>109.92211980749997</v>
      </c>
      <c r="O17" s="146">
        <f t="shared" si="27"/>
        <v>0.52343866574999987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1.4999999999999999E-2</v>
      </c>
      <c r="Y17" s="19">
        <v>0.59499999999999997</v>
      </c>
      <c r="Z17" s="20">
        <v>10.5</v>
      </c>
      <c r="AA17" s="150">
        <f t="shared" si="29"/>
        <v>2.9399999999999999E-2</v>
      </c>
      <c r="AB17" s="7">
        <v>5.0639687787776361E-2</v>
      </c>
      <c r="AC17" s="150">
        <f t="shared" si="30"/>
        <v>7.2592592592592584E-2</v>
      </c>
      <c r="AE17" s="168"/>
      <c r="AF17" s="19">
        <v>0</v>
      </c>
      <c r="AG17" s="19">
        <v>0.03</v>
      </c>
      <c r="AH17" s="19">
        <v>0.05</v>
      </c>
    </row>
    <row r="18" spans="1:34" x14ac:dyDescent="0.2">
      <c r="A18" s="17" t="s">
        <v>438</v>
      </c>
      <c r="B18" s="18" t="s">
        <v>223</v>
      </c>
      <c r="C18" s="18">
        <v>7</v>
      </c>
      <c r="D18" s="147"/>
      <c r="E18" s="147"/>
      <c r="F18" s="147"/>
      <c r="G18" s="147"/>
      <c r="H18" s="147"/>
      <c r="I18" s="146">
        <f t="shared" si="21"/>
        <v>0</v>
      </c>
      <c r="J18" s="146">
        <f t="shared" si="22"/>
        <v>0</v>
      </c>
      <c r="K18" s="146">
        <f t="shared" si="23"/>
        <v>0</v>
      </c>
      <c r="L18" s="146">
        <f t="shared" si="24"/>
        <v>14.662147499999996</v>
      </c>
      <c r="M18" s="146">
        <f t="shared" si="25"/>
        <v>9.0465450074999971</v>
      </c>
      <c r="N18" s="146">
        <f t="shared" si="26"/>
        <v>104.39712938654996</v>
      </c>
      <c r="O18" s="146">
        <f t="shared" si="27"/>
        <v>0.45232725037499988</v>
      </c>
      <c r="Q18" s="13"/>
      <c r="R18" s="139"/>
      <c r="S18" s="138"/>
      <c r="T18" s="139"/>
      <c r="U18" s="139"/>
      <c r="V18" s="107">
        <v>5.0199999999999996</v>
      </c>
      <c r="W18" s="150">
        <f t="shared" si="28"/>
        <v>0</v>
      </c>
      <c r="X18" s="19">
        <v>1.4999999999999999E-2</v>
      </c>
      <c r="Y18" s="19">
        <v>0.61699999999999999</v>
      </c>
      <c r="Z18" s="20">
        <v>11.54</v>
      </c>
      <c r="AA18" s="150">
        <f t="shared" si="29"/>
        <v>2.4500000000000001E-2</v>
      </c>
      <c r="AB18" s="7">
        <v>2.2881694533849081E-2</v>
      </c>
      <c r="AC18" s="150">
        <f t="shared" si="30"/>
        <v>7.2592592592592584E-2</v>
      </c>
      <c r="AE18" s="168"/>
      <c r="AF18" s="19">
        <v>0</v>
      </c>
      <c r="AG18" s="19">
        <v>2.5000000000000001E-2</v>
      </c>
      <c r="AH18" s="19">
        <v>0.05</v>
      </c>
    </row>
    <row r="19" spans="1:34" x14ac:dyDescent="0.2">
      <c r="A19" s="17" t="s">
        <v>684</v>
      </c>
      <c r="B19" s="18" t="s">
        <v>223</v>
      </c>
      <c r="C19" s="18">
        <v>7</v>
      </c>
      <c r="D19" s="147"/>
      <c r="E19" s="147"/>
      <c r="F19" s="147"/>
      <c r="G19" s="147"/>
      <c r="H19" s="147"/>
      <c r="I19" s="146">
        <f t="shared" si="21"/>
        <v>0</v>
      </c>
      <c r="J19" s="146">
        <f t="shared" si="22"/>
        <v>0</v>
      </c>
      <c r="K19" s="146">
        <f t="shared" si="23"/>
        <v>0</v>
      </c>
      <c r="L19" s="146">
        <f t="shared" si="24"/>
        <v>8.797288499999997</v>
      </c>
      <c r="M19" s="146">
        <f t="shared" si="25"/>
        <v>5.0936300414999982</v>
      </c>
      <c r="N19" s="146">
        <f t="shared" si="26"/>
        <v>56.029930456499983</v>
      </c>
      <c r="O19" s="146">
        <f t="shared" si="27"/>
        <v>0.28014965228249988</v>
      </c>
      <c r="Q19" s="13"/>
      <c r="R19" s="139"/>
      <c r="S19" s="138"/>
      <c r="T19" s="139"/>
      <c r="U19" s="139"/>
      <c r="V19" s="107">
        <v>5.0199999999999996</v>
      </c>
      <c r="W19" s="150">
        <f t="shared" si="28"/>
        <v>0</v>
      </c>
      <c r="X19" s="19">
        <v>1.4999999999999999E-2</v>
      </c>
      <c r="Y19" s="19">
        <v>0.57899999999999996</v>
      </c>
      <c r="Z19" s="20">
        <v>11</v>
      </c>
      <c r="AA19" s="150">
        <f t="shared" si="29"/>
        <v>1.47E-2</v>
      </c>
      <c r="AB19" s="7">
        <v>3.6603666957532545E-3</v>
      </c>
      <c r="AC19" s="150">
        <f t="shared" si="30"/>
        <v>7.9851851851851841E-2</v>
      </c>
      <c r="AE19" s="168"/>
      <c r="AF19" s="19">
        <v>0</v>
      </c>
      <c r="AG19" s="19">
        <v>1.4999999999999999E-2</v>
      </c>
      <c r="AH19" s="19">
        <v>5.5E-2</v>
      </c>
    </row>
    <row r="20" spans="1:34" x14ac:dyDescent="0.2">
      <c r="B20" s="18" t="s">
        <v>223</v>
      </c>
      <c r="C20" s="18">
        <v>7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1.7008047629251413E-2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470</v>
      </c>
      <c r="B22" s="18" t="s">
        <v>10</v>
      </c>
      <c r="C22" s="18"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79.175596499999969</v>
      </c>
      <c r="M22" s="146">
        <f t="shared" ref="M22:N25" si="31">L22*Y22</f>
        <v>53.047649654999979</v>
      </c>
      <c r="N22" s="146">
        <f t="shared" si="31"/>
        <v>576.62795174984979</v>
      </c>
      <c r="O22" s="146">
        <f t="shared" ref="O22:O25" si="32">M22*AH22</f>
        <v>3.6072401765399991</v>
      </c>
      <c r="Q22" s="13"/>
      <c r="R22" s="139"/>
      <c r="S22" s="138"/>
      <c r="T22" s="139"/>
      <c r="U22" s="139"/>
      <c r="V22" s="140"/>
      <c r="W22" s="154"/>
      <c r="X22" s="139"/>
      <c r="Y22" s="19">
        <v>0.67</v>
      </c>
      <c r="Z22" s="20">
        <v>10.87</v>
      </c>
      <c r="AA22" s="150">
        <f>(AG22/SUM(AG$6:AG$25))*0.98</f>
        <v>0.1323</v>
      </c>
      <c r="AB22" s="7">
        <v>0.1265010019302108</v>
      </c>
      <c r="AC22" s="150">
        <f>(AH22/SUM(AH$6:AH$25))*0.98</f>
        <v>9.8725925925925925E-2</v>
      </c>
      <c r="AE22" s="168"/>
      <c r="AF22" s="168"/>
      <c r="AG22" s="19">
        <v>0.13500000000000001</v>
      </c>
      <c r="AH22" s="19">
        <v>6.8000000000000005E-2</v>
      </c>
    </row>
    <row r="23" spans="1:34" x14ac:dyDescent="0.2">
      <c r="A23" s="17" t="s">
        <v>551</v>
      </c>
      <c r="B23" s="18" t="s">
        <v>10</v>
      </c>
      <c r="C23" s="18"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17.594576999999994</v>
      </c>
      <c r="M23" s="146">
        <f t="shared" si="31"/>
        <v>11.630015396999996</v>
      </c>
      <c r="N23" s="146">
        <f t="shared" si="31"/>
        <v>117.11425504778997</v>
      </c>
      <c r="O23" s="146">
        <f t="shared" si="32"/>
        <v>0.6978009238199997</v>
      </c>
      <c r="Q23" s="13"/>
      <c r="R23" s="139"/>
      <c r="S23" s="138"/>
      <c r="T23" s="139"/>
      <c r="U23" s="139"/>
      <c r="V23" s="140"/>
      <c r="W23" s="154"/>
      <c r="X23" s="139"/>
      <c r="Y23" s="19">
        <v>0.66100000000000003</v>
      </c>
      <c r="Z23" s="20">
        <v>10.07</v>
      </c>
      <c r="AA23" s="150">
        <f>(AG23/SUM(AG$6:AG$25))*0.98</f>
        <v>2.9399999999999999E-2</v>
      </c>
      <c r="AB23" s="7">
        <v>2.9560287775929821E-2</v>
      </c>
      <c r="AC23" s="150">
        <f>(AH23/SUM(AH$6:AH$25))*0.98</f>
        <v>8.7111111111111098E-2</v>
      </c>
      <c r="AE23" s="168"/>
      <c r="AF23" s="168"/>
      <c r="AG23" s="19">
        <v>0.03</v>
      </c>
      <c r="AH23" s="19">
        <v>0.06</v>
      </c>
    </row>
    <row r="24" spans="1:34" x14ac:dyDescent="0.2">
      <c r="B24" s="18" t="s">
        <v>10</v>
      </c>
      <c r="C24" s="18"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4.5361380243270303E-3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1.0612164236870558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1023</v>
      </c>
      <c r="E29" s="47">
        <v>0.58499999999999996</v>
      </c>
      <c r="F29" s="2">
        <f>1-E29</f>
        <v>0.41500000000000004</v>
      </c>
      <c r="G29" s="106">
        <v>4.0999999999999996</v>
      </c>
      <c r="H29" s="126">
        <v>3.2000000000000001E-2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598.45499999999993</v>
      </c>
      <c r="E32" s="156">
        <f>SUM(E2:E4)</f>
        <v>370.6531042499999</v>
      </c>
      <c r="F32" s="156">
        <f>SUM(F2:F4)</f>
        <v>4200.9444911362489</v>
      </c>
      <c r="G32" s="156">
        <f>SUM(G2:G4)</f>
        <v>23.249976749999995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424.54500000000002</v>
      </c>
      <c r="E35" s="156">
        <f>D35*G29</f>
        <v>1740.6344999999999</v>
      </c>
      <c r="F35" s="156">
        <f>D35*H29</f>
        <v>13.58544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4" t="s">
        <v>291</v>
      </c>
      <c r="J37" s="164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416.05410000000001</v>
      </c>
      <c r="E38" s="157">
        <f>SUM(J2:J4,J6:J11,J13:J20)</f>
        <v>1736.4017863500001</v>
      </c>
      <c r="F38" s="157">
        <f>SUM(K2:K4,K6:K11,K13:K20)</f>
        <v>13.584166365000002</v>
      </c>
      <c r="G38" s="157">
        <f>SUM(L6:L11,L13:L20,L22:L25)</f>
        <v>586.48589999999979</v>
      </c>
      <c r="H38" s="157">
        <f>SUM(M6:M11,M13:M20,M22:M25)</f>
        <v>370.52712947249995</v>
      </c>
      <c r="I38" s="157">
        <f>SUM(N6:N11,N13:N20,N22:N25)</f>
        <v>4185.9351685201036</v>
      </c>
      <c r="J38" s="157">
        <f>SUM(O6:O11,O13:O20,O22:O25)</f>
        <v>23.235002508217494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8.4909000000000106</v>
      </c>
      <c r="E39" s="158">
        <f>E35-E38</f>
        <v>4.2327136499998232</v>
      </c>
      <c r="F39" s="158">
        <f>F35-F38</f>
        <v>1.2736349999986629E-3</v>
      </c>
      <c r="G39" s="158">
        <f>SUM(D2:D4)-G38</f>
        <v>11.969100000000026</v>
      </c>
      <c r="H39" s="158">
        <f>E32-H38</f>
        <v>0.12597477749994823</v>
      </c>
      <c r="I39" s="158">
        <f>F32-I38</f>
        <v>15.009322616145255</v>
      </c>
      <c r="J39" s="158">
        <f>G32-J38</f>
        <v>1.4974241782500286E-2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5" priority="1" operator="lessThan">
      <formula>0</formula>
    </cfRule>
  </conditionalFormatting>
  <conditionalFormatting sqref="W28">
    <cfRule type="cellIs" dxfId="4" priority="2" operator="greaterThan">
      <formula>1</formula>
    </cfRule>
  </conditionalFormatting>
  <conditionalFormatting sqref="AA28:AG28">
    <cfRule type="cellIs" dxfId="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rgb="FFA50021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610</v>
      </c>
      <c r="B2" s="18" t="s">
        <v>9</v>
      </c>
      <c r="C2" s="18">
        <v>14</v>
      </c>
      <c r="D2" s="146">
        <f>D$32*Q2</f>
        <v>546.42669999999998</v>
      </c>
      <c r="E2" s="146">
        <f>D2*R2</f>
        <v>344.7952477</v>
      </c>
      <c r="F2" s="146">
        <f>E2*S2</f>
        <v>3796.1956771770001</v>
      </c>
      <c r="G2" s="146">
        <f>D2*T2</f>
        <v>20.217787899999998</v>
      </c>
      <c r="H2" s="146">
        <f>E2*U2</f>
        <v>7.2407002017000002</v>
      </c>
      <c r="I2" s="146">
        <f>D$35*W2</f>
        <v>120.697486</v>
      </c>
      <c r="J2" s="146">
        <f>I2*V2</f>
        <v>715.73609197999997</v>
      </c>
      <c r="K2" s="146">
        <f>I2*X2</f>
        <v>5.672781842</v>
      </c>
      <c r="L2" s="147"/>
      <c r="M2" s="147"/>
      <c r="N2" s="147"/>
      <c r="O2" s="147"/>
      <c r="Q2" s="150">
        <f>(AE2/SUM(AE$2:AE$25))</f>
        <v>0.94</v>
      </c>
      <c r="R2" s="19">
        <v>0.63100000000000001</v>
      </c>
      <c r="S2" s="107">
        <v>11.01</v>
      </c>
      <c r="T2" s="19">
        <v>3.6999999999999998E-2</v>
      </c>
      <c r="U2" s="19">
        <v>2.1000000000000001E-2</v>
      </c>
      <c r="V2" s="107">
        <v>5.93</v>
      </c>
      <c r="W2" s="150">
        <f>(AF2/SUM(AF$2:AF$20))*0.98</f>
        <v>0.25480000000000003</v>
      </c>
      <c r="X2" s="19">
        <v>4.7E-2</v>
      </c>
      <c r="Y2" s="21"/>
      <c r="Z2" s="22"/>
      <c r="AA2" s="1"/>
      <c r="AB2" s="1"/>
      <c r="AC2" s="1"/>
      <c r="AE2" s="19">
        <v>0.94</v>
      </c>
      <c r="AF2" s="19">
        <v>0.26</v>
      </c>
      <c r="AG2" s="168"/>
      <c r="AH2" s="168"/>
    </row>
    <row r="3" spans="1:34" x14ac:dyDescent="0.2">
      <c r="A3" s="17" t="s">
        <v>182</v>
      </c>
      <c r="B3" s="18" t="s">
        <v>9</v>
      </c>
      <c r="C3" s="18">
        <v>14</v>
      </c>
      <c r="D3" s="146">
        <f>D$32*Q3</f>
        <v>34.878300000000003</v>
      </c>
      <c r="E3" s="146">
        <f t="shared" ref="E3:F4" si="0">D3*R3</f>
        <v>21.101371500000003</v>
      </c>
      <c r="F3" s="146">
        <f t="shared" si="0"/>
        <v>215.65601673000003</v>
      </c>
      <c r="G3" s="146">
        <f t="shared" ref="G3:G4" si="1">D3*T3</f>
        <v>1.2207405000000002</v>
      </c>
      <c r="H3" s="146">
        <f t="shared" ref="H3:H4" si="2">E3*U3</f>
        <v>0.31652057250000004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0.06</v>
      </c>
      <c r="R3" s="19">
        <v>0.60499999999999998</v>
      </c>
      <c r="S3" s="107">
        <v>10.220000000000001</v>
      </c>
      <c r="T3" s="19">
        <v>3.5000000000000003E-2</v>
      </c>
      <c r="U3" s="19">
        <v>1.4999999999999999E-2</v>
      </c>
      <c r="V3" s="107">
        <v>3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0.06</v>
      </c>
      <c r="AF3" s="19">
        <v>0</v>
      </c>
      <c r="AG3" s="168"/>
      <c r="AH3" s="168"/>
    </row>
    <row r="4" spans="1:34" x14ac:dyDescent="0.2">
      <c r="B4" s="18" t="s">
        <v>9</v>
      </c>
      <c r="C4" s="18"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69"/>
      <c r="AF5" s="169"/>
      <c r="AG5" s="124"/>
      <c r="AH5" s="124"/>
    </row>
    <row r="6" spans="1:34" x14ac:dyDescent="0.2">
      <c r="A6" s="176" t="s">
        <v>14</v>
      </c>
      <c r="B6" s="18" t="s">
        <v>222</v>
      </c>
      <c r="C6" s="18">
        <v>14</v>
      </c>
      <c r="D6" s="147"/>
      <c r="E6" s="147"/>
      <c r="F6" s="147"/>
      <c r="G6" s="147"/>
      <c r="H6" s="147"/>
      <c r="I6" s="146">
        <f t="shared" ref="I6:I11" si="3">D$35*W6</f>
        <v>113.73416949999998</v>
      </c>
      <c r="J6" s="146">
        <f>I6*V6</f>
        <v>466.31009494999989</v>
      </c>
      <c r="K6" s="146">
        <f>I6*X6</f>
        <v>3.5257592544999992</v>
      </c>
      <c r="L6" s="146">
        <f>((D$2+D$3+D$4)*AA6)</f>
        <v>65.513073500000004</v>
      </c>
      <c r="M6" s="146">
        <f t="shared" ref="M6:N11" si="4">L6*Y6</f>
        <v>49.396857419000007</v>
      </c>
      <c r="N6" s="146">
        <f t="shared" si="4"/>
        <v>396.65676507457005</v>
      </c>
      <c r="O6" s="146">
        <f>M6*AH6</f>
        <v>1.7288900096650004</v>
      </c>
      <c r="Q6" s="13"/>
      <c r="R6" s="139"/>
      <c r="S6" s="138"/>
      <c r="T6" s="139"/>
      <c r="U6" s="139"/>
      <c r="V6" s="107">
        <v>4.0999999999999996</v>
      </c>
      <c r="W6" s="150">
        <f t="shared" ref="W6:W11" si="5">(AF6/SUM(AF$2:AF$20))*0.98</f>
        <v>0.24009999999999998</v>
      </c>
      <c r="X6" s="19">
        <v>3.1E-2</v>
      </c>
      <c r="Y6" s="19">
        <v>0.754</v>
      </c>
      <c r="Z6" s="20">
        <v>8.0299999999999994</v>
      </c>
      <c r="AA6" s="150">
        <f t="shared" ref="AA6:AA11" si="6">(AG6/SUM(AG$6:AG$25))*0.98</f>
        <v>0.11270000000000001</v>
      </c>
      <c r="AB6" s="7">
        <v>8.4073180034031858E-2</v>
      </c>
      <c r="AC6" s="150">
        <f t="shared" ref="AC6:AC11" si="7">(AH6/SUM(AH$6:AH$25))*0.98</f>
        <v>4.9854651162790704E-2</v>
      </c>
      <c r="AE6" s="170"/>
      <c r="AF6" s="19">
        <v>0.245</v>
      </c>
      <c r="AG6" s="19">
        <v>0.115</v>
      </c>
      <c r="AH6" s="19">
        <v>3.5000000000000003E-2</v>
      </c>
    </row>
    <row r="7" spans="1:34" x14ac:dyDescent="0.2">
      <c r="A7" s="172" t="s">
        <v>437</v>
      </c>
      <c r="B7" s="18" t="s">
        <v>222</v>
      </c>
      <c r="C7" s="18">
        <v>14</v>
      </c>
      <c r="D7" s="147"/>
      <c r="E7" s="147"/>
      <c r="F7" s="147"/>
      <c r="G7" s="147"/>
      <c r="H7" s="147"/>
      <c r="I7" s="146">
        <f t="shared" si="3"/>
        <v>208.89949499999997</v>
      </c>
      <c r="J7" s="146">
        <f>I7*V7</f>
        <v>883.64486384999998</v>
      </c>
      <c r="K7" s="146">
        <f>I7*X7</f>
        <v>6.6847838399999997</v>
      </c>
      <c r="L7" s="146">
        <f>((D$2+D$3+D$4)*AA7)</f>
        <v>34.180733999999994</v>
      </c>
      <c r="M7" s="146">
        <f t="shared" si="4"/>
        <v>25.327923893999994</v>
      </c>
      <c r="N7" s="146">
        <f t="shared" si="4"/>
        <v>195.02501398379997</v>
      </c>
      <c r="O7" s="146">
        <f t="shared" ref="O7:O11" si="8">M7*AH7</f>
        <v>0.78516564071399986</v>
      </c>
      <c r="Q7" s="13"/>
      <c r="R7" s="139"/>
      <c r="S7" s="138"/>
      <c r="T7" s="139"/>
      <c r="U7" s="139"/>
      <c r="V7" s="107">
        <v>4.2300000000000004</v>
      </c>
      <c r="W7" s="150">
        <f t="shared" si="5"/>
        <v>0.441</v>
      </c>
      <c r="X7" s="19">
        <v>3.2000000000000001E-2</v>
      </c>
      <c r="Y7" s="19">
        <v>0.74099999999999999</v>
      </c>
      <c r="Z7" s="20">
        <v>7.7</v>
      </c>
      <c r="AA7" s="150">
        <f t="shared" si="6"/>
        <v>5.8799999999999998E-2</v>
      </c>
      <c r="AB7" s="7">
        <v>9.7656082020110141E-2</v>
      </c>
      <c r="AC7" s="150">
        <f t="shared" si="7"/>
        <v>4.4156976744186047E-2</v>
      </c>
      <c r="AE7" s="170"/>
      <c r="AF7" s="19">
        <v>0.45</v>
      </c>
      <c r="AG7" s="19">
        <v>0.06</v>
      </c>
      <c r="AH7" s="19">
        <v>3.1E-2</v>
      </c>
    </row>
    <row r="8" spans="1:34" x14ac:dyDescent="0.2">
      <c r="A8" s="172" t="s">
        <v>550</v>
      </c>
      <c r="B8" s="18" t="s">
        <v>222</v>
      </c>
      <c r="C8" s="18">
        <v>14</v>
      </c>
      <c r="D8" s="147"/>
      <c r="E8" s="147"/>
      <c r="F8" s="147"/>
      <c r="G8" s="147"/>
      <c r="H8" s="147"/>
      <c r="I8" s="146">
        <f t="shared" si="3"/>
        <v>16.247738500000001</v>
      </c>
      <c r="J8" s="146">
        <f>I8*V8</f>
        <v>68.24050170000001</v>
      </c>
      <c r="K8" s="146">
        <f>I8*X8</f>
        <v>0.40619346250000005</v>
      </c>
      <c r="L8" s="146">
        <f>((D$2+D$3+D$4)*AA8)</f>
        <v>8.5451834999999985</v>
      </c>
      <c r="M8" s="146">
        <f t="shared" si="4"/>
        <v>6.1781676704999988</v>
      </c>
      <c r="N8" s="146">
        <f t="shared" si="4"/>
        <v>43.123610340089996</v>
      </c>
      <c r="O8" s="146">
        <f t="shared" si="8"/>
        <v>0.15445419176249997</v>
      </c>
      <c r="Q8" s="13"/>
      <c r="R8" s="139"/>
      <c r="S8" s="138"/>
      <c r="T8" s="139"/>
      <c r="U8" s="139"/>
      <c r="V8" s="107">
        <v>4.2</v>
      </c>
      <c r="W8" s="150">
        <f t="shared" si="5"/>
        <v>3.4300000000000004E-2</v>
      </c>
      <c r="X8" s="19">
        <v>2.5000000000000001E-2</v>
      </c>
      <c r="Y8" s="19">
        <v>0.72299999999999998</v>
      </c>
      <c r="Z8" s="20">
        <v>6.98</v>
      </c>
      <c r="AA8" s="150">
        <f t="shared" si="6"/>
        <v>1.47E-2</v>
      </c>
      <c r="AB8" s="7">
        <v>6.4050162823481071E-3</v>
      </c>
      <c r="AC8" s="150">
        <f t="shared" si="7"/>
        <v>3.5610465116279071E-2</v>
      </c>
      <c r="AE8" s="170"/>
      <c r="AF8" s="19">
        <v>3.5000000000000003E-2</v>
      </c>
      <c r="AG8" s="19">
        <v>1.4999999999999999E-2</v>
      </c>
      <c r="AH8" s="19">
        <v>2.5000000000000001E-2</v>
      </c>
    </row>
    <row r="9" spans="1:34" x14ac:dyDescent="0.2">
      <c r="A9" s="172"/>
      <c r="B9" s="18" t="s">
        <v>222</v>
      </c>
      <c r="C9" s="18"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1.041573265430025E-2</v>
      </c>
      <c r="AC9" s="150">
        <f t="shared" si="7"/>
        <v>0</v>
      </c>
      <c r="AE9" s="170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70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70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 s="3"/>
      <c r="AE12" s="169"/>
      <c r="AF12" s="124"/>
      <c r="AG12" s="26"/>
      <c r="AH12" s="26"/>
    </row>
    <row r="13" spans="1:34" x14ac:dyDescent="0.2">
      <c r="A13" s="17" t="s">
        <v>60</v>
      </c>
      <c r="B13" s="18" t="s">
        <v>223</v>
      </c>
      <c r="C13" s="18">
        <v>14</v>
      </c>
      <c r="D13" s="147"/>
      <c r="E13" s="147"/>
      <c r="F13" s="147"/>
      <c r="G13" s="147"/>
      <c r="H13" s="147"/>
      <c r="I13" s="146">
        <f t="shared" ref="I13:I19" si="12">D$35*W13</f>
        <v>0</v>
      </c>
      <c r="J13" s="146">
        <f t="shared" ref="J13:J19" si="13">I13*V13</f>
        <v>0</v>
      </c>
      <c r="K13" s="146">
        <f t="shared" ref="K13:K19" si="14">I13*X13</f>
        <v>0</v>
      </c>
      <c r="L13" s="146">
        <f t="shared" ref="L13:L19" si="15">((D$2+D$3+D$4)*AA13)</f>
        <v>127.0383947</v>
      </c>
      <c r="M13" s="146">
        <f t="shared" ref="M13:N19" si="16">L13*Y13</f>
        <v>78.128612740500003</v>
      </c>
      <c r="N13" s="146">
        <f t="shared" si="16"/>
        <v>1062.5491332708</v>
      </c>
      <c r="O13" s="146">
        <f t="shared" ref="O13:O19" si="17">M13*AH13</f>
        <v>4.6095881516894996</v>
      </c>
      <c r="Q13" s="13"/>
      <c r="R13" s="139"/>
      <c r="S13" s="138"/>
      <c r="T13" s="139"/>
      <c r="U13" s="139"/>
      <c r="V13" s="107">
        <v>5.18</v>
      </c>
      <c r="W13" s="150">
        <f t="shared" ref="W13:W19" si="18">(AF13/SUM(AF$2:AF$20))*0.98</f>
        <v>0</v>
      </c>
      <c r="X13" s="19">
        <v>2.4E-2</v>
      </c>
      <c r="Y13" s="19">
        <v>0.61499999999999999</v>
      </c>
      <c r="Z13" s="20">
        <v>13.6</v>
      </c>
      <c r="AA13" s="150">
        <f t="shared" ref="AA13:AA19" si="19">(AG13/SUM(AG$6:AG$25))*0.98</f>
        <v>0.21854000000000001</v>
      </c>
      <c r="AB13" s="7">
        <v>0.1922923325788353</v>
      </c>
      <c r="AC13" s="150">
        <f t="shared" ref="AC13:AC19" si="20">(AH13/SUM(AH$6:AH$25))*0.98</f>
        <v>8.4040697674418602E-2</v>
      </c>
      <c r="AE13" s="170"/>
      <c r="AF13" s="19">
        <v>0</v>
      </c>
      <c r="AG13" s="19">
        <v>0.223</v>
      </c>
      <c r="AH13" s="19">
        <v>5.8999999999999997E-2</v>
      </c>
    </row>
    <row r="14" spans="1:34" x14ac:dyDescent="0.2">
      <c r="A14" s="17" t="s">
        <v>416</v>
      </c>
      <c r="B14" s="18" t="s">
        <v>223</v>
      </c>
      <c r="C14" s="18">
        <v>14</v>
      </c>
      <c r="D14" s="147"/>
      <c r="E14" s="147"/>
      <c r="F14" s="147"/>
      <c r="G14" s="147"/>
      <c r="H14" s="147"/>
      <c r="I14" s="146">
        <f t="shared" si="12"/>
        <v>4.6422109999999996</v>
      </c>
      <c r="J14" s="146">
        <f t="shared" si="13"/>
        <v>29.7101504</v>
      </c>
      <c r="K14" s="146">
        <f t="shared" si="14"/>
        <v>0.28317487099999999</v>
      </c>
      <c r="L14" s="146">
        <f t="shared" si="15"/>
        <v>105.96027539999999</v>
      </c>
      <c r="M14" s="146">
        <f t="shared" si="16"/>
        <v>62.198681659799988</v>
      </c>
      <c r="N14" s="146">
        <f t="shared" si="16"/>
        <v>779.34948119729381</v>
      </c>
      <c r="O14" s="146">
        <f t="shared" si="17"/>
        <v>4.3539077161859998</v>
      </c>
      <c r="Q14" s="13"/>
      <c r="R14" s="139"/>
      <c r="S14" s="138"/>
      <c r="T14" s="139"/>
      <c r="U14" s="139"/>
      <c r="V14" s="107">
        <v>6.4</v>
      </c>
      <c r="W14" s="150">
        <f t="shared" si="18"/>
        <v>9.7999999999999997E-3</v>
      </c>
      <c r="X14" s="19">
        <v>6.0999999999999999E-2</v>
      </c>
      <c r="Y14" s="19">
        <v>0.58699999999999997</v>
      </c>
      <c r="Z14" s="20">
        <v>12.53</v>
      </c>
      <c r="AA14" s="150">
        <f t="shared" si="19"/>
        <v>0.18228</v>
      </c>
      <c r="AB14" s="7">
        <v>0.14622800044087528</v>
      </c>
      <c r="AC14" s="150">
        <f t="shared" si="20"/>
        <v>9.9709302325581409E-2</v>
      </c>
      <c r="AE14" s="170"/>
      <c r="AF14" s="19">
        <v>0.01</v>
      </c>
      <c r="AG14" s="19">
        <v>0.186</v>
      </c>
      <c r="AH14" s="19">
        <v>7.0000000000000007E-2</v>
      </c>
    </row>
    <row r="15" spans="1:34" x14ac:dyDescent="0.2">
      <c r="A15" s="17" t="s">
        <v>685</v>
      </c>
      <c r="B15" s="18" t="s">
        <v>223</v>
      </c>
      <c r="C15" s="18">
        <v>14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63.234357899999992</v>
      </c>
      <c r="M15" s="146">
        <f t="shared" si="16"/>
        <v>39.015598824299992</v>
      </c>
      <c r="N15" s="146">
        <f t="shared" si="16"/>
        <v>465.84624996214188</v>
      </c>
      <c r="O15" s="146">
        <f t="shared" si="17"/>
        <v>2.7701075165252993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1.4999999999999999E-2</v>
      </c>
      <c r="Y15" s="19">
        <v>0.61699999999999999</v>
      </c>
      <c r="Z15" s="20">
        <v>11.94</v>
      </c>
      <c r="AA15" s="150">
        <f t="shared" si="19"/>
        <v>0.10878</v>
      </c>
      <c r="AB15" s="7">
        <v>7.9953635813665505E-2</v>
      </c>
      <c r="AC15" s="150">
        <f t="shared" si="20"/>
        <v>0.10113372093023255</v>
      </c>
      <c r="AE15" s="170"/>
      <c r="AF15" s="19">
        <v>0</v>
      </c>
      <c r="AG15" s="19">
        <v>0.111</v>
      </c>
      <c r="AH15" s="19">
        <v>7.0999999999999994E-2</v>
      </c>
    </row>
    <row r="16" spans="1:34" x14ac:dyDescent="0.2">
      <c r="A16" s="17" t="s">
        <v>611</v>
      </c>
      <c r="B16" s="18" t="s">
        <v>223</v>
      </c>
      <c r="C16" s="18"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39.877523000000004</v>
      </c>
      <c r="M16" s="146">
        <f t="shared" si="16"/>
        <v>25.122839490000004</v>
      </c>
      <c r="N16" s="146">
        <f t="shared" si="16"/>
        <v>251.22839490000004</v>
      </c>
      <c r="O16" s="146">
        <f t="shared" si="17"/>
        <v>1.3817561719500002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0.63</v>
      </c>
      <c r="Z16" s="20">
        <v>10</v>
      </c>
      <c r="AA16" s="150">
        <f t="shared" si="19"/>
        <v>6.8600000000000008E-2</v>
      </c>
      <c r="AB16" s="7">
        <v>7.9859126348044471E-2</v>
      </c>
      <c r="AC16" s="150">
        <f t="shared" si="20"/>
        <v>7.8343023255813951E-2</v>
      </c>
      <c r="AE16" s="170"/>
      <c r="AF16" s="19">
        <v>0</v>
      </c>
      <c r="AG16" s="19">
        <v>7.0000000000000007E-2</v>
      </c>
      <c r="AH16" s="19">
        <v>5.5E-2</v>
      </c>
    </row>
    <row r="17" spans="1:34" x14ac:dyDescent="0.2">
      <c r="A17" s="17" t="s">
        <v>618</v>
      </c>
      <c r="B17" s="18" t="s">
        <v>223</v>
      </c>
      <c r="C17" s="18"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17.090366999999997</v>
      </c>
      <c r="M17" s="146">
        <f t="shared" si="16"/>
        <v>10.151677997999998</v>
      </c>
      <c r="N17" s="146">
        <f t="shared" si="16"/>
        <v>106.38958541903999</v>
      </c>
      <c r="O17" s="146">
        <f t="shared" si="17"/>
        <v>0.60910067987999994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0.59399999999999997</v>
      </c>
      <c r="Z17" s="20">
        <v>10.48</v>
      </c>
      <c r="AA17" s="150">
        <f t="shared" si="19"/>
        <v>2.9399999999999999E-2</v>
      </c>
      <c r="AB17" s="7">
        <v>4.8800519473424689E-2</v>
      </c>
      <c r="AC17" s="150">
        <f t="shared" si="20"/>
        <v>8.5465116279069775E-2</v>
      </c>
      <c r="AE17" s="170"/>
      <c r="AF17" s="19">
        <v>0</v>
      </c>
      <c r="AG17" s="19">
        <v>0.03</v>
      </c>
      <c r="AH17" s="19">
        <v>0.06</v>
      </c>
    </row>
    <row r="18" spans="1:34" x14ac:dyDescent="0.2">
      <c r="A18" s="17" t="s">
        <v>219</v>
      </c>
      <c r="B18" s="18" t="s">
        <v>223</v>
      </c>
      <c r="C18" s="18"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8.5451834999999985</v>
      </c>
      <c r="M18" s="146">
        <f t="shared" si="16"/>
        <v>4.5374924384999993</v>
      </c>
      <c r="N18" s="146">
        <f t="shared" si="16"/>
        <v>67.336387787339987</v>
      </c>
      <c r="O18" s="146">
        <f t="shared" si="17"/>
        <v>0.31762447069499999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0.53100000000000003</v>
      </c>
      <c r="Z18" s="20">
        <v>14.84</v>
      </c>
      <c r="AA18" s="150">
        <f t="shared" si="19"/>
        <v>1.47E-2</v>
      </c>
      <c r="AB18" s="7">
        <v>1.4733470973034185E-2</v>
      </c>
      <c r="AC18" s="150">
        <f t="shared" si="20"/>
        <v>9.9709302325581409E-2</v>
      </c>
      <c r="AE18" s="170"/>
      <c r="AF18" s="19">
        <v>0</v>
      </c>
      <c r="AG18" s="19">
        <v>1.4999999999999999E-2</v>
      </c>
      <c r="AH18" s="19">
        <v>7.0000000000000007E-2</v>
      </c>
    </row>
    <row r="19" spans="1:34" x14ac:dyDescent="0.2">
      <c r="B19" s="18" t="s">
        <v>223</v>
      </c>
      <c r="C19" s="18"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5.0620814626722611E-2</v>
      </c>
      <c r="AC19" s="150">
        <f t="shared" si="20"/>
        <v>0</v>
      </c>
      <c r="AE19" s="170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14</v>
      </c>
      <c r="D20" s="147"/>
      <c r="E20" s="147"/>
      <c r="F20" s="147"/>
      <c r="G20" s="147"/>
      <c r="H20" s="147"/>
      <c r="I20" s="146">
        <f t="shared" ref="I20" si="21">D$35*W20</f>
        <v>0</v>
      </c>
      <c r="J20" s="146">
        <f t="shared" ref="J20" si="22">I20*V20</f>
        <v>0</v>
      </c>
      <c r="K20" s="146">
        <f t="shared" ref="K20" si="23">I20*X20</f>
        <v>0</v>
      </c>
      <c r="L20" s="146">
        <f t="shared" ref="L20" si="24">((D$2+D$3+D$4)*AA20)</f>
        <v>0</v>
      </c>
      <c r="M20" s="146">
        <f t="shared" ref="M20:N20" si="25">L20*Y20</f>
        <v>0</v>
      </c>
      <c r="N20" s="146">
        <f t="shared" si="25"/>
        <v>0</v>
      </c>
      <c r="O20" s="146">
        <f t="shared" ref="O20" si="26">M20*AH20</f>
        <v>0</v>
      </c>
      <c r="Q20" s="13"/>
      <c r="R20" s="139"/>
      <c r="S20" s="138"/>
      <c r="T20" s="139"/>
      <c r="U20" s="139"/>
      <c r="V20" s="107">
        <v>0</v>
      </c>
      <c r="W20" s="150">
        <f t="shared" ref="W20" si="27">(AF20/SUM(AF$2:AF$20))*0.98</f>
        <v>0</v>
      </c>
      <c r="X20" s="19">
        <v>0</v>
      </c>
      <c r="Y20" s="19">
        <v>0</v>
      </c>
      <c r="Z20" s="20">
        <v>0</v>
      </c>
      <c r="AA20" s="150">
        <f t="shared" ref="AA20" si="28">(AG20/SUM(AG$6:AG$25))*0.98</f>
        <v>0</v>
      </c>
      <c r="AB20" s="7">
        <v>0</v>
      </c>
      <c r="AC20" s="150">
        <f t="shared" ref="AC20" si="29">(AH20/SUM(AH$6:AH$25))*0.98</f>
        <v>0</v>
      </c>
      <c r="AE20" s="170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 s="3"/>
      <c r="AE21" s="169"/>
      <c r="AF21" s="124"/>
      <c r="AG21" s="26"/>
      <c r="AH21" s="26"/>
    </row>
    <row r="22" spans="1:34" x14ac:dyDescent="0.2">
      <c r="A22" s="17" t="s">
        <v>73</v>
      </c>
      <c r="B22" s="18" t="s">
        <v>10</v>
      </c>
      <c r="C22" s="18"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56.967889999999997</v>
      </c>
      <c r="M22" s="146">
        <f t="shared" ref="M22:N25" si="30">L22*Y22</f>
        <v>36.972160609999996</v>
      </c>
      <c r="N22" s="146">
        <f t="shared" si="30"/>
        <v>340.88332082419998</v>
      </c>
      <c r="O22" s="146">
        <f t="shared" ref="O22:O25" si="31">M22*AH22</f>
        <v>2.6619955639199997</v>
      </c>
      <c r="Q22" s="13"/>
      <c r="R22" s="139"/>
      <c r="S22" s="138"/>
      <c r="T22" s="139"/>
      <c r="U22" s="139"/>
      <c r="V22" s="140"/>
      <c r="W22" s="154"/>
      <c r="X22" s="139"/>
      <c r="Y22" s="19">
        <v>0.64900000000000002</v>
      </c>
      <c r="Z22" s="20">
        <v>9.2200000000000006</v>
      </c>
      <c r="AA22" s="150">
        <f>(AG22/SUM(AG$6:AG$25))*0.98</f>
        <v>9.8000000000000004E-2</v>
      </c>
      <c r="AB22" s="7">
        <v>0.13714946989377905</v>
      </c>
      <c r="AC22" s="150">
        <f>(AH22/SUM(AH$6:AH$25))*0.98</f>
        <v>0.10255813953488373</v>
      </c>
      <c r="AE22" s="170"/>
      <c r="AF22" s="168"/>
      <c r="AG22" s="19">
        <v>0.1</v>
      </c>
      <c r="AH22" s="19">
        <v>7.1999999999999995E-2</v>
      </c>
    </row>
    <row r="23" spans="1:34" x14ac:dyDescent="0.2">
      <c r="A23" s="17" t="s">
        <v>637</v>
      </c>
      <c r="B23" s="18" t="s">
        <v>10</v>
      </c>
      <c r="C23" s="18"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37.029128499999999</v>
      </c>
      <c r="M23" s="146">
        <f t="shared" si="30"/>
        <v>24.142991781999999</v>
      </c>
      <c r="N23" s="146">
        <f t="shared" si="30"/>
        <v>256.39857272483999</v>
      </c>
      <c r="O23" s="146">
        <f t="shared" si="31"/>
        <v>1.8107243836499998</v>
      </c>
      <c r="Q23" s="13"/>
      <c r="R23" s="139"/>
      <c r="S23" s="138"/>
      <c r="T23" s="139"/>
      <c r="U23" s="139"/>
      <c r="V23" s="140"/>
      <c r="W23" s="154"/>
      <c r="X23" s="139"/>
      <c r="Y23" s="19">
        <v>0.65200000000000002</v>
      </c>
      <c r="Z23" s="20">
        <v>10.62</v>
      </c>
      <c r="AA23" s="150">
        <f>(AG23/SUM(AG$6:AG$25))*0.98</f>
        <v>6.3700000000000007E-2</v>
      </c>
      <c r="AB23" s="7">
        <v>1.7460909603359023E-2</v>
      </c>
      <c r="AC23" s="150">
        <f>(AH23/SUM(AH$6:AH$25))*0.98</f>
        <v>0.1068313953488372</v>
      </c>
      <c r="AE23" s="170"/>
      <c r="AF23" s="168"/>
      <c r="AG23" s="19">
        <v>6.5000000000000002E-2</v>
      </c>
      <c r="AH23" s="19">
        <v>7.4999999999999997E-2</v>
      </c>
    </row>
    <row r="24" spans="1:34" x14ac:dyDescent="0.2">
      <c r="A24" s="17" t="s">
        <v>564</v>
      </c>
      <c r="B24" s="18" t="s">
        <v>10</v>
      </c>
      <c r="C24" s="18"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5.696788999999999</v>
      </c>
      <c r="M24" s="146">
        <f t="shared" ref="M24" si="32">L24*Y24</f>
        <v>3.6687321159999993</v>
      </c>
      <c r="N24" s="146">
        <f t="shared" ref="N24" si="33">M24*Z24</f>
        <v>38.081439364079998</v>
      </c>
      <c r="O24" s="146">
        <f t="shared" ref="O24" si="34">M24*AH24</f>
        <v>0.23846758753999997</v>
      </c>
      <c r="Q24" s="13"/>
      <c r="R24" s="139"/>
      <c r="S24" s="138"/>
      <c r="T24" s="139"/>
      <c r="U24" s="139"/>
      <c r="V24" s="140"/>
      <c r="W24" s="154"/>
      <c r="X24" s="139"/>
      <c r="Y24" s="19">
        <v>0.64400000000000002</v>
      </c>
      <c r="Z24" s="20">
        <v>10.38</v>
      </c>
      <c r="AA24" s="150">
        <f>(AG24/SUM(AG$6:AG$25))*0.98</f>
        <v>9.7999999999999997E-3</v>
      </c>
      <c r="AB24" s="7">
        <v>1.7460909603359023E-2</v>
      </c>
      <c r="AC24" s="150">
        <f>(AH24/SUM(AH$6:AH$25))*0.98</f>
        <v>9.2587209302325599E-2</v>
      </c>
      <c r="AE24" s="170"/>
      <c r="AF24" s="168"/>
      <c r="AG24" s="19">
        <v>0.01</v>
      </c>
      <c r="AH24" s="19">
        <v>6.5000000000000002E-2</v>
      </c>
    </row>
    <row r="25" spans="1:34" x14ac:dyDescent="0.2">
      <c r="B25" s="18" t="s">
        <v>10</v>
      </c>
      <c r="C25" s="18"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0"/>
        <v>0</v>
      </c>
      <c r="N25" s="146">
        <f t="shared" si="30"/>
        <v>0</v>
      </c>
      <c r="O25" s="146">
        <f t="shared" si="31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70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0.98310920034588956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1055</v>
      </c>
      <c r="E29" s="47">
        <v>0.55100000000000005</v>
      </c>
      <c r="F29" s="2">
        <f>1-E29</f>
        <v>0.44899999999999995</v>
      </c>
      <c r="G29" s="106">
        <v>4.5999999999999996</v>
      </c>
      <c r="H29" s="126">
        <v>3.5000000000000003E-2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581.30500000000006</v>
      </c>
      <c r="E32" s="156">
        <f>SUM(E2:E4)</f>
        <v>365.89661920000003</v>
      </c>
      <c r="F32" s="156">
        <f>SUM(F2:F4)</f>
        <v>4011.851693907</v>
      </c>
      <c r="G32" s="156">
        <f>SUM(G2:G4)</f>
        <v>21.438528399999999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473.69499999999994</v>
      </c>
      <c r="E35" s="156">
        <f>D35*G29</f>
        <v>2178.9969999999994</v>
      </c>
      <c r="F35" s="156">
        <f>D35*H29</f>
        <v>16.579325000000001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0" t="s">
        <v>290</v>
      </c>
      <c r="G37" s="160" t="s">
        <v>286</v>
      </c>
      <c r="H37" s="160" t="s">
        <v>287</v>
      </c>
      <c r="I37" s="160" t="s">
        <v>291</v>
      </c>
      <c r="J37" s="160" t="s">
        <v>292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5" thickBot="1" x14ac:dyDescent="0.25">
      <c r="D38" s="157">
        <f>SUM(I2:I20)</f>
        <v>464.22109999999992</v>
      </c>
      <c r="E38" s="157">
        <f>SUM(J2:J4,J6:J11,J13:J20)</f>
        <v>2163.6417028800001</v>
      </c>
      <c r="F38" s="157">
        <f>SUM(K2:K4,K6:K11,K13:K20)</f>
        <v>16.572693269999998</v>
      </c>
      <c r="G38" s="157">
        <f>SUM(L6:L11,L13:L20,L22:L25)</f>
        <v>569.67889999999989</v>
      </c>
      <c r="H38" s="157">
        <f>SUM(M6:M11,M13:M20,M22:M25)</f>
        <v>364.84173664260004</v>
      </c>
      <c r="I38" s="157">
        <f>SUM(N6:N11,N13:N20,N22:N25)</f>
        <v>4002.8679548481955</v>
      </c>
      <c r="J38" s="157">
        <f>SUM(O6:O11,O13:O20,O22:O25)</f>
        <v>21.421782084177305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5" thickTop="1" x14ac:dyDescent="0.2">
      <c r="D39" s="158">
        <f>D35-D38</f>
        <v>9.4739000000000146</v>
      </c>
      <c r="E39" s="158">
        <f>E35-E38</f>
        <v>15.35529711999925</v>
      </c>
      <c r="F39" s="158">
        <f>F35-F38</f>
        <v>6.6317300000022783E-3</v>
      </c>
      <c r="G39" s="158">
        <f>SUM(D2:D4)-G38</f>
        <v>11.626100000000065</v>
      </c>
      <c r="H39" s="158">
        <f>E32-H38</f>
        <v>1.054882557399992</v>
      </c>
      <c r="I39" s="158">
        <f>F32-I38</f>
        <v>8.9837390588045309</v>
      </c>
      <c r="J39" s="158">
        <f>G32-J38</f>
        <v>1.6746315822693703E-2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19">
    <sortCondition descending="1" ref="N13:N19"/>
  </sortState>
  <conditionalFormatting sqref="D39:J39">
    <cfRule type="cellIs" dxfId="2" priority="1" operator="lessThan">
      <formula>0</formula>
    </cfRule>
  </conditionalFormatting>
  <conditionalFormatting sqref="W28">
    <cfRule type="cellIs" dxfId="1" priority="2" operator="greaterThan">
      <formula>1</formula>
    </cfRule>
  </conditionalFormatting>
  <conditionalFormatting sqref="AA28:AG28">
    <cfRule type="cellIs" dxfId="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CF79-166B-E045-AC13-FEF25C353FB7}">
  <dimension ref="A1:D473"/>
  <sheetViews>
    <sheetView tabSelected="1" workbookViewId="0">
      <selection activeCell="H20" sqref="H20"/>
    </sheetView>
  </sheetViews>
  <sheetFormatPr baseColWidth="10" defaultRowHeight="14" x14ac:dyDescent="0.2"/>
  <cols>
    <col min="4" max="4" width="12" bestFit="1" customWidth="1"/>
  </cols>
  <sheetData>
    <row r="1" spans="1:4" x14ac:dyDescent="0.2">
      <c r="A1" t="s">
        <v>390</v>
      </c>
      <c r="B1" t="s">
        <v>340</v>
      </c>
      <c r="C1" t="s">
        <v>461</v>
      </c>
      <c r="D1" t="s">
        <v>722</v>
      </c>
    </row>
    <row r="2" spans="1:4" x14ac:dyDescent="0.2">
      <c r="A2" t="s">
        <v>9</v>
      </c>
      <c r="B2" t="s">
        <v>26</v>
      </c>
      <c r="C2" t="s">
        <v>96</v>
      </c>
      <c r="D2" s="83">
        <v>395.82932580863996</v>
      </c>
    </row>
    <row r="3" spans="1:4" x14ac:dyDescent="0.2">
      <c r="A3" t="s">
        <v>9</v>
      </c>
      <c r="B3" t="s">
        <v>19</v>
      </c>
      <c r="C3" t="s">
        <v>95</v>
      </c>
      <c r="D3" s="83">
        <v>375.62819878982395</v>
      </c>
    </row>
    <row r="4" spans="1:4" x14ac:dyDescent="0.2">
      <c r="A4" t="s">
        <v>9</v>
      </c>
      <c r="B4" t="s">
        <v>164</v>
      </c>
      <c r="C4" t="s">
        <v>117</v>
      </c>
      <c r="D4" s="83">
        <v>373.54217098705925</v>
      </c>
    </row>
    <row r="5" spans="1:4" x14ac:dyDescent="0.2">
      <c r="A5" t="s">
        <v>9</v>
      </c>
      <c r="B5" t="s">
        <v>48</v>
      </c>
      <c r="C5" t="s">
        <v>108</v>
      </c>
      <c r="D5" s="83">
        <v>366.75681728383995</v>
      </c>
    </row>
    <row r="6" spans="1:4" x14ac:dyDescent="0.2">
      <c r="A6" t="s">
        <v>9</v>
      </c>
      <c r="B6" t="s">
        <v>524</v>
      </c>
      <c r="C6" t="s">
        <v>106</v>
      </c>
      <c r="D6" s="83">
        <v>337.949489218</v>
      </c>
    </row>
    <row r="7" spans="1:4" x14ac:dyDescent="0.2">
      <c r="A7" t="s">
        <v>9</v>
      </c>
      <c r="B7" t="s">
        <v>38</v>
      </c>
      <c r="C7" t="s">
        <v>101</v>
      </c>
      <c r="D7" s="83">
        <v>334.28760747900003</v>
      </c>
    </row>
    <row r="8" spans="1:4" x14ac:dyDescent="0.2">
      <c r="A8" t="s">
        <v>9</v>
      </c>
      <c r="B8" t="s">
        <v>148</v>
      </c>
      <c r="C8" t="s">
        <v>99</v>
      </c>
      <c r="D8" s="83">
        <v>331.31720383031995</v>
      </c>
    </row>
    <row r="9" spans="1:4" x14ac:dyDescent="0.2">
      <c r="A9" t="s">
        <v>9</v>
      </c>
      <c r="B9" t="s">
        <v>610</v>
      </c>
      <c r="C9" t="s">
        <v>125</v>
      </c>
      <c r="D9" s="83">
        <v>331.08857873538</v>
      </c>
    </row>
    <row r="10" spans="1:4" x14ac:dyDescent="0.2">
      <c r="A10" t="s">
        <v>9</v>
      </c>
      <c r="B10" t="s">
        <v>522</v>
      </c>
      <c r="C10" t="s">
        <v>105</v>
      </c>
      <c r="D10" s="83">
        <v>330.83255162880005</v>
      </c>
    </row>
    <row r="11" spans="1:4" x14ac:dyDescent="0.2">
      <c r="A11" t="s">
        <v>9</v>
      </c>
      <c r="B11" t="s">
        <v>154</v>
      </c>
      <c r="C11" t="s">
        <v>104</v>
      </c>
      <c r="D11" s="83">
        <v>326.93467879072</v>
      </c>
    </row>
    <row r="12" spans="1:4" x14ac:dyDescent="0.2">
      <c r="A12" t="s">
        <v>9</v>
      </c>
      <c r="B12" t="s">
        <v>589</v>
      </c>
      <c r="C12" t="s">
        <v>98</v>
      </c>
      <c r="D12" s="83">
        <v>318.25078148102403</v>
      </c>
    </row>
    <row r="13" spans="1:4" x14ac:dyDescent="0.2">
      <c r="A13" t="s">
        <v>9</v>
      </c>
      <c r="B13" t="s">
        <v>91</v>
      </c>
      <c r="C13" t="s">
        <v>93</v>
      </c>
      <c r="D13" s="83">
        <v>313.96453693650005</v>
      </c>
    </row>
    <row r="14" spans="1:4" x14ac:dyDescent="0.2">
      <c r="A14" t="s">
        <v>9</v>
      </c>
      <c r="B14" t="s">
        <v>495</v>
      </c>
      <c r="C14" t="s">
        <v>120</v>
      </c>
      <c r="D14" s="83">
        <v>311.34483384782396</v>
      </c>
    </row>
    <row r="15" spans="1:4" x14ac:dyDescent="0.2">
      <c r="A15" t="s">
        <v>9</v>
      </c>
      <c r="B15" t="s">
        <v>181</v>
      </c>
      <c r="C15" t="s">
        <v>124</v>
      </c>
      <c r="D15" s="83">
        <v>309.60138209180002</v>
      </c>
    </row>
    <row r="16" spans="1:4" x14ac:dyDescent="0.2">
      <c r="A16" t="s">
        <v>9</v>
      </c>
      <c r="B16" t="s">
        <v>158</v>
      </c>
      <c r="C16" t="s">
        <v>109</v>
      </c>
      <c r="D16" s="83">
        <v>309.26148084574157</v>
      </c>
    </row>
    <row r="17" spans="1:4" x14ac:dyDescent="0.2">
      <c r="A17" t="s">
        <v>9</v>
      </c>
      <c r="B17" t="s">
        <v>57</v>
      </c>
      <c r="C17" t="s">
        <v>103</v>
      </c>
      <c r="D17" s="83">
        <v>306.24531786967998</v>
      </c>
    </row>
    <row r="18" spans="1:4" x14ac:dyDescent="0.2">
      <c r="A18" t="s">
        <v>9</v>
      </c>
      <c r="B18" t="s">
        <v>160</v>
      </c>
      <c r="C18" t="s">
        <v>111</v>
      </c>
      <c r="D18" s="83">
        <v>302.2407970072</v>
      </c>
    </row>
    <row r="19" spans="1:4" x14ac:dyDescent="0.2">
      <c r="A19" t="s">
        <v>9</v>
      </c>
      <c r="B19" t="s">
        <v>43</v>
      </c>
      <c r="C19" t="s">
        <v>116</v>
      </c>
      <c r="D19" s="83">
        <v>299.34462933983997</v>
      </c>
    </row>
    <row r="20" spans="1:4" x14ac:dyDescent="0.2">
      <c r="A20" t="s">
        <v>9</v>
      </c>
      <c r="B20" t="s">
        <v>85</v>
      </c>
      <c r="C20" t="s">
        <v>94</v>
      </c>
      <c r="D20" s="83">
        <v>296.18510429087996</v>
      </c>
    </row>
    <row r="21" spans="1:4" x14ac:dyDescent="0.2">
      <c r="A21" t="s">
        <v>9</v>
      </c>
      <c r="B21" t="s">
        <v>46</v>
      </c>
      <c r="C21" t="s">
        <v>100</v>
      </c>
      <c r="D21" s="83">
        <v>292.97794439760003</v>
      </c>
    </row>
    <row r="22" spans="1:4" x14ac:dyDescent="0.2">
      <c r="A22" t="s">
        <v>9</v>
      </c>
      <c r="B22" t="s">
        <v>42</v>
      </c>
      <c r="C22" t="s">
        <v>110</v>
      </c>
      <c r="D22" s="83">
        <v>290.96319501864951</v>
      </c>
    </row>
    <row r="23" spans="1:4" x14ac:dyDescent="0.2">
      <c r="A23" t="s">
        <v>9</v>
      </c>
      <c r="B23" t="s">
        <v>483</v>
      </c>
      <c r="C23" t="s">
        <v>121</v>
      </c>
      <c r="D23" s="83">
        <v>284.69249361643199</v>
      </c>
    </row>
    <row r="24" spans="1:4" x14ac:dyDescent="0.2">
      <c r="A24" t="s">
        <v>9</v>
      </c>
      <c r="B24" t="s">
        <v>624</v>
      </c>
      <c r="C24" t="s">
        <v>112</v>
      </c>
      <c r="D24" s="83">
        <v>284.59812010240006</v>
      </c>
    </row>
    <row r="25" spans="1:4" x14ac:dyDescent="0.2">
      <c r="A25" t="s">
        <v>9</v>
      </c>
      <c r="B25" t="s">
        <v>185</v>
      </c>
      <c r="C25" t="s">
        <v>119</v>
      </c>
      <c r="D25" s="83">
        <v>278.21474601614403</v>
      </c>
    </row>
    <row r="26" spans="1:4" x14ac:dyDescent="0.2">
      <c r="A26" t="s">
        <v>9</v>
      </c>
      <c r="B26" t="s">
        <v>506</v>
      </c>
      <c r="C26" t="s">
        <v>97</v>
      </c>
      <c r="D26" s="83">
        <v>277.64474536199998</v>
      </c>
    </row>
    <row r="27" spans="1:4" x14ac:dyDescent="0.2">
      <c r="A27" t="s">
        <v>9</v>
      </c>
      <c r="B27" t="s">
        <v>548</v>
      </c>
      <c r="C27" t="s">
        <v>122</v>
      </c>
      <c r="D27" s="83">
        <v>272.57225312459991</v>
      </c>
    </row>
    <row r="28" spans="1:4" x14ac:dyDescent="0.2">
      <c r="A28" t="s">
        <v>9</v>
      </c>
      <c r="B28" t="s">
        <v>75</v>
      </c>
      <c r="C28" t="s">
        <v>114</v>
      </c>
      <c r="D28" s="83">
        <v>257.64070224111998</v>
      </c>
    </row>
    <row r="29" spans="1:4" x14ac:dyDescent="0.2">
      <c r="A29" t="s">
        <v>9</v>
      </c>
      <c r="B29" t="s">
        <v>620</v>
      </c>
      <c r="C29" t="s">
        <v>113</v>
      </c>
      <c r="D29" s="83">
        <v>239.09473180042801</v>
      </c>
    </row>
    <row r="30" spans="1:4" x14ac:dyDescent="0.2">
      <c r="A30" t="s">
        <v>9</v>
      </c>
      <c r="B30" t="s">
        <v>82</v>
      </c>
      <c r="C30" t="s">
        <v>115</v>
      </c>
      <c r="D30" s="83">
        <v>222.10489002455995</v>
      </c>
    </row>
    <row r="31" spans="1:4" x14ac:dyDescent="0.2">
      <c r="A31" t="s">
        <v>9</v>
      </c>
      <c r="B31" t="s">
        <v>66</v>
      </c>
      <c r="C31" t="s">
        <v>118</v>
      </c>
      <c r="D31" s="83">
        <v>201.532956324</v>
      </c>
    </row>
    <row r="32" spans="1:4" x14ac:dyDescent="0.2">
      <c r="A32" t="s">
        <v>9</v>
      </c>
      <c r="B32" t="s">
        <v>625</v>
      </c>
      <c r="C32" t="s">
        <v>102</v>
      </c>
      <c r="D32" s="83">
        <v>201.03964756350001</v>
      </c>
    </row>
    <row r="33" spans="1:4" x14ac:dyDescent="0.2">
      <c r="A33" t="s">
        <v>9</v>
      </c>
      <c r="B33" t="s">
        <v>397</v>
      </c>
      <c r="C33" t="s">
        <v>169</v>
      </c>
      <c r="D33" s="83">
        <v>162.41279159999999</v>
      </c>
    </row>
    <row r="34" spans="1:4" x14ac:dyDescent="0.2">
      <c r="A34" t="s">
        <v>9</v>
      </c>
      <c r="B34" t="s">
        <v>180</v>
      </c>
      <c r="C34" t="s">
        <v>118</v>
      </c>
      <c r="D34" s="83">
        <v>100.70848563300001</v>
      </c>
    </row>
    <row r="35" spans="1:4" x14ac:dyDescent="0.2">
      <c r="A35" t="s">
        <v>9</v>
      </c>
      <c r="B35" t="s">
        <v>600</v>
      </c>
      <c r="C35" t="s">
        <v>169</v>
      </c>
      <c r="D35" s="83">
        <v>98.655392280000015</v>
      </c>
    </row>
    <row r="36" spans="1:4" x14ac:dyDescent="0.2">
      <c r="A36" t="s">
        <v>9</v>
      </c>
      <c r="B36" t="s">
        <v>151</v>
      </c>
      <c r="C36" t="s">
        <v>115</v>
      </c>
      <c r="D36" s="83">
        <v>64.911786210399995</v>
      </c>
    </row>
    <row r="37" spans="1:4" x14ac:dyDescent="0.2">
      <c r="A37" t="s">
        <v>9</v>
      </c>
      <c r="B37" t="s">
        <v>129</v>
      </c>
      <c r="C37" t="s">
        <v>113</v>
      </c>
      <c r="D37" s="83">
        <v>38.742384955344001</v>
      </c>
    </row>
    <row r="38" spans="1:4" x14ac:dyDescent="0.2">
      <c r="A38" t="s">
        <v>9</v>
      </c>
      <c r="B38" t="s">
        <v>626</v>
      </c>
      <c r="C38" t="s">
        <v>102</v>
      </c>
      <c r="D38" s="83">
        <v>36.205431316199991</v>
      </c>
    </row>
    <row r="39" spans="1:4" x14ac:dyDescent="0.2">
      <c r="A39" t="s">
        <v>9</v>
      </c>
      <c r="B39" t="s">
        <v>436</v>
      </c>
      <c r="C39" t="s">
        <v>119</v>
      </c>
      <c r="D39" s="83">
        <v>27.710476903968001</v>
      </c>
    </row>
    <row r="40" spans="1:4" x14ac:dyDescent="0.2">
      <c r="A40" t="s">
        <v>9</v>
      </c>
      <c r="B40" t="s">
        <v>453</v>
      </c>
      <c r="C40" t="s">
        <v>93</v>
      </c>
      <c r="D40" s="83">
        <v>18.56071909125</v>
      </c>
    </row>
    <row r="41" spans="1:4" x14ac:dyDescent="0.2">
      <c r="A41" t="s">
        <v>9</v>
      </c>
      <c r="B41" t="s">
        <v>78</v>
      </c>
      <c r="C41" t="s">
        <v>112</v>
      </c>
      <c r="D41" s="83">
        <v>17.303615899839997</v>
      </c>
    </row>
    <row r="42" spans="1:4" x14ac:dyDescent="0.2">
      <c r="A42" t="s">
        <v>9</v>
      </c>
      <c r="B42" t="s">
        <v>182</v>
      </c>
      <c r="C42" t="s">
        <v>125</v>
      </c>
      <c r="D42" s="83">
        <v>13.192682096700002</v>
      </c>
    </row>
    <row r="43" spans="1:4" x14ac:dyDescent="0.2">
      <c r="A43" t="s">
        <v>9</v>
      </c>
      <c r="B43" t="s">
        <v>580</v>
      </c>
      <c r="C43" t="s">
        <v>99</v>
      </c>
      <c r="D43" s="83">
        <v>12.32176968060001</v>
      </c>
    </row>
    <row r="44" spans="1:4" x14ac:dyDescent="0.2">
      <c r="A44" t="s">
        <v>9</v>
      </c>
      <c r="B44" t="s">
        <v>597</v>
      </c>
      <c r="C44" t="s">
        <v>106</v>
      </c>
      <c r="D44" s="83">
        <v>11.991640597200011</v>
      </c>
    </row>
    <row r="45" spans="1:4" x14ac:dyDescent="0.2">
      <c r="A45" t="s">
        <v>9</v>
      </c>
      <c r="B45" t="s">
        <v>31</v>
      </c>
      <c r="C45" t="s">
        <v>97</v>
      </c>
      <c r="D45" s="83">
        <v>11.884636309999998</v>
      </c>
    </row>
    <row r="46" spans="1:4" x14ac:dyDescent="0.2">
      <c r="A46" t="s">
        <v>9</v>
      </c>
      <c r="B46" t="s">
        <v>457</v>
      </c>
      <c r="C46" t="s">
        <v>121</v>
      </c>
      <c r="D46" s="83">
        <v>11.746668500160002</v>
      </c>
    </row>
    <row r="47" spans="1:4" x14ac:dyDescent="0.2">
      <c r="A47" t="s">
        <v>9</v>
      </c>
      <c r="B47" t="s">
        <v>11</v>
      </c>
      <c r="C47" t="s">
        <v>110</v>
      </c>
      <c r="D47" s="83">
        <v>11.27498843144001</v>
      </c>
    </row>
    <row r="48" spans="1:4" x14ac:dyDescent="0.2">
      <c r="A48" t="s">
        <v>9</v>
      </c>
      <c r="B48" t="s">
        <v>184</v>
      </c>
      <c r="C48" t="s">
        <v>100</v>
      </c>
      <c r="D48" s="83">
        <v>7.1280318186000038</v>
      </c>
    </row>
    <row r="49" spans="1:4" x14ac:dyDescent="0.2">
      <c r="A49" t="s">
        <v>9</v>
      </c>
      <c r="B49" t="s">
        <v>399</v>
      </c>
      <c r="C49" t="s">
        <v>111</v>
      </c>
      <c r="D49" s="83">
        <v>6.8469736127040051</v>
      </c>
    </row>
    <row r="50" spans="1:4" x14ac:dyDescent="0.2">
      <c r="A50" t="s">
        <v>9</v>
      </c>
      <c r="B50" t="s">
        <v>609</v>
      </c>
      <c r="C50" t="s">
        <v>122</v>
      </c>
      <c r="D50" s="83">
        <v>6.6373866058499988</v>
      </c>
    </row>
    <row r="51" spans="1:4" x14ac:dyDescent="0.2">
      <c r="A51" t="s">
        <v>9</v>
      </c>
      <c r="B51" t="s">
        <v>585</v>
      </c>
      <c r="C51" t="s">
        <v>95</v>
      </c>
      <c r="D51" s="83">
        <v>6.452833848480001</v>
      </c>
    </row>
    <row r="52" spans="1:4" x14ac:dyDescent="0.2">
      <c r="A52" t="s">
        <v>9</v>
      </c>
      <c r="B52" t="s">
        <v>186</v>
      </c>
      <c r="C52" t="s">
        <v>94</v>
      </c>
      <c r="D52" s="83">
        <v>6.4204729228800002</v>
      </c>
    </row>
    <row r="53" spans="1:4" x14ac:dyDescent="0.2">
      <c r="A53" t="s">
        <v>9</v>
      </c>
      <c r="B53" t="s">
        <v>574</v>
      </c>
      <c r="C53" t="s">
        <v>101</v>
      </c>
      <c r="D53" s="83">
        <v>5.697326827800004</v>
      </c>
    </row>
    <row r="54" spans="1:4" x14ac:dyDescent="0.2">
      <c r="A54" t="s">
        <v>9</v>
      </c>
      <c r="B54" t="s">
        <v>418</v>
      </c>
      <c r="C54" t="s">
        <v>117</v>
      </c>
      <c r="D54" s="83">
        <v>5.3997111671040043</v>
      </c>
    </row>
    <row r="55" spans="1:4" x14ac:dyDescent="0.2">
      <c r="A55" t="s">
        <v>9</v>
      </c>
      <c r="B55" t="s">
        <v>593</v>
      </c>
      <c r="C55" t="s">
        <v>103</v>
      </c>
      <c r="D55" s="83">
        <v>5.3230360408560049</v>
      </c>
    </row>
    <row r="56" spans="1:4" x14ac:dyDescent="0.2">
      <c r="A56" t="s">
        <v>9</v>
      </c>
      <c r="B56" t="s">
        <v>458</v>
      </c>
      <c r="C56" t="s">
        <v>116</v>
      </c>
      <c r="D56" s="83">
        <v>5.1004583192640007</v>
      </c>
    </row>
    <row r="57" spans="1:4" x14ac:dyDescent="0.2">
      <c r="A57" t="s">
        <v>9</v>
      </c>
      <c r="B57" t="s">
        <v>616</v>
      </c>
      <c r="C57" t="s">
        <v>114</v>
      </c>
      <c r="D57" s="83">
        <v>4.8003418979999992</v>
      </c>
    </row>
    <row r="58" spans="1:4" x14ac:dyDescent="0.2">
      <c r="A58" t="s">
        <v>9</v>
      </c>
      <c r="B58" t="s">
        <v>572</v>
      </c>
      <c r="C58" t="s">
        <v>98</v>
      </c>
      <c r="D58" s="83">
        <v>4.2553898524800013</v>
      </c>
    </row>
    <row r="59" spans="1:4" x14ac:dyDescent="0.2">
      <c r="A59" t="s">
        <v>9</v>
      </c>
      <c r="B59" t="s">
        <v>606</v>
      </c>
      <c r="C59" t="s">
        <v>120</v>
      </c>
      <c r="D59" s="83">
        <v>4.2144476761439993</v>
      </c>
    </row>
    <row r="60" spans="1:4" x14ac:dyDescent="0.2">
      <c r="A60" t="s">
        <v>9</v>
      </c>
      <c r="B60" t="s">
        <v>183</v>
      </c>
      <c r="C60" t="s">
        <v>124</v>
      </c>
      <c r="D60" s="83">
        <v>2.5996852557000025</v>
      </c>
    </row>
    <row r="61" spans="1:4" x14ac:dyDescent="0.2">
      <c r="A61" t="s">
        <v>9</v>
      </c>
      <c r="B61" t="s">
        <v>613</v>
      </c>
      <c r="C61" t="s">
        <v>108</v>
      </c>
      <c r="D61" s="83">
        <v>2.4426883584000016</v>
      </c>
    </row>
    <row r="62" spans="1:4" x14ac:dyDescent="0.2">
      <c r="A62" t="s">
        <v>9</v>
      </c>
      <c r="B62" t="s">
        <v>567</v>
      </c>
      <c r="C62" t="s">
        <v>96</v>
      </c>
      <c r="D62" s="83">
        <v>2.2387300761600017</v>
      </c>
    </row>
    <row r="63" spans="1:4" x14ac:dyDescent="0.2">
      <c r="A63" t="s">
        <v>9</v>
      </c>
      <c r="B63" t="s">
        <v>518</v>
      </c>
      <c r="C63" t="s">
        <v>104</v>
      </c>
      <c r="D63" s="83">
        <v>2.1737542400000023</v>
      </c>
    </row>
    <row r="64" spans="1:4" x14ac:dyDescent="0.2">
      <c r="A64" t="s">
        <v>9</v>
      </c>
      <c r="B64" t="s">
        <v>494</v>
      </c>
      <c r="C64" t="s">
        <v>109</v>
      </c>
      <c r="D64" s="83">
        <v>2.1720732159600025</v>
      </c>
    </row>
    <row r="65" spans="1:4" x14ac:dyDescent="0.2">
      <c r="A65" t="s">
        <v>9</v>
      </c>
      <c r="B65" t="s">
        <v>653</v>
      </c>
      <c r="C65" t="s">
        <v>105</v>
      </c>
      <c r="D65" s="83">
        <v>2.072494528</v>
      </c>
    </row>
    <row r="66" spans="1:4" x14ac:dyDescent="0.2">
      <c r="A66" t="s">
        <v>222</v>
      </c>
      <c r="B66" t="s">
        <v>5</v>
      </c>
      <c r="C66" t="s">
        <v>120</v>
      </c>
      <c r="D66" s="83">
        <v>302.45567415335995</v>
      </c>
    </row>
    <row r="67" spans="1:4" x14ac:dyDescent="0.2">
      <c r="A67" t="s">
        <v>222</v>
      </c>
      <c r="B67" t="s">
        <v>156</v>
      </c>
      <c r="C67" t="s">
        <v>106</v>
      </c>
      <c r="D67" s="83">
        <v>258.01645011296</v>
      </c>
    </row>
    <row r="68" spans="1:4" x14ac:dyDescent="0.2">
      <c r="A68" t="s">
        <v>222</v>
      </c>
      <c r="B68" t="s">
        <v>432</v>
      </c>
      <c r="C68" t="s">
        <v>116</v>
      </c>
      <c r="D68" s="83">
        <v>257.07200314096002</v>
      </c>
    </row>
    <row r="69" spans="1:4" x14ac:dyDescent="0.2">
      <c r="A69" t="s">
        <v>222</v>
      </c>
      <c r="B69" t="s">
        <v>501</v>
      </c>
      <c r="C69" t="s">
        <v>94</v>
      </c>
      <c r="D69" s="83">
        <v>245.19116975169601</v>
      </c>
    </row>
    <row r="70" spans="1:4" x14ac:dyDescent="0.2">
      <c r="A70" t="s">
        <v>222</v>
      </c>
      <c r="B70" t="s">
        <v>81</v>
      </c>
      <c r="C70" t="s">
        <v>117</v>
      </c>
      <c r="D70" s="83">
        <v>236.38640270031365</v>
      </c>
    </row>
    <row r="71" spans="1:4" x14ac:dyDescent="0.2">
      <c r="A71" t="s">
        <v>222</v>
      </c>
      <c r="B71" t="s">
        <v>61</v>
      </c>
      <c r="C71" t="s">
        <v>95</v>
      </c>
      <c r="D71" s="83">
        <v>231.37918964159999</v>
      </c>
    </row>
    <row r="72" spans="1:4" x14ac:dyDescent="0.2">
      <c r="A72" t="s">
        <v>222</v>
      </c>
      <c r="B72" t="s">
        <v>442</v>
      </c>
      <c r="C72" t="s">
        <v>110</v>
      </c>
      <c r="D72" s="83">
        <v>228.99287845407679</v>
      </c>
    </row>
    <row r="73" spans="1:4" x14ac:dyDescent="0.2">
      <c r="A73" t="s">
        <v>222</v>
      </c>
      <c r="B73" t="s">
        <v>515</v>
      </c>
      <c r="C73" t="s">
        <v>103</v>
      </c>
      <c r="D73" s="83">
        <v>220.63154206799999</v>
      </c>
    </row>
    <row r="74" spans="1:4" x14ac:dyDescent="0.2">
      <c r="A74" t="s">
        <v>222</v>
      </c>
      <c r="B74" t="s">
        <v>30</v>
      </c>
      <c r="C74" t="s">
        <v>105</v>
      </c>
      <c r="D74" s="83">
        <v>219.5935959949056</v>
      </c>
    </row>
    <row r="75" spans="1:4" x14ac:dyDescent="0.2">
      <c r="A75" t="s">
        <v>222</v>
      </c>
      <c r="B75" t="s">
        <v>484</v>
      </c>
      <c r="C75" t="s">
        <v>108</v>
      </c>
      <c r="D75" s="83">
        <v>217.17277173760002</v>
      </c>
    </row>
    <row r="76" spans="1:4" x14ac:dyDescent="0.2">
      <c r="A76" t="s">
        <v>222</v>
      </c>
      <c r="B76" t="s">
        <v>555</v>
      </c>
      <c r="C76" t="s">
        <v>111</v>
      </c>
      <c r="D76" s="83">
        <v>209.1741526616</v>
      </c>
    </row>
    <row r="77" spans="1:4" x14ac:dyDescent="0.2">
      <c r="A77" t="s">
        <v>222</v>
      </c>
      <c r="B77" t="s">
        <v>44</v>
      </c>
      <c r="C77" t="s">
        <v>112</v>
      </c>
      <c r="D77" s="83">
        <v>209.09487775680006</v>
      </c>
    </row>
    <row r="78" spans="1:4" x14ac:dyDescent="0.2">
      <c r="A78" t="s">
        <v>222</v>
      </c>
      <c r="B78" t="s">
        <v>440</v>
      </c>
      <c r="C78" t="s">
        <v>121</v>
      </c>
      <c r="D78" s="83">
        <v>206.90615457993601</v>
      </c>
    </row>
    <row r="79" spans="1:4" x14ac:dyDescent="0.2">
      <c r="A79" t="s">
        <v>222</v>
      </c>
      <c r="B79" t="s">
        <v>199</v>
      </c>
      <c r="C79" t="s">
        <v>113</v>
      </c>
      <c r="D79" s="83">
        <v>198.29344996664003</v>
      </c>
    </row>
    <row r="80" spans="1:4" x14ac:dyDescent="0.2">
      <c r="A80" t="s">
        <v>222</v>
      </c>
      <c r="B80" t="s">
        <v>77</v>
      </c>
      <c r="C80" t="s">
        <v>104</v>
      </c>
      <c r="D80" s="83">
        <v>195.67667368737602</v>
      </c>
    </row>
    <row r="81" spans="1:4" x14ac:dyDescent="0.2">
      <c r="A81" t="s">
        <v>222</v>
      </c>
      <c r="B81" t="s">
        <v>411</v>
      </c>
      <c r="C81" t="s">
        <v>124</v>
      </c>
      <c r="D81" s="83">
        <v>191.02926081876004</v>
      </c>
    </row>
    <row r="82" spans="1:4" x14ac:dyDescent="0.2">
      <c r="A82" t="s">
        <v>222</v>
      </c>
      <c r="B82" t="s">
        <v>553</v>
      </c>
      <c r="C82" t="s">
        <v>119</v>
      </c>
      <c r="D82" s="83">
        <v>190.67445786002884</v>
      </c>
    </row>
    <row r="83" spans="1:4" x14ac:dyDescent="0.2">
      <c r="A83" t="s">
        <v>222</v>
      </c>
      <c r="B83" t="s">
        <v>431</v>
      </c>
      <c r="C83" t="s">
        <v>169</v>
      </c>
      <c r="D83" s="83">
        <v>189.99861955200001</v>
      </c>
    </row>
    <row r="84" spans="1:4" x14ac:dyDescent="0.2">
      <c r="A84" t="s">
        <v>222</v>
      </c>
      <c r="B84" t="s">
        <v>32</v>
      </c>
      <c r="C84" t="s">
        <v>100</v>
      </c>
      <c r="D84" s="83">
        <v>186.48854343350001</v>
      </c>
    </row>
    <row r="85" spans="1:4" x14ac:dyDescent="0.2">
      <c r="A85" t="s">
        <v>222</v>
      </c>
      <c r="B85" t="s">
        <v>84</v>
      </c>
      <c r="C85" t="s">
        <v>114</v>
      </c>
      <c r="D85" s="83">
        <v>186.30770878732321</v>
      </c>
    </row>
    <row r="86" spans="1:4" x14ac:dyDescent="0.2">
      <c r="A86" t="s">
        <v>222</v>
      </c>
      <c r="B86" t="s">
        <v>70</v>
      </c>
      <c r="C86" t="s">
        <v>93</v>
      </c>
      <c r="D86" s="83">
        <v>183.41902516644001</v>
      </c>
    </row>
    <row r="87" spans="1:4" x14ac:dyDescent="0.2">
      <c r="A87" t="s">
        <v>222</v>
      </c>
      <c r="B87" t="s">
        <v>36</v>
      </c>
      <c r="C87" t="s">
        <v>101</v>
      </c>
      <c r="D87" s="83">
        <v>182.70860020896004</v>
      </c>
    </row>
    <row r="88" spans="1:4" x14ac:dyDescent="0.2">
      <c r="A88" t="s">
        <v>222</v>
      </c>
      <c r="B88" t="s">
        <v>171</v>
      </c>
      <c r="C88" t="s">
        <v>98</v>
      </c>
      <c r="D88" s="83">
        <v>181.93578197759999</v>
      </c>
    </row>
    <row r="89" spans="1:4" x14ac:dyDescent="0.2">
      <c r="A89" t="s">
        <v>222</v>
      </c>
      <c r="B89" t="s">
        <v>452</v>
      </c>
      <c r="C89" t="s">
        <v>96</v>
      </c>
      <c r="D89" s="83">
        <v>179.83295741859843</v>
      </c>
    </row>
    <row r="90" spans="1:4" x14ac:dyDescent="0.2">
      <c r="A90" t="s">
        <v>222</v>
      </c>
      <c r="B90" t="s">
        <v>549</v>
      </c>
      <c r="C90" t="s">
        <v>122</v>
      </c>
      <c r="D90" s="83">
        <v>179.74989474634501</v>
      </c>
    </row>
    <row r="91" spans="1:4" x14ac:dyDescent="0.2">
      <c r="A91" t="s">
        <v>222</v>
      </c>
      <c r="B91" t="s">
        <v>27</v>
      </c>
      <c r="C91" t="s">
        <v>103</v>
      </c>
      <c r="D91" s="83">
        <v>169.16697923389603</v>
      </c>
    </row>
    <row r="92" spans="1:4" x14ac:dyDescent="0.2">
      <c r="A92" t="s">
        <v>222</v>
      </c>
      <c r="B92" t="s">
        <v>437</v>
      </c>
      <c r="C92" t="s">
        <v>125</v>
      </c>
      <c r="D92" s="83">
        <v>165.35064661466396</v>
      </c>
    </row>
    <row r="93" spans="1:4" x14ac:dyDescent="0.2">
      <c r="A93" t="s">
        <v>222</v>
      </c>
      <c r="B93" t="s">
        <v>20</v>
      </c>
      <c r="C93" t="s">
        <v>109</v>
      </c>
      <c r="D93" s="83">
        <v>164.41601479424801</v>
      </c>
    </row>
    <row r="94" spans="1:4" x14ac:dyDescent="0.2">
      <c r="A94" t="s">
        <v>222</v>
      </c>
      <c r="B94" t="s">
        <v>137</v>
      </c>
      <c r="C94" t="s">
        <v>111</v>
      </c>
      <c r="D94" s="83">
        <v>161.98180355896005</v>
      </c>
    </row>
    <row r="95" spans="1:4" x14ac:dyDescent="0.2">
      <c r="A95" t="s">
        <v>222</v>
      </c>
      <c r="B95" t="s">
        <v>571</v>
      </c>
      <c r="C95" t="s">
        <v>99</v>
      </c>
      <c r="D95" s="83">
        <v>161.43138356486401</v>
      </c>
    </row>
    <row r="96" spans="1:4" x14ac:dyDescent="0.2">
      <c r="A96" t="s">
        <v>222</v>
      </c>
      <c r="B96" t="s">
        <v>25</v>
      </c>
      <c r="C96" t="s">
        <v>115</v>
      </c>
      <c r="D96" s="83">
        <v>160.63613698890239</v>
      </c>
    </row>
    <row r="97" spans="1:4" x14ac:dyDescent="0.2">
      <c r="A97" t="s">
        <v>222</v>
      </c>
      <c r="B97" t="s">
        <v>37</v>
      </c>
      <c r="C97" t="s">
        <v>122</v>
      </c>
      <c r="D97" s="83">
        <v>158.11878126983396</v>
      </c>
    </row>
    <row r="98" spans="1:4" x14ac:dyDescent="0.2">
      <c r="A98" t="s">
        <v>222</v>
      </c>
      <c r="B98" t="s">
        <v>194</v>
      </c>
      <c r="C98" t="s">
        <v>97</v>
      </c>
      <c r="D98" s="83">
        <v>155.42741467344004</v>
      </c>
    </row>
    <row r="99" spans="1:4" x14ac:dyDescent="0.2">
      <c r="A99" t="s">
        <v>222</v>
      </c>
      <c r="B99" t="s">
        <v>201</v>
      </c>
      <c r="C99" t="s">
        <v>118</v>
      </c>
      <c r="D99" s="83">
        <v>152.23876476732002</v>
      </c>
    </row>
    <row r="100" spans="1:4" x14ac:dyDescent="0.2">
      <c r="A100" t="s">
        <v>222</v>
      </c>
      <c r="B100" t="s">
        <v>198</v>
      </c>
      <c r="C100" t="s">
        <v>102</v>
      </c>
      <c r="D100" s="83">
        <v>146.73668960395202</v>
      </c>
    </row>
    <row r="101" spans="1:4" x14ac:dyDescent="0.2">
      <c r="A101" t="s">
        <v>222</v>
      </c>
      <c r="B101" t="s">
        <v>14</v>
      </c>
      <c r="C101" t="s">
        <v>125</v>
      </c>
      <c r="D101" s="83">
        <v>142.52301029694701</v>
      </c>
    </row>
    <row r="102" spans="1:4" x14ac:dyDescent="0.2">
      <c r="A102" t="s">
        <v>222</v>
      </c>
      <c r="B102" t="s">
        <v>543</v>
      </c>
      <c r="C102" t="s">
        <v>119</v>
      </c>
      <c r="D102" s="83">
        <v>141.12839053736855</v>
      </c>
    </row>
    <row r="103" spans="1:4" x14ac:dyDescent="0.2">
      <c r="A103" t="s">
        <v>222</v>
      </c>
      <c r="B103" t="s">
        <v>485</v>
      </c>
      <c r="C103" t="s">
        <v>118</v>
      </c>
      <c r="D103" s="83">
        <v>139.57479769148998</v>
      </c>
    </row>
    <row r="104" spans="1:4" x14ac:dyDescent="0.2">
      <c r="A104" t="s">
        <v>222</v>
      </c>
      <c r="B104" t="s">
        <v>563</v>
      </c>
      <c r="C104" t="s">
        <v>101</v>
      </c>
      <c r="D104" s="83">
        <v>122.60550555187201</v>
      </c>
    </row>
    <row r="105" spans="1:4" x14ac:dyDescent="0.2">
      <c r="A105" t="s">
        <v>222</v>
      </c>
      <c r="B105" t="s">
        <v>422</v>
      </c>
      <c r="C105" t="s">
        <v>94</v>
      </c>
      <c r="D105" s="83">
        <v>117.2617367326272</v>
      </c>
    </row>
    <row r="106" spans="1:4" x14ac:dyDescent="0.2">
      <c r="A106" t="s">
        <v>222</v>
      </c>
      <c r="B106" t="s">
        <v>463</v>
      </c>
      <c r="C106" t="s">
        <v>112</v>
      </c>
      <c r="D106" s="83">
        <v>116.83272378624001</v>
      </c>
    </row>
    <row r="107" spans="1:4" x14ac:dyDescent="0.2">
      <c r="A107" t="s">
        <v>222</v>
      </c>
      <c r="B107" t="s">
        <v>639</v>
      </c>
      <c r="C107" t="s">
        <v>93</v>
      </c>
      <c r="D107" s="83">
        <v>113.81129370954001</v>
      </c>
    </row>
    <row r="108" spans="1:4" x14ac:dyDescent="0.2">
      <c r="A108" t="s">
        <v>222</v>
      </c>
      <c r="B108" t="s">
        <v>509</v>
      </c>
      <c r="C108" t="s">
        <v>99</v>
      </c>
      <c r="D108" s="83">
        <v>112.90314533836799</v>
      </c>
    </row>
    <row r="109" spans="1:4" x14ac:dyDescent="0.2">
      <c r="A109" t="s">
        <v>222</v>
      </c>
      <c r="B109" t="s">
        <v>426</v>
      </c>
      <c r="C109" t="s">
        <v>100</v>
      </c>
      <c r="D109" s="83">
        <v>112.71807855</v>
      </c>
    </row>
    <row r="110" spans="1:4" x14ac:dyDescent="0.2">
      <c r="A110" t="s">
        <v>222</v>
      </c>
      <c r="B110" t="s">
        <v>166</v>
      </c>
      <c r="C110" t="s">
        <v>113</v>
      </c>
      <c r="D110" s="83">
        <v>112.358046343648</v>
      </c>
    </row>
    <row r="111" spans="1:4" x14ac:dyDescent="0.2">
      <c r="A111" t="s">
        <v>222</v>
      </c>
      <c r="B111" t="s">
        <v>635</v>
      </c>
      <c r="C111" t="s">
        <v>97</v>
      </c>
      <c r="D111" s="83">
        <v>111.15842767764001</v>
      </c>
    </row>
    <row r="112" spans="1:4" x14ac:dyDescent="0.2">
      <c r="A112" t="s">
        <v>222</v>
      </c>
      <c r="B112" t="s">
        <v>405</v>
      </c>
      <c r="C112" t="s">
        <v>109</v>
      </c>
      <c r="D112" s="83">
        <v>110.24050291947</v>
      </c>
    </row>
    <row r="113" spans="1:4" x14ac:dyDescent="0.2">
      <c r="A113" t="s">
        <v>222</v>
      </c>
      <c r="B113" t="s">
        <v>663</v>
      </c>
      <c r="C113" t="s">
        <v>110</v>
      </c>
      <c r="D113" s="83">
        <v>107.8874054752704</v>
      </c>
    </row>
    <row r="114" spans="1:4" x14ac:dyDescent="0.2">
      <c r="A114" t="s">
        <v>222</v>
      </c>
      <c r="B114" t="s">
        <v>537</v>
      </c>
      <c r="C114" t="s">
        <v>114</v>
      </c>
      <c r="D114" s="83">
        <v>106.29797474510063</v>
      </c>
    </row>
    <row r="115" spans="1:4" x14ac:dyDescent="0.2">
      <c r="A115" t="s">
        <v>222</v>
      </c>
      <c r="B115" t="s">
        <v>643</v>
      </c>
      <c r="C115" t="s">
        <v>96</v>
      </c>
      <c r="D115" s="83">
        <v>95.421957594163203</v>
      </c>
    </row>
    <row r="116" spans="1:4" x14ac:dyDescent="0.2">
      <c r="A116" t="s">
        <v>222</v>
      </c>
      <c r="B116" t="s">
        <v>196</v>
      </c>
      <c r="C116" t="s">
        <v>102</v>
      </c>
      <c r="D116" s="83">
        <v>95.098238476724006</v>
      </c>
    </row>
    <row r="117" spans="1:4" x14ac:dyDescent="0.2">
      <c r="A117" t="s">
        <v>222</v>
      </c>
      <c r="B117" t="s">
        <v>652</v>
      </c>
      <c r="C117" t="s">
        <v>104</v>
      </c>
      <c r="D117" s="83">
        <v>92.192326900800012</v>
      </c>
    </row>
    <row r="118" spans="1:4" x14ac:dyDescent="0.2">
      <c r="A118" t="s">
        <v>222</v>
      </c>
      <c r="B118" t="s">
        <v>665</v>
      </c>
      <c r="C118" t="s">
        <v>111</v>
      </c>
      <c r="D118" s="83">
        <v>91.322713680576001</v>
      </c>
    </row>
    <row r="119" spans="1:4" x14ac:dyDescent="0.2">
      <c r="A119" t="s">
        <v>222</v>
      </c>
      <c r="B119" t="s">
        <v>552</v>
      </c>
      <c r="C119" t="s">
        <v>98</v>
      </c>
      <c r="D119" s="83">
        <v>90.562940092799991</v>
      </c>
    </row>
    <row r="120" spans="1:4" x14ac:dyDescent="0.2">
      <c r="A120" t="s">
        <v>222</v>
      </c>
      <c r="B120" t="s">
        <v>651</v>
      </c>
      <c r="C120" t="s">
        <v>102</v>
      </c>
      <c r="D120" s="83">
        <v>81.797843901900023</v>
      </c>
    </row>
    <row r="121" spans="1:4" x14ac:dyDescent="0.2">
      <c r="A121" t="s">
        <v>222</v>
      </c>
      <c r="B121" t="s">
        <v>28</v>
      </c>
      <c r="C121" t="s">
        <v>118</v>
      </c>
      <c r="D121" s="83">
        <v>80.717055472620004</v>
      </c>
    </row>
    <row r="122" spans="1:4" x14ac:dyDescent="0.2">
      <c r="A122" t="s">
        <v>222</v>
      </c>
      <c r="B122" t="s">
        <v>683</v>
      </c>
      <c r="C122" t="s">
        <v>121</v>
      </c>
      <c r="D122" s="83">
        <v>80.274500634451215</v>
      </c>
    </row>
    <row r="123" spans="1:4" x14ac:dyDescent="0.2">
      <c r="A123" t="s">
        <v>222</v>
      </c>
      <c r="B123" t="s">
        <v>527</v>
      </c>
      <c r="C123" t="s">
        <v>124</v>
      </c>
      <c r="D123" s="83">
        <v>79.728725952917998</v>
      </c>
    </row>
    <row r="124" spans="1:4" x14ac:dyDescent="0.2">
      <c r="A124" t="s">
        <v>222</v>
      </c>
      <c r="B124" t="s">
        <v>195</v>
      </c>
      <c r="C124" t="s">
        <v>98</v>
      </c>
      <c r="D124" s="83">
        <v>76.037838458399975</v>
      </c>
    </row>
    <row r="125" spans="1:4" x14ac:dyDescent="0.2">
      <c r="A125" t="s">
        <v>222</v>
      </c>
      <c r="B125" t="s">
        <v>86</v>
      </c>
      <c r="C125" t="s">
        <v>169</v>
      </c>
      <c r="D125" s="83">
        <v>73.474373489999991</v>
      </c>
    </row>
    <row r="126" spans="1:4" x14ac:dyDescent="0.2">
      <c r="A126" t="s">
        <v>222</v>
      </c>
      <c r="B126" t="s">
        <v>672</v>
      </c>
      <c r="C126" t="s">
        <v>116</v>
      </c>
      <c r="D126" s="83">
        <v>72.605119912371222</v>
      </c>
    </row>
    <row r="127" spans="1:4" x14ac:dyDescent="0.2">
      <c r="A127" t="s">
        <v>222</v>
      </c>
      <c r="B127" t="s">
        <v>462</v>
      </c>
      <c r="C127" t="s">
        <v>117</v>
      </c>
      <c r="D127" s="83">
        <v>70.970163755904011</v>
      </c>
    </row>
    <row r="128" spans="1:4" x14ac:dyDescent="0.2">
      <c r="A128" t="s">
        <v>222</v>
      </c>
      <c r="B128" t="s">
        <v>157</v>
      </c>
      <c r="C128" t="s">
        <v>108</v>
      </c>
      <c r="D128" s="83">
        <v>70.102759408639983</v>
      </c>
    </row>
    <row r="129" spans="1:4" x14ac:dyDescent="0.2">
      <c r="A129" t="s">
        <v>222</v>
      </c>
      <c r="B129" t="s">
        <v>202</v>
      </c>
      <c r="C129" t="s">
        <v>120</v>
      </c>
      <c r="D129" s="83">
        <v>68.224312325870386</v>
      </c>
    </row>
    <row r="130" spans="1:4" x14ac:dyDescent="0.2">
      <c r="A130" t="s">
        <v>222</v>
      </c>
      <c r="B130" t="s">
        <v>654</v>
      </c>
      <c r="C130" t="s">
        <v>105</v>
      </c>
      <c r="D130" s="83">
        <v>66.159671968000012</v>
      </c>
    </row>
    <row r="131" spans="1:4" x14ac:dyDescent="0.2">
      <c r="A131" t="s">
        <v>222</v>
      </c>
      <c r="B131" t="s">
        <v>679</v>
      </c>
      <c r="C131" t="s">
        <v>120</v>
      </c>
      <c r="D131" s="83">
        <v>65.973710530123185</v>
      </c>
    </row>
    <row r="132" spans="1:4" x14ac:dyDescent="0.2">
      <c r="A132" t="s">
        <v>222</v>
      </c>
      <c r="B132" t="s">
        <v>659</v>
      </c>
      <c r="C132" t="s">
        <v>169</v>
      </c>
      <c r="D132" s="83">
        <v>65.827752244799996</v>
      </c>
    </row>
    <row r="133" spans="1:4" x14ac:dyDescent="0.2">
      <c r="A133" t="s">
        <v>222</v>
      </c>
      <c r="B133" t="s">
        <v>539</v>
      </c>
      <c r="C133" t="s">
        <v>115</v>
      </c>
      <c r="D133" s="83">
        <v>62.589561267430412</v>
      </c>
    </row>
    <row r="134" spans="1:4" x14ac:dyDescent="0.2">
      <c r="A134" t="s">
        <v>222</v>
      </c>
      <c r="B134" t="s">
        <v>671</v>
      </c>
      <c r="C134" t="s">
        <v>115</v>
      </c>
      <c r="D134" s="83">
        <v>59.648622234331199</v>
      </c>
    </row>
    <row r="135" spans="1:4" x14ac:dyDescent="0.2">
      <c r="A135" t="s">
        <v>222</v>
      </c>
      <c r="B135" t="s">
        <v>90</v>
      </c>
      <c r="C135" t="s">
        <v>121</v>
      </c>
      <c r="D135" s="83">
        <v>58.608012904245008</v>
      </c>
    </row>
    <row r="136" spans="1:4" x14ac:dyDescent="0.2">
      <c r="A136" t="s">
        <v>222</v>
      </c>
      <c r="B136" t="s">
        <v>660</v>
      </c>
      <c r="C136" t="s">
        <v>109</v>
      </c>
      <c r="D136" s="83">
        <v>57.720941137439993</v>
      </c>
    </row>
    <row r="137" spans="1:4" x14ac:dyDescent="0.2">
      <c r="A137" t="s">
        <v>222</v>
      </c>
      <c r="B137" t="s">
        <v>688</v>
      </c>
      <c r="C137" t="s">
        <v>95</v>
      </c>
      <c r="D137" s="83">
        <v>56.086905436799995</v>
      </c>
    </row>
    <row r="138" spans="1:4" x14ac:dyDescent="0.2">
      <c r="A138" t="s">
        <v>222</v>
      </c>
      <c r="B138" t="s">
        <v>406</v>
      </c>
      <c r="C138" t="s">
        <v>100</v>
      </c>
      <c r="D138" s="83">
        <v>49.677862080000004</v>
      </c>
    </row>
    <row r="139" spans="1:4" x14ac:dyDescent="0.2">
      <c r="A139" t="s">
        <v>222</v>
      </c>
      <c r="B139" t="s">
        <v>172</v>
      </c>
      <c r="C139" t="s">
        <v>114</v>
      </c>
      <c r="D139" s="83">
        <v>47.008275267918272</v>
      </c>
    </row>
    <row r="140" spans="1:4" x14ac:dyDescent="0.2">
      <c r="A140" t="s">
        <v>222</v>
      </c>
      <c r="B140" t="s">
        <v>482</v>
      </c>
      <c r="C140" t="s">
        <v>104</v>
      </c>
      <c r="D140" s="83">
        <v>46.699534555968008</v>
      </c>
    </row>
    <row r="141" spans="1:4" x14ac:dyDescent="0.2">
      <c r="A141" t="s">
        <v>222</v>
      </c>
      <c r="B141" t="s">
        <v>673</v>
      </c>
      <c r="C141" t="s">
        <v>116</v>
      </c>
      <c r="D141" s="83">
        <v>46.256093781296009</v>
      </c>
    </row>
    <row r="142" spans="1:4" x14ac:dyDescent="0.2">
      <c r="A142" t="s">
        <v>222</v>
      </c>
      <c r="B142" t="s">
        <v>675</v>
      </c>
      <c r="C142" t="s">
        <v>117</v>
      </c>
      <c r="D142" s="83">
        <v>46.071657628416006</v>
      </c>
    </row>
    <row r="143" spans="1:4" x14ac:dyDescent="0.2">
      <c r="A143" t="s">
        <v>222</v>
      </c>
      <c r="B143" t="s">
        <v>512</v>
      </c>
      <c r="C143" t="s">
        <v>101</v>
      </c>
      <c r="D143" s="83">
        <v>45.58296467793599</v>
      </c>
    </row>
    <row r="144" spans="1:4" x14ac:dyDescent="0.2">
      <c r="A144" t="s">
        <v>222</v>
      </c>
      <c r="B144" t="s">
        <v>429</v>
      </c>
      <c r="C144" t="s">
        <v>105</v>
      </c>
      <c r="D144" s="83">
        <v>45.497728859648007</v>
      </c>
    </row>
    <row r="145" spans="1:4" x14ac:dyDescent="0.2">
      <c r="A145" t="s">
        <v>222</v>
      </c>
      <c r="B145" t="s">
        <v>641</v>
      </c>
      <c r="C145" t="s">
        <v>94</v>
      </c>
      <c r="D145" s="83">
        <v>42.690711185337598</v>
      </c>
    </row>
    <row r="146" spans="1:4" x14ac:dyDescent="0.2">
      <c r="A146" t="s">
        <v>222</v>
      </c>
      <c r="B146" t="s">
        <v>561</v>
      </c>
      <c r="C146" t="s">
        <v>95</v>
      </c>
      <c r="D146" s="83">
        <v>41.590578107601594</v>
      </c>
    </row>
    <row r="147" spans="1:4" x14ac:dyDescent="0.2">
      <c r="A147" t="s">
        <v>222</v>
      </c>
      <c r="B147" t="s">
        <v>598</v>
      </c>
      <c r="C147" t="s">
        <v>106</v>
      </c>
      <c r="D147" s="83">
        <v>40.170814067999999</v>
      </c>
    </row>
    <row r="148" spans="1:4" x14ac:dyDescent="0.2">
      <c r="A148" t="s">
        <v>222</v>
      </c>
      <c r="B148" t="s">
        <v>71</v>
      </c>
      <c r="C148" t="s">
        <v>97</v>
      </c>
      <c r="D148" s="83">
        <v>37.084329000767994</v>
      </c>
    </row>
    <row r="149" spans="1:4" x14ac:dyDescent="0.2">
      <c r="A149" t="s">
        <v>222</v>
      </c>
      <c r="B149" t="s">
        <v>541</v>
      </c>
      <c r="C149" t="s">
        <v>116</v>
      </c>
      <c r="D149" s="83">
        <v>33.195925074849605</v>
      </c>
    </row>
    <row r="150" spans="1:4" x14ac:dyDescent="0.2">
      <c r="A150" t="s">
        <v>222</v>
      </c>
      <c r="B150" t="s">
        <v>170</v>
      </c>
      <c r="C150" t="s">
        <v>124</v>
      </c>
      <c r="D150" s="83">
        <v>29.691011263031999</v>
      </c>
    </row>
    <row r="151" spans="1:4" x14ac:dyDescent="0.2">
      <c r="A151" t="s">
        <v>222</v>
      </c>
      <c r="B151" t="s">
        <v>558</v>
      </c>
      <c r="C151" t="s">
        <v>119</v>
      </c>
      <c r="D151" s="83">
        <v>28.830867027374996</v>
      </c>
    </row>
    <row r="152" spans="1:4" x14ac:dyDescent="0.2">
      <c r="A152" t="s">
        <v>222</v>
      </c>
      <c r="B152" t="s">
        <v>200</v>
      </c>
      <c r="C152" t="s">
        <v>93</v>
      </c>
      <c r="D152" s="83">
        <v>28.2512233269</v>
      </c>
    </row>
    <row r="153" spans="1:4" x14ac:dyDescent="0.2">
      <c r="A153" t="s">
        <v>222</v>
      </c>
      <c r="B153" t="s">
        <v>430</v>
      </c>
      <c r="C153" t="s">
        <v>109</v>
      </c>
      <c r="D153" s="83">
        <v>23.872239645878398</v>
      </c>
    </row>
    <row r="154" spans="1:4" x14ac:dyDescent="0.2">
      <c r="A154" t="s">
        <v>222</v>
      </c>
      <c r="B154" t="s">
        <v>603</v>
      </c>
      <c r="C154" t="s">
        <v>113</v>
      </c>
      <c r="D154" s="83">
        <v>23.675142996988001</v>
      </c>
    </row>
    <row r="155" spans="1:4" x14ac:dyDescent="0.2">
      <c r="A155" t="s">
        <v>222</v>
      </c>
      <c r="B155" t="s">
        <v>617</v>
      </c>
      <c r="C155" t="s">
        <v>122</v>
      </c>
      <c r="D155" s="83">
        <v>23.519939289</v>
      </c>
    </row>
    <row r="156" spans="1:4" x14ac:dyDescent="0.2">
      <c r="A156" t="s">
        <v>222</v>
      </c>
      <c r="B156" t="s">
        <v>464</v>
      </c>
      <c r="C156" t="s">
        <v>108</v>
      </c>
      <c r="D156" s="83">
        <v>23.444296960000003</v>
      </c>
    </row>
    <row r="157" spans="1:4" x14ac:dyDescent="0.2">
      <c r="A157" t="s">
        <v>222</v>
      </c>
      <c r="B157" t="s">
        <v>525</v>
      </c>
      <c r="C157" t="s">
        <v>106</v>
      </c>
      <c r="D157" s="83">
        <v>22.991422196511998</v>
      </c>
    </row>
    <row r="158" spans="1:4" x14ac:dyDescent="0.2">
      <c r="A158" t="s">
        <v>222</v>
      </c>
      <c r="B158" t="s">
        <v>568</v>
      </c>
      <c r="C158" t="s">
        <v>102</v>
      </c>
      <c r="D158" s="83">
        <v>22.372623066780001</v>
      </c>
    </row>
    <row r="159" spans="1:4" x14ac:dyDescent="0.2">
      <c r="A159" t="s">
        <v>222</v>
      </c>
      <c r="B159" t="s">
        <v>612</v>
      </c>
      <c r="C159" t="s">
        <v>101</v>
      </c>
      <c r="D159" s="83">
        <v>22.019979806999999</v>
      </c>
    </row>
    <row r="160" spans="1:4" x14ac:dyDescent="0.2">
      <c r="A160" t="s">
        <v>222</v>
      </c>
      <c r="B160" t="s">
        <v>197</v>
      </c>
      <c r="C160" t="s">
        <v>99</v>
      </c>
      <c r="D160" s="83">
        <v>21.211792024415999</v>
      </c>
    </row>
    <row r="161" spans="1:4" x14ac:dyDescent="0.2">
      <c r="A161" t="s">
        <v>222</v>
      </c>
      <c r="B161" t="s">
        <v>579</v>
      </c>
      <c r="C161" t="s">
        <v>95</v>
      </c>
      <c r="D161" s="83">
        <v>20.135598235760003</v>
      </c>
    </row>
    <row r="162" spans="1:4" x14ac:dyDescent="0.2">
      <c r="A162" t="s">
        <v>222</v>
      </c>
      <c r="B162" t="s">
        <v>582</v>
      </c>
      <c r="C162" t="s">
        <v>103</v>
      </c>
      <c r="D162" s="83">
        <v>19.247159624000005</v>
      </c>
    </row>
    <row r="163" spans="1:4" x14ac:dyDescent="0.2">
      <c r="A163" t="s">
        <v>222</v>
      </c>
      <c r="B163" t="s">
        <v>410</v>
      </c>
      <c r="C163" t="s">
        <v>115</v>
      </c>
      <c r="D163" s="83">
        <v>19.134680254928</v>
      </c>
    </row>
    <row r="164" spans="1:4" x14ac:dyDescent="0.2">
      <c r="A164" t="s">
        <v>222</v>
      </c>
      <c r="B164" t="s">
        <v>492</v>
      </c>
      <c r="C164" t="s">
        <v>97</v>
      </c>
      <c r="D164" s="83">
        <v>17.937397642752</v>
      </c>
    </row>
    <row r="165" spans="1:4" x14ac:dyDescent="0.2">
      <c r="A165" t="s">
        <v>222</v>
      </c>
      <c r="B165" t="s">
        <v>550</v>
      </c>
      <c r="C165" t="s">
        <v>125</v>
      </c>
      <c r="D165" s="83">
        <v>17.589380964834</v>
      </c>
    </row>
    <row r="166" spans="1:4" x14ac:dyDescent="0.2">
      <c r="A166" t="s">
        <v>222</v>
      </c>
      <c r="B166" t="s">
        <v>601</v>
      </c>
      <c r="C166" t="s">
        <v>110</v>
      </c>
      <c r="D166" s="83">
        <v>16.630721401223997</v>
      </c>
    </row>
    <row r="167" spans="1:4" x14ac:dyDescent="0.2">
      <c r="A167" t="s">
        <v>222</v>
      </c>
      <c r="B167" t="s">
        <v>545</v>
      </c>
      <c r="C167" t="s">
        <v>121</v>
      </c>
      <c r="D167" s="83">
        <v>15.938611166570402</v>
      </c>
    </row>
    <row r="168" spans="1:4" x14ac:dyDescent="0.2">
      <c r="A168" t="s">
        <v>222</v>
      </c>
      <c r="B168" t="s">
        <v>586</v>
      </c>
      <c r="C168" t="s">
        <v>96</v>
      </c>
      <c r="D168" s="83">
        <v>15.235430730239997</v>
      </c>
    </row>
    <row r="169" spans="1:4" x14ac:dyDescent="0.2">
      <c r="A169" t="s">
        <v>222</v>
      </c>
      <c r="B169" t="s">
        <v>490</v>
      </c>
      <c r="C169" t="s">
        <v>120</v>
      </c>
      <c r="D169" s="83">
        <v>14.324998254839997</v>
      </c>
    </row>
    <row r="170" spans="1:4" x14ac:dyDescent="0.2">
      <c r="A170" t="s">
        <v>222</v>
      </c>
      <c r="B170" t="s">
        <v>560</v>
      </c>
      <c r="C170" t="s">
        <v>99</v>
      </c>
      <c r="D170" s="83">
        <v>14.0733526416</v>
      </c>
    </row>
    <row r="171" spans="1:4" x14ac:dyDescent="0.2">
      <c r="A171" t="s">
        <v>222</v>
      </c>
      <c r="B171" t="s">
        <v>570</v>
      </c>
      <c r="C171" t="s">
        <v>112</v>
      </c>
      <c r="D171" s="83">
        <v>12.987665208000001</v>
      </c>
    </row>
    <row r="172" spans="1:4" x14ac:dyDescent="0.2">
      <c r="A172" t="s">
        <v>222</v>
      </c>
      <c r="B172" t="s">
        <v>331</v>
      </c>
      <c r="C172" t="s">
        <v>111</v>
      </c>
      <c r="D172" s="83">
        <v>12.085693513600001</v>
      </c>
    </row>
    <row r="173" spans="1:4" x14ac:dyDescent="0.2">
      <c r="A173" t="s">
        <v>222</v>
      </c>
      <c r="B173" t="s">
        <v>168</v>
      </c>
      <c r="C173" t="s">
        <v>93</v>
      </c>
      <c r="D173" s="83">
        <v>10.875601878749999</v>
      </c>
    </row>
    <row r="174" spans="1:4" x14ac:dyDescent="0.2">
      <c r="A174" t="s">
        <v>222</v>
      </c>
      <c r="B174" t="s">
        <v>657</v>
      </c>
      <c r="C174" t="s">
        <v>124</v>
      </c>
      <c r="D174" s="83">
        <v>4.9467571719999999</v>
      </c>
    </row>
    <row r="175" spans="1:4" x14ac:dyDescent="0.2">
      <c r="A175" t="s">
        <v>223</v>
      </c>
      <c r="B175" t="s">
        <v>49</v>
      </c>
      <c r="C175" t="s">
        <v>111</v>
      </c>
      <c r="D175" s="83">
        <v>276.05461827121923</v>
      </c>
    </row>
    <row r="176" spans="1:4" x14ac:dyDescent="0.2">
      <c r="A176" t="s">
        <v>223</v>
      </c>
      <c r="B176" t="s">
        <v>150</v>
      </c>
      <c r="C176" t="s">
        <v>101</v>
      </c>
      <c r="D176" s="83">
        <v>252.66183146769589</v>
      </c>
    </row>
    <row r="177" spans="1:4" x14ac:dyDescent="0.2">
      <c r="A177" t="s">
        <v>223</v>
      </c>
      <c r="B177" t="s">
        <v>209</v>
      </c>
      <c r="C177" t="s">
        <v>103</v>
      </c>
      <c r="D177" s="83">
        <v>250.73054050100694</v>
      </c>
    </row>
    <row r="178" spans="1:4" x14ac:dyDescent="0.2">
      <c r="A178" t="s">
        <v>223</v>
      </c>
      <c r="B178" t="s">
        <v>162</v>
      </c>
      <c r="C178" t="s">
        <v>112</v>
      </c>
      <c r="D178" s="83">
        <v>244.5777406576</v>
      </c>
    </row>
    <row r="179" spans="1:4" x14ac:dyDescent="0.2">
      <c r="A179" t="s">
        <v>223</v>
      </c>
      <c r="B179" t="s">
        <v>207</v>
      </c>
      <c r="C179" t="s">
        <v>99</v>
      </c>
      <c r="D179" s="83">
        <v>239.22255571620002</v>
      </c>
    </row>
    <row r="180" spans="1:4" x14ac:dyDescent="0.2">
      <c r="A180" t="s">
        <v>223</v>
      </c>
      <c r="B180" t="s">
        <v>535</v>
      </c>
      <c r="C180" t="s">
        <v>110</v>
      </c>
      <c r="D180" s="83">
        <v>229.36045052313952</v>
      </c>
    </row>
    <row r="181" spans="1:4" x14ac:dyDescent="0.2">
      <c r="A181" t="s">
        <v>223</v>
      </c>
      <c r="B181" t="s">
        <v>12</v>
      </c>
      <c r="C181" t="s">
        <v>120</v>
      </c>
      <c r="D181" s="83">
        <v>227.35073229258597</v>
      </c>
    </row>
    <row r="182" spans="1:4" x14ac:dyDescent="0.2">
      <c r="A182" t="s">
        <v>223</v>
      </c>
      <c r="B182" t="s">
        <v>62</v>
      </c>
      <c r="C182" t="s">
        <v>117</v>
      </c>
      <c r="D182" s="83">
        <v>216.54967608681122</v>
      </c>
    </row>
    <row r="183" spans="1:4" x14ac:dyDescent="0.2">
      <c r="A183" t="s">
        <v>223</v>
      </c>
      <c r="B183" t="s">
        <v>64</v>
      </c>
      <c r="C183" t="s">
        <v>121</v>
      </c>
      <c r="D183" s="83">
        <v>210.90826433402879</v>
      </c>
    </row>
    <row r="184" spans="1:4" x14ac:dyDescent="0.2">
      <c r="A184" t="s">
        <v>223</v>
      </c>
      <c r="B184" t="s">
        <v>165</v>
      </c>
      <c r="C184" t="s">
        <v>120</v>
      </c>
      <c r="D184" s="83">
        <v>209.84308981574395</v>
      </c>
    </row>
    <row r="185" spans="1:4" x14ac:dyDescent="0.2">
      <c r="A185" t="s">
        <v>223</v>
      </c>
      <c r="B185" t="s">
        <v>210</v>
      </c>
      <c r="C185" t="s">
        <v>105</v>
      </c>
      <c r="D185" s="83">
        <v>205.18742284185601</v>
      </c>
    </row>
    <row r="186" spans="1:4" x14ac:dyDescent="0.2">
      <c r="A186" t="s">
        <v>223</v>
      </c>
      <c r="B186" t="s">
        <v>621</v>
      </c>
      <c r="C186" t="s">
        <v>93</v>
      </c>
      <c r="D186" s="83">
        <v>204.83187286464002</v>
      </c>
    </row>
    <row r="187" spans="1:4" x14ac:dyDescent="0.2">
      <c r="A187" t="s">
        <v>223</v>
      </c>
      <c r="B187" t="s">
        <v>213</v>
      </c>
      <c r="C187" t="s">
        <v>111</v>
      </c>
      <c r="D187" s="83">
        <v>201.51482224375039</v>
      </c>
    </row>
    <row r="188" spans="1:4" x14ac:dyDescent="0.2">
      <c r="A188" t="s">
        <v>223</v>
      </c>
      <c r="B188" t="s">
        <v>149</v>
      </c>
      <c r="C188" t="s">
        <v>99</v>
      </c>
      <c r="D188" s="83">
        <v>200.92599491277602</v>
      </c>
    </row>
    <row r="189" spans="1:4" x14ac:dyDescent="0.2">
      <c r="A189" t="s">
        <v>223</v>
      </c>
      <c r="B189" t="s">
        <v>177</v>
      </c>
      <c r="C189" t="s">
        <v>119</v>
      </c>
      <c r="D189" s="83">
        <v>199.92229009247873</v>
      </c>
    </row>
    <row r="190" spans="1:4" x14ac:dyDescent="0.2">
      <c r="A190" t="s">
        <v>223</v>
      </c>
      <c r="B190" t="s">
        <v>403</v>
      </c>
      <c r="C190" t="s">
        <v>94</v>
      </c>
      <c r="D190" s="83">
        <v>196.45429046443195</v>
      </c>
    </row>
    <row r="191" spans="1:4" x14ac:dyDescent="0.2">
      <c r="A191" t="s">
        <v>223</v>
      </c>
      <c r="B191" t="s">
        <v>419</v>
      </c>
      <c r="C191" t="s">
        <v>116</v>
      </c>
      <c r="D191" s="83">
        <v>193.57599061120317</v>
      </c>
    </row>
    <row r="192" spans="1:4" x14ac:dyDescent="0.2">
      <c r="A192" t="s">
        <v>223</v>
      </c>
      <c r="B192" t="s">
        <v>519</v>
      </c>
      <c r="C192" t="s">
        <v>104</v>
      </c>
      <c r="D192" s="83">
        <v>191.81540749896001</v>
      </c>
    </row>
    <row r="193" spans="1:4" x14ac:dyDescent="0.2">
      <c r="A193" t="s">
        <v>223</v>
      </c>
      <c r="B193" t="s">
        <v>205</v>
      </c>
      <c r="C193" t="s">
        <v>98</v>
      </c>
      <c r="D193" s="83">
        <v>190.97919337139996</v>
      </c>
    </row>
    <row r="194" spans="1:4" x14ac:dyDescent="0.2">
      <c r="A194" t="s">
        <v>223</v>
      </c>
      <c r="B194" t="s">
        <v>420</v>
      </c>
      <c r="C194" t="s">
        <v>114</v>
      </c>
      <c r="D194" s="83">
        <v>190.09510405256719</v>
      </c>
    </row>
    <row r="195" spans="1:4" x14ac:dyDescent="0.2">
      <c r="A195" t="s">
        <v>223</v>
      </c>
      <c r="B195" t="s">
        <v>434</v>
      </c>
      <c r="C195" t="s">
        <v>118</v>
      </c>
      <c r="D195" s="83">
        <v>189.09800485379998</v>
      </c>
    </row>
    <row r="196" spans="1:4" x14ac:dyDescent="0.2">
      <c r="A196" t="s">
        <v>223</v>
      </c>
      <c r="B196" t="s">
        <v>34</v>
      </c>
      <c r="C196" t="s">
        <v>100</v>
      </c>
      <c r="D196" s="83">
        <v>185.65527934799999</v>
      </c>
    </row>
    <row r="197" spans="1:4" x14ac:dyDescent="0.2">
      <c r="A197" t="s">
        <v>223</v>
      </c>
      <c r="B197" t="s">
        <v>216</v>
      </c>
      <c r="C197" t="s">
        <v>117</v>
      </c>
      <c r="D197" s="83">
        <v>184.12883214768004</v>
      </c>
    </row>
    <row r="198" spans="1:4" x14ac:dyDescent="0.2">
      <c r="A198" t="s">
        <v>223</v>
      </c>
      <c r="B198" t="s">
        <v>622</v>
      </c>
      <c r="C198" t="s">
        <v>115</v>
      </c>
      <c r="D198" s="83">
        <v>183.31286653088634</v>
      </c>
    </row>
    <row r="199" spans="1:4" x14ac:dyDescent="0.2">
      <c r="A199" t="s">
        <v>223</v>
      </c>
      <c r="B199" t="s">
        <v>88</v>
      </c>
      <c r="C199" t="s">
        <v>105</v>
      </c>
      <c r="D199" s="83">
        <v>181.51740331712003</v>
      </c>
    </row>
    <row r="200" spans="1:4" x14ac:dyDescent="0.2">
      <c r="A200" t="s">
        <v>223</v>
      </c>
      <c r="B200" t="s">
        <v>45</v>
      </c>
      <c r="C200" t="s">
        <v>169</v>
      </c>
      <c r="D200" s="83">
        <v>181.43058009999996</v>
      </c>
    </row>
    <row r="201" spans="1:4" x14ac:dyDescent="0.2">
      <c r="A201" t="s">
        <v>223</v>
      </c>
      <c r="B201" t="s">
        <v>173</v>
      </c>
      <c r="C201" t="s">
        <v>122</v>
      </c>
      <c r="D201" s="83">
        <v>180.79272407195992</v>
      </c>
    </row>
    <row r="202" spans="1:4" x14ac:dyDescent="0.2">
      <c r="A202" t="s">
        <v>223</v>
      </c>
      <c r="B202" t="s">
        <v>536</v>
      </c>
      <c r="C202" t="s">
        <v>112</v>
      </c>
      <c r="D202" s="83">
        <v>179.59176974591995</v>
      </c>
    </row>
    <row r="203" spans="1:4" x14ac:dyDescent="0.2">
      <c r="A203" t="s">
        <v>223</v>
      </c>
      <c r="B203" t="s">
        <v>55</v>
      </c>
      <c r="C203" t="s">
        <v>110</v>
      </c>
      <c r="D203" s="83">
        <v>178.52334044159994</v>
      </c>
    </row>
    <row r="204" spans="1:4" x14ac:dyDescent="0.2">
      <c r="A204" t="s">
        <v>223</v>
      </c>
      <c r="B204" t="s">
        <v>89</v>
      </c>
      <c r="C204" t="s">
        <v>124</v>
      </c>
      <c r="D204" s="83">
        <v>178.08309643672794</v>
      </c>
    </row>
    <row r="205" spans="1:4" x14ac:dyDescent="0.2">
      <c r="A205" t="s">
        <v>223</v>
      </c>
      <c r="B205" t="s">
        <v>554</v>
      </c>
      <c r="C205" t="s">
        <v>105</v>
      </c>
      <c r="D205" s="83">
        <v>177.76265426399999</v>
      </c>
    </row>
    <row r="206" spans="1:4" x14ac:dyDescent="0.2">
      <c r="A206" t="s">
        <v>223</v>
      </c>
      <c r="B206" t="s">
        <v>628</v>
      </c>
      <c r="C206" t="s">
        <v>124</v>
      </c>
      <c r="D206" s="83">
        <v>177.04765259999994</v>
      </c>
    </row>
    <row r="207" spans="1:4" x14ac:dyDescent="0.2">
      <c r="A207" t="s">
        <v>223</v>
      </c>
      <c r="B207" t="s">
        <v>39</v>
      </c>
      <c r="C207" t="s">
        <v>102</v>
      </c>
      <c r="D207" s="83">
        <v>176.02978377907999</v>
      </c>
    </row>
    <row r="208" spans="1:4" x14ac:dyDescent="0.2">
      <c r="A208" t="s">
        <v>223</v>
      </c>
      <c r="B208" t="s">
        <v>530</v>
      </c>
      <c r="C208" t="s">
        <v>108</v>
      </c>
      <c r="D208" s="83">
        <v>174.33131313919995</v>
      </c>
    </row>
    <row r="209" spans="1:4" x14ac:dyDescent="0.2">
      <c r="A209" t="s">
        <v>223</v>
      </c>
      <c r="B209" t="s">
        <v>60</v>
      </c>
      <c r="C209" t="s">
        <v>125</v>
      </c>
      <c r="D209" s="83">
        <v>172.97674860746699</v>
      </c>
    </row>
    <row r="210" spans="1:4" x14ac:dyDescent="0.2">
      <c r="A210" t="s">
        <v>223</v>
      </c>
      <c r="B210" t="s">
        <v>65</v>
      </c>
      <c r="C210" t="s">
        <v>121</v>
      </c>
      <c r="D210" s="83">
        <v>172.82871671083197</v>
      </c>
    </row>
    <row r="211" spans="1:4" x14ac:dyDescent="0.2">
      <c r="A211" t="s">
        <v>223</v>
      </c>
      <c r="B211" t="s">
        <v>502</v>
      </c>
      <c r="C211" t="s">
        <v>95</v>
      </c>
      <c r="D211" s="83">
        <v>171.6694996834272</v>
      </c>
    </row>
    <row r="212" spans="1:4" x14ac:dyDescent="0.2">
      <c r="A212" t="s">
        <v>223</v>
      </c>
      <c r="B212" t="s">
        <v>408</v>
      </c>
      <c r="C212" t="s">
        <v>103</v>
      </c>
      <c r="D212" s="83">
        <v>170.67243936779397</v>
      </c>
    </row>
    <row r="213" spans="1:4" x14ac:dyDescent="0.2">
      <c r="A213" t="s">
        <v>223</v>
      </c>
      <c r="B213" t="s">
        <v>6</v>
      </c>
      <c r="C213" t="s">
        <v>96</v>
      </c>
      <c r="D213" s="83">
        <v>167.65626644121596</v>
      </c>
    </row>
    <row r="214" spans="1:4" x14ac:dyDescent="0.2">
      <c r="A214" t="s">
        <v>223</v>
      </c>
      <c r="B214" t="s">
        <v>632</v>
      </c>
      <c r="C214" t="s">
        <v>96</v>
      </c>
      <c r="D214" s="83">
        <v>166.64394539519995</v>
      </c>
    </row>
    <row r="215" spans="1:4" x14ac:dyDescent="0.2">
      <c r="A215" t="s">
        <v>223</v>
      </c>
      <c r="B215" t="s">
        <v>633</v>
      </c>
      <c r="C215" t="s">
        <v>109</v>
      </c>
      <c r="D215" s="83">
        <v>166.25112709127995</v>
      </c>
    </row>
    <row r="216" spans="1:4" x14ac:dyDescent="0.2">
      <c r="A216" t="s">
        <v>223</v>
      </c>
      <c r="B216" t="s">
        <v>447</v>
      </c>
      <c r="C216" t="s">
        <v>104</v>
      </c>
      <c r="D216" s="83">
        <v>165.95201752729599</v>
      </c>
    </row>
    <row r="217" spans="1:4" x14ac:dyDescent="0.2">
      <c r="A217" t="s">
        <v>223</v>
      </c>
      <c r="B217" t="s">
        <v>631</v>
      </c>
      <c r="C217" t="s">
        <v>97</v>
      </c>
      <c r="D217" s="83">
        <v>163.16862053171394</v>
      </c>
    </row>
    <row r="218" spans="1:4" x14ac:dyDescent="0.2">
      <c r="A218" t="s">
        <v>223</v>
      </c>
      <c r="B218" t="s">
        <v>468</v>
      </c>
      <c r="C218" t="s">
        <v>106</v>
      </c>
      <c r="D218" s="83">
        <v>161.37858230487842</v>
      </c>
    </row>
    <row r="219" spans="1:4" x14ac:dyDescent="0.2">
      <c r="A219" t="s">
        <v>223</v>
      </c>
      <c r="B219" t="s">
        <v>53</v>
      </c>
      <c r="C219" t="s">
        <v>101</v>
      </c>
      <c r="D219" s="83">
        <v>159.86001222374398</v>
      </c>
    </row>
    <row r="220" spans="1:4" x14ac:dyDescent="0.2">
      <c r="A220" t="s">
        <v>223</v>
      </c>
      <c r="B220" t="s">
        <v>544</v>
      </c>
      <c r="C220" t="s">
        <v>119</v>
      </c>
      <c r="D220" s="83">
        <v>159.726471459072</v>
      </c>
    </row>
    <row r="221" spans="1:4" x14ac:dyDescent="0.2">
      <c r="A221" t="s">
        <v>223</v>
      </c>
      <c r="B221" t="s">
        <v>629</v>
      </c>
      <c r="C221" t="s">
        <v>108</v>
      </c>
      <c r="D221" s="83">
        <v>159.24169963519995</v>
      </c>
    </row>
    <row r="222" spans="1:4" x14ac:dyDescent="0.2">
      <c r="A222" t="s">
        <v>223</v>
      </c>
      <c r="B222" t="s">
        <v>139</v>
      </c>
      <c r="C222" t="s">
        <v>97</v>
      </c>
      <c r="D222" s="83">
        <v>157.09497063649198</v>
      </c>
    </row>
    <row r="223" spans="1:4" x14ac:dyDescent="0.2">
      <c r="A223" t="s">
        <v>223</v>
      </c>
      <c r="B223" t="s">
        <v>493</v>
      </c>
      <c r="C223" t="s">
        <v>122</v>
      </c>
      <c r="D223" s="83">
        <v>154.50712981703998</v>
      </c>
    </row>
    <row r="224" spans="1:4" x14ac:dyDescent="0.2">
      <c r="A224" t="s">
        <v>223</v>
      </c>
      <c r="B224" t="s">
        <v>16</v>
      </c>
      <c r="C224" t="s">
        <v>116</v>
      </c>
      <c r="D224" s="83">
        <v>154.22685332053999</v>
      </c>
    </row>
    <row r="225" spans="1:4" x14ac:dyDescent="0.2">
      <c r="A225" t="s">
        <v>223</v>
      </c>
      <c r="B225" t="s">
        <v>138</v>
      </c>
      <c r="C225" t="s">
        <v>169</v>
      </c>
      <c r="D225" s="83">
        <v>152.92230757999994</v>
      </c>
    </row>
    <row r="226" spans="1:4" x14ac:dyDescent="0.2">
      <c r="A226" t="s">
        <v>223</v>
      </c>
      <c r="B226" t="s">
        <v>15</v>
      </c>
      <c r="C226" t="s">
        <v>98</v>
      </c>
      <c r="D226" s="83">
        <v>151.05445991999994</v>
      </c>
    </row>
    <row r="227" spans="1:4" x14ac:dyDescent="0.2">
      <c r="A227" t="s">
        <v>223</v>
      </c>
      <c r="B227" t="s">
        <v>67</v>
      </c>
      <c r="C227" t="s">
        <v>119</v>
      </c>
      <c r="D227" s="83">
        <v>149.2854967056096</v>
      </c>
    </row>
    <row r="228" spans="1:4" x14ac:dyDescent="0.2">
      <c r="A228" t="s">
        <v>223</v>
      </c>
      <c r="B228" t="s">
        <v>21</v>
      </c>
      <c r="C228" t="s">
        <v>108</v>
      </c>
      <c r="D228" s="83">
        <v>147.63615491071997</v>
      </c>
    </row>
    <row r="229" spans="1:4" x14ac:dyDescent="0.2">
      <c r="A229" t="s">
        <v>223</v>
      </c>
      <c r="B229" t="s">
        <v>500</v>
      </c>
      <c r="C229" t="s">
        <v>93</v>
      </c>
      <c r="D229" s="83">
        <v>144.59086635304499</v>
      </c>
    </row>
    <row r="230" spans="1:4" x14ac:dyDescent="0.2">
      <c r="A230" t="s">
        <v>223</v>
      </c>
      <c r="B230" t="s">
        <v>678</v>
      </c>
      <c r="C230" t="s">
        <v>118</v>
      </c>
      <c r="D230" s="83">
        <v>144.40403499564002</v>
      </c>
    </row>
    <row r="231" spans="1:4" x14ac:dyDescent="0.2">
      <c r="A231" t="s">
        <v>223</v>
      </c>
      <c r="B231" t="s">
        <v>602</v>
      </c>
      <c r="C231" t="s">
        <v>110</v>
      </c>
      <c r="D231" s="83">
        <v>144.40266851009997</v>
      </c>
    </row>
    <row r="232" spans="1:4" x14ac:dyDescent="0.2">
      <c r="A232" t="s">
        <v>223</v>
      </c>
      <c r="B232" t="s">
        <v>416</v>
      </c>
      <c r="C232" t="s">
        <v>125</v>
      </c>
      <c r="D232" s="83">
        <v>139.82779951274537</v>
      </c>
    </row>
    <row r="233" spans="1:4" x14ac:dyDescent="0.2">
      <c r="A233" t="s">
        <v>223</v>
      </c>
      <c r="B233" t="s">
        <v>206</v>
      </c>
      <c r="C233" t="s">
        <v>94</v>
      </c>
      <c r="D233" s="83">
        <v>138.39669965721598</v>
      </c>
    </row>
    <row r="234" spans="1:4" x14ac:dyDescent="0.2">
      <c r="A234" t="s">
        <v>223</v>
      </c>
      <c r="B234" t="s">
        <v>425</v>
      </c>
      <c r="C234" t="s">
        <v>96</v>
      </c>
      <c r="D234" s="83">
        <v>138.1168361067264</v>
      </c>
    </row>
    <row r="235" spans="1:4" x14ac:dyDescent="0.2">
      <c r="A235" t="s">
        <v>223</v>
      </c>
      <c r="B235" t="s">
        <v>496</v>
      </c>
      <c r="C235" t="s">
        <v>114</v>
      </c>
      <c r="D235" s="83">
        <v>137.90885669345585</v>
      </c>
    </row>
    <row r="236" spans="1:4" x14ac:dyDescent="0.2">
      <c r="A236" t="s">
        <v>223</v>
      </c>
      <c r="B236" t="s">
        <v>428</v>
      </c>
      <c r="C236" t="s">
        <v>104</v>
      </c>
      <c r="D236" s="83">
        <v>136.87196386617603</v>
      </c>
    </row>
    <row r="237" spans="1:4" x14ac:dyDescent="0.2">
      <c r="A237" t="s">
        <v>223</v>
      </c>
      <c r="B237" t="s">
        <v>619</v>
      </c>
      <c r="C237" t="s">
        <v>98</v>
      </c>
      <c r="D237" s="83">
        <v>135.18949056479997</v>
      </c>
    </row>
    <row r="238" spans="1:4" x14ac:dyDescent="0.2">
      <c r="A238" t="s">
        <v>223</v>
      </c>
      <c r="B238" t="s">
        <v>559</v>
      </c>
      <c r="C238" t="s">
        <v>109</v>
      </c>
      <c r="D238" s="83">
        <v>135.15931644627722</v>
      </c>
    </row>
    <row r="239" spans="1:4" x14ac:dyDescent="0.2">
      <c r="A239" t="s">
        <v>223</v>
      </c>
      <c r="B239" t="s">
        <v>503</v>
      </c>
      <c r="C239" t="s">
        <v>124</v>
      </c>
      <c r="D239" s="83">
        <v>134.01963469439997</v>
      </c>
    </row>
    <row r="240" spans="1:4" x14ac:dyDescent="0.2">
      <c r="A240" t="s">
        <v>223</v>
      </c>
      <c r="B240" t="s">
        <v>152</v>
      </c>
      <c r="C240" t="s">
        <v>100</v>
      </c>
      <c r="D240" s="83">
        <v>128.455263234375</v>
      </c>
    </row>
    <row r="241" spans="1:4" x14ac:dyDescent="0.2">
      <c r="A241" t="s">
        <v>223</v>
      </c>
      <c r="B241" t="s">
        <v>526</v>
      </c>
      <c r="C241" t="s">
        <v>106</v>
      </c>
      <c r="D241" s="83">
        <v>127.45963412582404</v>
      </c>
    </row>
    <row r="242" spans="1:4" x14ac:dyDescent="0.2">
      <c r="A242" t="s">
        <v>223</v>
      </c>
      <c r="B242" t="s">
        <v>533</v>
      </c>
      <c r="C242" t="s">
        <v>109</v>
      </c>
      <c r="D242" s="83">
        <v>126.53990116431299</v>
      </c>
    </row>
    <row r="243" spans="1:4" x14ac:dyDescent="0.2">
      <c r="A243" t="s">
        <v>223</v>
      </c>
      <c r="B243" t="s">
        <v>455</v>
      </c>
      <c r="C243" t="s">
        <v>115</v>
      </c>
      <c r="D243" s="83">
        <v>124.97569762585596</v>
      </c>
    </row>
    <row r="244" spans="1:4" x14ac:dyDescent="0.2">
      <c r="A244" t="s">
        <v>223</v>
      </c>
      <c r="B244" t="s">
        <v>645</v>
      </c>
      <c r="C244" t="s">
        <v>99</v>
      </c>
      <c r="D244" s="83">
        <v>118.73828249010003</v>
      </c>
    </row>
    <row r="245" spans="1:4" x14ac:dyDescent="0.2">
      <c r="A245" t="s">
        <v>223</v>
      </c>
      <c r="B245" t="s">
        <v>87</v>
      </c>
      <c r="C245" t="s">
        <v>97</v>
      </c>
      <c r="D245" s="83">
        <v>117.82870796050199</v>
      </c>
    </row>
    <row r="246" spans="1:4" x14ac:dyDescent="0.2">
      <c r="A246" t="s">
        <v>223</v>
      </c>
      <c r="B246" t="s">
        <v>674</v>
      </c>
      <c r="C246" t="s">
        <v>116</v>
      </c>
      <c r="D246" s="83">
        <v>115.7540979246848</v>
      </c>
    </row>
    <row r="247" spans="1:4" x14ac:dyDescent="0.2">
      <c r="A247" t="s">
        <v>223</v>
      </c>
      <c r="B247" t="s">
        <v>636</v>
      </c>
      <c r="C247" t="s">
        <v>106</v>
      </c>
      <c r="D247" s="83">
        <v>114.04083314624</v>
      </c>
    </row>
    <row r="248" spans="1:4" x14ac:dyDescent="0.2">
      <c r="A248" t="s">
        <v>223</v>
      </c>
      <c r="B248" t="s">
        <v>556</v>
      </c>
      <c r="C248" t="s">
        <v>113</v>
      </c>
      <c r="D248" s="83">
        <v>106.29055499999998</v>
      </c>
    </row>
    <row r="249" spans="1:4" x14ac:dyDescent="0.2">
      <c r="A249" t="s">
        <v>223</v>
      </c>
      <c r="B249" t="s">
        <v>56</v>
      </c>
      <c r="C249" t="s">
        <v>102</v>
      </c>
      <c r="D249" s="83">
        <v>105.31443284480997</v>
      </c>
    </row>
    <row r="250" spans="1:4" x14ac:dyDescent="0.2">
      <c r="A250" t="s">
        <v>223</v>
      </c>
      <c r="B250" t="s">
        <v>514</v>
      </c>
      <c r="C250" t="s">
        <v>102</v>
      </c>
      <c r="D250" s="83">
        <v>104.3449333248</v>
      </c>
    </row>
    <row r="251" spans="1:4" x14ac:dyDescent="0.2">
      <c r="A251" t="s">
        <v>223</v>
      </c>
      <c r="B251" t="s">
        <v>204</v>
      </c>
      <c r="C251" t="s">
        <v>95</v>
      </c>
      <c r="D251" s="83">
        <v>104.22113466408</v>
      </c>
    </row>
    <row r="252" spans="1:4" x14ac:dyDescent="0.2">
      <c r="A252" t="s">
        <v>223</v>
      </c>
      <c r="B252" t="s">
        <v>80</v>
      </c>
      <c r="C252" t="s">
        <v>115</v>
      </c>
      <c r="D252" s="83">
        <v>99.916945872307195</v>
      </c>
    </row>
    <row r="253" spans="1:4" x14ac:dyDescent="0.2">
      <c r="A253" t="s">
        <v>223</v>
      </c>
      <c r="B253" t="s">
        <v>140</v>
      </c>
      <c r="C253" t="s">
        <v>113</v>
      </c>
      <c r="D253" s="83">
        <v>98.874365364095979</v>
      </c>
    </row>
    <row r="254" spans="1:4" x14ac:dyDescent="0.2">
      <c r="A254" t="s">
        <v>223</v>
      </c>
      <c r="B254" t="s">
        <v>634</v>
      </c>
      <c r="C254" t="s">
        <v>113</v>
      </c>
      <c r="D254" s="83">
        <v>96.756904450096812</v>
      </c>
    </row>
    <row r="255" spans="1:4" x14ac:dyDescent="0.2">
      <c r="A255" t="s">
        <v>223</v>
      </c>
      <c r="B255" t="s">
        <v>203</v>
      </c>
      <c r="C255" t="s">
        <v>94</v>
      </c>
      <c r="D255" s="83">
        <v>90.224337624220794</v>
      </c>
    </row>
    <row r="256" spans="1:4" x14ac:dyDescent="0.2">
      <c r="A256" t="s">
        <v>223</v>
      </c>
      <c r="B256" t="s">
        <v>650</v>
      </c>
      <c r="C256" t="s">
        <v>102</v>
      </c>
      <c r="D256" s="83">
        <v>90.119784211379994</v>
      </c>
    </row>
    <row r="257" spans="1:4" x14ac:dyDescent="0.2">
      <c r="A257" t="s">
        <v>223</v>
      </c>
      <c r="B257" t="s">
        <v>72</v>
      </c>
      <c r="C257" t="s">
        <v>95</v>
      </c>
      <c r="D257" s="83">
        <v>85.575717441312008</v>
      </c>
    </row>
    <row r="258" spans="1:4" x14ac:dyDescent="0.2">
      <c r="A258" t="s">
        <v>223</v>
      </c>
      <c r="B258" t="s">
        <v>491</v>
      </c>
      <c r="C258" t="s">
        <v>93</v>
      </c>
      <c r="D258" s="83">
        <v>85.462192509750011</v>
      </c>
    </row>
    <row r="259" spans="1:4" x14ac:dyDescent="0.2">
      <c r="A259" t="s">
        <v>223</v>
      </c>
      <c r="B259" t="s">
        <v>215</v>
      </c>
      <c r="C259" t="s">
        <v>100</v>
      </c>
      <c r="D259" s="83">
        <v>84.639138333749997</v>
      </c>
    </row>
    <row r="260" spans="1:4" x14ac:dyDescent="0.2">
      <c r="A260" t="s">
        <v>223</v>
      </c>
      <c r="B260" t="s">
        <v>449</v>
      </c>
      <c r="C260" t="s">
        <v>101</v>
      </c>
      <c r="D260" s="83">
        <v>84.097540023587982</v>
      </c>
    </row>
    <row r="261" spans="1:4" x14ac:dyDescent="0.2">
      <c r="A261" t="s">
        <v>223</v>
      </c>
      <c r="B261" t="s">
        <v>573</v>
      </c>
      <c r="C261" t="s">
        <v>99</v>
      </c>
      <c r="D261" s="83">
        <v>83.809426032359994</v>
      </c>
    </row>
    <row r="262" spans="1:4" x14ac:dyDescent="0.2">
      <c r="A262" t="s">
        <v>223</v>
      </c>
      <c r="B262" t="s">
        <v>685</v>
      </c>
      <c r="C262" t="s">
        <v>125</v>
      </c>
      <c r="D262" s="83">
        <v>82.713069507515968</v>
      </c>
    </row>
    <row r="263" spans="1:4" x14ac:dyDescent="0.2">
      <c r="A263" t="s">
        <v>223</v>
      </c>
      <c r="B263" t="s">
        <v>159</v>
      </c>
      <c r="C263" t="s">
        <v>118</v>
      </c>
      <c r="D263" s="83">
        <v>82.556850116160007</v>
      </c>
    </row>
    <row r="264" spans="1:4" x14ac:dyDescent="0.2">
      <c r="A264" t="s">
        <v>223</v>
      </c>
      <c r="B264" t="s">
        <v>546</v>
      </c>
      <c r="C264" t="s">
        <v>121</v>
      </c>
      <c r="D264" s="83">
        <v>76.730779467434402</v>
      </c>
    </row>
    <row r="265" spans="1:4" x14ac:dyDescent="0.2">
      <c r="A265" t="s">
        <v>223</v>
      </c>
      <c r="B265" t="s">
        <v>721</v>
      </c>
      <c r="C265" t="s">
        <v>122</v>
      </c>
      <c r="D265" s="83">
        <v>70.655056034062497</v>
      </c>
    </row>
    <row r="266" spans="1:4" x14ac:dyDescent="0.2">
      <c r="A266" t="s">
        <v>223</v>
      </c>
      <c r="B266" t="s">
        <v>208</v>
      </c>
      <c r="C266" t="s">
        <v>114</v>
      </c>
      <c r="D266" s="83">
        <v>69.911023376409588</v>
      </c>
    </row>
    <row r="267" spans="1:4" x14ac:dyDescent="0.2">
      <c r="A267" t="s">
        <v>223</v>
      </c>
      <c r="B267" t="s">
        <v>682</v>
      </c>
      <c r="C267" t="s">
        <v>121</v>
      </c>
      <c r="D267" s="83">
        <v>68.307723575783996</v>
      </c>
    </row>
    <row r="268" spans="1:4" x14ac:dyDescent="0.2">
      <c r="A268" t="s">
        <v>223</v>
      </c>
      <c r="B268" t="s">
        <v>69</v>
      </c>
      <c r="C268" t="s">
        <v>113</v>
      </c>
      <c r="D268" s="83">
        <v>64.556631484799979</v>
      </c>
    </row>
    <row r="269" spans="1:4" x14ac:dyDescent="0.2">
      <c r="A269" t="s">
        <v>223</v>
      </c>
      <c r="B269" t="s">
        <v>630</v>
      </c>
      <c r="C269" t="s">
        <v>120</v>
      </c>
      <c r="D269" s="83">
        <v>63.409202041651184</v>
      </c>
    </row>
    <row r="270" spans="1:4" x14ac:dyDescent="0.2">
      <c r="A270" t="s">
        <v>223</v>
      </c>
      <c r="B270" t="s">
        <v>578</v>
      </c>
      <c r="C270" t="s">
        <v>112</v>
      </c>
      <c r="D270" s="83">
        <v>60.938819423999995</v>
      </c>
    </row>
    <row r="271" spans="1:4" x14ac:dyDescent="0.2">
      <c r="A271" t="s">
        <v>223</v>
      </c>
      <c r="B271" t="s">
        <v>594</v>
      </c>
      <c r="C271" t="s">
        <v>103</v>
      </c>
      <c r="D271" s="83">
        <v>60.254049846143992</v>
      </c>
    </row>
    <row r="272" spans="1:4" x14ac:dyDescent="0.2">
      <c r="A272" t="s">
        <v>223</v>
      </c>
      <c r="B272" t="s">
        <v>595</v>
      </c>
      <c r="C272" t="s">
        <v>104</v>
      </c>
      <c r="D272" s="83">
        <v>59.706570083328018</v>
      </c>
    </row>
    <row r="273" spans="1:4" x14ac:dyDescent="0.2">
      <c r="A273" t="s">
        <v>223</v>
      </c>
      <c r="B273" t="s">
        <v>498</v>
      </c>
      <c r="C273" t="s">
        <v>111</v>
      </c>
      <c r="D273" s="83">
        <v>57.496219514294395</v>
      </c>
    </row>
    <row r="274" spans="1:4" x14ac:dyDescent="0.2">
      <c r="A274" t="s">
        <v>223</v>
      </c>
      <c r="B274" t="s">
        <v>58</v>
      </c>
      <c r="C274" t="s">
        <v>117</v>
      </c>
      <c r="D274" s="83">
        <v>56.040648476400008</v>
      </c>
    </row>
    <row r="275" spans="1:4" x14ac:dyDescent="0.2">
      <c r="A275" t="s">
        <v>223</v>
      </c>
      <c r="B275" t="s">
        <v>214</v>
      </c>
      <c r="C275" t="s">
        <v>108</v>
      </c>
      <c r="D275" s="83">
        <v>54.303811994879979</v>
      </c>
    </row>
    <row r="276" spans="1:4" x14ac:dyDescent="0.2">
      <c r="A276" t="s">
        <v>223</v>
      </c>
      <c r="B276" t="s">
        <v>35</v>
      </c>
      <c r="C276" t="s">
        <v>169</v>
      </c>
      <c r="D276" s="83">
        <v>48.195139829759995</v>
      </c>
    </row>
    <row r="277" spans="1:4" x14ac:dyDescent="0.2">
      <c r="A277" t="s">
        <v>223</v>
      </c>
      <c r="B277" t="s">
        <v>611</v>
      </c>
      <c r="C277" t="s">
        <v>125</v>
      </c>
      <c r="D277" s="83">
        <v>45.974796266700011</v>
      </c>
    </row>
    <row r="278" spans="1:4" x14ac:dyDescent="0.2">
      <c r="A278" t="s">
        <v>223</v>
      </c>
      <c r="B278" t="s">
        <v>538</v>
      </c>
      <c r="C278" t="s">
        <v>114</v>
      </c>
      <c r="D278" s="83">
        <v>45.816955573996985</v>
      </c>
    </row>
    <row r="279" spans="1:4" x14ac:dyDescent="0.2">
      <c r="A279" t="s">
        <v>223</v>
      </c>
      <c r="B279" t="s">
        <v>642</v>
      </c>
      <c r="C279" t="s">
        <v>95</v>
      </c>
      <c r="D279" s="83">
        <v>41.847989055196805</v>
      </c>
    </row>
    <row r="280" spans="1:4" x14ac:dyDescent="0.2">
      <c r="A280" t="s">
        <v>223</v>
      </c>
      <c r="B280" t="s">
        <v>153</v>
      </c>
      <c r="C280" t="s">
        <v>116</v>
      </c>
      <c r="D280" s="83">
        <v>41.839992226031995</v>
      </c>
    </row>
    <row r="281" spans="1:4" x14ac:dyDescent="0.2">
      <c r="A281" t="s">
        <v>223</v>
      </c>
      <c r="B281" t="s">
        <v>511</v>
      </c>
      <c r="C281" t="s">
        <v>100</v>
      </c>
      <c r="D281" s="83">
        <v>40.104575279999999</v>
      </c>
    </row>
    <row r="282" spans="1:4" x14ac:dyDescent="0.2">
      <c r="A282" t="s">
        <v>223</v>
      </c>
      <c r="B282" t="s">
        <v>531</v>
      </c>
      <c r="C282" t="s">
        <v>169</v>
      </c>
      <c r="D282" s="83">
        <v>38.374922018159985</v>
      </c>
    </row>
    <row r="283" spans="1:4" x14ac:dyDescent="0.2">
      <c r="A283" t="s">
        <v>223</v>
      </c>
      <c r="B283" t="s">
        <v>581</v>
      </c>
      <c r="C283" t="s">
        <v>119</v>
      </c>
      <c r="D283" s="83">
        <v>38.272134722472003</v>
      </c>
    </row>
    <row r="284" spans="1:4" x14ac:dyDescent="0.2">
      <c r="A284" t="s">
        <v>223</v>
      </c>
      <c r="B284" t="s">
        <v>599</v>
      </c>
      <c r="C284" t="s">
        <v>108</v>
      </c>
      <c r="D284" s="83">
        <v>37.446326628479994</v>
      </c>
    </row>
    <row r="285" spans="1:4" x14ac:dyDescent="0.2">
      <c r="A285" t="s">
        <v>223</v>
      </c>
      <c r="B285" t="s">
        <v>534</v>
      </c>
      <c r="C285" t="s">
        <v>109</v>
      </c>
      <c r="D285" s="83">
        <v>37.035053368172989</v>
      </c>
    </row>
    <row r="286" spans="1:4" x14ac:dyDescent="0.2">
      <c r="A286" t="s">
        <v>223</v>
      </c>
      <c r="B286" t="s">
        <v>540</v>
      </c>
      <c r="C286" t="s">
        <v>115</v>
      </c>
      <c r="D286" s="83">
        <v>36.976249981439992</v>
      </c>
    </row>
    <row r="287" spans="1:4" x14ac:dyDescent="0.2">
      <c r="A287" t="s">
        <v>223</v>
      </c>
      <c r="B287" t="s">
        <v>662</v>
      </c>
      <c r="C287" t="s">
        <v>109</v>
      </c>
      <c r="D287" s="83">
        <v>36.689399458739992</v>
      </c>
    </row>
    <row r="288" spans="1:4" x14ac:dyDescent="0.2">
      <c r="A288" t="s">
        <v>223</v>
      </c>
      <c r="B288" t="s">
        <v>668</v>
      </c>
      <c r="C288" t="s">
        <v>113</v>
      </c>
      <c r="D288" s="83">
        <v>36.585038966111988</v>
      </c>
    </row>
    <row r="289" spans="1:4" x14ac:dyDescent="0.2">
      <c r="A289" t="s">
        <v>223</v>
      </c>
      <c r="B289" t="s">
        <v>402</v>
      </c>
      <c r="C289" t="s">
        <v>96</v>
      </c>
      <c r="D289" s="83">
        <v>35.190761181183994</v>
      </c>
    </row>
    <row r="290" spans="1:4" x14ac:dyDescent="0.2">
      <c r="A290" t="s">
        <v>223</v>
      </c>
      <c r="B290" t="s">
        <v>401</v>
      </c>
      <c r="C290" t="s">
        <v>113</v>
      </c>
      <c r="D290" s="83">
        <v>34.604123150687997</v>
      </c>
    </row>
    <row r="291" spans="1:4" x14ac:dyDescent="0.2">
      <c r="A291" t="s">
        <v>223</v>
      </c>
      <c r="B291" t="s">
        <v>661</v>
      </c>
      <c r="C291" t="s">
        <v>109</v>
      </c>
      <c r="D291" s="83">
        <v>33.838571310137993</v>
      </c>
    </row>
    <row r="292" spans="1:4" x14ac:dyDescent="0.2">
      <c r="A292" t="s">
        <v>223</v>
      </c>
      <c r="B292" t="s">
        <v>499</v>
      </c>
      <c r="C292" t="s">
        <v>101</v>
      </c>
      <c r="D292" s="83">
        <v>33.663409307035188</v>
      </c>
    </row>
    <row r="293" spans="1:4" x14ac:dyDescent="0.2">
      <c r="A293" t="s">
        <v>223</v>
      </c>
      <c r="B293" t="s">
        <v>444</v>
      </c>
      <c r="C293" t="s">
        <v>106</v>
      </c>
      <c r="D293" s="83">
        <v>32.196362429000004</v>
      </c>
    </row>
    <row r="294" spans="1:4" x14ac:dyDescent="0.2">
      <c r="A294" t="s">
        <v>223</v>
      </c>
      <c r="B294" t="s">
        <v>417</v>
      </c>
      <c r="C294" t="s">
        <v>122</v>
      </c>
      <c r="D294" s="83">
        <v>31.770527688899989</v>
      </c>
    </row>
    <row r="295" spans="1:4" x14ac:dyDescent="0.2">
      <c r="A295" t="s">
        <v>223</v>
      </c>
      <c r="B295" t="s">
        <v>528</v>
      </c>
      <c r="C295" t="s">
        <v>124</v>
      </c>
      <c r="D295" s="83">
        <v>30.994095000959987</v>
      </c>
    </row>
    <row r="296" spans="1:4" x14ac:dyDescent="0.2">
      <c r="A296" t="s">
        <v>223</v>
      </c>
      <c r="B296" t="s">
        <v>435</v>
      </c>
      <c r="C296" t="s">
        <v>118</v>
      </c>
      <c r="D296" s="83">
        <v>30.921326519999997</v>
      </c>
    </row>
    <row r="297" spans="1:4" x14ac:dyDescent="0.2">
      <c r="A297" t="s">
        <v>223</v>
      </c>
      <c r="B297" t="s">
        <v>407</v>
      </c>
      <c r="C297" t="s">
        <v>105</v>
      </c>
      <c r="D297" s="83">
        <v>30.799941070080006</v>
      </c>
    </row>
    <row r="298" spans="1:4" x14ac:dyDescent="0.2">
      <c r="A298" t="s">
        <v>223</v>
      </c>
      <c r="B298" t="s">
        <v>167</v>
      </c>
      <c r="C298" t="s">
        <v>103</v>
      </c>
      <c r="D298" s="83">
        <v>30.736910793455994</v>
      </c>
    </row>
    <row r="299" spans="1:4" x14ac:dyDescent="0.2">
      <c r="A299" t="s">
        <v>223</v>
      </c>
      <c r="B299" t="s">
        <v>507</v>
      </c>
      <c r="C299" t="s">
        <v>97</v>
      </c>
      <c r="D299" s="83">
        <v>29.630162097535994</v>
      </c>
    </row>
    <row r="300" spans="1:4" x14ac:dyDescent="0.2">
      <c r="A300" t="s">
        <v>223</v>
      </c>
      <c r="B300" t="s">
        <v>398</v>
      </c>
      <c r="C300" t="s">
        <v>120</v>
      </c>
      <c r="D300" s="83">
        <v>29.207740994611196</v>
      </c>
    </row>
    <row r="301" spans="1:4" x14ac:dyDescent="0.2">
      <c r="A301" t="s">
        <v>223</v>
      </c>
      <c r="B301" t="s">
        <v>443</v>
      </c>
      <c r="C301" t="s">
        <v>108</v>
      </c>
      <c r="D301" s="83">
        <v>29.163992088000001</v>
      </c>
    </row>
    <row r="302" spans="1:4" x14ac:dyDescent="0.2">
      <c r="A302" t="s">
        <v>223</v>
      </c>
      <c r="B302" t="s">
        <v>469</v>
      </c>
      <c r="C302" t="s">
        <v>97</v>
      </c>
      <c r="D302" s="83">
        <v>28.987005173839997</v>
      </c>
    </row>
    <row r="303" spans="1:4" x14ac:dyDescent="0.2">
      <c r="A303" t="s">
        <v>223</v>
      </c>
      <c r="B303" t="s">
        <v>54</v>
      </c>
      <c r="C303" t="s">
        <v>105</v>
      </c>
      <c r="D303" s="83">
        <v>28.276131659775999</v>
      </c>
    </row>
    <row r="304" spans="1:4" x14ac:dyDescent="0.2">
      <c r="A304" t="s">
        <v>223</v>
      </c>
      <c r="B304" t="s">
        <v>421</v>
      </c>
      <c r="C304" t="s">
        <v>95</v>
      </c>
      <c r="D304" s="83">
        <v>28.234076045145603</v>
      </c>
    </row>
    <row r="305" spans="1:4" x14ac:dyDescent="0.2">
      <c r="A305" t="s">
        <v>223</v>
      </c>
      <c r="B305" t="s">
        <v>212</v>
      </c>
      <c r="C305" t="s">
        <v>110</v>
      </c>
      <c r="D305" s="83">
        <v>28.195674986303992</v>
      </c>
    </row>
    <row r="306" spans="1:4" x14ac:dyDescent="0.2">
      <c r="A306" t="s">
        <v>223</v>
      </c>
      <c r="B306" t="s">
        <v>592</v>
      </c>
      <c r="C306" t="s">
        <v>102</v>
      </c>
      <c r="D306" s="83">
        <v>27.941771952079996</v>
      </c>
    </row>
    <row r="307" spans="1:4" x14ac:dyDescent="0.2">
      <c r="A307" t="s">
        <v>223</v>
      </c>
      <c r="B307" t="s">
        <v>649</v>
      </c>
      <c r="C307" t="s">
        <v>101</v>
      </c>
      <c r="D307" s="83">
        <v>25.959249732729589</v>
      </c>
    </row>
    <row r="308" spans="1:4" x14ac:dyDescent="0.2">
      <c r="A308" t="s">
        <v>223</v>
      </c>
      <c r="B308" t="s">
        <v>510</v>
      </c>
      <c r="C308" t="s">
        <v>99</v>
      </c>
      <c r="D308" s="83">
        <v>25.683274299312004</v>
      </c>
    </row>
    <row r="309" spans="1:4" x14ac:dyDescent="0.2">
      <c r="A309" t="s">
        <v>223</v>
      </c>
      <c r="B309" t="s">
        <v>656</v>
      </c>
      <c r="C309" t="s">
        <v>106</v>
      </c>
      <c r="D309" s="83">
        <v>25.634266435008001</v>
      </c>
    </row>
    <row r="310" spans="1:4" x14ac:dyDescent="0.2">
      <c r="A310" t="s">
        <v>223</v>
      </c>
      <c r="B310" t="s">
        <v>211</v>
      </c>
      <c r="C310" t="s">
        <v>110</v>
      </c>
      <c r="D310" s="83">
        <v>25.364281713758388</v>
      </c>
    </row>
    <row r="311" spans="1:4" x14ac:dyDescent="0.2">
      <c r="A311" t="s">
        <v>223</v>
      </c>
      <c r="B311" t="s">
        <v>666</v>
      </c>
      <c r="C311" t="s">
        <v>111</v>
      </c>
      <c r="D311" s="83">
        <v>25.1969371313184</v>
      </c>
    </row>
    <row r="312" spans="1:4" x14ac:dyDescent="0.2">
      <c r="A312" t="s">
        <v>223</v>
      </c>
      <c r="B312" t="s">
        <v>596</v>
      </c>
      <c r="C312" t="s">
        <v>104</v>
      </c>
      <c r="D312" s="83">
        <v>24.724347171887999</v>
      </c>
    </row>
    <row r="313" spans="1:4" x14ac:dyDescent="0.2">
      <c r="A313" t="s">
        <v>223</v>
      </c>
      <c r="B313" t="s">
        <v>584</v>
      </c>
      <c r="C313" t="s">
        <v>94</v>
      </c>
      <c r="D313" s="83">
        <v>23.756703681110395</v>
      </c>
    </row>
    <row r="314" spans="1:4" x14ac:dyDescent="0.2">
      <c r="A314" t="s">
        <v>223</v>
      </c>
      <c r="B314" t="s">
        <v>569</v>
      </c>
      <c r="C314" t="s">
        <v>93</v>
      </c>
      <c r="D314" s="83">
        <v>23.404815945000003</v>
      </c>
    </row>
    <row r="315" spans="1:4" x14ac:dyDescent="0.2">
      <c r="A315" t="s">
        <v>223</v>
      </c>
      <c r="B315" t="s">
        <v>605</v>
      </c>
      <c r="C315" t="s">
        <v>116</v>
      </c>
      <c r="D315" s="83">
        <v>22.511850487526392</v>
      </c>
    </row>
    <row r="316" spans="1:4" x14ac:dyDescent="0.2">
      <c r="A316" t="s">
        <v>223</v>
      </c>
      <c r="B316" t="s">
        <v>565</v>
      </c>
      <c r="C316" t="s">
        <v>116</v>
      </c>
      <c r="D316" s="83">
        <v>22.503602721599997</v>
      </c>
    </row>
    <row r="317" spans="1:4" x14ac:dyDescent="0.2">
      <c r="A317" t="s">
        <v>223</v>
      </c>
      <c r="B317" t="s">
        <v>467</v>
      </c>
      <c r="C317" t="s">
        <v>119</v>
      </c>
      <c r="D317" s="83">
        <v>22.017378925268996</v>
      </c>
    </row>
    <row r="318" spans="1:4" x14ac:dyDescent="0.2">
      <c r="A318" t="s">
        <v>223</v>
      </c>
      <c r="B318" t="s">
        <v>516</v>
      </c>
      <c r="C318" t="s">
        <v>103</v>
      </c>
      <c r="D318" s="83">
        <v>21.58698695579999</v>
      </c>
    </row>
    <row r="319" spans="1:4" x14ac:dyDescent="0.2">
      <c r="A319" t="s">
        <v>223</v>
      </c>
      <c r="B319" t="s">
        <v>591</v>
      </c>
      <c r="C319" t="s">
        <v>101</v>
      </c>
      <c r="D319" s="83">
        <v>21.427072611839996</v>
      </c>
    </row>
    <row r="320" spans="1:4" x14ac:dyDescent="0.2">
      <c r="A320" t="s">
        <v>223</v>
      </c>
      <c r="B320" t="s">
        <v>508</v>
      </c>
      <c r="C320" t="s">
        <v>98</v>
      </c>
      <c r="D320" s="83">
        <v>21.268921403519993</v>
      </c>
    </row>
    <row r="321" spans="1:4" x14ac:dyDescent="0.2">
      <c r="A321" t="s">
        <v>223</v>
      </c>
      <c r="B321" t="s">
        <v>404</v>
      </c>
      <c r="C321" t="s">
        <v>94</v>
      </c>
      <c r="D321" s="83">
        <v>20.404002774355192</v>
      </c>
    </row>
    <row r="322" spans="1:4" x14ac:dyDescent="0.2">
      <c r="A322" t="s">
        <v>223</v>
      </c>
      <c r="B322" t="s">
        <v>648</v>
      </c>
      <c r="C322" t="s">
        <v>100</v>
      </c>
      <c r="D322" s="83">
        <v>20.346103978199999</v>
      </c>
    </row>
    <row r="323" spans="1:4" x14ac:dyDescent="0.2">
      <c r="A323" t="s">
        <v>223</v>
      </c>
      <c r="B323" t="s">
        <v>618</v>
      </c>
      <c r="C323" t="s">
        <v>125</v>
      </c>
      <c r="D323" s="83">
        <v>19.369401620183996</v>
      </c>
    </row>
    <row r="324" spans="1:4" x14ac:dyDescent="0.2">
      <c r="A324" t="s">
        <v>223</v>
      </c>
      <c r="B324" t="s">
        <v>218</v>
      </c>
      <c r="C324" t="s">
        <v>122</v>
      </c>
      <c r="D324" s="83">
        <v>19.367230632749994</v>
      </c>
    </row>
    <row r="325" spans="1:4" x14ac:dyDescent="0.2">
      <c r="A325" t="s">
        <v>223</v>
      </c>
      <c r="B325" t="s">
        <v>174</v>
      </c>
      <c r="C325" t="s">
        <v>115</v>
      </c>
      <c r="D325" s="83">
        <v>18.749416291199992</v>
      </c>
    </row>
    <row r="326" spans="1:4" x14ac:dyDescent="0.2">
      <c r="A326" t="s">
        <v>223</v>
      </c>
      <c r="B326" t="s">
        <v>489</v>
      </c>
      <c r="C326" t="s">
        <v>115</v>
      </c>
      <c r="D326" s="83">
        <v>18.156214419839991</v>
      </c>
    </row>
    <row r="327" spans="1:4" x14ac:dyDescent="0.2">
      <c r="A327" t="s">
        <v>223</v>
      </c>
      <c r="B327" t="s">
        <v>438</v>
      </c>
      <c r="C327" t="s">
        <v>122</v>
      </c>
      <c r="D327" s="83">
        <v>17.676948944654995</v>
      </c>
    </row>
    <row r="328" spans="1:4" x14ac:dyDescent="0.2">
      <c r="A328" t="s">
        <v>223</v>
      </c>
      <c r="B328" t="s">
        <v>217</v>
      </c>
      <c r="C328" t="s">
        <v>118</v>
      </c>
      <c r="D328" s="83">
        <v>16.962358077000001</v>
      </c>
    </row>
    <row r="329" spans="1:4" x14ac:dyDescent="0.2">
      <c r="A329" t="s">
        <v>223</v>
      </c>
      <c r="B329" t="s">
        <v>664</v>
      </c>
      <c r="C329" t="s">
        <v>110</v>
      </c>
      <c r="D329" s="83">
        <v>15.955668457276795</v>
      </c>
    </row>
    <row r="330" spans="1:4" x14ac:dyDescent="0.2">
      <c r="A330" t="s">
        <v>223</v>
      </c>
      <c r="B330" t="s">
        <v>47</v>
      </c>
      <c r="C330" t="s">
        <v>117</v>
      </c>
      <c r="D330" s="83">
        <v>15.950864272896006</v>
      </c>
    </row>
    <row r="331" spans="1:4" x14ac:dyDescent="0.2">
      <c r="A331" t="s">
        <v>223</v>
      </c>
      <c r="B331" t="s">
        <v>179</v>
      </c>
      <c r="C331" t="s">
        <v>111</v>
      </c>
      <c r="D331" s="83">
        <v>15.83091216</v>
      </c>
    </row>
    <row r="332" spans="1:4" x14ac:dyDescent="0.2">
      <c r="A332" t="s">
        <v>223</v>
      </c>
      <c r="B332" t="s">
        <v>669</v>
      </c>
      <c r="C332" t="s">
        <v>114</v>
      </c>
      <c r="D332" s="83">
        <v>15.27545624248336</v>
      </c>
    </row>
    <row r="333" spans="1:4" x14ac:dyDescent="0.2">
      <c r="A333" t="s">
        <v>223</v>
      </c>
      <c r="B333" t="s">
        <v>576</v>
      </c>
      <c r="C333" t="s">
        <v>120</v>
      </c>
      <c r="D333" s="83">
        <v>14.516737290770401</v>
      </c>
    </row>
    <row r="334" spans="1:4" x14ac:dyDescent="0.2">
      <c r="A334" t="s">
        <v>223</v>
      </c>
      <c r="B334" t="s">
        <v>221</v>
      </c>
      <c r="C334" t="s">
        <v>112</v>
      </c>
      <c r="D334" s="83">
        <v>14.387896891199997</v>
      </c>
    </row>
    <row r="335" spans="1:4" x14ac:dyDescent="0.2">
      <c r="A335" t="s">
        <v>223</v>
      </c>
      <c r="B335" t="s">
        <v>451</v>
      </c>
      <c r="C335" t="s">
        <v>98</v>
      </c>
      <c r="D335" s="83">
        <v>14.333452842239994</v>
      </c>
    </row>
    <row r="336" spans="1:4" x14ac:dyDescent="0.2">
      <c r="A336" t="s">
        <v>223</v>
      </c>
      <c r="B336" t="s">
        <v>523</v>
      </c>
      <c r="C336" t="s">
        <v>105</v>
      </c>
      <c r="D336" s="83">
        <v>14.164159959040003</v>
      </c>
    </row>
    <row r="337" spans="1:4" x14ac:dyDescent="0.2">
      <c r="A337" t="s">
        <v>223</v>
      </c>
      <c r="B337" t="s">
        <v>667</v>
      </c>
      <c r="C337" t="s">
        <v>111</v>
      </c>
      <c r="D337" s="83">
        <v>14.071921919999998</v>
      </c>
    </row>
    <row r="338" spans="1:4" x14ac:dyDescent="0.2">
      <c r="A338" t="s">
        <v>223</v>
      </c>
      <c r="B338" t="s">
        <v>465</v>
      </c>
      <c r="C338" t="s">
        <v>93</v>
      </c>
      <c r="D338" s="83">
        <v>13.635885183900001</v>
      </c>
    </row>
    <row r="339" spans="1:4" x14ac:dyDescent="0.2">
      <c r="A339" t="s">
        <v>223</v>
      </c>
      <c r="B339" t="s">
        <v>486</v>
      </c>
      <c r="C339" t="s">
        <v>124</v>
      </c>
      <c r="D339" s="83">
        <v>13.501545220799994</v>
      </c>
    </row>
    <row r="340" spans="1:4" x14ac:dyDescent="0.2">
      <c r="A340" t="s">
        <v>223</v>
      </c>
      <c r="B340" t="s">
        <v>577</v>
      </c>
      <c r="C340" t="s">
        <v>102</v>
      </c>
      <c r="D340" s="83">
        <v>13.243490175300002</v>
      </c>
    </row>
    <row r="341" spans="1:4" x14ac:dyDescent="0.2">
      <c r="A341" t="s">
        <v>223</v>
      </c>
      <c r="B341" t="s">
        <v>466</v>
      </c>
      <c r="C341" t="s">
        <v>112</v>
      </c>
      <c r="D341" s="83">
        <v>13.011927264000001</v>
      </c>
    </row>
    <row r="342" spans="1:4" x14ac:dyDescent="0.2">
      <c r="A342" t="s">
        <v>223</v>
      </c>
      <c r="B342" t="s">
        <v>588</v>
      </c>
      <c r="C342" t="s">
        <v>97</v>
      </c>
      <c r="D342" s="83">
        <v>12.832094951199998</v>
      </c>
    </row>
    <row r="343" spans="1:4" x14ac:dyDescent="0.2">
      <c r="A343" t="s">
        <v>223</v>
      </c>
      <c r="B343" t="s">
        <v>604</v>
      </c>
      <c r="C343" t="s">
        <v>114</v>
      </c>
      <c r="D343" s="83">
        <v>12.684391177919998</v>
      </c>
    </row>
    <row r="344" spans="1:4" x14ac:dyDescent="0.2">
      <c r="A344" t="s">
        <v>223</v>
      </c>
      <c r="B344" t="s">
        <v>562</v>
      </c>
      <c r="C344" t="s">
        <v>121</v>
      </c>
      <c r="D344" s="83">
        <v>12.059571848015997</v>
      </c>
    </row>
    <row r="345" spans="1:4" x14ac:dyDescent="0.2">
      <c r="A345" t="s">
        <v>223</v>
      </c>
      <c r="B345" t="s">
        <v>686</v>
      </c>
      <c r="C345" t="s">
        <v>169</v>
      </c>
      <c r="D345" s="83">
        <v>11.151155399999997</v>
      </c>
    </row>
    <row r="346" spans="1:4" x14ac:dyDescent="0.2">
      <c r="A346" t="s">
        <v>223</v>
      </c>
      <c r="B346" t="s">
        <v>677</v>
      </c>
      <c r="C346" t="s">
        <v>117</v>
      </c>
      <c r="D346" s="83">
        <v>10.9824441780816</v>
      </c>
    </row>
    <row r="347" spans="1:4" x14ac:dyDescent="0.2">
      <c r="A347" t="s">
        <v>223</v>
      </c>
      <c r="B347" t="s">
        <v>219</v>
      </c>
      <c r="C347" t="s">
        <v>125</v>
      </c>
      <c r="D347" s="83">
        <v>10.908131822153999</v>
      </c>
    </row>
    <row r="348" spans="1:4" x14ac:dyDescent="0.2">
      <c r="A348" t="s">
        <v>223</v>
      </c>
      <c r="B348" t="s">
        <v>587</v>
      </c>
      <c r="C348" t="s">
        <v>96</v>
      </c>
      <c r="D348" s="83">
        <v>10.255012024319997</v>
      </c>
    </row>
    <row r="349" spans="1:4" x14ac:dyDescent="0.2">
      <c r="A349" t="s">
        <v>223</v>
      </c>
      <c r="B349" t="s">
        <v>504</v>
      </c>
      <c r="C349" t="s">
        <v>96</v>
      </c>
      <c r="D349" s="83">
        <v>10.112884991999998</v>
      </c>
    </row>
    <row r="350" spans="1:4" x14ac:dyDescent="0.2">
      <c r="A350" t="s">
        <v>223</v>
      </c>
      <c r="B350" t="s">
        <v>676</v>
      </c>
      <c r="C350" t="s">
        <v>117</v>
      </c>
      <c r="D350" s="83">
        <v>9.9783691363440035</v>
      </c>
    </row>
    <row r="351" spans="1:4" x14ac:dyDescent="0.2">
      <c r="A351" t="s">
        <v>223</v>
      </c>
      <c r="B351" t="s">
        <v>684</v>
      </c>
      <c r="C351" t="s">
        <v>122</v>
      </c>
      <c r="D351" s="83">
        <v>9.8307059800949972</v>
      </c>
    </row>
    <row r="352" spans="1:4" x14ac:dyDescent="0.2">
      <c r="A352" t="s">
        <v>223</v>
      </c>
      <c r="B352" t="s">
        <v>441</v>
      </c>
      <c r="C352" t="s">
        <v>120</v>
      </c>
      <c r="D352" s="83">
        <v>8.5978939176899996</v>
      </c>
    </row>
    <row r="353" spans="1:4" x14ac:dyDescent="0.2">
      <c r="A353" t="s">
        <v>223</v>
      </c>
      <c r="B353" t="s">
        <v>146</v>
      </c>
      <c r="C353" t="s">
        <v>124</v>
      </c>
      <c r="D353" s="83">
        <v>7.4510595235439983</v>
      </c>
    </row>
    <row r="354" spans="1:4" x14ac:dyDescent="0.2">
      <c r="A354" t="s">
        <v>223</v>
      </c>
      <c r="B354" t="s">
        <v>446</v>
      </c>
      <c r="C354" t="s">
        <v>105</v>
      </c>
      <c r="D354" s="83">
        <v>7.2790656556800002</v>
      </c>
    </row>
    <row r="355" spans="1:4" x14ac:dyDescent="0.2">
      <c r="A355" t="s">
        <v>223</v>
      </c>
      <c r="B355" t="s">
        <v>640</v>
      </c>
      <c r="C355" t="s">
        <v>94</v>
      </c>
      <c r="D355" s="83">
        <v>6.9854693388479987</v>
      </c>
    </row>
    <row r="356" spans="1:4" x14ac:dyDescent="0.2">
      <c r="A356" t="s">
        <v>223</v>
      </c>
      <c r="B356" t="s">
        <v>450</v>
      </c>
      <c r="C356" t="s">
        <v>100</v>
      </c>
      <c r="D356" s="83">
        <v>6.5034446400000006</v>
      </c>
    </row>
    <row r="357" spans="1:4" x14ac:dyDescent="0.2">
      <c r="A357" t="s">
        <v>10</v>
      </c>
      <c r="B357" t="s">
        <v>50</v>
      </c>
      <c r="C357" t="s">
        <v>108</v>
      </c>
      <c r="D357" s="83">
        <v>190.78049731103991</v>
      </c>
    </row>
    <row r="358" spans="1:4" x14ac:dyDescent="0.2">
      <c r="A358" t="s">
        <v>10</v>
      </c>
      <c r="B358" t="s">
        <v>517</v>
      </c>
      <c r="C358" t="s">
        <v>103</v>
      </c>
      <c r="D358" s="83">
        <v>183.65560471586994</v>
      </c>
    </row>
    <row r="359" spans="1:4" x14ac:dyDescent="0.2">
      <c r="A359" t="s">
        <v>10</v>
      </c>
      <c r="B359" t="s">
        <v>22</v>
      </c>
      <c r="C359" t="s">
        <v>95</v>
      </c>
      <c r="D359" s="83">
        <v>181.76200187228162</v>
      </c>
    </row>
    <row r="360" spans="1:4" x14ac:dyDescent="0.2">
      <c r="A360" t="s">
        <v>10</v>
      </c>
      <c r="B360" t="s">
        <v>474</v>
      </c>
      <c r="C360" t="s">
        <v>93</v>
      </c>
      <c r="D360" s="83">
        <v>168.4093531322475</v>
      </c>
    </row>
    <row r="361" spans="1:4" x14ac:dyDescent="0.2">
      <c r="A361" t="s">
        <v>10</v>
      </c>
      <c r="B361" t="s">
        <v>187</v>
      </c>
      <c r="C361" t="s">
        <v>94</v>
      </c>
      <c r="D361" s="83">
        <v>161.83872421516796</v>
      </c>
    </row>
    <row r="362" spans="1:4" x14ac:dyDescent="0.2">
      <c r="A362" t="s">
        <v>10</v>
      </c>
      <c r="B362" t="s">
        <v>505</v>
      </c>
      <c r="C362" t="s">
        <v>96</v>
      </c>
      <c r="D362" s="83">
        <v>155.12491385395197</v>
      </c>
    </row>
    <row r="363" spans="1:4" x14ac:dyDescent="0.2">
      <c r="A363" t="s">
        <v>10</v>
      </c>
      <c r="B363" t="s">
        <v>13</v>
      </c>
      <c r="C363" t="s">
        <v>120</v>
      </c>
      <c r="D363" s="83">
        <v>155.07776599922877</v>
      </c>
    </row>
    <row r="364" spans="1:4" x14ac:dyDescent="0.2">
      <c r="A364" t="s">
        <v>10</v>
      </c>
      <c r="B364" t="s">
        <v>33</v>
      </c>
      <c r="C364" t="s">
        <v>100</v>
      </c>
      <c r="D364" s="83">
        <v>146.32427848500004</v>
      </c>
    </row>
    <row r="365" spans="1:4" x14ac:dyDescent="0.2">
      <c r="A365" t="s">
        <v>10</v>
      </c>
      <c r="B365" t="s">
        <v>427</v>
      </c>
      <c r="C365" t="s">
        <v>101</v>
      </c>
      <c r="D365" s="83">
        <v>145.89143428607994</v>
      </c>
    </row>
    <row r="366" spans="1:4" x14ac:dyDescent="0.2">
      <c r="A366" t="s">
        <v>10</v>
      </c>
      <c r="B366" t="s">
        <v>79</v>
      </c>
      <c r="C366" t="s">
        <v>124</v>
      </c>
      <c r="D366" s="83">
        <v>142.99224053587196</v>
      </c>
    </row>
    <row r="367" spans="1:4" x14ac:dyDescent="0.2">
      <c r="A367" t="s">
        <v>10</v>
      </c>
      <c r="B367" t="s">
        <v>74</v>
      </c>
      <c r="C367" t="s">
        <v>117</v>
      </c>
      <c r="D367" s="83">
        <v>131.42193465491999</v>
      </c>
    </row>
    <row r="368" spans="1:4" x14ac:dyDescent="0.2">
      <c r="A368" t="s">
        <v>10</v>
      </c>
      <c r="B368" t="s">
        <v>627</v>
      </c>
      <c r="C368" t="s">
        <v>169</v>
      </c>
      <c r="D368" s="83">
        <v>131.34257300639999</v>
      </c>
    </row>
    <row r="369" spans="1:4" x14ac:dyDescent="0.2">
      <c r="A369" t="s">
        <v>10</v>
      </c>
      <c r="B369" t="s">
        <v>41</v>
      </c>
      <c r="C369" t="s">
        <v>112</v>
      </c>
      <c r="D369" s="83">
        <v>122.60684427264</v>
      </c>
    </row>
    <row r="370" spans="1:4" x14ac:dyDescent="0.2">
      <c r="A370" t="s">
        <v>10</v>
      </c>
      <c r="B370" t="s">
        <v>147</v>
      </c>
      <c r="C370" t="s">
        <v>98</v>
      </c>
      <c r="D370" s="83">
        <v>113.3588619576</v>
      </c>
    </row>
    <row r="371" spans="1:4" x14ac:dyDescent="0.2">
      <c r="A371" t="s">
        <v>10</v>
      </c>
      <c r="B371" t="s">
        <v>191</v>
      </c>
      <c r="C371" t="s">
        <v>118</v>
      </c>
      <c r="D371" s="83">
        <v>111.11222832065999</v>
      </c>
    </row>
    <row r="372" spans="1:4" x14ac:dyDescent="0.2">
      <c r="A372" t="s">
        <v>10</v>
      </c>
      <c r="B372" t="s">
        <v>83</v>
      </c>
      <c r="C372" t="s">
        <v>114</v>
      </c>
      <c r="D372" s="83">
        <v>109.30098272834891</v>
      </c>
    </row>
    <row r="373" spans="1:4" x14ac:dyDescent="0.2">
      <c r="A373" t="s">
        <v>10</v>
      </c>
      <c r="B373" t="s">
        <v>470</v>
      </c>
      <c r="C373" t="s">
        <v>122</v>
      </c>
      <c r="D373" s="83">
        <v>105.83006106172496</v>
      </c>
    </row>
    <row r="374" spans="1:4" x14ac:dyDescent="0.2">
      <c r="A374" t="s">
        <v>10</v>
      </c>
      <c r="B374" t="s">
        <v>520</v>
      </c>
      <c r="C374" t="s">
        <v>104</v>
      </c>
      <c r="D374" s="83">
        <v>99.969667209216013</v>
      </c>
    </row>
    <row r="375" spans="1:4" x14ac:dyDescent="0.2">
      <c r="A375" t="s">
        <v>10</v>
      </c>
      <c r="B375" t="s">
        <v>17</v>
      </c>
      <c r="C375" t="s">
        <v>113</v>
      </c>
      <c r="D375" s="83">
        <v>96.809080357735198</v>
      </c>
    </row>
    <row r="376" spans="1:4" x14ac:dyDescent="0.2">
      <c r="A376" t="s">
        <v>10</v>
      </c>
      <c r="B376" t="s">
        <v>52</v>
      </c>
      <c r="C376" t="s">
        <v>110</v>
      </c>
      <c r="D376" s="83">
        <v>94.274959189353581</v>
      </c>
    </row>
    <row r="377" spans="1:4" x14ac:dyDescent="0.2">
      <c r="A377" t="s">
        <v>10</v>
      </c>
      <c r="B377" t="s">
        <v>445</v>
      </c>
      <c r="C377" t="s">
        <v>106</v>
      </c>
      <c r="D377" s="83">
        <v>89.963733537216015</v>
      </c>
    </row>
    <row r="378" spans="1:4" x14ac:dyDescent="0.2">
      <c r="A378" t="s">
        <v>10</v>
      </c>
      <c r="B378" t="s">
        <v>400</v>
      </c>
      <c r="C378" t="s">
        <v>114</v>
      </c>
      <c r="D378" s="83">
        <v>88.505673243704607</v>
      </c>
    </row>
    <row r="379" spans="1:4" x14ac:dyDescent="0.2">
      <c r="A379" t="s">
        <v>10</v>
      </c>
      <c r="B379" t="s">
        <v>454</v>
      </c>
      <c r="C379" t="s">
        <v>115</v>
      </c>
      <c r="D379" s="83">
        <v>87.870440020271985</v>
      </c>
    </row>
    <row r="380" spans="1:4" x14ac:dyDescent="0.2">
      <c r="A380" t="s">
        <v>10</v>
      </c>
      <c r="B380" t="s">
        <v>439</v>
      </c>
      <c r="C380" t="s">
        <v>121</v>
      </c>
      <c r="D380" s="83">
        <v>87.511587115490997</v>
      </c>
    </row>
    <row r="381" spans="1:4" x14ac:dyDescent="0.2">
      <c r="A381" t="s">
        <v>10</v>
      </c>
      <c r="B381" t="s">
        <v>141</v>
      </c>
      <c r="C381" t="s">
        <v>105</v>
      </c>
      <c r="D381" s="83">
        <v>86.800296892108804</v>
      </c>
    </row>
    <row r="382" spans="1:4" x14ac:dyDescent="0.2">
      <c r="A382" t="s">
        <v>10</v>
      </c>
      <c r="B382" t="s">
        <v>472</v>
      </c>
      <c r="C382" t="s">
        <v>116</v>
      </c>
      <c r="D382" s="83">
        <v>82.599242709983983</v>
      </c>
    </row>
    <row r="383" spans="1:4" x14ac:dyDescent="0.2">
      <c r="A383" t="s">
        <v>10</v>
      </c>
      <c r="B383" t="s">
        <v>40</v>
      </c>
      <c r="C383" t="s">
        <v>119</v>
      </c>
      <c r="D383" s="83">
        <v>77.518260897461985</v>
      </c>
    </row>
    <row r="384" spans="1:4" x14ac:dyDescent="0.2">
      <c r="A384" t="s">
        <v>10</v>
      </c>
      <c r="B384" t="s">
        <v>63</v>
      </c>
      <c r="C384" t="s">
        <v>111</v>
      </c>
      <c r="D384" s="83">
        <v>69.270961745512807</v>
      </c>
    </row>
    <row r="385" spans="1:4" x14ac:dyDescent="0.2">
      <c r="A385" t="s">
        <v>10</v>
      </c>
      <c r="B385" t="s">
        <v>73</v>
      </c>
      <c r="C385" t="s">
        <v>125</v>
      </c>
      <c r="D385" s="83">
        <v>68.546385770939992</v>
      </c>
    </row>
    <row r="386" spans="1:4" x14ac:dyDescent="0.2">
      <c r="A386" t="s">
        <v>10</v>
      </c>
      <c r="B386" t="s">
        <v>59</v>
      </c>
      <c r="C386" t="s">
        <v>99</v>
      </c>
      <c r="D386" s="83">
        <v>67.972915915967988</v>
      </c>
    </row>
    <row r="387" spans="1:4" x14ac:dyDescent="0.2">
      <c r="A387" t="s">
        <v>10</v>
      </c>
      <c r="B387" t="s">
        <v>521</v>
      </c>
      <c r="C387" t="s">
        <v>104</v>
      </c>
      <c r="D387" s="83">
        <v>67.057766586496001</v>
      </c>
    </row>
    <row r="388" spans="1:4" x14ac:dyDescent="0.2">
      <c r="A388" t="s">
        <v>10</v>
      </c>
      <c r="B388" t="s">
        <v>532</v>
      </c>
      <c r="C388" t="s">
        <v>169</v>
      </c>
      <c r="D388" s="83">
        <v>61.206676159999986</v>
      </c>
    </row>
    <row r="389" spans="1:4" x14ac:dyDescent="0.2">
      <c r="A389" t="s">
        <v>10</v>
      </c>
      <c r="B389" t="s">
        <v>68</v>
      </c>
      <c r="C389" t="s">
        <v>109</v>
      </c>
      <c r="D389" s="83">
        <v>59.707462324891488</v>
      </c>
    </row>
    <row r="390" spans="1:4" x14ac:dyDescent="0.2">
      <c r="A390" t="s">
        <v>10</v>
      </c>
      <c r="B390" t="s">
        <v>644</v>
      </c>
      <c r="C390" t="s">
        <v>97</v>
      </c>
      <c r="D390" s="83">
        <v>59.068966360991993</v>
      </c>
    </row>
    <row r="391" spans="1:4" x14ac:dyDescent="0.2">
      <c r="A391" t="s">
        <v>10</v>
      </c>
      <c r="B391" t="s">
        <v>24</v>
      </c>
      <c r="C391" t="s">
        <v>96</v>
      </c>
      <c r="D391" s="83">
        <v>58.365559107071988</v>
      </c>
    </row>
    <row r="392" spans="1:4" x14ac:dyDescent="0.2">
      <c r="A392" t="s">
        <v>10</v>
      </c>
      <c r="B392" t="s">
        <v>192</v>
      </c>
      <c r="C392" t="s">
        <v>110</v>
      </c>
      <c r="D392" s="83">
        <v>55.509939280947187</v>
      </c>
    </row>
    <row r="393" spans="1:4" x14ac:dyDescent="0.2">
      <c r="A393" t="s">
        <v>10</v>
      </c>
      <c r="B393" t="s">
        <v>424</v>
      </c>
      <c r="C393" t="s">
        <v>95</v>
      </c>
      <c r="D393" s="83">
        <v>55.486040377824011</v>
      </c>
    </row>
    <row r="394" spans="1:4" x14ac:dyDescent="0.2">
      <c r="A394" t="s">
        <v>10</v>
      </c>
      <c r="B394" t="s">
        <v>18</v>
      </c>
      <c r="C394" t="s">
        <v>113</v>
      </c>
      <c r="D394" s="83">
        <v>55.186056155999992</v>
      </c>
    </row>
    <row r="395" spans="1:4" x14ac:dyDescent="0.2">
      <c r="A395" t="s">
        <v>10</v>
      </c>
      <c r="B395" t="s">
        <v>188</v>
      </c>
      <c r="C395" t="s">
        <v>97</v>
      </c>
      <c r="D395" s="83">
        <v>54.994295502719993</v>
      </c>
    </row>
    <row r="396" spans="1:4" x14ac:dyDescent="0.2">
      <c r="A396" t="s">
        <v>10</v>
      </c>
      <c r="B396" t="s">
        <v>448</v>
      </c>
      <c r="C396" t="s">
        <v>102</v>
      </c>
      <c r="D396" s="83">
        <v>52.664460695448014</v>
      </c>
    </row>
    <row r="397" spans="1:4" x14ac:dyDescent="0.2">
      <c r="A397" t="s">
        <v>10</v>
      </c>
      <c r="B397" t="s">
        <v>637</v>
      </c>
      <c r="C397" t="s">
        <v>125</v>
      </c>
      <c r="D397" s="83">
        <v>48.575699465383998</v>
      </c>
    </row>
    <row r="398" spans="1:4" x14ac:dyDescent="0.2">
      <c r="A398" t="s">
        <v>10</v>
      </c>
      <c r="B398" t="s">
        <v>433</v>
      </c>
      <c r="C398" t="s">
        <v>116</v>
      </c>
      <c r="D398" s="83">
        <v>47.942912402985584</v>
      </c>
    </row>
    <row r="399" spans="1:4" x14ac:dyDescent="0.2">
      <c r="A399" t="s">
        <v>10</v>
      </c>
      <c r="B399" t="s">
        <v>412</v>
      </c>
      <c r="C399" t="s">
        <v>109</v>
      </c>
      <c r="D399" s="83">
        <v>47.064153670841982</v>
      </c>
    </row>
    <row r="400" spans="1:4" x14ac:dyDescent="0.2">
      <c r="A400" t="s">
        <v>10</v>
      </c>
      <c r="B400" t="s">
        <v>497</v>
      </c>
      <c r="C400" t="s">
        <v>112</v>
      </c>
      <c r="D400" s="83">
        <v>46.24948826064</v>
      </c>
    </row>
    <row r="401" spans="1:4" x14ac:dyDescent="0.2">
      <c r="A401" t="s">
        <v>10</v>
      </c>
      <c r="B401" t="s">
        <v>670</v>
      </c>
      <c r="C401" t="s">
        <v>115</v>
      </c>
      <c r="D401" s="83">
        <v>43.712904661977589</v>
      </c>
    </row>
    <row r="402" spans="1:4" x14ac:dyDescent="0.2">
      <c r="A402" t="s">
        <v>10</v>
      </c>
      <c r="B402" t="s">
        <v>107</v>
      </c>
      <c r="C402" t="s">
        <v>106</v>
      </c>
      <c r="D402" s="83">
        <v>36.596044523500012</v>
      </c>
    </row>
    <row r="403" spans="1:4" x14ac:dyDescent="0.2">
      <c r="A403" t="s">
        <v>10</v>
      </c>
      <c r="B403" t="s">
        <v>163</v>
      </c>
      <c r="C403" t="s">
        <v>102</v>
      </c>
      <c r="D403" s="83">
        <v>31.824565295600003</v>
      </c>
    </row>
    <row r="404" spans="1:4" x14ac:dyDescent="0.2">
      <c r="A404" t="s">
        <v>10</v>
      </c>
      <c r="B404" t="s">
        <v>51</v>
      </c>
      <c r="C404" t="s">
        <v>98</v>
      </c>
      <c r="D404" s="83">
        <v>31.095113212799991</v>
      </c>
    </row>
    <row r="405" spans="1:4" x14ac:dyDescent="0.2">
      <c r="A405" t="s">
        <v>10</v>
      </c>
      <c r="B405" t="s">
        <v>193</v>
      </c>
      <c r="C405" t="s">
        <v>94</v>
      </c>
      <c r="D405" s="83">
        <v>27.385607208959996</v>
      </c>
    </row>
    <row r="406" spans="1:4" x14ac:dyDescent="0.2">
      <c r="A406" t="s">
        <v>10</v>
      </c>
      <c r="B406" t="s">
        <v>608</v>
      </c>
      <c r="C406" t="s">
        <v>119</v>
      </c>
      <c r="D406" s="83">
        <v>26.411950109999999</v>
      </c>
    </row>
    <row r="407" spans="1:4" x14ac:dyDescent="0.2">
      <c r="A407" t="s">
        <v>10</v>
      </c>
      <c r="B407" t="s">
        <v>575</v>
      </c>
      <c r="C407" t="s">
        <v>115</v>
      </c>
      <c r="D407" s="83">
        <v>26.011431263999992</v>
      </c>
    </row>
    <row r="408" spans="1:4" x14ac:dyDescent="0.2">
      <c r="A408" t="s">
        <v>10</v>
      </c>
      <c r="B408" t="s">
        <v>175</v>
      </c>
      <c r="C408" t="s">
        <v>169</v>
      </c>
      <c r="D408" s="83">
        <v>25.738369796999997</v>
      </c>
    </row>
    <row r="409" spans="1:4" x14ac:dyDescent="0.2">
      <c r="A409" t="s">
        <v>10</v>
      </c>
      <c r="B409" t="s">
        <v>414</v>
      </c>
      <c r="C409" t="s">
        <v>108</v>
      </c>
      <c r="D409" s="83">
        <v>25.696037848319992</v>
      </c>
    </row>
    <row r="410" spans="1:4" x14ac:dyDescent="0.2">
      <c r="A410" t="s">
        <v>10</v>
      </c>
      <c r="B410" t="s">
        <v>23</v>
      </c>
      <c r="C410" t="s">
        <v>109</v>
      </c>
      <c r="D410" s="83">
        <v>25.211992245510004</v>
      </c>
    </row>
    <row r="411" spans="1:4" x14ac:dyDescent="0.2">
      <c r="A411" t="s">
        <v>10</v>
      </c>
      <c r="B411" t="s">
        <v>655</v>
      </c>
      <c r="C411" t="s">
        <v>105</v>
      </c>
      <c r="D411" s="83">
        <v>23.553999006720002</v>
      </c>
    </row>
    <row r="412" spans="1:4" x14ac:dyDescent="0.2">
      <c r="A412" t="s">
        <v>10</v>
      </c>
      <c r="B412" t="s">
        <v>488</v>
      </c>
      <c r="C412" t="s">
        <v>101</v>
      </c>
      <c r="D412" s="83">
        <v>23.209625030608795</v>
      </c>
    </row>
    <row r="413" spans="1:4" x14ac:dyDescent="0.2">
      <c r="A413" t="s">
        <v>10</v>
      </c>
      <c r="B413" t="s">
        <v>529</v>
      </c>
      <c r="C413" t="s">
        <v>124</v>
      </c>
      <c r="D413" s="83">
        <v>22.138437291515991</v>
      </c>
    </row>
    <row r="414" spans="1:4" x14ac:dyDescent="0.2">
      <c r="A414" t="s">
        <v>10</v>
      </c>
      <c r="B414" t="s">
        <v>551</v>
      </c>
      <c r="C414" t="s">
        <v>122</v>
      </c>
      <c r="D414" s="83">
        <v>21.713238746198993</v>
      </c>
    </row>
    <row r="415" spans="1:4" x14ac:dyDescent="0.2">
      <c r="A415" t="s">
        <v>10</v>
      </c>
      <c r="B415" t="s">
        <v>471</v>
      </c>
      <c r="C415" t="s">
        <v>121</v>
      </c>
      <c r="D415" s="83">
        <v>21.524783141400004</v>
      </c>
    </row>
    <row r="416" spans="1:4" x14ac:dyDescent="0.2">
      <c r="A416" t="s">
        <v>10</v>
      </c>
      <c r="B416" t="s">
        <v>542</v>
      </c>
      <c r="C416" t="s">
        <v>118</v>
      </c>
      <c r="D416" s="83">
        <v>20.924662263749997</v>
      </c>
    </row>
    <row r="417" spans="1:4" x14ac:dyDescent="0.2">
      <c r="A417" t="s">
        <v>10</v>
      </c>
      <c r="B417" t="s">
        <v>415</v>
      </c>
      <c r="C417" t="s">
        <v>112</v>
      </c>
      <c r="D417" s="83">
        <v>19.988201519999997</v>
      </c>
    </row>
    <row r="418" spans="1:4" x14ac:dyDescent="0.2">
      <c r="A418" t="s">
        <v>10</v>
      </c>
      <c r="B418" t="s">
        <v>155</v>
      </c>
      <c r="C418" t="s">
        <v>100</v>
      </c>
      <c r="D418" s="83">
        <v>19.760745571875002</v>
      </c>
    </row>
    <row r="419" spans="1:4" x14ac:dyDescent="0.2">
      <c r="A419" t="s">
        <v>10</v>
      </c>
      <c r="B419" t="s">
        <v>475</v>
      </c>
      <c r="C419" t="s">
        <v>103</v>
      </c>
      <c r="D419" s="83">
        <v>17.717118155099996</v>
      </c>
    </row>
    <row r="420" spans="1:4" x14ac:dyDescent="0.2">
      <c r="A420" t="s">
        <v>10</v>
      </c>
      <c r="B420" t="s">
        <v>614</v>
      </c>
      <c r="C420" t="s">
        <v>108</v>
      </c>
      <c r="D420" s="83">
        <v>17.649029798399997</v>
      </c>
    </row>
    <row r="421" spans="1:4" x14ac:dyDescent="0.2">
      <c r="A421" t="s">
        <v>10</v>
      </c>
      <c r="B421" t="s">
        <v>590</v>
      </c>
      <c r="C421" t="s">
        <v>99</v>
      </c>
      <c r="D421" s="83">
        <v>16.453780198379999</v>
      </c>
    </row>
    <row r="422" spans="1:4" x14ac:dyDescent="0.2">
      <c r="A422" t="s">
        <v>10</v>
      </c>
      <c r="B422" t="s">
        <v>513</v>
      </c>
      <c r="C422" t="s">
        <v>101</v>
      </c>
      <c r="D422" s="83">
        <v>16.188977851703996</v>
      </c>
    </row>
    <row r="423" spans="1:4" x14ac:dyDescent="0.2">
      <c r="A423" t="s">
        <v>10</v>
      </c>
      <c r="B423" t="s">
        <v>646</v>
      </c>
      <c r="C423" t="s">
        <v>99</v>
      </c>
      <c r="D423" s="83">
        <v>16.098907581288</v>
      </c>
    </row>
    <row r="424" spans="1:4" x14ac:dyDescent="0.2">
      <c r="A424" t="s">
        <v>10</v>
      </c>
      <c r="B424" t="s">
        <v>189</v>
      </c>
      <c r="C424" t="s">
        <v>105</v>
      </c>
      <c r="D424" s="83">
        <v>15.682476386304002</v>
      </c>
    </row>
    <row r="425" spans="1:4" x14ac:dyDescent="0.2">
      <c r="A425" t="s">
        <v>10</v>
      </c>
      <c r="B425" t="s">
        <v>161</v>
      </c>
      <c r="C425" t="s">
        <v>111</v>
      </c>
      <c r="D425" s="83">
        <v>14.89512935232</v>
      </c>
    </row>
    <row r="426" spans="1:4" x14ac:dyDescent="0.2">
      <c r="A426" t="s">
        <v>10</v>
      </c>
      <c r="B426" t="s">
        <v>638</v>
      </c>
      <c r="C426" t="s">
        <v>93</v>
      </c>
      <c r="D426" s="83">
        <v>14.747381013540004</v>
      </c>
    </row>
    <row r="427" spans="1:4" x14ac:dyDescent="0.2">
      <c r="A427" t="s">
        <v>10</v>
      </c>
      <c r="B427" t="s">
        <v>473</v>
      </c>
      <c r="C427" t="s">
        <v>124</v>
      </c>
      <c r="D427" s="83">
        <v>14.710061620799998</v>
      </c>
    </row>
    <row r="428" spans="1:4" x14ac:dyDescent="0.2">
      <c r="A428" t="s">
        <v>10</v>
      </c>
      <c r="B428" t="s">
        <v>409</v>
      </c>
      <c r="C428" t="s">
        <v>103</v>
      </c>
      <c r="D428" s="83">
        <v>14.383572453432</v>
      </c>
    </row>
    <row r="429" spans="1:4" x14ac:dyDescent="0.2">
      <c r="A429" t="s">
        <v>10</v>
      </c>
      <c r="B429" t="s">
        <v>583</v>
      </c>
      <c r="C429" t="s">
        <v>93</v>
      </c>
      <c r="D429" s="83">
        <v>14.041592247900002</v>
      </c>
    </row>
    <row r="430" spans="1:4" x14ac:dyDescent="0.2">
      <c r="A430" t="s">
        <v>10</v>
      </c>
      <c r="B430" t="s">
        <v>190</v>
      </c>
      <c r="C430" t="s">
        <v>106</v>
      </c>
      <c r="D430" s="83">
        <v>13.906188357600001</v>
      </c>
    </row>
    <row r="431" spans="1:4" x14ac:dyDescent="0.2">
      <c r="A431" t="s">
        <v>10</v>
      </c>
      <c r="B431" t="s">
        <v>29</v>
      </c>
      <c r="C431" t="s">
        <v>117</v>
      </c>
      <c r="D431" s="83">
        <v>13.372270636032002</v>
      </c>
    </row>
    <row r="432" spans="1:4" x14ac:dyDescent="0.2">
      <c r="A432" t="s">
        <v>10</v>
      </c>
      <c r="B432" t="s">
        <v>7</v>
      </c>
      <c r="C432" t="s">
        <v>97</v>
      </c>
      <c r="D432" s="83">
        <v>13.026638221379997</v>
      </c>
    </row>
    <row r="433" spans="1:4" x14ac:dyDescent="0.2">
      <c r="A433" t="s">
        <v>10</v>
      </c>
      <c r="B433" t="s">
        <v>607</v>
      </c>
      <c r="C433" t="s">
        <v>120</v>
      </c>
      <c r="D433" s="83">
        <v>12.40591113216</v>
      </c>
    </row>
    <row r="434" spans="1:4" x14ac:dyDescent="0.2">
      <c r="A434" t="s">
        <v>10</v>
      </c>
      <c r="B434" t="s">
        <v>76</v>
      </c>
      <c r="C434" t="s">
        <v>114</v>
      </c>
      <c r="D434" s="83">
        <v>11.647049984397826</v>
      </c>
    </row>
    <row r="435" spans="1:4" x14ac:dyDescent="0.2">
      <c r="A435" t="s">
        <v>10</v>
      </c>
      <c r="B435" t="s">
        <v>615</v>
      </c>
      <c r="C435" t="s">
        <v>111</v>
      </c>
      <c r="D435" s="83">
        <v>10.617792785711998</v>
      </c>
    </row>
    <row r="436" spans="1:4" x14ac:dyDescent="0.2">
      <c r="A436" t="s">
        <v>10</v>
      </c>
      <c r="B436" t="s">
        <v>423</v>
      </c>
      <c r="C436" t="s">
        <v>95</v>
      </c>
      <c r="D436" s="83">
        <v>7.4937179652608013</v>
      </c>
    </row>
    <row r="437" spans="1:4" x14ac:dyDescent="0.2">
      <c r="A437" t="s">
        <v>10</v>
      </c>
      <c r="B437" t="s">
        <v>681</v>
      </c>
      <c r="C437" t="s">
        <v>119</v>
      </c>
      <c r="D437" s="83">
        <v>7.3655150392362003</v>
      </c>
    </row>
    <row r="438" spans="1:4" x14ac:dyDescent="0.2">
      <c r="A438" t="s">
        <v>10</v>
      </c>
      <c r="B438" t="s">
        <v>176</v>
      </c>
      <c r="C438" t="s">
        <v>117</v>
      </c>
      <c r="D438" s="83">
        <v>7.1468614526400014</v>
      </c>
    </row>
    <row r="439" spans="1:4" x14ac:dyDescent="0.2">
      <c r="A439" t="s">
        <v>10</v>
      </c>
      <c r="B439" t="s">
        <v>564</v>
      </c>
      <c r="C439" t="s">
        <v>125</v>
      </c>
      <c r="D439" s="83">
        <v>7.0733155196480002</v>
      </c>
    </row>
    <row r="440" spans="1:4" x14ac:dyDescent="0.2">
      <c r="A440" t="s">
        <v>10</v>
      </c>
      <c r="B440" t="s">
        <v>547</v>
      </c>
      <c r="C440" t="s">
        <v>121</v>
      </c>
      <c r="D440" s="83">
        <v>6.6706367481600006</v>
      </c>
    </row>
    <row r="441" spans="1:4" x14ac:dyDescent="0.2">
      <c r="A441" t="s">
        <v>10</v>
      </c>
      <c r="B441" t="s">
        <v>487</v>
      </c>
      <c r="C441" t="s">
        <v>96</v>
      </c>
      <c r="D441" s="83">
        <v>6.5208368332799989</v>
      </c>
    </row>
    <row r="442" spans="1:4" x14ac:dyDescent="0.2">
      <c r="A442" t="s">
        <v>723</v>
      </c>
      <c r="B442" t="s">
        <v>689</v>
      </c>
      <c r="C442" t="s">
        <v>120</v>
      </c>
      <c r="D442" s="83">
        <v>115.14999999999999</v>
      </c>
    </row>
    <row r="443" spans="1:4" x14ac:dyDescent="0.2">
      <c r="A443" t="s">
        <v>723</v>
      </c>
      <c r="B443" t="s">
        <v>690</v>
      </c>
      <c r="C443" t="s">
        <v>98</v>
      </c>
      <c r="D443" s="83">
        <v>105.5</v>
      </c>
    </row>
    <row r="444" spans="1:4" x14ac:dyDescent="0.2">
      <c r="A444" t="s">
        <v>723</v>
      </c>
      <c r="B444" t="s">
        <v>691</v>
      </c>
      <c r="C444" t="s">
        <v>99</v>
      </c>
      <c r="D444" s="83">
        <v>119.85</v>
      </c>
    </row>
    <row r="445" spans="1:4" x14ac:dyDescent="0.2">
      <c r="A445" t="s">
        <v>723</v>
      </c>
      <c r="B445" t="s">
        <v>692</v>
      </c>
      <c r="C445" t="s">
        <v>96</v>
      </c>
      <c r="D445" s="83">
        <v>119.9</v>
      </c>
    </row>
    <row r="446" spans="1:4" x14ac:dyDescent="0.2">
      <c r="A446" t="s">
        <v>723</v>
      </c>
      <c r="B446" t="s">
        <v>693</v>
      </c>
      <c r="C446" t="s">
        <v>102</v>
      </c>
      <c r="D446" s="83">
        <v>110.45</v>
      </c>
    </row>
    <row r="447" spans="1:4" x14ac:dyDescent="0.2">
      <c r="A447" t="s">
        <v>723</v>
      </c>
      <c r="B447" t="s">
        <v>694</v>
      </c>
      <c r="C447" t="s">
        <v>100</v>
      </c>
      <c r="D447" s="83">
        <v>120.00000000000001</v>
      </c>
    </row>
    <row r="448" spans="1:4" x14ac:dyDescent="0.2">
      <c r="A448" t="s">
        <v>723</v>
      </c>
      <c r="B448" t="s">
        <v>695</v>
      </c>
      <c r="C448" t="s">
        <v>121</v>
      </c>
      <c r="D448" s="83">
        <v>117.00000000000001</v>
      </c>
    </row>
    <row r="449" spans="1:4" x14ac:dyDescent="0.2">
      <c r="A449" t="s">
        <v>723</v>
      </c>
      <c r="B449" t="s">
        <v>696</v>
      </c>
      <c r="C449" t="s">
        <v>93</v>
      </c>
      <c r="D449" s="83">
        <v>104</v>
      </c>
    </row>
    <row r="450" spans="1:4" x14ac:dyDescent="0.2">
      <c r="A450" t="s">
        <v>723</v>
      </c>
      <c r="B450" t="s">
        <v>697</v>
      </c>
      <c r="C450" t="s">
        <v>109</v>
      </c>
      <c r="D450" s="83">
        <v>117.14999999999999</v>
      </c>
    </row>
    <row r="451" spans="1:4" x14ac:dyDescent="0.2">
      <c r="A451" t="s">
        <v>723</v>
      </c>
      <c r="B451" t="s">
        <v>698</v>
      </c>
      <c r="C451" t="s">
        <v>108</v>
      </c>
      <c r="D451" s="83">
        <v>116.70000000000002</v>
      </c>
    </row>
    <row r="452" spans="1:4" x14ac:dyDescent="0.2">
      <c r="A452" t="s">
        <v>723</v>
      </c>
      <c r="B452" t="s">
        <v>699</v>
      </c>
      <c r="C452" t="s">
        <v>106</v>
      </c>
      <c r="D452" s="83">
        <v>119.50000000000001</v>
      </c>
    </row>
    <row r="453" spans="1:4" x14ac:dyDescent="0.2">
      <c r="A453" t="s">
        <v>723</v>
      </c>
      <c r="B453" t="s">
        <v>700</v>
      </c>
      <c r="C453" t="s">
        <v>125</v>
      </c>
      <c r="D453" s="83">
        <v>115.85</v>
      </c>
    </row>
    <row r="454" spans="1:4" x14ac:dyDescent="0.2">
      <c r="A454" t="s">
        <v>723</v>
      </c>
      <c r="B454" t="s">
        <v>701</v>
      </c>
      <c r="C454" t="s">
        <v>101</v>
      </c>
      <c r="D454" s="83">
        <v>123.05</v>
      </c>
    </row>
    <row r="455" spans="1:4" x14ac:dyDescent="0.2">
      <c r="A455" t="s">
        <v>723</v>
      </c>
      <c r="B455" t="s">
        <v>702</v>
      </c>
      <c r="C455" t="s">
        <v>111</v>
      </c>
      <c r="D455" s="83">
        <v>116.45</v>
      </c>
    </row>
    <row r="456" spans="1:4" x14ac:dyDescent="0.2">
      <c r="A456" t="s">
        <v>723</v>
      </c>
      <c r="B456" t="s">
        <v>703</v>
      </c>
      <c r="C456" t="s">
        <v>117</v>
      </c>
      <c r="D456" s="83">
        <v>123.35</v>
      </c>
    </row>
    <row r="457" spans="1:4" x14ac:dyDescent="0.2">
      <c r="A457" t="s">
        <v>723</v>
      </c>
      <c r="B457" t="s">
        <v>704</v>
      </c>
      <c r="C457" t="s">
        <v>94</v>
      </c>
      <c r="D457" s="83">
        <v>107.50000000000001</v>
      </c>
    </row>
    <row r="458" spans="1:4" x14ac:dyDescent="0.2">
      <c r="A458" t="s">
        <v>723</v>
      </c>
      <c r="B458" t="s">
        <v>705</v>
      </c>
      <c r="C458" t="s">
        <v>115</v>
      </c>
      <c r="D458" s="83">
        <v>118.45</v>
      </c>
    </row>
    <row r="459" spans="1:4" x14ac:dyDescent="0.2">
      <c r="A459" t="s">
        <v>723</v>
      </c>
      <c r="B459" t="s">
        <v>706</v>
      </c>
      <c r="C459" t="s">
        <v>124</v>
      </c>
      <c r="D459" s="83">
        <v>113.45</v>
      </c>
    </row>
    <row r="460" spans="1:4" x14ac:dyDescent="0.2">
      <c r="A460" t="s">
        <v>723</v>
      </c>
      <c r="B460" t="s">
        <v>707</v>
      </c>
      <c r="C460" t="s">
        <v>116</v>
      </c>
      <c r="D460" s="83">
        <v>119.7</v>
      </c>
    </row>
    <row r="461" spans="1:4" x14ac:dyDescent="0.2">
      <c r="A461" t="s">
        <v>723</v>
      </c>
      <c r="B461" t="s">
        <v>708</v>
      </c>
      <c r="C461" t="s">
        <v>103</v>
      </c>
      <c r="D461" s="83">
        <v>115.60000000000001</v>
      </c>
    </row>
    <row r="462" spans="1:4" x14ac:dyDescent="0.2">
      <c r="A462" t="s">
        <v>723</v>
      </c>
      <c r="B462" t="s">
        <v>709</v>
      </c>
      <c r="C462" t="s">
        <v>104</v>
      </c>
      <c r="D462" s="83">
        <v>113.35</v>
      </c>
    </row>
    <row r="463" spans="1:4" x14ac:dyDescent="0.2">
      <c r="A463" t="s">
        <v>723</v>
      </c>
      <c r="B463" t="s">
        <v>710</v>
      </c>
      <c r="C463" t="s">
        <v>97</v>
      </c>
      <c r="D463" s="83">
        <v>104.30000000000001</v>
      </c>
    </row>
    <row r="464" spans="1:4" x14ac:dyDescent="0.2">
      <c r="A464" t="s">
        <v>723</v>
      </c>
      <c r="B464" t="s">
        <v>711</v>
      </c>
      <c r="C464" t="s">
        <v>113</v>
      </c>
      <c r="D464" s="83">
        <v>107.64999999999999</v>
      </c>
    </row>
    <row r="465" spans="1:4" x14ac:dyDescent="0.2">
      <c r="A465" t="s">
        <v>723</v>
      </c>
      <c r="B465" t="s">
        <v>712</v>
      </c>
      <c r="C465" t="s">
        <v>169</v>
      </c>
      <c r="D465" s="83">
        <v>107.6</v>
      </c>
    </row>
    <row r="466" spans="1:4" x14ac:dyDescent="0.2">
      <c r="A466" t="s">
        <v>723</v>
      </c>
      <c r="B466" t="s">
        <v>713</v>
      </c>
      <c r="C466" t="s">
        <v>110</v>
      </c>
      <c r="D466" s="83">
        <v>107.15</v>
      </c>
    </row>
    <row r="467" spans="1:4" x14ac:dyDescent="0.2">
      <c r="A467" t="s">
        <v>723</v>
      </c>
      <c r="B467" t="s">
        <v>714</v>
      </c>
      <c r="C467" t="s">
        <v>95</v>
      </c>
      <c r="D467" s="83">
        <v>121.85</v>
      </c>
    </row>
    <row r="468" spans="1:4" x14ac:dyDescent="0.2">
      <c r="A468" t="s">
        <v>723</v>
      </c>
      <c r="B468" t="s">
        <v>715</v>
      </c>
      <c r="C468" t="s">
        <v>114</v>
      </c>
      <c r="D468" s="83">
        <v>112.5</v>
      </c>
    </row>
    <row r="469" spans="1:4" x14ac:dyDescent="0.2">
      <c r="A469" t="s">
        <v>723</v>
      </c>
      <c r="B469" t="s">
        <v>716</v>
      </c>
      <c r="C469" t="s">
        <v>119</v>
      </c>
      <c r="D469" s="83">
        <v>113.20000000000002</v>
      </c>
    </row>
    <row r="470" spans="1:4" x14ac:dyDescent="0.2">
      <c r="A470" t="s">
        <v>723</v>
      </c>
      <c r="B470" t="s">
        <v>717</v>
      </c>
      <c r="C470" t="s">
        <v>118</v>
      </c>
      <c r="D470" s="83">
        <v>115.99999999999999</v>
      </c>
    </row>
    <row r="471" spans="1:4" x14ac:dyDescent="0.2">
      <c r="A471" t="s">
        <v>723</v>
      </c>
      <c r="B471" t="s">
        <v>718</v>
      </c>
      <c r="C471" t="s">
        <v>105</v>
      </c>
      <c r="D471" s="83">
        <v>117.1</v>
      </c>
    </row>
    <row r="472" spans="1:4" x14ac:dyDescent="0.2">
      <c r="A472" t="s">
        <v>723</v>
      </c>
      <c r="B472" t="s">
        <v>719</v>
      </c>
      <c r="C472" t="s">
        <v>122</v>
      </c>
      <c r="D472" s="83">
        <v>105.35</v>
      </c>
    </row>
    <row r="473" spans="1:4" x14ac:dyDescent="0.2">
      <c r="A473" t="s">
        <v>723</v>
      </c>
      <c r="B473" t="s">
        <v>720</v>
      </c>
      <c r="C473" t="s">
        <v>112</v>
      </c>
      <c r="D473" s="83">
        <v>113.30000000000001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FFC87D"/>
  </sheetPr>
  <dimension ref="A1:AA66"/>
  <sheetViews>
    <sheetView showGridLines="0" topLeftCell="B1" zoomScale="85" zoomScaleNormal="85" workbookViewId="0">
      <selection activeCell="B1" sqref="B1"/>
    </sheetView>
  </sheetViews>
  <sheetFormatPr baseColWidth="10" defaultColWidth="8.796875" defaultRowHeight="14" x14ac:dyDescent="0.2"/>
  <cols>
    <col min="1" max="1" width="6.3984375" hidden="1" customWidth="1"/>
    <col min="2" max="2" width="11.796875" style="83" bestFit="1" customWidth="1"/>
    <col min="3" max="3" width="10" style="83" bestFit="1" customWidth="1"/>
    <col min="4" max="4" width="6.796875" style="148" bestFit="1" customWidth="1"/>
    <col min="5" max="5" width="8.796875" style="148" bestFit="1" customWidth="1"/>
    <col min="6" max="6" width="6.3984375" style="148" bestFit="1" customWidth="1"/>
    <col min="7" max="7" width="10.19921875" style="148" bestFit="1" customWidth="1"/>
    <col min="8" max="8" width="10.796875" style="188" bestFit="1" customWidth="1"/>
    <col min="9" max="9" width="10.59765625" style="148" bestFit="1" customWidth="1"/>
    <col min="10" max="10" width="9" style="148" bestFit="1" customWidth="1"/>
    <col min="11" max="11" width="9.796875" style="148" bestFit="1" customWidth="1"/>
    <col min="12" max="14" width="9.59765625" style="148" bestFit="1" customWidth="1"/>
    <col min="15" max="17" width="10.59765625" style="148" bestFit="1" customWidth="1"/>
    <col min="18" max="18" width="9.59765625" style="148" bestFit="1" customWidth="1"/>
    <col min="19" max="19" width="9.19921875" style="6" bestFit="1" customWidth="1"/>
  </cols>
  <sheetData>
    <row r="1" spans="1:27" s="85" customFormat="1" ht="30" x14ac:dyDescent="0.2">
      <c r="A1" s="84" t="s">
        <v>341</v>
      </c>
      <c r="B1" s="85" t="s">
        <v>178</v>
      </c>
      <c r="C1" s="85" t="s">
        <v>478</v>
      </c>
      <c r="D1" s="182" t="s">
        <v>128</v>
      </c>
      <c r="E1" s="183" t="s">
        <v>240</v>
      </c>
      <c r="F1" s="183" t="s">
        <v>2</v>
      </c>
      <c r="G1" s="183" t="s">
        <v>256</v>
      </c>
      <c r="H1" s="183" t="s">
        <v>255</v>
      </c>
      <c r="I1" s="184" t="s">
        <v>241</v>
      </c>
      <c r="J1" s="183" t="s">
        <v>242</v>
      </c>
      <c r="K1" s="183" t="s">
        <v>253</v>
      </c>
      <c r="L1" s="183" t="s">
        <v>270</v>
      </c>
      <c r="M1" s="183" t="s">
        <v>271</v>
      </c>
      <c r="N1" s="183" t="s">
        <v>272</v>
      </c>
      <c r="O1" s="183" t="s">
        <v>273</v>
      </c>
      <c r="P1" s="183" t="s">
        <v>275</v>
      </c>
      <c r="Q1" s="183" t="s">
        <v>276</v>
      </c>
      <c r="R1" s="183" t="s">
        <v>274</v>
      </c>
      <c r="S1" s="183" t="s">
        <v>254</v>
      </c>
    </row>
    <row r="2" spans="1:27" x14ac:dyDescent="0.2">
      <c r="A2" s="57" t="s">
        <v>342</v>
      </c>
      <c r="B2" t="s">
        <v>689</v>
      </c>
      <c r="C2" t="s">
        <v>120</v>
      </c>
      <c r="D2" s="185"/>
      <c r="E2" s="148">
        <v>42.9</v>
      </c>
      <c r="F2" s="148">
        <v>15.2</v>
      </c>
      <c r="G2" s="148">
        <v>12.95</v>
      </c>
      <c r="H2" s="148">
        <v>9.65</v>
      </c>
      <c r="I2" s="186"/>
      <c r="J2" s="148">
        <v>1.5999999999999999</v>
      </c>
      <c r="K2" s="148">
        <v>19.558823529411764</v>
      </c>
      <c r="L2" s="187"/>
      <c r="M2" s="187"/>
      <c r="N2" s="187"/>
      <c r="O2" s="187"/>
      <c r="P2" s="187"/>
      <c r="Q2" s="187"/>
      <c r="R2" s="187"/>
      <c r="S2" s="148">
        <v>314.81764705882352</v>
      </c>
      <c r="T2" s="81"/>
      <c r="U2" s="81"/>
      <c r="V2" s="81"/>
      <c r="W2" s="81"/>
      <c r="X2" s="81"/>
      <c r="Y2" s="81"/>
      <c r="Z2" s="81"/>
      <c r="AA2" s="82"/>
    </row>
    <row r="3" spans="1:27" x14ac:dyDescent="0.2">
      <c r="A3" s="57" t="s">
        <v>347</v>
      </c>
      <c r="B3" t="s">
        <v>690</v>
      </c>
      <c r="C3" t="s">
        <v>98</v>
      </c>
      <c r="D3" s="185"/>
      <c r="E3" s="148">
        <v>37</v>
      </c>
      <c r="F3" s="148">
        <v>14.3</v>
      </c>
      <c r="G3" s="148">
        <v>12.7</v>
      </c>
      <c r="H3" s="148">
        <v>9</v>
      </c>
      <c r="I3" s="186"/>
      <c r="J3" s="148">
        <v>1.5333333333333332</v>
      </c>
      <c r="K3" s="148">
        <v>21.705882352941178</v>
      </c>
      <c r="L3" s="187"/>
      <c r="M3" s="187"/>
      <c r="N3" s="187"/>
      <c r="O3" s="187"/>
      <c r="P3" s="187"/>
      <c r="Q3" s="187"/>
      <c r="R3" s="187"/>
      <c r="S3" s="148">
        <v>313.90588235294115</v>
      </c>
      <c r="T3" s="81"/>
      <c r="U3" s="81"/>
      <c r="V3" s="81"/>
      <c r="W3" s="81"/>
      <c r="X3" s="81"/>
      <c r="Y3" s="81"/>
      <c r="Z3" s="81"/>
      <c r="AA3" s="82"/>
    </row>
    <row r="4" spans="1:27" x14ac:dyDescent="0.2">
      <c r="A4" s="57" t="s">
        <v>348</v>
      </c>
      <c r="B4" t="s">
        <v>691</v>
      </c>
      <c r="C4" t="s">
        <v>99</v>
      </c>
      <c r="D4" s="185"/>
      <c r="E4" s="148">
        <v>46.45</v>
      </c>
      <c r="F4" s="148">
        <v>14.45</v>
      </c>
      <c r="G4" s="148">
        <v>14.3</v>
      </c>
      <c r="H4" s="148">
        <v>10.1</v>
      </c>
      <c r="I4" s="186"/>
      <c r="J4" s="148">
        <v>1.6666666666666667</v>
      </c>
      <c r="K4" s="148">
        <v>21.86470588235294</v>
      </c>
      <c r="L4" s="187"/>
      <c r="M4" s="187"/>
      <c r="N4" s="187"/>
      <c r="O4" s="187"/>
      <c r="P4" s="187"/>
      <c r="Q4" s="187"/>
      <c r="R4" s="187"/>
      <c r="S4" s="148">
        <v>332.7176470588235</v>
      </c>
      <c r="T4" s="81"/>
      <c r="U4" s="81"/>
      <c r="V4" s="81"/>
      <c r="W4" s="81"/>
      <c r="X4" s="81"/>
      <c r="Y4" s="81"/>
      <c r="Z4" s="81"/>
      <c r="AA4" s="82"/>
    </row>
    <row r="5" spans="1:27" x14ac:dyDescent="0.2">
      <c r="A5" s="57" t="s">
        <v>349</v>
      </c>
      <c r="B5" t="s">
        <v>692</v>
      </c>
      <c r="C5" t="s">
        <v>96</v>
      </c>
      <c r="D5" s="185"/>
      <c r="E5" s="148">
        <v>43.65</v>
      </c>
      <c r="F5" s="148">
        <v>14.15</v>
      </c>
      <c r="G5" s="148">
        <v>16.25</v>
      </c>
      <c r="H5" s="148">
        <v>10.75</v>
      </c>
      <c r="I5" s="186"/>
      <c r="J5" s="148">
        <v>1.7</v>
      </c>
      <c r="K5" s="148">
        <v>21.776470588235295</v>
      </c>
      <c r="L5" s="187"/>
      <c r="M5" s="187"/>
      <c r="N5" s="187"/>
      <c r="O5" s="187"/>
      <c r="P5" s="187"/>
      <c r="Q5" s="187"/>
      <c r="R5" s="187"/>
      <c r="S5" s="148">
        <v>325.22941176470584</v>
      </c>
      <c r="T5" s="81"/>
      <c r="U5" s="81"/>
      <c r="V5" s="81"/>
      <c r="W5" s="81"/>
      <c r="X5" s="81"/>
      <c r="Y5" s="81"/>
      <c r="Z5" s="81"/>
      <c r="AA5" s="82"/>
    </row>
    <row r="6" spans="1:27" x14ac:dyDescent="0.2">
      <c r="A6" s="57" t="s">
        <v>350</v>
      </c>
      <c r="B6" t="s">
        <v>693</v>
      </c>
      <c r="C6" t="s">
        <v>102</v>
      </c>
      <c r="D6" s="185"/>
      <c r="E6" s="148">
        <v>39.9</v>
      </c>
      <c r="F6" s="148">
        <v>11.3</v>
      </c>
      <c r="G6" s="148">
        <v>15.85</v>
      </c>
      <c r="H6" s="148">
        <v>10.95</v>
      </c>
      <c r="I6" s="186"/>
      <c r="J6" s="148">
        <v>1.7</v>
      </c>
      <c r="K6" s="148">
        <v>26.170588235294115</v>
      </c>
      <c r="L6" s="187"/>
      <c r="M6" s="187"/>
      <c r="N6" s="187"/>
      <c r="O6" s="187"/>
      <c r="P6" s="187"/>
      <c r="Q6" s="187"/>
      <c r="R6" s="187"/>
      <c r="S6" s="148">
        <v>352.27058823529416</v>
      </c>
      <c r="T6" s="81"/>
      <c r="U6" s="81"/>
      <c r="V6" s="81"/>
      <c r="W6" s="81"/>
      <c r="X6" s="81"/>
      <c r="Y6" s="81"/>
      <c r="Z6" s="81"/>
      <c r="AA6" s="82"/>
    </row>
    <row r="7" spans="1:27" x14ac:dyDescent="0.2">
      <c r="A7" s="57" t="s">
        <v>343</v>
      </c>
      <c r="B7" t="s">
        <v>694</v>
      </c>
      <c r="C7" t="s">
        <v>100</v>
      </c>
      <c r="D7" s="185"/>
      <c r="E7" s="148">
        <v>47.4</v>
      </c>
      <c r="F7" s="148">
        <v>14.65</v>
      </c>
      <c r="G7" s="148">
        <v>13.7</v>
      </c>
      <c r="H7" s="148">
        <v>9.6999999999999993</v>
      </c>
      <c r="I7" s="186"/>
      <c r="J7" s="148">
        <v>1.7</v>
      </c>
      <c r="K7" s="148">
        <v>21.358823529411765</v>
      </c>
      <c r="L7" s="187"/>
      <c r="M7" s="187"/>
      <c r="N7" s="187"/>
      <c r="O7" s="187"/>
      <c r="P7" s="187"/>
      <c r="Q7" s="187"/>
      <c r="R7" s="187"/>
      <c r="S7" s="148">
        <v>307.07647058823528</v>
      </c>
      <c r="T7" s="81"/>
      <c r="U7" s="81"/>
      <c r="V7" s="81"/>
      <c r="W7" s="81"/>
      <c r="X7" s="81"/>
      <c r="Y7" s="81"/>
      <c r="Z7" s="81"/>
      <c r="AA7" s="82"/>
    </row>
    <row r="8" spans="1:27" x14ac:dyDescent="0.2">
      <c r="A8" s="57" t="s">
        <v>345</v>
      </c>
      <c r="B8" t="s">
        <v>695</v>
      </c>
      <c r="C8" t="s">
        <v>121</v>
      </c>
      <c r="D8" s="185"/>
      <c r="E8" s="148">
        <v>43.8</v>
      </c>
      <c r="F8" s="148">
        <v>12.55</v>
      </c>
      <c r="G8" s="148">
        <v>18</v>
      </c>
      <c r="H8" s="148">
        <v>10.45</v>
      </c>
      <c r="I8" s="186"/>
      <c r="J8" s="148">
        <v>1.5333333333333332</v>
      </c>
      <c r="K8" s="148">
        <v>21.547058823529412</v>
      </c>
      <c r="L8" s="187"/>
      <c r="M8" s="187"/>
      <c r="N8" s="187"/>
      <c r="O8" s="187"/>
      <c r="P8" s="187"/>
      <c r="Q8" s="187"/>
      <c r="R8" s="187"/>
      <c r="S8" s="148">
        <v>328.07647058823528</v>
      </c>
      <c r="T8" s="81"/>
      <c r="U8" s="81"/>
      <c r="V8" s="81"/>
      <c r="W8" s="81"/>
      <c r="X8" s="81"/>
      <c r="Y8" s="81"/>
      <c r="Z8" s="81"/>
      <c r="AA8" s="82"/>
    </row>
    <row r="9" spans="1:27" x14ac:dyDescent="0.2">
      <c r="A9" s="57" t="s">
        <v>344</v>
      </c>
      <c r="B9" t="s">
        <v>696</v>
      </c>
      <c r="C9" t="s">
        <v>93</v>
      </c>
      <c r="D9" s="185"/>
      <c r="E9" s="148">
        <v>39</v>
      </c>
      <c r="F9" s="148">
        <v>12.5</v>
      </c>
      <c r="G9" s="148">
        <v>12.2</v>
      </c>
      <c r="H9" s="148">
        <v>9.4</v>
      </c>
      <c r="I9" s="186"/>
      <c r="J9" s="148">
        <v>1.5</v>
      </c>
      <c r="K9" s="148">
        <v>26.605882352941176</v>
      </c>
      <c r="L9" s="187"/>
      <c r="M9" s="187"/>
      <c r="N9" s="187"/>
      <c r="O9" s="187"/>
      <c r="P9" s="187"/>
      <c r="Q9" s="187"/>
      <c r="R9" s="187"/>
      <c r="S9" s="148">
        <v>351.09999999999997</v>
      </c>
      <c r="T9" s="81"/>
      <c r="U9" s="81"/>
      <c r="V9" s="81"/>
      <c r="W9" s="81"/>
      <c r="X9" s="81"/>
      <c r="Y9" s="81"/>
      <c r="Z9" s="81"/>
      <c r="AA9" s="82"/>
    </row>
    <row r="10" spans="1:27" x14ac:dyDescent="0.2">
      <c r="A10" s="57" t="s">
        <v>346</v>
      </c>
      <c r="B10" t="s">
        <v>697</v>
      </c>
      <c r="C10" t="s">
        <v>109</v>
      </c>
      <c r="D10" s="185"/>
      <c r="E10" s="148">
        <v>44.35</v>
      </c>
      <c r="F10" s="148">
        <v>12.85</v>
      </c>
      <c r="G10" s="148">
        <v>16.3</v>
      </c>
      <c r="H10" s="148">
        <v>10.5</v>
      </c>
      <c r="I10" s="186"/>
      <c r="J10" s="148">
        <v>1.6333333333333335</v>
      </c>
      <c r="K10" s="148">
        <v>23.099999999999998</v>
      </c>
      <c r="L10" s="187"/>
      <c r="M10" s="187"/>
      <c r="N10" s="187"/>
      <c r="O10" s="187"/>
      <c r="P10" s="187"/>
      <c r="Q10" s="187"/>
      <c r="R10" s="187"/>
      <c r="S10" s="148">
        <v>337.07647058823528</v>
      </c>
      <c r="T10" s="81"/>
      <c r="U10" s="81"/>
      <c r="V10" s="81"/>
      <c r="W10" s="81"/>
      <c r="X10" s="81"/>
      <c r="Y10" s="81"/>
      <c r="Z10" s="81"/>
      <c r="AA10" s="82"/>
    </row>
    <row r="11" spans="1:27" x14ac:dyDescent="0.2">
      <c r="A11" s="57" t="s">
        <v>351</v>
      </c>
      <c r="B11" t="s">
        <v>698</v>
      </c>
      <c r="C11" t="s">
        <v>108</v>
      </c>
      <c r="D11" s="185"/>
      <c r="E11" s="148">
        <v>46.9</v>
      </c>
      <c r="F11" s="148">
        <v>12.8</v>
      </c>
      <c r="G11" s="148">
        <v>14.9</v>
      </c>
      <c r="H11" s="148">
        <v>9.9499999999999993</v>
      </c>
      <c r="I11" s="186"/>
      <c r="J11" s="148">
        <v>1.5666666666666667</v>
      </c>
      <c r="K11" s="148">
        <v>20.688235294117646</v>
      </c>
      <c r="L11" s="187"/>
      <c r="M11" s="187"/>
      <c r="N11" s="187"/>
      <c r="O11" s="187"/>
      <c r="P11" s="187"/>
      <c r="Q11" s="187"/>
      <c r="R11" s="187"/>
      <c r="S11" s="148">
        <v>305.49411764705883</v>
      </c>
      <c r="T11" s="81"/>
      <c r="U11" s="81"/>
      <c r="V11" s="81"/>
      <c r="W11" s="81"/>
      <c r="X11" s="81"/>
      <c r="Y11" s="81"/>
      <c r="Z11" s="81"/>
      <c r="AA11" s="82"/>
    </row>
    <row r="12" spans="1:27" x14ac:dyDescent="0.2">
      <c r="A12" s="57" t="s">
        <v>352</v>
      </c>
      <c r="B12" t="s">
        <v>699</v>
      </c>
      <c r="C12" t="s">
        <v>106</v>
      </c>
      <c r="D12" s="185"/>
      <c r="E12" s="148">
        <v>48.8</v>
      </c>
      <c r="F12" s="148">
        <v>12.85</v>
      </c>
      <c r="G12" s="148">
        <v>15.7</v>
      </c>
      <c r="H12" s="148">
        <v>10.050000000000001</v>
      </c>
      <c r="I12" s="186"/>
      <c r="J12" s="148">
        <v>1.5333333333333332</v>
      </c>
      <c r="K12" s="148">
        <v>24.164705882352941</v>
      </c>
      <c r="L12" s="187"/>
      <c r="M12" s="187"/>
      <c r="N12" s="187"/>
      <c r="O12" s="187"/>
      <c r="P12" s="187"/>
      <c r="Q12" s="187"/>
      <c r="R12" s="187"/>
      <c r="S12" s="148">
        <v>324.1764705882353</v>
      </c>
      <c r="T12" s="81"/>
      <c r="U12" s="81"/>
      <c r="V12" s="81"/>
      <c r="W12" s="81"/>
      <c r="X12" s="81"/>
      <c r="Y12" s="81"/>
      <c r="Z12" s="81"/>
      <c r="AA12" s="82"/>
    </row>
    <row r="13" spans="1:27" x14ac:dyDescent="0.2">
      <c r="A13" s="57" t="s">
        <v>353</v>
      </c>
      <c r="B13" t="s">
        <v>700</v>
      </c>
      <c r="C13" t="s">
        <v>125</v>
      </c>
      <c r="D13" s="185"/>
      <c r="E13" s="148">
        <v>44.85</v>
      </c>
      <c r="F13" s="148">
        <v>13</v>
      </c>
      <c r="G13" s="148">
        <v>15.2</v>
      </c>
      <c r="H13" s="148">
        <v>10.199999999999999</v>
      </c>
      <c r="I13" s="186"/>
      <c r="J13" s="148">
        <v>1.5666666666666667</v>
      </c>
      <c r="K13" s="148">
        <v>25.788235294117644</v>
      </c>
      <c r="L13" s="187"/>
      <c r="M13" s="187"/>
      <c r="N13" s="187"/>
      <c r="O13" s="187"/>
      <c r="P13" s="187"/>
      <c r="Q13" s="187"/>
      <c r="R13" s="187"/>
      <c r="S13" s="148">
        <v>337.90588235294115</v>
      </c>
      <c r="T13" s="81"/>
      <c r="U13" s="81"/>
      <c r="V13" s="81"/>
      <c r="W13" s="81"/>
      <c r="X13" s="81"/>
      <c r="Y13" s="81"/>
      <c r="Z13" s="81"/>
      <c r="AA13" s="82"/>
    </row>
    <row r="14" spans="1:27" x14ac:dyDescent="0.2">
      <c r="A14" s="57" t="s">
        <v>354</v>
      </c>
      <c r="B14" t="s">
        <v>701</v>
      </c>
      <c r="C14" t="s">
        <v>101</v>
      </c>
      <c r="D14" s="185"/>
      <c r="E14" s="148">
        <v>49.35</v>
      </c>
      <c r="F14" s="148">
        <v>13.55</v>
      </c>
      <c r="G14" s="148">
        <v>15.7</v>
      </c>
      <c r="H14" s="148">
        <v>10.55</v>
      </c>
      <c r="I14" s="186"/>
      <c r="J14" s="148">
        <v>1.6333333333333335</v>
      </c>
      <c r="K14" s="148">
        <v>21.188235294117646</v>
      </c>
      <c r="L14" s="187"/>
      <c r="M14" s="187"/>
      <c r="N14" s="187"/>
      <c r="O14" s="187"/>
      <c r="P14" s="187"/>
      <c r="Q14" s="187"/>
      <c r="R14" s="187"/>
      <c r="S14" s="148">
        <v>311.38823529411769</v>
      </c>
      <c r="T14" s="81"/>
      <c r="U14" s="81"/>
      <c r="V14" s="81"/>
      <c r="W14" s="81"/>
      <c r="X14" s="81"/>
      <c r="Y14" s="81"/>
      <c r="Z14" s="81"/>
      <c r="AA14" s="82"/>
    </row>
    <row r="15" spans="1:27" x14ac:dyDescent="0.2">
      <c r="A15" s="57" t="s">
        <v>355</v>
      </c>
      <c r="B15" t="s">
        <v>702</v>
      </c>
      <c r="C15" t="s">
        <v>111</v>
      </c>
      <c r="D15" s="185"/>
      <c r="E15" s="148">
        <v>44.1</v>
      </c>
      <c r="F15" s="148">
        <v>12.5</v>
      </c>
      <c r="G15" s="148">
        <v>16.95</v>
      </c>
      <c r="H15" s="148">
        <v>10.5</v>
      </c>
      <c r="I15" s="186"/>
      <c r="J15" s="148">
        <v>1.5666666666666667</v>
      </c>
      <c r="K15" s="148">
        <v>22.064705882352943</v>
      </c>
      <c r="L15" s="187"/>
      <c r="M15" s="187"/>
      <c r="N15" s="187"/>
      <c r="O15" s="187"/>
      <c r="P15" s="187"/>
      <c r="Q15" s="187"/>
      <c r="R15" s="187"/>
      <c r="S15" s="148">
        <v>314.7823529411765</v>
      </c>
      <c r="T15" s="81"/>
      <c r="U15" s="81"/>
      <c r="V15" s="81"/>
      <c r="W15" s="81"/>
      <c r="X15" s="81"/>
      <c r="Y15" s="81"/>
      <c r="Z15" s="81"/>
      <c r="AA15" s="82"/>
    </row>
    <row r="16" spans="1:27" x14ac:dyDescent="0.2">
      <c r="A16" s="57" t="s">
        <v>356</v>
      </c>
      <c r="B16" t="s">
        <v>703</v>
      </c>
      <c r="C16" t="s">
        <v>117</v>
      </c>
      <c r="D16" s="185"/>
      <c r="E16" s="148">
        <v>49.9</v>
      </c>
      <c r="F16" s="148">
        <v>14.95</v>
      </c>
      <c r="G16" s="148">
        <v>13.35</v>
      </c>
      <c r="H16" s="148">
        <v>10.3</v>
      </c>
      <c r="I16" s="186"/>
      <c r="J16" s="148">
        <v>1.5999999999999999</v>
      </c>
      <c r="K16" s="148">
        <v>23.005882352941178</v>
      </c>
      <c r="L16" s="187"/>
      <c r="M16" s="187"/>
      <c r="N16" s="187"/>
      <c r="O16" s="187"/>
      <c r="P16" s="187"/>
      <c r="Q16" s="187"/>
      <c r="R16" s="187"/>
      <c r="S16" s="148">
        <v>324.78823529411761</v>
      </c>
      <c r="T16" s="81"/>
      <c r="U16" s="81"/>
      <c r="V16" s="81"/>
      <c r="W16" s="81"/>
      <c r="X16" s="81"/>
      <c r="Y16" s="81"/>
      <c r="Z16" s="81"/>
      <c r="AA16" s="82"/>
    </row>
    <row r="17" spans="1:27" x14ac:dyDescent="0.2">
      <c r="A17" s="57" t="s">
        <v>357</v>
      </c>
      <c r="B17" t="s">
        <v>704</v>
      </c>
      <c r="C17" t="s">
        <v>94</v>
      </c>
      <c r="D17" s="185"/>
      <c r="E17" s="148">
        <v>41.15</v>
      </c>
      <c r="F17" s="148">
        <v>12.8</v>
      </c>
      <c r="G17" s="148">
        <v>13.15</v>
      </c>
      <c r="H17" s="148">
        <v>9.1999999999999993</v>
      </c>
      <c r="I17" s="186"/>
      <c r="J17" s="148">
        <v>1.5333333333333332</v>
      </c>
      <c r="K17" s="148">
        <v>24.076470588235296</v>
      </c>
      <c r="L17" s="187"/>
      <c r="M17" s="187"/>
      <c r="N17" s="187"/>
      <c r="O17" s="187"/>
      <c r="P17" s="187"/>
      <c r="Q17" s="187"/>
      <c r="R17" s="187"/>
      <c r="S17" s="148">
        <v>327.37058823529412</v>
      </c>
      <c r="T17" s="81"/>
      <c r="U17" s="81"/>
      <c r="V17" s="81"/>
      <c r="W17" s="81"/>
      <c r="X17" s="81"/>
      <c r="Y17" s="81"/>
      <c r="Z17" s="81"/>
      <c r="AA17" s="82"/>
    </row>
    <row r="18" spans="1:27" x14ac:dyDescent="0.2">
      <c r="A18" s="57" t="s">
        <v>358</v>
      </c>
      <c r="B18" t="s">
        <v>705</v>
      </c>
      <c r="C18" t="s">
        <v>115</v>
      </c>
      <c r="D18" s="185"/>
      <c r="E18" s="148">
        <v>42.95</v>
      </c>
      <c r="F18" s="148">
        <v>13.25</v>
      </c>
      <c r="G18" s="148">
        <v>17.7</v>
      </c>
      <c r="H18" s="148">
        <v>10.75</v>
      </c>
      <c r="I18" s="186"/>
      <c r="J18" s="148">
        <v>1.6333333333333335</v>
      </c>
      <c r="K18" s="148">
        <v>24.005882352941178</v>
      </c>
      <c r="L18" s="187"/>
      <c r="M18" s="187"/>
      <c r="N18" s="187"/>
      <c r="O18" s="187"/>
      <c r="P18" s="187"/>
      <c r="Q18" s="187"/>
      <c r="R18" s="187"/>
      <c r="S18" s="148">
        <v>343.70588235294116</v>
      </c>
      <c r="T18" s="81"/>
      <c r="U18" s="81"/>
      <c r="V18" s="81"/>
      <c r="W18" s="81"/>
      <c r="X18" s="81"/>
      <c r="Y18" s="81"/>
      <c r="Z18" s="81"/>
      <c r="AA18" s="82"/>
    </row>
    <row r="19" spans="1:27" x14ac:dyDescent="0.2">
      <c r="A19" s="57" t="s">
        <v>359</v>
      </c>
      <c r="B19" t="s">
        <v>706</v>
      </c>
      <c r="C19" t="s">
        <v>124</v>
      </c>
      <c r="D19" s="185"/>
      <c r="E19" s="148">
        <v>41.85</v>
      </c>
      <c r="F19" s="148">
        <v>13.3</v>
      </c>
      <c r="G19" s="148">
        <v>13.6</v>
      </c>
      <c r="H19" s="148">
        <v>10.8</v>
      </c>
      <c r="I19" s="186"/>
      <c r="J19" s="148">
        <v>1.6333333333333335</v>
      </c>
      <c r="K19" s="148">
        <v>21.964705882352941</v>
      </c>
      <c r="L19" s="187"/>
      <c r="M19" s="187"/>
      <c r="N19" s="187"/>
      <c r="O19" s="187"/>
      <c r="P19" s="187"/>
      <c r="Q19" s="187"/>
      <c r="R19" s="187"/>
      <c r="S19" s="148">
        <v>323.63529411764705</v>
      </c>
      <c r="T19" s="81"/>
      <c r="U19" s="81"/>
      <c r="V19" s="81"/>
      <c r="W19" s="81"/>
      <c r="X19" s="81"/>
      <c r="Y19" s="81"/>
      <c r="Z19" s="81"/>
      <c r="AA19" s="82"/>
    </row>
    <row r="20" spans="1:27" x14ac:dyDescent="0.2">
      <c r="A20" s="57" t="s">
        <v>360</v>
      </c>
      <c r="B20" t="s">
        <v>707</v>
      </c>
      <c r="C20" t="s">
        <v>116</v>
      </c>
      <c r="D20" s="185"/>
      <c r="E20" s="148">
        <v>45.6</v>
      </c>
      <c r="F20" s="148">
        <v>15.15</v>
      </c>
      <c r="G20" s="148">
        <v>14.5</v>
      </c>
      <c r="H20" s="148">
        <v>9.75</v>
      </c>
      <c r="I20" s="186"/>
      <c r="J20" s="148">
        <v>1.6333333333333335</v>
      </c>
      <c r="K20" s="148">
        <v>19.776470588235295</v>
      </c>
      <c r="L20" s="187"/>
      <c r="M20" s="187"/>
      <c r="N20" s="187"/>
      <c r="O20" s="187"/>
      <c r="P20" s="187"/>
      <c r="Q20" s="187"/>
      <c r="R20" s="187"/>
      <c r="S20" s="148">
        <v>290.97058823529414</v>
      </c>
      <c r="T20" s="81"/>
      <c r="U20" s="81"/>
      <c r="V20" s="81"/>
      <c r="W20" s="81"/>
      <c r="X20" s="81"/>
      <c r="Y20" s="81"/>
      <c r="Z20" s="81"/>
      <c r="AA20" s="82"/>
    </row>
    <row r="21" spans="1:27" x14ac:dyDescent="0.2">
      <c r="A21" s="57" t="s">
        <v>361</v>
      </c>
      <c r="B21" t="s">
        <v>708</v>
      </c>
      <c r="C21" t="s">
        <v>103</v>
      </c>
      <c r="D21" s="185"/>
      <c r="E21" s="148">
        <v>43.7</v>
      </c>
      <c r="F21" s="148">
        <v>15.55</v>
      </c>
      <c r="G21" s="148">
        <v>12</v>
      </c>
      <c r="H21" s="148">
        <v>9.5</v>
      </c>
      <c r="I21" s="186"/>
      <c r="J21" s="148">
        <v>1.6333333333333335</v>
      </c>
      <c r="K21" s="148">
        <v>23.505882352941178</v>
      </c>
      <c r="L21" s="187"/>
      <c r="M21" s="187"/>
      <c r="N21" s="187"/>
      <c r="O21" s="187"/>
      <c r="P21" s="187"/>
      <c r="Q21" s="187"/>
      <c r="R21" s="187"/>
      <c r="S21" s="148">
        <v>345.7823529411765</v>
      </c>
      <c r="T21" s="81"/>
      <c r="U21" s="81"/>
      <c r="V21" s="81"/>
      <c r="W21" s="81"/>
      <c r="X21" s="81"/>
      <c r="Y21" s="81"/>
      <c r="Z21" s="81"/>
      <c r="AA21" s="82"/>
    </row>
    <row r="22" spans="1:27" x14ac:dyDescent="0.2">
      <c r="A22" s="57" t="s">
        <v>362</v>
      </c>
      <c r="B22" t="s">
        <v>709</v>
      </c>
      <c r="C22" t="s">
        <v>104</v>
      </c>
      <c r="D22" s="185"/>
      <c r="E22" s="148">
        <v>43.25</v>
      </c>
      <c r="F22" s="148">
        <v>13.65</v>
      </c>
      <c r="G22" s="148">
        <v>13.2</v>
      </c>
      <c r="H22" s="148">
        <v>10</v>
      </c>
      <c r="I22" s="186"/>
      <c r="J22" s="148">
        <v>1.5999999999999999</v>
      </c>
      <c r="K22" s="148">
        <v>22.494117647058822</v>
      </c>
      <c r="L22" s="187"/>
      <c r="M22" s="187"/>
      <c r="N22" s="187"/>
      <c r="O22" s="187"/>
      <c r="P22" s="187"/>
      <c r="Q22" s="187"/>
      <c r="R22" s="187"/>
      <c r="S22" s="148">
        <v>336.7823529411765</v>
      </c>
      <c r="T22" s="81"/>
      <c r="U22" s="81"/>
      <c r="V22" s="81"/>
      <c r="W22" s="81"/>
      <c r="X22" s="81"/>
      <c r="Y22" s="81"/>
      <c r="Z22" s="81"/>
      <c r="AA22" s="82"/>
    </row>
    <row r="23" spans="1:27" x14ac:dyDescent="0.2">
      <c r="A23" s="57" t="s">
        <v>363</v>
      </c>
      <c r="B23" t="s">
        <v>710</v>
      </c>
      <c r="C23" t="s">
        <v>97</v>
      </c>
      <c r="D23" s="185"/>
      <c r="E23" s="148">
        <v>40.15</v>
      </c>
      <c r="F23" s="148">
        <v>13.05</v>
      </c>
      <c r="G23" s="148">
        <v>11.65</v>
      </c>
      <c r="H23" s="148">
        <v>8.6999999999999993</v>
      </c>
      <c r="I23" s="186"/>
      <c r="J23" s="148">
        <v>1.5</v>
      </c>
      <c r="K23" s="148">
        <v>24.494117647058822</v>
      </c>
      <c r="L23" s="187"/>
      <c r="M23" s="187"/>
      <c r="N23" s="187"/>
      <c r="O23" s="187"/>
      <c r="P23" s="187"/>
      <c r="Q23" s="187"/>
      <c r="R23" s="187"/>
      <c r="S23" s="148">
        <v>322.15294117647062</v>
      </c>
      <c r="T23" s="81"/>
      <c r="U23" s="81"/>
      <c r="V23" s="81"/>
      <c r="W23" s="81"/>
      <c r="X23" s="81"/>
      <c r="Y23" s="81"/>
      <c r="Z23" s="81"/>
      <c r="AA23" s="82"/>
    </row>
    <row r="24" spans="1:27" x14ac:dyDescent="0.2">
      <c r="A24" s="57" t="s">
        <v>364</v>
      </c>
      <c r="B24" t="s">
        <v>711</v>
      </c>
      <c r="C24" t="s">
        <v>113</v>
      </c>
      <c r="D24" s="185"/>
      <c r="E24" s="148">
        <v>39.15</v>
      </c>
      <c r="F24" s="148">
        <v>13.1</v>
      </c>
      <c r="G24" s="148">
        <v>13.2</v>
      </c>
      <c r="H24" s="148">
        <v>9.65</v>
      </c>
      <c r="I24" s="186"/>
      <c r="J24" s="148">
        <v>1.6333333333333335</v>
      </c>
      <c r="K24" s="148">
        <v>23.094117647058823</v>
      </c>
      <c r="L24" s="187"/>
      <c r="M24" s="187"/>
      <c r="N24" s="187"/>
      <c r="O24" s="187"/>
      <c r="P24" s="187"/>
      <c r="Q24" s="187"/>
      <c r="R24" s="187"/>
      <c r="S24" s="148">
        <v>314.48235294117649</v>
      </c>
      <c r="T24" s="81"/>
      <c r="U24" s="81"/>
      <c r="V24" s="81"/>
      <c r="W24" s="81"/>
      <c r="X24" s="81"/>
      <c r="Y24" s="81"/>
      <c r="Z24" s="81"/>
      <c r="AA24" s="82"/>
    </row>
    <row r="25" spans="1:27" x14ac:dyDescent="0.2">
      <c r="A25" s="57" t="s">
        <v>365</v>
      </c>
      <c r="B25" t="s">
        <v>712</v>
      </c>
      <c r="C25" t="s">
        <v>169</v>
      </c>
      <c r="D25" s="185"/>
      <c r="E25" s="148">
        <v>41.05</v>
      </c>
      <c r="F25" s="148">
        <v>12.1</v>
      </c>
      <c r="G25" s="148">
        <v>13.35</v>
      </c>
      <c r="H25" s="148">
        <v>9.9</v>
      </c>
      <c r="I25" s="186"/>
      <c r="J25" s="148">
        <v>1.5333333333333332</v>
      </c>
      <c r="K25" s="148">
        <v>22.599999999999998</v>
      </c>
      <c r="L25" s="187"/>
      <c r="M25" s="187"/>
      <c r="N25" s="187"/>
      <c r="O25" s="187"/>
      <c r="P25" s="187"/>
      <c r="Q25" s="187"/>
      <c r="R25" s="187"/>
      <c r="S25" s="148">
        <v>328.5411764705882</v>
      </c>
      <c r="T25" s="81"/>
      <c r="U25" s="81"/>
      <c r="V25" s="81"/>
      <c r="W25" s="81"/>
      <c r="X25" s="81"/>
      <c r="Y25" s="81"/>
      <c r="Z25" s="81"/>
      <c r="AA25" s="82"/>
    </row>
    <row r="26" spans="1:27" x14ac:dyDescent="0.2">
      <c r="A26" s="57" t="s">
        <v>366</v>
      </c>
      <c r="B26" t="s">
        <v>713</v>
      </c>
      <c r="C26" t="s">
        <v>110</v>
      </c>
      <c r="D26" s="185"/>
      <c r="E26" s="148">
        <v>40.15</v>
      </c>
      <c r="F26" s="148">
        <v>13.9</v>
      </c>
      <c r="G26" s="148">
        <v>11.9</v>
      </c>
      <c r="H26" s="148">
        <v>8.9499999999999993</v>
      </c>
      <c r="I26" s="186"/>
      <c r="J26" s="148">
        <v>1.5666666666666667</v>
      </c>
      <c r="K26" s="148">
        <v>24.952941176470588</v>
      </c>
      <c r="L26" s="187"/>
      <c r="M26" s="187"/>
      <c r="N26" s="187"/>
      <c r="O26" s="187"/>
      <c r="P26" s="187"/>
      <c r="Q26" s="187"/>
      <c r="R26" s="187"/>
      <c r="S26" s="148">
        <v>343.69411764705882</v>
      </c>
      <c r="T26" s="81"/>
      <c r="U26" s="81"/>
      <c r="V26" s="81"/>
      <c r="W26" s="81"/>
      <c r="X26" s="81"/>
      <c r="Y26" s="81"/>
      <c r="Z26" s="81"/>
      <c r="AA26" s="82"/>
    </row>
    <row r="27" spans="1:27" x14ac:dyDescent="0.2">
      <c r="A27" s="57" t="s">
        <v>367</v>
      </c>
      <c r="B27" t="s">
        <v>714</v>
      </c>
      <c r="C27" t="s">
        <v>95</v>
      </c>
      <c r="D27" s="185"/>
      <c r="E27" s="148">
        <v>47.95</v>
      </c>
      <c r="F27" s="148">
        <v>14.35</v>
      </c>
      <c r="G27" s="148">
        <v>14.8</v>
      </c>
      <c r="H27" s="148">
        <v>10.199999999999999</v>
      </c>
      <c r="I27" s="186"/>
      <c r="J27" s="148">
        <v>1.6666666666666667</v>
      </c>
      <c r="K27" s="148">
        <v>19.988235294117647</v>
      </c>
      <c r="L27" s="187"/>
      <c r="M27" s="187"/>
      <c r="N27" s="187"/>
      <c r="O27" s="187"/>
      <c r="P27" s="187"/>
      <c r="Q27" s="187"/>
      <c r="R27" s="187"/>
      <c r="S27" s="148">
        <v>305.04705882352943</v>
      </c>
      <c r="T27" s="81"/>
      <c r="U27" s="81"/>
      <c r="V27" s="81"/>
      <c r="W27" s="81"/>
      <c r="X27" s="81"/>
      <c r="Y27" s="81"/>
      <c r="Z27" s="81"/>
      <c r="AA27" s="82"/>
    </row>
    <row r="28" spans="1:27" x14ac:dyDescent="0.2">
      <c r="A28" s="57" t="s">
        <v>368</v>
      </c>
      <c r="B28" t="s">
        <v>715</v>
      </c>
      <c r="C28" t="s">
        <v>114</v>
      </c>
      <c r="D28" s="185"/>
      <c r="E28" s="148">
        <v>41.65</v>
      </c>
      <c r="F28" s="148">
        <v>14.5</v>
      </c>
      <c r="G28" s="148">
        <v>11.95</v>
      </c>
      <c r="H28" s="148">
        <v>9.9499999999999993</v>
      </c>
      <c r="I28" s="186"/>
      <c r="J28" s="148">
        <v>1.6666666666666667</v>
      </c>
      <c r="K28" s="148">
        <v>21.36470588235294</v>
      </c>
      <c r="L28" s="187"/>
      <c r="M28" s="187"/>
      <c r="N28" s="187"/>
      <c r="O28" s="187"/>
      <c r="P28" s="187"/>
      <c r="Q28" s="187"/>
      <c r="R28" s="187"/>
      <c r="S28" s="148">
        <v>320.8235294117647</v>
      </c>
      <c r="T28" s="81"/>
      <c r="U28" s="81"/>
      <c r="V28" s="81"/>
      <c r="W28" s="81"/>
      <c r="X28" s="81"/>
      <c r="Y28" s="81"/>
      <c r="Z28" s="81"/>
      <c r="AA28" s="82"/>
    </row>
    <row r="29" spans="1:27" x14ac:dyDescent="0.2">
      <c r="A29" s="57" t="s">
        <v>369</v>
      </c>
      <c r="B29" t="s">
        <v>716</v>
      </c>
      <c r="C29" t="s">
        <v>119</v>
      </c>
      <c r="D29" s="185"/>
      <c r="E29" s="148">
        <v>43.05</v>
      </c>
      <c r="F29" s="148">
        <v>13.85</v>
      </c>
      <c r="G29" s="148">
        <v>13.65</v>
      </c>
      <c r="H29" s="148">
        <v>9.6999999999999993</v>
      </c>
      <c r="I29" s="186"/>
      <c r="J29" s="148">
        <v>1.5666666666666667</v>
      </c>
      <c r="K29" s="148">
        <v>23.035294117647059</v>
      </c>
      <c r="L29" s="187"/>
      <c r="M29" s="187"/>
      <c r="N29" s="187"/>
      <c r="O29" s="187"/>
      <c r="P29" s="187"/>
      <c r="Q29" s="187"/>
      <c r="R29" s="187"/>
      <c r="S29" s="148">
        <v>341.40588235294115</v>
      </c>
      <c r="T29" s="81"/>
      <c r="U29" s="81"/>
      <c r="V29" s="81"/>
      <c r="W29" s="81"/>
      <c r="X29" s="81"/>
      <c r="Y29" s="81"/>
      <c r="Z29" s="81"/>
      <c r="AA29" s="82"/>
    </row>
    <row r="30" spans="1:27" x14ac:dyDescent="0.2">
      <c r="A30" s="57" t="s">
        <v>370</v>
      </c>
      <c r="B30" t="s">
        <v>717</v>
      </c>
      <c r="C30" t="s">
        <v>118</v>
      </c>
      <c r="D30" s="185"/>
      <c r="E30" s="148">
        <v>45.35</v>
      </c>
      <c r="F30" s="148">
        <v>13.45</v>
      </c>
      <c r="G30" s="148">
        <v>14.85</v>
      </c>
      <c r="H30" s="148">
        <v>9.65</v>
      </c>
      <c r="I30" s="186"/>
      <c r="J30" s="148">
        <v>1.5999999999999999</v>
      </c>
      <c r="K30" s="148">
        <v>20.970588235294116</v>
      </c>
      <c r="L30" s="187"/>
      <c r="M30" s="187"/>
      <c r="N30" s="187"/>
      <c r="O30" s="187"/>
      <c r="P30" s="187"/>
      <c r="Q30" s="187"/>
      <c r="R30" s="187"/>
      <c r="S30" s="148">
        <v>324.06470588235294</v>
      </c>
      <c r="T30" s="81"/>
      <c r="U30" s="81"/>
      <c r="V30" s="81"/>
      <c r="W30" s="81"/>
      <c r="X30" s="81"/>
      <c r="Y30" s="81"/>
      <c r="Z30" s="81"/>
      <c r="AA30" s="82"/>
    </row>
    <row r="31" spans="1:27" x14ac:dyDescent="0.2">
      <c r="A31" s="57" t="s">
        <v>371</v>
      </c>
      <c r="B31" t="s">
        <v>718</v>
      </c>
      <c r="C31" t="s">
        <v>105</v>
      </c>
      <c r="D31" s="185"/>
      <c r="E31" s="148">
        <v>46.35</v>
      </c>
      <c r="F31" s="148">
        <v>13.65</v>
      </c>
      <c r="G31" s="148">
        <v>13.35</v>
      </c>
      <c r="H31" s="148">
        <v>10.050000000000001</v>
      </c>
      <c r="I31" s="186"/>
      <c r="J31" s="148">
        <v>1.6666666666666667</v>
      </c>
      <c r="K31" s="148">
        <v>22.764705882352942</v>
      </c>
      <c r="L31" s="187"/>
      <c r="M31" s="187"/>
      <c r="N31" s="187"/>
      <c r="O31" s="187"/>
      <c r="P31" s="187"/>
      <c r="Q31" s="187"/>
      <c r="R31" s="187"/>
      <c r="S31" s="148">
        <v>329.30588235294118</v>
      </c>
      <c r="T31" s="81"/>
      <c r="U31" s="81"/>
      <c r="V31" s="81"/>
      <c r="W31" s="81"/>
      <c r="X31" s="81"/>
      <c r="Y31" s="81"/>
      <c r="Z31" s="81"/>
      <c r="AA31" s="82"/>
    </row>
    <row r="32" spans="1:27" x14ac:dyDescent="0.2">
      <c r="A32" s="57" t="s">
        <v>372</v>
      </c>
      <c r="B32" t="s">
        <v>719</v>
      </c>
      <c r="C32" t="s">
        <v>122</v>
      </c>
      <c r="D32" s="185"/>
      <c r="E32" s="148">
        <v>40.549999999999997</v>
      </c>
      <c r="F32" s="148">
        <v>12.25</v>
      </c>
      <c r="G32" s="148">
        <v>12.2</v>
      </c>
      <c r="H32" s="148">
        <v>9.5500000000000007</v>
      </c>
      <c r="I32" s="186"/>
      <c r="J32" s="148">
        <v>1.5</v>
      </c>
      <c r="K32" s="148">
        <v>24.21764705882353</v>
      </c>
      <c r="L32" s="187"/>
      <c r="M32" s="187"/>
      <c r="N32" s="187"/>
      <c r="O32" s="187"/>
      <c r="P32" s="187"/>
      <c r="Q32" s="187"/>
      <c r="R32" s="187"/>
      <c r="S32" s="148">
        <v>335.52941176470586</v>
      </c>
      <c r="T32" s="81"/>
      <c r="U32" s="81"/>
      <c r="V32" s="81"/>
      <c r="W32" s="81"/>
      <c r="X32" s="81"/>
      <c r="Y32" s="81"/>
      <c r="Z32" s="81"/>
      <c r="AA32" s="82"/>
    </row>
    <row r="33" spans="1:27" x14ac:dyDescent="0.2">
      <c r="A33" s="57" t="s">
        <v>373</v>
      </c>
      <c r="B33" t="s">
        <v>720</v>
      </c>
      <c r="C33" t="s">
        <v>112</v>
      </c>
      <c r="D33" s="185"/>
      <c r="E33" s="148">
        <v>41.65</v>
      </c>
      <c r="F33" s="148">
        <v>12.5</v>
      </c>
      <c r="G33" s="148">
        <v>17.149999999999999</v>
      </c>
      <c r="H33" s="148">
        <v>9.9499999999999993</v>
      </c>
      <c r="I33" s="186"/>
      <c r="J33" s="148">
        <v>1.5999999999999999</v>
      </c>
      <c r="K33" s="148">
        <v>23.882352941176471</v>
      </c>
      <c r="L33" s="187"/>
      <c r="M33" s="187"/>
      <c r="N33" s="187"/>
      <c r="O33" s="187"/>
      <c r="P33" s="187"/>
      <c r="Q33" s="187"/>
      <c r="R33" s="187"/>
      <c r="S33" s="148">
        <v>328.22352941176473</v>
      </c>
      <c r="T33" s="81"/>
      <c r="U33" s="81"/>
      <c r="V33" s="81"/>
      <c r="W33" s="81"/>
      <c r="X33" s="81"/>
      <c r="Y33" s="81"/>
      <c r="Z33" s="81"/>
      <c r="AA33" s="82"/>
    </row>
    <row r="35" spans="1:27" x14ac:dyDescent="0.2">
      <c r="R35" s="153"/>
    </row>
    <row r="36" spans="1:27" x14ac:dyDescent="0.2">
      <c r="R36" s="153"/>
    </row>
    <row r="37" spans="1:27" x14ac:dyDescent="0.2">
      <c r="R37" s="153"/>
    </row>
    <row r="38" spans="1:27" x14ac:dyDescent="0.2">
      <c r="R38" s="153"/>
    </row>
    <row r="39" spans="1:27" x14ac:dyDescent="0.2">
      <c r="R39" s="153"/>
    </row>
    <row r="40" spans="1:27" x14ac:dyDescent="0.2">
      <c r="R40" s="153"/>
    </row>
    <row r="41" spans="1:27" x14ac:dyDescent="0.2">
      <c r="R41" s="153"/>
    </row>
    <row r="42" spans="1:27" x14ac:dyDescent="0.2">
      <c r="R42" s="153"/>
    </row>
    <row r="43" spans="1:27" x14ac:dyDescent="0.2">
      <c r="R43" s="153"/>
    </row>
    <row r="44" spans="1:27" x14ac:dyDescent="0.2">
      <c r="R44" s="153"/>
    </row>
    <row r="45" spans="1:27" x14ac:dyDescent="0.2">
      <c r="R45" s="153"/>
    </row>
    <row r="46" spans="1:27" x14ac:dyDescent="0.2">
      <c r="R46" s="153"/>
    </row>
    <row r="47" spans="1:27" x14ac:dyDescent="0.2">
      <c r="R47" s="153"/>
    </row>
    <row r="48" spans="1:27" x14ac:dyDescent="0.2">
      <c r="R48" s="153"/>
    </row>
    <row r="49" spans="18:18" x14ac:dyDescent="0.2">
      <c r="R49" s="153"/>
    </row>
    <row r="50" spans="18:18" x14ac:dyDescent="0.2">
      <c r="R50" s="153"/>
    </row>
    <row r="51" spans="18:18" x14ac:dyDescent="0.2">
      <c r="R51" s="153"/>
    </row>
    <row r="52" spans="18:18" x14ac:dyDescent="0.2">
      <c r="R52" s="153"/>
    </row>
    <row r="53" spans="18:18" x14ac:dyDescent="0.2">
      <c r="R53" s="153"/>
    </row>
    <row r="54" spans="18:18" x14ac:dyDescent="0.2">
      <c r="R54" s="153"/>
    </row>
    <row r="55" spans="18:18" x14ac:dyDescent="0.2">
      <c r="R55" s="153"/>
    </row>
    <row r="56" spans="18:18" x14ac:dyDescent="0.2">
      <c r="R56" s="153"/>
    </row>
    <row r="57" spans="18:18" x14ac:dyDescent="0.2">
      <c r="R57" s="153"/>
    </row>
    <row r="58" spans="18:18" x14ac:dyDescent="0.2">
      <c r="R58" s="153"/>
    </row>
    <row r="59" spans="18:18" x14ac:dyDescent="0.2">
      <c r="R59" s="153"/>
    </row>
    <row r="60" spans="18:18" x14ac:dyDescent="0.2">
      <c r="R60" s="153"/>
    </row>
    <row r="61" spans="18:18" x14ac:dyDescent="0.2">
      <c r="R61" s="153"/>
    </row>
    <row r="62" spans="18:18" x14ac:dyDescent="0.2">
      <c r="R62" s="153"/>
    </row>
    <row r="63" spans="18:18" x14ac:dyDescent="0.2">
      <c r="R63" s="153"/>
    </row>
    <row r="64" spans="18:18" x14ac:dyDescent="0.2">
      <c r="R64" s="153"/>
    </row>
    <row r="65" spans="18:18" x14ac:dyDescent="0.2">
      <c r="R65" s="153"/>
    </row>
    <row r="66" spans="18:18" x14ac:dyDescent="0.2">
      <c r="R66" s="153"/>
    </row>
  </sheetData>
  <sheetProtection selectLockedCells="1"/>
  <sortState xmlns:xlrd2="http://schemas.microsoft.com/office/spreadsheetml/2017/richdata2" ref="B2:S66">
    <sortCondition ref="B2:B66"/>
  </sortState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/>
  <dimension ref="A1:AP327"/>
  <sheetViews>
    <sheetView showGridLines="0" zoomScale="85" zoomScaleNormal="85"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5.796875" defaultRowHeight="15" x14ac:dyDescent="0.2"/>
  <cols>
    <col min="1" max="1" width="3.59765625" style="59" bestFit="1" customWidth="1"/>
    <col min="2" max="2" width="5" style="59" customWidth="1"/>
    <col min="3" max="3" width="27.59765625" style="59" bestFit="1" customWidth="1"/>
    <col min="4" max="4" width="5.19921875" style="59" bestFit="1" customWidth="1"/>
    <col min="5" max="5" width="4.19921875" style="59" bestFit="1" customWidth="1"/>
    <col min="6" max="6" width="7.796875" style="59" bestFit="1" customWidth="1"/>
    <col min="7" max="7" width="5.796875" style="59"/>
    <col min="8" max="8" width="4.19921875" style="59" bestFit="1" customWidth="1"/>
    <col min="9" max="9" width="6.3984375" style="59" customWidth="1"/>
    <col min="10" max="10" width="22.19921875" style="59" bestFit="1" customWidth="1"/>
    <col min="11" max="11" width="5.19921875" style="59" bestFit="1" customWidth="1"/>
    <col min="12" max="12" width="4.19921875" style="59" bestFit="1" customWidth="1"/>
    <col min="13" max="13" width="7.796875" style="59" bestFit="1" customWidth="1"/>
    <col min="14" max="14" width="5.796875" style="59"/>
    <col min="15" max="15" width="4.19921875" style="59" bestFit="1" customWidth="1"/>
    <col min="16" max="16" width="7.19921875" style="59" bestFit="1" customWidth="1"/>
    <col min="17" max="17" width="25.59765625" style="59" bestFit="1" customWidth="1"/>
    <col min="18" max="18" width="5.19921875" style="59" bestFit="1" customWidth="1"/>
    <col min="19" max="19" width="4.19921875" style="59" bestFit="1" customWidth="1"/>
    <col min="20" max="20" width="7.796875" style="59" bestFit="1" customWidth="1"/>
    <col min="21" max="21" width="5.796875" style="59"/>
    <col min="22" max="22" width="3.59765625" style="59" bestFit="1" customWidth="1"/>
    <col min="23" max="23" width="6" style="59" bestFit="1" customWidth="1"/>
    <col min="24" max="24" width="21.3984375" style="59" bestFit="1" customWidth="1"/>
    <col min="25" max="25" width="5.19921875" style="59" bestFit="1" customWidth="1"/>
    <col min="26" max="26" width="4.19921875" style="59" bestFit="1" customWidth="1"/>
    <col min="27" max="27" width="7.796875" style="59" bestFit="1" customWidth="1"/>
    <col min="28" max="28" width="5.796875" style="59"/>
    <col min="29" max="29" width="3.59765625" style="59" bestFit="1" customWidth="1"/>
    <col min="30" max="30" width="7.3984375" style="59" bestFit="1" customWidth="1"/>
    <col min="31" max="31" width="26.59765625" style="59" bestFit="1" customWidth="1"/>
    <col min="32" max="32" width="4.19921875" style="59" bestFit="1" customWidth="1"/>
    <col min="33" max="33" width="7.796875" style="59" bestFit="1" customWidth="1"/>
    <col min="34" max="34" width="5.796875" style="59"/>
    <col min="35" max="35" width="4.59765625" style="59" bestFit="1" customWidth="1"/>
    <col min="36" max="36" width="4.19921875" style="59" bestFit="1" customWidth="1"/>
    <col min="37" max="37" width="7.59765625" style="59" bestFit="1" customWidth="1"/>
    <col min="38" max="38" width="25.59765625" style="59" bestFit="1" customWidth="1"/>
    <col min="39" max="39" width="7.3984375" style="59" bestFit="1" customWidth="1"/>
    <col min="40" max="40" width="5.19921875" style="59" bestFit="1" customWidth="1"/>
    <col min="41" max="41" width="4.19921875" style="59" bestFit="1" customWidth="1"/>
    <col min="42" max="42" width="7.796875" style="59" bestFit="1" customWidth="1"/>
    <col min="43" max="16384" width="5.796875" style="59"/>
  </cols>
  <sheetData>
    <row r="1" spans="1:42" x14ac:dyDescent="0.2">
      <c r="B1" s="102" t="s">
        <v>393</v>
      </c>
    </row>
    <row r="2" spans="1:42" s="58" customFormat="1" x14ac:dyDescent="0.2">
      <c r="A2" s="58" t="s">
        <v>142</v>
      </c>
      <c r="B2" s="58" t="s">
        <v>375</v>
      </c>
      <c r="C2" s="58" t="s">
        <v>0</v>
      </c>
      <c r="D2" s="58" t="s">
        <v>92</v>
      </c>
      <c r="E2" s="58" t="s">
        <v>128</v>
      </c>
      <c r="F2" s="58" t="s">
        <v>336</v>
      </c>
      <c r="H2" s="58" t="s">
        <v>142</v>
      </c>
      <c r="I2" s="58" t="s">
        <v>376</v>
      </c>
      <c r="J2" s="58" t="s">
        <v>0</v>
      </c>
      <c r="K2" s="58" t="s">
        <v>92</v>
      </c>
      <c r="L2" s="58" t="s">
        <v>128</v>
      </c>
      <c r="M2" s="58" t="s">
        <v>336</v>
      </c>
      <c r="O2" s="58" t="s">
        <v>142</v>
      </c>
      <c r="P2" s="58" t="s">
        <v>377</v>
      </c>
      <c r="Q2" s="58" t="s">
        <v>0</v>
      </c>
      <c r="R2" s="58" t="s">
        <v>92</v>
      </c>
      <c r="S2" s="58" t="s">
        <v>128</v>
      </c>
      <c r="T2" s="58" t="s">
        <v>336</v>
      </c>
      <c r="V2" s="58" t="s">
        <v>142</v>
      </c>
      <c r="W2" s="58" t="s">
        <v>378</v>
      </c>
      <c r="X2" s="58" t="s">
        <v>0</v>
      </c>
      <c r="Y2" s="58" t="s">
        <v>92</v>
      </c>
      <c r="Z2" s="58" t="s">
        <v>128</v>
      </c>
      <c r="AA2" s="58" t="s">
        <v>336</v>
      </c>
      <c r="AC2" s="58" t="s">
        <v>142</v>
      </c>
      <c r="AD2" s="58" t="s">
        <v>379</v>
      </c>
      <c r="AE2" s="58" t="s">
        <v>0</v>
      </c>
      <c r="AF2" s="58" t="s">
        <v>128</v>
      </c>
      <c r="AG2" s="58" t="s">
        <v>336</v>
      </c>
      <c r="AI2" s="58" t="s">
        <v>8</v>
      </c>
      <c r="AJ2" s="58" t="s">
        <v>142</v>
      </c>
      <c r="AK2" s="58" t="s">
        <v>395</v>
      </c>
      <c r="AL2" s="58" t="s">
        <v>0</v>
      </c>
      <c r="AM2" s="58" t="s">
        <v>394</v>
      </c>
      <c r="AN2" s="58" t="s">
        <v>92</v>
      </c>
      <c r="AO2" s="58" t="s">
        <v>128</v>
      </c>
      <c r="AP2" s="58" t="s">
        <v>336</v>
      </c>
    </row>
    <row r="3" spans="1:42" x14ac:dyDescent="0.2">
      <c r="A3" s="61">
        <f>IFERROR(RANK(TableQBCalcPts[[#This Row],[Custom]],TableQBCalcPts[Custom])+COUNTIF($F$3:F3,F3)-1,"")</f>
        <v>12</v>
      </c>
      <c r="B3" s="59">
        <v>1</v>
      </c>
      <c r="C3" s="59" t="str">
        <f>IFERROR(INDEX(TableQBMaster[Player],MATCH(TableQBCalcPts[[#This Row],[QBRef]],TableQBMaster[QBRef],0)),"")</f>
        <v>Kyler Murray</v>
      </c>
      <c r="D3" s="59" t="str">
        <f>IFERROR(INDEX(TableQBMaster[TM],MATCH(TableQBCalcPts[[#This Row],[QBRef]],TableQBMaster[QBRef],0)),"")</f>
        <v>ARI</v>
      </c>
      <c r="E3" s="59">
        <f>IFERROR(INDEX(TableQBMaster[BYE],MATCH(TableQBCalcPts[[#This Row],[QBRef]],TableQBMaster[QBRef],0)),"")</f>
        <v>14</v>
      </c>
      <c r="F3" s="60">
        <f>IFERROR(INDEX(TableQBMaster[Custom],MATCH(TableQBCalcPts[[#This Row],[QBRef]],TableQBMaster[QBRef],0)),"")</f>
        <v>313.96453693650005</v>
      </c>
      <c r="H3" s="59">
        <f>IFERROR(RANK(TableRBCalcPts[[#This Row],[Custom]],TableRBCalcPts[Custom])+COUNTIF($M$3:M3,M3)-1,"")</f>
        <v>21</v>
      </c>
      <c r="I3" s="59">
        <v>1</v>
      </c>
      <c r="J3" s="59" t="str">
        <f>IFERROR(INDEX(TableRBMaster[Player],MATCH(TableRBCalcPts[[#This Row],[RBRef]],TableRBMaster[RBRef],0)),"")</f>
        <v>James Conner</v>
      </c>
      <c r="K3" s="59" t="str">
        <f>IFERROR(INDEX(TableRBMaster[TM],MATCH(TableRBCalcPts[[#This Row],[RBRef]],TableRBMaster[RBRef],0)),"")</f>
        <v>ARI</v>
      </c>
      <c r="L3" s="59">
        <f>IFERROR(INDEX(TableRBMaster[BYE],MATCH(TableRBCalcPts[[#This Row],[RBRef]],TableRBMaster[RBRef],0)),"")</f>
        <v>14</v>
      </c>
      <c r="M3" s="60">
        <f>IFERROR(INDEX(TableRBMaster[Custom],MATCH(TableRBCalcPts[[#This Row],[RBRef]],TableRBMaster[RBRef],0)),"")</f>
        <v>183.41902516644001</v>
      </c>
      <c r="O3" s="59">
        <f>IFERROR(RANK(TableWRCalcPts[[#This Row],[Custom]],TableWRCalcPts[Custom])+COUNTIF($T$3:T3,T3)-1,"")</f>
        <v>12</v>
      </c>
      <c r="P3" s="59">
        <v>1</v>
      </c>
      <c r="Q3" s="59" t="str">
        <f>IFERROR(INDEX(TableWRMaster[Player],MATCH(TableWRCalcPts[[#This Row],[WRRef]],TableWRMaster[WRRef],0)),"")</f>
        <v>Marvin Harrison</v>
      </c>
      <c r="R3" s="59" t="str">
        <f>IFERROR(INDEX(TableWRMaster[TM],MATCH(TableWRCalcPts[[#This Row],[WRRef]],TableWRMaster[WRRef],0)),"")</f>
        <v>ARI</v>
      </c>
      <c r="S3" s="59">
        <f>IFERROR(INDEX(TableWRMaster[BYE],MATCH(TableWRCalcPts[[#This Row],[WRRef]],TableWRMaster[WRRef],0)),"")</f>
        <v>14</v>
      </c>
      <c r="T3" s="60">
        <f>IFERROR(INDEX(TableWRMaster[Custom],MATCH(TableWRCalcPts[[#This Row],[WRRef]],TableWRMaster[WRRef],0)),"")</f>
        <v>204.83187286464002</v>
      </c>
      <c r="V3" s="59">
        <f>IFERROR(RANK(TableTECalcPts[[#This Row],[Custom]],TableTECalcPts[Custom])+COUNTIF($AA$3:AA3,AA3)-1,"")</f>
        <v>4</v>
      </c>
      <c r="W3" s="59">
        <v>1</v>
      </c>
      <c r="X3" s="59" t="str">
        <f>IFERROR(INDEX(TableTEMaster[Player],MATCH(TableTECalcPts[[#This Row],[TERef]],TableTEMaster[TERef],0)),"")</f>
        <v>Trey McBride</v>
      </c>
      <c r="Y3" s="59" t="str">
        <f>IFERROR(INDEX(TableTEMaster[TM],MATCH(TableTECalcPts[[#This Row],[TERef]],TableTEMaster[TERef],0)),"")</f>
        <v>ARI</v>
      </c>
      <c r="Z3" s="59">
        <f>IFERROR(INDEX(TableTEMaster[BYE],MATCH(TableTECalcPts[[#This Row],[TERef]],TableTEMaster[TERef],0)),"")</f>
        <v>14</v>
      </c>
      <c r="AA3" s="60">
        <f>IFERROR(INDEX(TableTEMaster[Custom],MATCH(TableTECalcPts[[#This Row],[TERef]],TableTEMaster[TERef],0)),"")</f>
        <v>168.4093531322475</v>
      </c>
      <c r="AC3" s="59">
        <f>IFERROR(RANK(TableDSTCalcPts[[#This Row],[Custom]],TableDSTCalcPts[Custom],0),"")</f>
        <v>18</v>
      </c>
      <c r="AD3" s="59">
        <v>1</v>
      </c>
      <c r="AE3" s="59" t="str">
        <f>IFERROR(INDEX(TableDSTMaster[Player],MATCH(TableDSTCalcPts[[#This Row],[DSTRef]],TableDSTMaster[DSTRef],0)),"")</f>
        <v>49ers</v>
      </c>
      <c r="AF3" s="59">
        <f>IFERROR(INDEX(TableDSTMaster[BYE],MATCH(TableDSTCalcPts[[#This Row],[DSTRef]],TableDSTMaster[DSTRef],0)),"")</f>
        <v>0</v>
      </c>
      <c r="AG3" s="60">
        <f>IFERROR(INDEX(TableDSTMaster[Custom],MATCH(TableDSTCalcPts[[#This Row],[DSTRef]],TableDSTMaster[DSTRef],0)),"")</f>
        <v>115.14999999999999</v>
      </c>
      <c r="AI3" s="59" t="s">
        <v>10</v>
      </c>
      <c r="AJ3" s="59">
        <f>IFERROR(RANK(TableWRTECalcPts[[#This Row],[Custom]],TableWRTECalcPts[Custom])+COUNTIF($AP$3:AP3,AP3)-1,"")</f>
        <v>42</v>
      </c>
      <c r="AK3" s="59">
        <v>1</v>
      </c>
      <c r="AL3" s="59" t="str">
        <f>IFERROR(INDEX(TableTEMaster[Player],MATCH(TableWRTECalcPts[[#This Row],[POSRef]],TableTEMaster[TERef],0)),"")</f>
        <v>Trey McBride</v>
      </c>
      <c r="AM3" s="59" t="str">
        <f>IFERROR(_xlfn.CONCAT(TableWRTECalcPts[[#This Row],[POS]],INDEX(TableTERanks[RK],MATCH(TableWRTECalcPts[[#This Row],[PLAYER]],TableTERanks[Player],0))),"")</f>
        <v>TE4</v>
      </c>
      <c r="AN3" s="59" t="str">
        <f>IFERROR(INDEX(TableTEMaster[TM],MATCH(TableWRTECalcPts[[#This Row],[POSRef]],TableTEMaster[TERef],0)),"")</f>
        <v>ARI</v>
      </c>
      <c r="AO3" s="59">
        <f>IFERROR(INDEX(TableTEMaster[BYE],MATCH(TableWRTECalcPts[[#This Row],[POSRef]],TableTEMaster[TERef],0)),"")</f>
        <v>14</v>
      </c>
      <c r="AP3" s="60">
        <f>IFERROR(INDEX(TableTEMaster[Custom],MATCH(TableWRTECalcPts[[#This Row],[POSRef]],TableTEMaster[TERef],0)),"")</f>
        <v>168.4093531322475</v>
      </c>
    </row>
    <row r="4" spans="1:42" x14ac:dyDescent="0.2">
      <c r="A4" s="61">
        <f>IFERROR(RANK(TableQBCalcPts[[#This Row],[Custom]],TableQBCalcPts[Custom])+COUNTIF($F$3:F4,F4)-1,"")</f>
        <v>39</v>
      </c>
      <c r="B4" s="59">
        <v>2</v>
      </c>
      <c r="C4" s="59" t="str">
        <f>IFERROR(INDEX(TableQBMaster[Player],MATCH(TableQBCalcPts[[#This Row],[QBRef]],TableQBMaster[QBRef],0)),"")</f>
        <v>Desmond Ridder</v>
      </c>
      <c r="D4" s="59" t="str">
        <f>IFERROR(INDEX(TableQBMaster[TM],MATCH(TableQBCalcPts[[#This Row],[QBRef]],TableQBMaster[QBRef],0)),"")</f>
        <v>ARI</v>
      </c>
      <c r="E4" s="59">
        <f>IFERROR(INDEX(TableQBMaster[BYE],MATCH(TableQBCalcPts[[#This Row],[QBRef]],TableQBMaster[QBRef],0)),"")</f>
        <v>14</v>
      </c>
      <c r="F4" s="60">
        <f>IFERROR(INDEX(TableQBMaster[Custom],MATCH(TableQBCalcPts[[#This Row],[QBRef]],TableQBMaster[QBRef],0)),"")</f>
        <v>18.56071909125</v>
      </c>
      <c r="H4" s="59">
        <f>IFERROR(RANK(TableRBCalcPts[[#This Row],[Custom]],TableRBCalcPts[Custom])+COUNTIF($M$3:M4,M4)-1,"")</f>
        <v>42</v>
      </c>
      <c r="I4" s="59">
        <v>2</v>
      </c>
      <c r="J4" s="59" t="str">
        <f>IFERROR(INDEX(TableRBMaster[Player],MATCH(TableRBCalcPts[[#This Row],[RBRef]],TableRBMaster[RBRef],0)),"")</f>
        <v>Trey Benson</v>
      </c>
      <c r="K4" s="59" t="str">
        <f>IFERROR(INDEX(TableRBMaster[TM],MATCH(TableRBCalcPts[[#This Row],[RBRef]],TableRBMaster[RBRef],0)),"")</f>
        <v>ARI</v>
      </c>
      <c r="L4" s="59">
        <f>IFERROR(INDEX(TableRBMaster[BYE],MATCH(TableRBCalcPts[[#This Row],[RBRef]],TableRBMaster[RBRef],0)),"")</f>
        <v>14</v>
      </c>
      <c r="M4" s="60">
        <f>IFERROR(INDEX(TableRBMaster[Custom],MATCH(TableRBCalcPts[[#This Row],[RBRef]],TableRBMaster[RBRef],0)),"")</f>
        <v>113.81129370954001</v>
      </c>
      <c r="O4" s="59">
        <f>IFERROR(RANK(TableWRCalcPts[[#This Row],[Custom]],TableWRCalcPts[Custom])+COUNTIF($T$3:T4,T4)-1,"")</f>
        <v>55</v>
      </c>
      <c r="P4" s="59">
        <v>2</v>
      </c>
      <c r="Q4" s="59" t="str">
        <f>IFERROR(INDEX(TableWRMaster[Player],MATCH(TableWRCalcPts[[#This Row],[WRRef]],TableWRMaster[WRRef],0)),"")</f>
        <v>Michael Wilson</v>
      </c>
      <c r="R4" s="59" t="str">
        <f>IFERROR(INDEX(TableWRMaster[TM],MATCH(TableWRCalcPts[[#This Row],[WRRef]],TableWRMaster[WRRef],0)),"")</f>
        <v>ARI</v>
      </c>
      <c r="S4" s="59">
        <f>IFERROR(INDEX(TableWRMaster[BYE],MATCH(TableWRCalcPts[[#This Row],[WRRef]],TableWRMaster[WRRef],0)),"")</f>
        <v>14</v>
      </c>
      <c r="T4" s="60">
        <f>IFERROR(INDEX(TableWRMaster[Custom],MATCH(TableWRCalcPts[[#This Row],[WRRef]],TableWRMaster[WRRef],0)),"")</f>
        <v>144.59086635304499</v>
      </c>
      <c r="V4" s="59">
        <f>IFERROR(RANK(TableTECalcPts[[#This Row],[Custom]],TableTECalcPts[Custom])+COUNTIF($AA$3:AA4,AA4)-1,"")</f>
        <v>70</v>
      </c>
      <c r="W4" s="59">
        <v>2</v>
      </c>
      <c r="X4" s="59" t="str">
        <f>IFERROR(INDEX(TableTEMaster[Player],MATCH(TableTECalcPts[[#This Row],[TERef]],TableTEMaster[TERef],0)),"")</f>
        <v>Tip Reiman</v>
      </c>
      <c r="Y4" s="59" t="str">
        <f>IFERROR(INDEX(TableTEMaster[TM],MATCH(TableTECalcPts[[#This Row],[TERef]],TableTEMaster[TERef],0)),"")</f>
        <v>ARI</v>
      </c>
      <c r="Z4" s="59">
        <f>IFERROR(INDEX(TableTEMaster[BYE],MATCH(TableTECalcPts[[#This Row],[TERef]],TableTEMaster[TERef],0)),"")</f>
        <v>14</v>
      </c>
      <c r="AA4" s="60">
        <f>IFERROR(INDEX(TableTEMaster[Custom],MATCH(TableTECalcPts[[#This Row],[TERef]],TableTEMaster[TERef],0)),"")</f>
        <v>14.747381013540004</v>
      </c>
      <c r="AC4" s="59">
        <f>IFERROR(RANK(TableDSTCalcPts[[#This Row],[Custom]],TableDSTCalcPts[Custom],0),"")</f>
        <v>29</v>
      </c>
      <c r="AD4" s="59">
        <v>2</v>
      </c>
      <c r="AE4" s="59" t="str">
        <f>IFERROR(INDEX(TableDSTMaster[Player],MATCH(TableDSTCalcPts[[#This Row],[DSTRef]],TableDSTMaster[DSTRef],0)),"")</f>
        <v>Bears</v>
      </c>
      <c r="AF4" s="59">
        <f>IFERROR(INDEX(TableDSTMaster[BYE],MATCH(TableDSTCalcPts[[#This Row],[DSTRef]],TableDSTMaster[DSTRef],0)),"")</f>
        <v>0</v>
      </c>
      <c r="AG4" s="60">
        <f>IFERROR(INDEX(TableDSTMaster[Custom],MATCH(TableDSTCalcPts[[#This Row],[DSTRef]],TableDSTMaster[DSTRef],0)),"")</f>
        <v>105.5</v>
      </c>
      <c r="AI4" s="59" t="s">
        <v>10</v>
      </c>
      <c r="AJ4" s="59">
        <f>IFERROR(RANK(TableWRTECalcPts[[#This Row],[Custom]],TableWRTECalcPts[Custom])+COUNTIF($AP$3:AP4,AP4)-1,"")</f>
        <v>228</v>
      </c>
      <c r="AK4" s="59">
        <v>2</v>
      </c>
      <c r="AL4" s="59" t="str">
        <f>IFERROR(INDEX(TableTEMaster[Player],MATCH(TableWRTECalcPts[[#This Row],[POSRef]],TableTEMaster[TERef],0)),"")</f>
        <v>Tip Reiman</v>
      </c>
      <c r="AM4" s="59" t="str">
        <f>IFERROR(_xlfn.CONCAT(TableWRTECalcPts[[#This Row],[POS]],INDEX(TableTERanks[RK],MATCH(TableWRTECalcPts[[#This Row],[PLAYER]],TableTERanks[Player],0))),"")</f>
        <v>TE70</v>
      </c>
      <c r="AN4" s="59" t="str">
        <f>IFERROR(INDEX(TableTEMaster[TM],MATCH(TableWRTECalcPts[[#This Row],[POSRef]],TableTEMaster[TERef],0)),"")</f>
        <v>ARI</v>
      </c>
      <c r="AO4" s="59">
        <f>IFERROR(INDEX(TableTEMaster[BYE],MATCH(TableWRTECalcPts[[#This Row],[POSRef]],TableTEMaster[TERef],0)),"")</f>
        <v>14</v>
      </c>
      <c r="AP4" s="60">
        <f>IFERROR(INDEX(TableTEMaster[Custom],MATCH(TableWRTECalcPts[[#This Row],[POSRef]],TableTEMaster[TERef],0)),"")</f>
        <v>14.747381013540004</v>
      </c>
    </row>
    <row r="5" spans="1:42" x14ac:dyDescent="0.2">
      <c r="A5" s="61">
        <f>IFERROR(RANK(TableQBCalcPts[[#This Row],[Custom]],TableQBCalcPts[Custom])+COUNTIF($F$3:F5,F5)-1,"")</f>
        <v>19</v>
      </c>
      <c r="B5" s="59">
        <v>3</v>
      </c>
      <c r="C5" s="59" t="str">
        <f>IFERROR(INDEX(TableQBMaster[Player],MATCH(TableQBCalcPts[[#This Row],[QBRef]],TableQBMaster[QBRef],0)),"")</f>
        <v>Kirk Cousins</v>
      </c>
      <c r="D5" s="59" t="str">
        <f>IFERROR(INDEX(TableQBMaster[TM],MATCH(TableQBCalcPts[[#This Row],[QBRef]],TableQBMaster[QBRef],0)),"")</f>
        <v>ATL</v>
      </c>
      <c r="E5" s="59">
        <f>IFERROR(INDEX(TableQBMaster[BYE],MATCH(TableQBCalcPts[[#This Row],[QBRef]],TableQBMaster[QBRef],0)),"")</f>
        <v>11</v>
      </c>
      <c r="F5" s="60">
        <f>IFERROR(INDEX(TableQBMaster[Custom],MATCH(TableQBCalcPts[[#This Row],[QBRef]],TableQBMaster[QBRef],0)),"")</f>
        <v>296.18510429087996</v>
      </c>
      <c r="H5" s="59">
        <f>IFERROR(RANK(TableRBCalcPts[[#This Row],[Custom]],TableRBCalcPts[Custom])+COUNTIF($M$3:M5,M5)-1,"")</f>
        <v>87</v>
      </c>
      <c r="I5" s="59">
        <v>3</v>
      </c>
      <c r="J5" s="59" t="str">
        <f>IFERROR(INDEX(TableRBMaster[Player],MATCH(TableRBCalcPts[[#This Row],[RBRef]],TableRBMaster[RBRef],0)),"")</f>
        <v>Michael Carter</v>
      </c>
      <c r="K5" s="59" t="str">
        <f>IFERROR(INDEX(TableRBMaster[TM],MATCH(TableRBCalcPts[[#This Row],[RBRef]],TableRBMaster[RBRef],0)),"")</f>
        <v>ARI</v>
      </c>
      <c r="L5" s="59">
        <f>IFERROR(INDEX(TableRBMaster[BYE],MATCH(TableRBCalcPts[[#This Row],[RBRef]],TableRBMaster[RBRef],0)),"")</f>
        <v>14</v>
      </c>
      <c r="M5" s="60">
        <f>IFERROR(INDEX(TableRBMaster[Custom],MATCH(TableRBCalcPts[[#This Row],[RBRef]],TableRBMaster[RBRef],0)),"")</f>
        <v>28.2512233269</v>
      </c>
      <c r="O5" s="59">
        <f>IFERROR(RANK(TableWRCalcPts[[#This Row],[Custom]],TableWRCalcPts[Custom])+COUNTIF($T$3:T5,T5)-1,"")</f>
        <v>84</v>
      </c>
      <c r="P5" s="59">
        <v>3</v>
      </c>
      <c r="Q5" s="59" t="str">
        <f>IFERROR(INDEX(TableWRMaster[Player],MATCH(TableWRCalcPts[[#This Row],[WRRef]],TableWRMaster[WRRef],0)),"")</f>
        <v>Greg Dortch</v>
      </c>
      <c r="R5" s="59" t="str">
        <f>IFERROR(INDEX(TableWRMaster[TM],MATCH(TableWRCalcPts[[#This Row],[WRRef]],TableWRMaster[WRRef],0)),"")</f>
        <v>ARI</v>
      </c>
      <c r="S5" s="59">
        <f>IFERROR(INDEX(TableWRMaster[BYE],MATCH(TableWRCalcPts[[#This Row],[WRRef]],TableWRMaster[WRRef],0)),"")</f>
        <v>14</v>
      </c>
      <c r="T5" s="60">
        <f>IFERROR(INDEX(TableWRMaster[Custom],MATCH(TableWRCalcPts[[#This Row],[WRRef]],TableWRMaster[WRRef],0)),"")</f>
        <v>85.462192509750011</v>
      </c>
      <c r="V5" s="59">
        <f>IFERROR(RANK(TableTECalcPts[[#This Row],[Custom]],TableTECalcPts[Custom])+COUNTIF($AA$3:AA5,AA5)-1,"")</f>
        <v>73</v>
      </c>
      <c r="W5" s="59">
        <v>3</v>
      </c>
      <c r="X5" s="59" t="str">
        <f>IFERROR(INDEX(TableTEMaster[Player],MATCH(TableTECalcPts[[#This Row],[TERef]],TableTEMaster[TERef],0)),"")</f>
        <v>Elijah Higgins</v>
      </c>
      <c r="Y5" s="59" t="str">
        <f>IFERROR(INDEX(TableTEMaster[TM],MATCH(TableTECalcPts[[#This Row],[TERef]],TableTEMaster[TERef],0)),"")</f>
        <v>ARI</v>
      </c>
      <c r="Z5" s="59">
        <f>IFERROR(INDEX(TableTEMaster[BYE],MATCH(TableTECalcPts[[#This Row],[TERef]],TableTEMaster[TERef],0)),"")</f>
        <v>14</v>
      </c>
      <c r="AA5" s="60">
        <f>IFERROR(INDEX(TableTEMaster[Custom],MATCH(TableTECalcPts[[#This Row],[TERef]],TableTEMaster[TERef],0)),"")</f>
        <v>14.041592247900002</v>
      </c>
      <c r="AC5" s="59">
        <f>IFERROR(RANK(TableDSTCalcPts[[#This Row],[Custom]],TableDSTCalcPts[Custom],0),"")</f>
        <v>6</v>
      </c>
      <c r="AD5" s="59">
        <v>3</v>
      </c>
      <c r="AE5" s="59" t="str">
        <f>IFERROR(INDEX(TableDSTMaster[Player],MATCH(TableDSTCalcPts[[#This Row],[DSTRef]],TableDSTMaster[DSTRef],0)),"")</f>
        <v>Bengals</v>
      </c>
      <c r="AF5" s="59">
        <f>IFERROR(INDEX(TableDSTMaster[BYE],MATCH(TableDSTCalcPts[[#This Row],[DSTRef]],TableDSTMaster[DSTRef],0)),"")</f>
        <v>0</v>
      </c>
      <c r="AG5" s="60">
        <f>IFERROR(INDEX(TableDSTMaster[Custom],MATCH(TableDSTCalcPts[[#This Row],[DSTRef]],TableDSTMaster[DSTRef],0)),"")</f>
        <v>119.85</v>
      </c>
      <c r="AI5" s="59" t="s">
        <v>10</v>
      </c>
      <c r="AJ5" s="59">
        <f>IFERROR(RANK(TableWRTECalcPts[[#This Row],[Custom]],TableWRTECalcPts[Custom])+COUNTIF($AP$3:AP5,AP5)-1,"")</f>
        <v>236</v>
      </c>
      <c r="AK5" s="59">
        <v>3</v>
      </c>
      <c r="AL5" s="59" t="str">
        <f>IFERROR(INDEX(TableTEMaster[Player],MATCH(TableWRTECalcPts[[#This Row],[POSRef]],TableTEMaster[TERef],0)),"")</f>
        <v>Elijah Higgins</v>
      </c>
      <c r="AM5" s="59" t="str">
        <f>IFERROR(_xlfn.CONCAT(TableWRTECalcPts[[#This Row],[POS]],INDEX(TableTERanks[RK],MATCH(TableWRTECalcPts[[#This Row],[PLAYER]],TableTERanks[Player],0))),"")</f>
        <v>TE73</v>
      </c>
      <c r="AN5" s="59" t="str">
        <f>IFERROR(INDEX(TableTEMaster[TM],MATCH(TableWRTECalcPts[[#This Row],[POSRef]],TableTEMaster[TERef],0)),"")</f>
        <v>ARI</v>
      </c>
      <c r="AO5" s="59">
        <f>IFERROR(INDEX(TableTEMaster[BYE],MATCH(TableWRTECalcPts[[#This Row],[POSRef]],TableTEMaster[TERef],0)),"")</f>
        <v>14</v>
      </c>
      <c r="AP5" s="60">
        <f>IFERROR(INDEX(TableTEMaster[Custom],MATCH(TableWRTECalcPts[[#This Row],[POSRef]],TableTEMaster[TERef],0)),"")</f>
        <v>14.041592247900002</v>
      </c>
    </row>
    <row r="6" spans="1:42" x14ac:dyDescent="0.2">
      <c r="A6" s="61">
        <f>IFERROR(RANK(TableQBCalcPts[[#This Row],[Custom]],TableQBCalcPts[Custom])+COUNTIF($F$3:F6,F6)-1,"")</f>
        <v>51</v>
      </c>
      <c r="B6" s="59">
        <v>4</v>
      </c>
      <c r="C6" s="59" t="str">
        <f>IFERROR(INDEX(TableQBMaster[Player],MATCH(TableQBCalcPts[[#This Row],[QBRef]],TableQBMaster[QBRef],0)),"")</f>
        <v>Taylor Heinicke</v>
      </c>
      <c r="D6" s="59" t="str">
        <f>IFERROR(INDEX(TableQBMaster[TM],MATCH(TableQBCalcPts[[#This Row],[QBRef]],TableQBMaster[QBRef],0)),"")</f>
        <v>ATL</v>
      </c>
      <c r="E6" s="59">
        <f>IFERROR(INDEX(TableQBMaster[BYE],MATCH(TableQBCalcPts[[#This Row],[QBRef]],TableQBMaster[QBRef],0)),"")</f>
        <v>11</v>
      </c>
      <c r="F6" s="60">
        <f>IFERROR(INDEX(TableQBMaster[Custom],MATCH(TableQBCalcPts[[#This Row],[QBRef]],TableQBMaster[QBRef],0)),"")</f>
        <v>6.4204729228800002</v>
      </c>
      <c r="H6" s="59">
        <f>IFERROR(RANK(TableRBCalcPts[[#This Row],[Custom]],TableRBCalcPts[Custom])+COUNTIF($M$3:M6,M6)-1,"")</f>
        <v>108</v>
      </c>
      <c r="I6" s="59">
        <v>4</v>
      </c>
      <c r="J6" s="59" t="str">
        <f>IFERROR(INDEX(TableRBMaster[Player],MATCH(TableRBCalcPts[[#This Row],[RBRef]],TableRBMaster[RBRef],0)),"")</f>
        <v>DeeJay Dallas</v>
      </c>
      <c r="K6" s="59" t="str">
        <f>IFERROR(INDEX(TableRBMaster[TM],MATCH(TableRBCalcPts[[#This Row],[RBRef]],TableRBMaster[RBRef],0)),"")</f>
        <v>ARI</v>
      </c>
      <c r="L6" s="59">
        <f>IFERROR(INDEX(TableRBMaster[BYE],MATCH(TableRBCalcPts[[#This Row],[RBRef]],TableRBMaster[RBRef],0)),"")</f>
        <v>14</v>
      </c>
      <c r="M6" s="60">
        <f>IFERROR(INDEX(TableRBMaster[Custom],MATCH(TableRBCalcPts[[#This Row],[RBRef]],TableRBMaster[RBRef],0)),"")</f>
        <v>10.875601878749999</v>
      </c>
      <c r="O6" s="59">
        <f>IFERROR(RANK(TableWRCalcPts[[#This Row],[Custom]],TableWRCalcPts[Custom])+COUNTIF($T$3:T6,T6)-1,"")</f>
        <v>140</v>
      </c>
      <c r="P6" s="59">
        <v>4</v>
      </c>
      <c r="Q6" s="59" t="str">
        <f>IFERROR(INDEX(TableWRMaster[Player],MATCH(TableWRCalcPts[[#This Row],[WRRef]],TableWRMaster[WRRef],0)),"")</f>
        <v>Chris Moore</v>
      </c>
      <c r="R6" s="59" t="str">
        <f>IFERROR(INDEX(TableWRMaster[TM],MATCH(TableWRCalcPts[[#This Row],[WRRef]],TableWRMaster[WRRef],0)),"")</f>
        <v>ARI</v>
      </c>
      <c r="S6" s="59">
        <f>IFERROR(INDEX(TableWRMaster[BYE],MATCH(TableWRCalcPts[[#This Row],[WRRef]],TableWRMaster[WRRef],0)),"")</f>
        <v>14</v>
      </c>
      <c r="T6" s="60">
        <f>IFERROR(INDEX(TableWRMaster[Custom],MATCH(TableWRCalcPts[[#This Row],[WRRef]],TableWRMaster[WRRef],0)),"")</f>
        <v>23.404815945000003</v>
      </c>
      <c r="V6" s="59">
        <f>IFERROR(RANK(TableTECalcPts[[#This Row],[Custom]],TableTECalcPts[Custom])+COUNTIF($AA$3:AA6,AA6)-1,"")</f>
        <v>5</v>
      </c>
      <c r="W6" s="59">
        <v>4</v>
      </c>
      <c r="X6" s="59" t="str">
        <f>IFERROR(INDEX(TableTEMaster[Player],MATCH(TableTECalcPts[[#This Row],[TERef]],TableTEMaster[TERef],0)),"")</f>
        <v>Kyle Pitts</v>
      </c>
      <c r="Y6" s="59" t="str">
        <f>IFERROR(INDEX(TableTEMaster[TM],MATCH(TableTECalcPts[[#This Row],[TERef]],TableTEMaster[TERef],0)),"")</f>
        <v>ATL</v>
      </c>
      <c r="Z6" s="59">
        <f>IFERROR(INDEX(TableTEMaster[BYE],MATCH(TableTECalcPts[[#This Row],[TERef]],TableTEMaster[TERef],0)),"")</f>
        <v>11</v>
      </c>
      <c r="AA6" s="60">
        <f>IFERROR(INDEX(TableTEMaster[Custom],MATCH(TableTECalcPts[[#This Row],[TERef]],TableTEMaster[TERef],0)),"")</f>
        <v>161.83872421516796</v>
      </c>
      <c r="AC6" s="59">
        <f>IFERROR(RANK(TableDSTCalcPts[[#This Row],[Custom]],TableDSTCalcPts[Custom],0),"")</f>
        <v>5</v>
      </c>
      <c r="AD6" s="59">
        <v>4</v>
      </c>
      <c r="AE6" s="59" t="str">
        <f>IFERROR(INDEX(TableDSTMaster[Player],MATCH(TableDSTCalcPts[[#This Row],[DSTRef]],TableDSTMaster[DSTRef],0)),"")</f>
        <v>Bills</v>
      </c>
      <c r="AF6" s="59">
        <f>IFERROR(INDEX(TableDSTMaster[BYE],MATCH(TableDSTCalcPts[[#This Row],[DSTRef]],TableDSTMaster[DSTRef],0)),"")</f>
        <v>0</v>
      </c>
      <c r="AG6" s="60">
        <f>IFERROR(INDEX(TableDSTMaster[Custom],MATCH(TableDSTCalcPts[[#This Row],[DSTRef]],TableDSTMaster[DSTRef],0)),"")</f>
        <v>119.9</v>
      </c>
      <c r="AI6" s="59" t="s">
        <v>10</v>
      </c>
      <c r="AJ6" s="59">
        <f>IFERROR(RANK(TableWRTECalcPts[[#This Row],[Custom]],TableWRTECalcPts[Custom])+COUNTIF($AP$3:AP6,AP6)-1,"")</f>
        <v>48</v>
      </c>
      <c r="AK6" s="59">
        <v>4</v>
      </c>
      <c r="AL6" s="59" t="str">
        <f>IFERROR(INDEX(TableTEMaster[Player],MATCH(TableWRTECalcPts[[#This Row],[POSRef]],TableTEMaster[TERef],0)),"")</f>
        <v>Kyle Pitts</v>
      </c>
      <c r="AM6" s="59" t="str">
        <f>IFERROR(_xlfn.CONCAT(TableWRTECalcPts[[#This Row],[POS]],INDEX(TableTERanks[RK],MATCH(TableWRTECalcPts[[#This Row],[PLAYER]],TableTERanks[Player],0))),"")</f>
        <v>TE5</v>
      </c>
      <c r="AN6" s="59" t="str">
        <f>IFERROR(INDEX(TableTEMaster[TM],MATCH(TableWRTECalcPts[[#This Row],[POSRef]],TableTEMaster[TERef],0)),"")</f>
        <v>ATL</v>
      </c>
      <c r="AO6" s="59">
        <f>IFERROR(INDEX(TableTEMaster[BYE],MATCH(TableWRTECalcPts[[#This Row],[POSRef]],TableTEMaster[TERef],0)),"")</f>
        <v>11</v>
      </c>
      <c r="AP6" s="60">
        <f>IFERROR(INDEX(TableTEMaster[Custom],MATCH(TableWRTECalcPts[[#This Row],[POSRef]],TableTEMaster[TERef],0)),"")</f>
        <v>161.83872421516796</v>
      </c>
    </row>
    <row r="7" spans="1:42" x14ac:dyDescent="0.2">
      <c r="A7" s="61">
        <f>IFERROR(RANK(TableQBCalcPts[[#This Row],[Custom]],TableQBCalcPts[Custom])+COUNTIF($F$3:F7,F7)-1,"")</f>
        <v>2</v>
      </c>
      <c r="B7" s="59">
        <v>5</v>
      </c>
      <c r="C7" s="59" t="str">
        <f>IFERROR(INDEX(TableQBMaster[Player],MATCH(TableQBCalcPts[[#This Row],[QBRef]],TableQBMaster[QBRef],0)),"")</f>
        <v>Lamar Jackson</v>
      </c>
      <c r="D7" s="59" t="str">
        <f>IFERROR(INDEX(TableQBMaster[TM],MATCH(TableQBCalcPts[[#This Row],[QBRef]],TableQBMaster[QBRef],0)),"")</f>
        <v>BAL</v>
      </c>
      <c r="E7" s="59">
        <f>IFERROR(INDEX(TableQBMaster[BYE],MATCH(TableQBCalcPts[[#This Row],[QBRef]],TableQBMaster[QBRef],0)),"")</f>
        <v>13</v>
      </c>
      <c r="F7" s="60">
        <f>IFERROR(INDEX(TableQBMaster[Custom],MATCH(TableQBCalcPts[[#This Row],[QBRef]],TableQBMaster[QBRef],0)),"")</f>
        <v>375.62819878982395</v>
      </c>
      <c r="H7" s="59">
        <f>IFERROR(RANK(TableRBCalcPts[[#This Row],[Custom]],TableRBCalcPts[Custom])+COUNTIF($M$3:M7,M7)-1,"")</f>
        <v>4</v>
      </c>
      <c r="I7" s="59">
        <v>5</v>
      </c>
      <c r="J7" s="59" t="str">
        <f>IFERROR(INDEX(TableRBMaster[Player],MATCH(TableRBCalcPts[[#This Row],[RBRef]],TableRBMaster[RBRef],0)),"")</f>
        <v>Bijan Robinson</v>
      </c>
      <c r="K7" s="59" t="str">
        <f>IFERROR(INDEX(TableRBMaster[TM],MATCH(TableRBCalcPts[[#This Row],[RBRef]],TableRBMaster[RBRef],0)),"")</f>
        <v>ATL</v>
      </c>
      <c r="L7" s="59">
        <f>IFERROR(INDEX(TableRBMaster[BYE],MATCH(TableRBCalcPts[[#This Row],[RBRef]],TableRBMaster[RBRef],0)),"")</f>
        <v>11</v>
      </c>
      <c r="M7" s="60">
        <f>IFERROR(INDEX(TableRBMaster[Custom],MATCH(TableRBCalcPts[[#This Row],[RBRef]],TableRBMaster[RBRef],0)),"")</f>
        <v>245.19116975169601</v>
      </c>
      <c r="O7" s="59">
        <f>IFERROR(RANK(TableWRCalcPts[[#This Row],[Custom]],TableWRCalcPts[Custom])+COUNTIF($T$3:T7,T7)-1,"")</f>
        <v>164</v>
      </c>
      <c r="P7" s="59">
        <v>5</v>
      </c>
      <c r="Q7" s="59" t="str">
        <f>IFERROR(INDEX(TableWRMaster[Player],MATCH(TableWRCalcPts[[#This Row],[WRRef]],TableWRMaster[WRRef],0)),"")</f>
        <v>Zach Pascal</v>
      </c>
      <c r="R7" s="59" t="str">
        <f>IFERROR(INDEX(TableWRMaster[TM],MATCH(TableWRCalcPts[[#This Row],[WRRef]],TableWRMaster[WRRef],0)),"")</f>
        <v>ARI</v>
      </c>
      <c r="S7" s="59">
        <f>IFERROR(INDEX(TableWRMaster[BYE],MATCH(TableWRCalcPts[[#This Row],[WRRef]],TableWRMaster[WRRef],0)),"")</f>
        <v>14</v>
      </c>
      <c r="T7" s="60">
        <f>IFERROR(INDEX(TableWRMaster[Custom],MATCH(TableWRCalcPts[[#This Row],[WRRef]],TableWRMaster[WRRef],0)),"")</f>
        <v>13.635885183900001</v>
      </c>
      <c r="V7" s="59">
        <f>IFERROR(RANK(TableTECalcPts[[#This Row],[Custom]],TableTECalcPts[Custom])+COUNTIF($AA$3:AA7,AA7)-1,"")</f>
        <v>49</v>
      </c>
      <c r="W7" s="59">
        <v>5</v>
      </c>
      <c r="X7" s="59" t="str">
        <f>IFERROR(INDEX(TableTEMaster[Player],MATCH(TableTECalcPts[[#This Row],[TERef]],TableTEMaster[TERef],0)),"")</f>
        <v>Charlie Woerner</v>
      </c>
      <c r="Y7" s="59" t="str">
        <f>IFERROR(INDEX(TableTEMaster[TM],MATCH(TableTECalcPts[[#This Row],[TERef]],TableTEMaster[TERef],0)),"")</f>
        <v>ATL</v>
      </c>
      <c r="Z7" s="59">
        <f>IFERROR(INDEX(TableTEMaster[BYE],MATCH(TableTECalcPts[[#This Row],[TERef]],TableTEMaster[TERef],0)),"")</f>
        <v>11</v>
      </c>
      <c r="AA7" s="60">
        <f>IFERROR(INDEX(TableTEMaster[Custom],MATCH(TableTECalcPts[[#This Row],[TERef]],TableTEMaster[TERef],0)),"")</f>
        <v>27.385607208959996</v>
      </c>
      <c r="AC7" s="59">
        <f>IFERROR(RANK(TableDSTCalcPts[[#This Row],[Custom]],TableDSTCalcPts[Custom],0),"")</f>
        <v>24</v>
      </c>
      <c r="AD7" s="59">
        <v>5</v>
      </c>
      <c r="AE7" s="59" t="str">
        <f>IFERROR(INDEX(TableDSTMaster[Player],MATCH(TableDSTCalcPts[[#This Row],[DSTRef]],TableDSTMaster[DSTRef],0)),"")</f>
        <v>Broncos</v>
      </c>
      <c r="AF7" s="59">
        <f>IFERROR(INDEX(TableDSTMaster[BYE],MATCH(TableDSTCalcPts[[#This Row],[DSTRef]],TableDSTMaster[DSTRef],0)),"")</f>
        <v>0</v>
      </c>
      <c r="AG7" s="60">
        <f>IFERROR(INDEX(TableDSTMaster[Custom],MATCH(TableDSTCalcPts[[#This Row],[DSTRef]],TableDSTMaster[DSTRef],0)),"")</f>
        <v>110.45</v>
      </c>
      <c r="AI7" s="59" t="s">
        <v>10</v>
      </c>
      <c r="AJ7" s="59">
        <f>IFERROR(RANK(TableWRTECalcPts[[#This Row],[Custom]],TableWRTECalcPts[Custom])+COUNTIF($AP$3:AP7,AP7)-1,"")</f>
        <v>181</v>
      </c>
      <c r="AK7" s="59">
        <v>5</v>
      </c>
      <c r="AL7" s="59" t="str">
        <f>IFERROR(INDEX(TableTEMaster[Player],MATCH(TableWRTECalcPts[[#This Row],[POSRef]],TableTEMaster[TERef],0)),"")</f>
        <v>Charlie Woerner</v>
      </c>
      <c r="AM7" s="59" t="str">
        <f>IFERROR(_xlfn.CONCAT(TableWRTECalcPts[[#This Row],[POS]],INDEX(TableTERanks[RK],MATCH(TableWRTECalcPts[[#This Row],[PLAYER]],TableTERanks[Player],0))),"")</f>
        <v>TE49</v>
      </c>
      <c r="AN7" s="59" t="str">
        <f>IFERROR(INDEX(TableTEMaster[TM],MATCH(TableWRTECalcPts[[#This Row],[POSRef]],TableTEMaster[TERef],0)),"")</f>
        <v>ATL</v>
      </c>
      <c r="AO7" s="59">
        <f>IFERROR(INDEX(TableTEMaster[BYE],MATCH(TableWRTECalcPts[[#This Row],[POSRef]],TableTEMaster[TERef],0)),"")</f>
        <v>11</v>
      </c>
      <c r="AP7" s="60">
        <f>IFERROR(INDEX(TableTEMaster[Custom],MATCH(TableWRTECalcPts[[#This Row],[POSRef]],TableTEMaster[TERef],0)),"")</f>
        <v>27.385607208959996</v>
      </c>
    </row>
    <row r="8" spans="1:42" x14ac:dyDescent="0.2">
      <c r="A8" s="61">
        <f>IFERROR(RANK(TableQBCalcPts[[#This Row],[Custom]],TableQBCalcPts[Custom])+COUNTIF($F$3:F8,F8)-1,"")</f>
        <v>50</v>
      </c>
      <c r="B8" s="59">
        <v>6</v>
      </c>
      <c r="C8" s="59" t="str">
        <f>IFERROR(INDEX(TableQBMaster[Player],MATCH(TableQBCalcPts[[#This Row],[QBRef]],TableQBMaster[QBRef],0)),"")</f>
        <v>Josh Johnson</v>
      </c>
      <c r="D8" s="59" t="str">
        <f>IFERROR(INDEX(TableQBMaster[TM],MATCH(TableQBCalcPts[[#This Row],[QBRef]],TableQBMaster[QBRef],0)),"")</f>
        <v>BAL</v>
      </c>
      <c r="E8" s="59">
        <f>IFERROR(INDEX(TableQBMaster[BYE],MATCH(TableQBCalcPts[[#This Row],[QBRef]],TableQBMaster[QBRef],0)),"")</f>
        <v>13</v>
      </c>
      <c r="F8" s="60">
        <f>IFERROR(INDEX(TableQBMaster[Custom],MATCH(TableQBCalcPts[[#This Row],[QBRef]],TableQBMaster[QBRef],0)),"")</f>
        <v>6.452833848480001</v>
      </c>
      <c r="H8" s="59">
        <f>IFERROR(RANK(TableRBCalcPts[[#This Row],[Custom]],TableRBCalcPts[Custom])+COUNTIF($M$3:M8,M8)-1,"")</f>
        <v>40</v>
      </c>
      <c r="I8" s="59">
        <v>6</v>
      </c>
      <c r="J8" s="59" t="str">
        <f>IFERROR(INDEX(TableRBMaster[Player],MATCH(TableRBCalcPts[[#This Row],[RBRef]],TableRBMaster[RBRef],0)),"")</f>
        <v>Tyler Allgeier</v>
      </c>
      <c r="K8" s="59" t="str">
        <f>IFERROR(INDEX(TableRBMaster[TM],MATCH(TableRBCalcPts[[#This Row],[RBRef]],TableRBMaster[RBRef],0)),"")</f>
        <v>ATL</v>
      </c>
      <c r="L8" s="59">
        <f>IFERROR(INDEX(TableRBMaster[BYE],MATCH(TableRBCalcPts[[#This Row],[RBRef]],TableRBMaster[RBRef],0)),"")</f>
        <v>11</v>
      </c>
      <c r="M8" s="60">
        <f>IFERROR(INDEX(TableRBMaster[Custom],MATCH(TableRBCalcPts[[#This Row],[RBRef]],TableRBMaster[RBRef],0)),"")</f>
        <v>117.2617367326272</v>
      </c>
      <c r="O8" s="59">
        <f>IFERROR(RANK(TableWRCalcPts[[#This Row],[Custom]],TableWRCalcPts[Custom])+COUNTIF($T$3:T8,T8)-1,"")</f>
        <v>16</v>
      </c>
      <c r="P8" s="59">
        <v>6</v>
      </c>
      <c r="Q8" s="59" t="str">
        <f>IFERROR(INDEX(TableWRMaster[Player],MATCH(TableWRCalcPts[[#This Row],[WRRef]],TableWRMaster[WRRef],0)),"")</f>
        <v>Drake London</v>
      </c>
      <c r="R8" s="59" t="str">
        <f>IFERROR(INDEX(TableWRMaster[TM],MATCH(TableWRCalcPts[[#This Row],[WRRef]],TableWRMaster[WRRef],0)),"")</f>
        <v>ATL</v>
      </c>
      <c r="S8" s="59">
        <f>IFERROR(INDEX(TableWRMaster[BYE],MATCH(TableWRCalcPts[[#This Row],[WRRef]],TableWRMaster[WRRef],0)),"")</f>
        <v>11</v>
      </c>
      <c r="T8" s="60">
        <f>IFERROR(INDEX(TableWRMaster[Custom],MATCH(TableWRCalcPts[[#This Row],[WRRef]],TableWRMaster[WRRef],0)),"")</f>
        <v>196.45429046443195</v>
      </c>
      <c r="V8" s="59">
        <f>IFERROR(RANK(TableTECalcPts[[#This Row],[Custom]],TableTECalcPts[Custom])+COUNTIF($AA$3:AA8,AA8)-1,"")</f>
        <v>3</v>
      </c>
      <c r="W8" s="59">
        <v>6</v>
      </c>
      <c r="X8" s="59" t="str">
        <f>IFERROR(INDEX(TableTEMaster[Player],MATCH(TableTECalcPts[[#This Row],[TERef]],TableTEMaster[TERef],0)),"")</f>
        <v>Mark Andrews</v>
      </c>
      <c r="Y8" s="59" t="str">
        <f>IFERROR(INDEX(TableTEMaster[TM],MATCH(TableTECalcPts[[#This Row],[TERef]],TableTEMaster[TERef],0)),"")</f>
        <v>BAL</v>
      </c>
      <c r="Z8" s="59">
        <f>IFERROR(INDEX(TableTEMaster[BYE],MATCH(TableTECalcPts[[#This Row],[TERef]],TableTEMaster[TERef],0)),"")</f>
        <v>13</v>
      </c>
      <c r="AA8" s="60">
        <f>IFERROR(INDEX(TableTEMaster[Custom],MATCH(TableTECalcPts[[#This Row],[TERef]],TableTEMaster[TERef],0)),"")</f>
        <v>181.76200187228162</v>
      </c>
      <c r="AC8" s="59">
        <f>IFERROR(RANK(TableDSTCalcPts[[#This Row],[Custom]],TableDSTCalcPts[Custom],0),"")</f>
        <v>4</v>
      </c>
      <c r="AD8" s="59">
        <v>6</v>
      </c>
      <c r="AE8" s="59" t="str">
        <f>IFERROR(INDEX(TableDSTMaster[Player],MATCH(TableDSTCalcPts[[#This Row],[DSTRef]],TableDSTMaster[DSTRef],0)),"")</f>
        <v>Browns</v>
      </c>
      <c r="AF8" s="59">
        <f>IFERROR(INDEX(TableDSTMaster[BYE],MATCH(TableDSTCalcPts[[#This Row],[DSTRef]],TableDSTMaster[DSTRef],0)),"")</f>
        <v>0</v>
      </c>
      <c r="AG8" s="60">
        <f>IFERROR(INDEX(TableDSTMaster[Custom],MATCH(TableDSTCalcPts[[#This Row],[DSTRef]],TableDSTMaster[DSTRef],0)),"")</f>
        <v>120.00000000000001</v>
      </c>
      <c r="AI8" s="59" t="s">
        <v>10</v>
      </c>
      <c r="AJ8" s="59">
        <f>IFERROR(RANK(TableWRTECalcPts[[#This Row],[Custom]],TableWRTECalcPts[Custom])+COUNTIF($AP$3:AP8,AP8)-1,"")</f>
        <v>27</v>
      </c>
      <c r="AK8" s="59">
        <v>6</v>
      </c>
      <c r="AL8" s="59" t="str">
        <f>IFERROR(INDEX(TableTEMaster[Player],MATCH(TableWRTECalcPts[[#This Row],[POSRef]],TableTEMaster[TERef],0)),"")</f>
        <v>Mark Andrews</v>
      </c>
      <c r="AM8" s="59" t="str">
        <f>IFERROR(_xlfn.CONCAT(TableWRTECalcPts[[#This Row],[POS]],INDEX(TableTERanks[RK],MATCH(TableWRTECalcPts[[#This Row],[PLAYER]],TableTERanks[Player],0))),"")</f>
        <v>TE3</v>
      </c>
      <c r="AN8" s="59" t="str">
        <f>IFERROR(INDEX(TableTEMaster[TM],MATCH(TableWRTECalcPts[[#This Row],[POSRef]],TableTEMaster[TERef],0)),"")</f>
        <v>BAL</v>
      </c>
      <c r="AO8" s="59">
        <f>IFERROR(INDEX(TableTEMaster[BYE],MATCH(TableWRTECalcPts[[#This Row],[POSRef]],TableTEMaster[TERef],0)),"")</f>
        <v>13</v>
      </c>
      <c r="AP8" s="60">
        <f>IFERROR(INDEX(TableTEMaster[Custom],MATCH(TableWRTECalcPts[[#This Row],[POSRef]],TableTEMaster[TERef],0)),"")</f>
        <v>181.76200187228162</v>
      </c>
    </row>
    <row r="9" spans="1:42" x14ac:dyDescent="0.2">
      <c r="A9" s="61">
        <f>IFERROR(RANK(TableQBCalcPts[[#This Row],[Custom]],TableQBCalcPts[Custom])+COUNTIF($F$3:F9,F9)-1,"")</f>
        <v>1</v>
      </c>
      <c r="B9" s="59">
        <v>7</v>
      </c>
      <c r="C9" s="59" t="str">
        <f>IFERROR(INDEX(TableQBMaster[Player],MATCH(TableQBCalcPts[[#This Row],[QBRef]],TableQBMaster[QBRef],0)),"")</f>
        <v>Josh Allen</v>
      </c>
      <c r="D9" s="59" t="str">
        <f>IFERROR(INDEX(TableQBMaster[TM],MATCH(TableQBCalcPts[[#This Row],[QBRef]],TableQBMaster[QBRef],0)),"")</f>
        <v>BUF</v>
      </c>
      <c r="E9" s="59">
        <f>IFERROR(INDEX(TableQBMaster[BYE],MATCH(TableQBCalcPts[[#This Row],[QBRef]],TableQBMaster[QBRef],0)),"")</f>
        <v>13</v>
      </c>
      <c r="F9" s="60">
        <f>IFERROR(INDEX(TableQBMaster[Custom],MATCH(TableQBCalcPts[[#This Row],[QBRef]],TableQBMaster[QBRef],0)),"")</f>
        <v>395.82932580863996</v>
      </c>
      <c r="H9" s="59">
        <f>IFERROR(RANK(TableRBCalcPts[[#This Row],[Custom]],TableRBCalcPts[Custom])+COUNTIF($M$3:M9,M9)-1,"")</f>
        <v>80</v>
      </c>
      <c r="I9" s="59">
        <v>7</v>
      </c>
      <c r="J9" s="59" t="str">
        <f>IFERROR(INDEX(TableRBMaster[Player],MATCH(TableRBCalcPts[[#This Row],[RBRef]],TableRBMaster[RBRef],0)),"")</f>
        <v>Jase McClellan</v>
      </c>
      <c r="K9" s="59" t="str">
        <f>IFERROR(INDEX(TableRBMaster[TM],MATCH(TableRBCalcPts[[#This Row],[RBRef]],TableRBMaster[RBRef],0)),"")</f>
        <v>ATL</v>
      </c>
      <c r="L9" s="59">
        <f>IFERROR(INDEX(TableRBMaster[BYE],MATCH(TableRBCalcPts[[#This Row],[RBRef]],TableRBMaster[RBRef],0)),"")</f>
        <v>11</v>
      </c>
      <c r="M9" s="60">
        <f>IFERROR(INDEX(TableRBMaster[Custom],MATCH(TableRBCalcPts[[#This Row],[RBRef]],TableRBMaster[RBRef],0)),"")</f>
        <v>42.690711185337598</v>
      </c>
      <c r="O9" s="59">
        <f>IFERROR(RANK(TableWRCalcPts[[#This Row],[Custom]],TableWRCalcPts[Custom])+COUNTIF($T$3:T9,T9)-1,"")</f>
        <v>59</v>
      </c>
      <c r="P9" s="59">
        <v>7</v>
      </c>
      <c r="Q9" s="59" t="str">
        <f>IFERROR(INDEX(TableWRMaster[Player],MATCH(TableWRCalcPts[[#This Row],[WRRef]],TableWRMaster[WRRef],0)),"")</f>
        <v>Darnell Mooney</v>
      </c>
      <c r="R9" s="59" t="str">
        <f>IFERROR(INDEX(TableWRMaster[TM],MATCH(TableWRCalcPts[[#This Row],[WRRef]],TableWRMaster[WRRef],0)),"")</f>
        <v>ATL</v>
      </c>
      <c r="S9" s="59">
        <f>IFERROR(INDEX(TableWRMaster[BYE],MATCH(TableWRCalcPts[[#This Row],[WRRef]],TableWRMaster[WRRef],0)),"")</f>
        <v>11</v>
      </c>
      <c r="T9" s="60">
        <f>IFERROR(INDEX(TableWRMaster[Custom],MATCH(TableWRCalcPts[[#This Row],[WRRef]],TableWRMaster[WRRef],0)),"")</f>
        <v>138.39669965721598</v>
      </c>
      <c r="V9" s="59">
        <f>IFERROR(RANK(TableTECalcPts[[#This Row],[Custom]],TableTECalcPts[Custom])+COUNTIF($AA$3:AA9,AA9)-1,"")</f>
        <v>37</v>
      </c>
      <c r="W9" s="59">
        <v>7</v>
      </c>
      <c r="X9" s="59" t="str">
        <f>IFERROR(INDEX(TableTEMaster[Player],MATCH(TableTECalcPts[[#This Row],[TERef]],TableTEMaster[TERef],0)),"")</f>
        <v>Isaiah Likely</v>
      </c>
      <c r="Y9" s="59" t="str">
        <f>IFERROR(INDEX(TableTEMaster[TM],MATCH(TableTECalcPts[[#This Row],[TERef]],TableTEMaster[TERef],0)),"")</f>
        <v>BAL</v>
      </c>
      <c r="Z9" s="59">
        <f>IFERROR(INDEX(TableTEMaster[BYE],MATCH(TableTECalcPts[[#This Row],[TERef]],TableTEMaster[TERef],0)),"")</f>
        <v>13</v>
      </c>
      <c r="AA9" s="60">
        <f>IFERROR(INDEX(TableTEMaster[Custom],MATCH(TableTECalcPts[[#This Row],[TERef]],TableTEMaster[TERef],0)),"")</f>
        <v>55.486040377824011</v>
      </c>
      <c r="AC9" s="59">
        <f>IFERROR(RANK(TableDSTCalcPts[[#This Row],[Custom]],TableDSTCalcPts[Custom],0),"")</f>
        <v>12</v>
      </c>
      <c r="AD9" s="59">
        <v>7</v>
      </c>
      <c r="AE9" s="59" t="str">
        <f>IFERROR(INDEX(TableDSTMaster[Player],MATCH(TableDSTCalcPts[[#This Row],[DSTRef]],TableDSTMaster[DSTRef],0)),"")</f>
        <v>Buccaneers</v>
      </c>
      <c r="AF9" s="59">
        <f>IFERROR(INDEX(TableDSTMaster[BYE],MATCH(TableDSTCalcPts[[#This Row],[DSTRef]],TableDSTMaster[DSTRef],0)),"")</f>
        <v>0</v>
      </c>
      <c r="AG9" s="60">
        <f>IFERROR(INDEX(TableDSTMaster[Custom],MATCH(TableDSTCalcPts[[#This Row],[DSTRef]],TableDSTMaster[DSTRef],0)),"")</f>
        <v>117.00000000000001</v>
      </c>
      <c r="AI9" s="59" t="s">
        <v>10</v>
      </c>
      <c r="AJ9" s="59">
        <f>IFERROR(RANK(TableWRTECalcPts[[#This Row],[Custom]],TableWRTECalcPts[Custom])+COUNTIF($AP$3:AP9,AP9)-1,"")</f>
        <v>137</v>
      </c>
      <c r="AK9" s="59">
        <v>7</v>
      </c>
      <c r="AL9" s="59" t="str">
        <f>IFERROR(INDEX(TableTEMaster[Player],MATCH(TableWRTECalcPts[[#This Row],[POSRef]],TableTEMaster[TERef],0)),"")</f>
        <v>Isaiah Likely</v>
      </c>
      <c r="AM9" s="59" t="str">
        <f>IFERROR(_xlfn.CONCAT(TableWRTECalcPts[[#This Row],[POS]],INDEX(TableTERanks[RK],MATCH(TableWRTECalcPts[[#This Row],[PLAYER]],TableTERanks[Player],0))),"")</f>
        <v>TE37</v>
      </c>
      <c r="AN9" s="59" t="str">
        <f>IFERROR(INDEX(TableTEMaster[TM],MATCH(TableWRTECalcPts[[#This Row],[POSRef]],TableTEMaster[TERef],0)),"")</f>
        <v>BAL</v>
      </c>
      <c r="AO9" s="59">
        <f>IFERROR(INDEX(TableTEMaster[BYE],MATCH(TableWRTECalcPts[[#This Row],[POSRef]],TableTEMaster[TERef],0)),"")</f>
        <v>13</v>
      </c>
      <c r="AP9" s="60">
        <f>IFERROR(INDEX(TableTEMaster[Custom],MATCH(TableWRTECalcPts[[#This Row],[POSRef]],TableTEMaster[TERef],0)),"")</f>
        <v>55.486040377824011</v>
      </c>
    </row>
    <row r="10" spans="1:42" x14ac:dyDescent="0.2">
      <c r="A10" s="61">
        <f>IFERROR(RANK(TableQBCalcPts[[#This Row],[Custom]],TableQBCalcPts[Custom])+COUNTIF($F$3:F10,F10)-1,"")</f>
        <v>61</v>
      </c>
      <c r="B10" s="59">
        <v>8</v>
      </c>
      <c r="C10" s="59" t="str">
        <f>IFERROR(INDEX(TableQBMaster[Player],MATCH(TableQBCalcPts[[#This Row],[QBRef]],TableQBMaster[QBRef],0)),"")</f>
        <v>Mitch Trubisky</v>
      </c>
      <c r="D10" s="59" t="str">
        <f>IFERROR(INDEX(TableQBMaster[TM],MATCH(TableQBCalcPts[[#This Row],[QBRef]],TableQBMaster[QBRef],0)),"")</f>
        <v>BUF</v>
      </c>
      <c r="E10" s="59">
        <f>IFERROR(INDEX(TableQBMaster[BYE],MATCH(TableQBCalcPts[[#This Row],[QBRef]],TableQBMaster[QBRef],0)),"")</f>
        <v>13</v>
      </c>
      <c r="F10" s="60">
        <f>IFERROR(INDEX(TableQBMaster[Custom],MATCH(TableQBCalcPts[[#This Row],[QBRef]],TableQBMaster[QBRef],0)),"")</f>
        <v>2.2387300761600017</v>
      </c>
      <c r="H10" s="59">
        <f>IFERROR(RANK(TableRBCalcPts[[#This Row],[Custom]],TableRBCalcPts[Custom])+COUNTIF($M$3:M10,M10)-1,"")</f>
        <v>6</v>
      </c>
      <c r="I10" s="59">
        <v>8</v>
      </c>
      <c r="J10" s="59" t="str">
        <f>IFERROR(INDEX(TableRBMaster[Player],MATCH(TableRBCalcPts[[#This Row],[RBRef]],TableRBMaster[RBRef],0)),"")</f>
        <v>Derrick Henry</v>
      </c>
      <c r="K10" s="59" t="str">
        <f>IFERROR(INDEX(TableRBMaster[TM],MATCH(TableRBCalcPts[[#This Row],[RBRef]],TableRBMaster[RBRef],0)),"")</f>
        <v>BAL</v>
      </c>
      <c r="L10" s="59">
        <f>IFERROR(INDEX(TableRBMaster[BYE],MATCH(TableRBCalcPts[[#This Row],[RBRef]],TableRBMaster[RBRef],0)),"")</f>
        <v>13</v>
      </c>
      <c r="M10" s="60">
        <f>IFERROR(INDEX(TableRBMaster[Custom],MATCH(TableRBCalcPts[[#This Row],[RBRef]],TableRBMaster[RBRef],0)),"")</f>
        <v>231.37918964159999</v>
      </c>
      <c r="O10" s="59">
        <f>IFERROR(RANK(TableWRCalcPts[[#This Row],[Custom]],TableWRCalcPts[Custom])+COUNTIF($T$3:T10,T10)-1,"")</f>
        <v>81</v>
      </c>
      <c r="P10" s="59">
        <v>8</v>
      </c>
      <c r="Q10" s="59" t="str">
        <f>IFERROR(INDEX(TableWRMaster[Player],MATCH(TableWRCalcPts[[#This Row],[WRRef]],TableWRMaster[WRRef],0)),"")</f>
        <v>Rondale Moore</v>
      </c>
      <c r="R10" s="59" t="str">
        <f>IFERROR(INDEX(TableWRMaster[TM],MATCH(TableWRCalcPts[[#This Row],[WRRef]],TableWRMaster[WRRef],0)),"")</f>
        <v>ATL</v>
      </c>
      <c r="S10" s="59">
        <f>IFERROR(INDEX(TableWRMaster[BYE],MATCH(TableWRCalcPts[[#This Row],[WRRef]],TableWRMaster[WRRef],0)),"")</f>
        <v>11</v>
      </c>
      <c r="T10" s="60">
        <f>IFERROR(INDEX(TableWRMaster[Custom],MATCH(TableWRCalcPts[[#This Row],[WRRef]],TableWRMaster[WRRef],0)),"")</f>
        <v>90.224337624220794</v>
      </c>
      <c r="V10" s="59">
        <f>IFERROR(RANK(TableTECalcPts[[#This Row],[Custom]],TableTECalcPts[Custom])+COUNTIF($AA$3:AA10,AA10)-1,"")</f>
        <v>80</v>
      </c>
      <c r="W10" s="59">
        <v>8</v>
      </c>
      <c r="X10" s="59" t="str">
        <f>IFERROR(INDEX(TableTEMaster[Player],MATCH(TableTECalcPts[[#This Row],[TERef]],TableTEMaster[TERef],0)),"")</f>
        <v>Charlie Kolar</v>
      </c>
      <c r="Y10" s="59" t="str">
        <f>IFERROR(INDEX(TableTEMaster[TM],MATCH(TableTECalcPts[[#This Row],[TERef]],TableTEMaster[TERef],0)),"")</f>
        <v>BAL</v>
      </c>
      <c r="Z10" s="59">
        <f>IFERROR(INDEX(TableTEMaster[BYE],MATCH(TableTECalcPts[[#This Row],[TERef]],TableTEMaster[TERef],0)),"")</f>
        <v>13</v>
      </c>
      <c r="AA10" s="60">
        <f>IFERROR(INDEX(TableTEMaster[Custom],MATCH(TableTECalcPts[[#This Row],[TERef]],TableTEMaster[TERef],0)),"")</f>
        <v>7.4937179652608013</v>
      </c>
      <c r="AC10" s="59">
        <f>IFERROR(RANK(TableDSTCalcPts[[#This Row],[Custom]],TableDSTCalcPts[Custom],0),"")</f>
        <v>32</v>
      </c>
      <c r="AD10" s="59">
        <v>8</v>
      </c>
      <c r="AE10" s="59" t="str">
        <f>IFERROR(INDEX(TableDSTMaster[Player],MATCH(TableDSTCalcPts[[#This Row],[DSTRef]],TableDSTMaster[DSTRef],0)),"")</f>
        <v>Cardinals</v>
      </c>
      <c r="AF10" s="59">
        <f>IFERROR(INDEX(TableDSTMaster[BYE],MATCH(TableDSTCalcPts[[#This Row],[DSTRef]],TableDSTMaster[DSTRef],0)),"")</f>
        <v>0</v>
      </c>
      <c r="AG10" s="60">
        <f>IFERROR(INDEX(TableDSTMaster[Custom],MATCH(TableDSTCalcPts[[#This Row],[DSTRef]],TableDSTMaster[DSTRef],0)),"")</f>
        <v>104</v>
      </c>
      <c r="AI10" s="59" t="s">
        <v>10</v>
      </c>
      <c r="AJ10" s="59">
        <f>IFERROR(RANK(TableWRTECalcPts[[#This Row],[Custom]],TableWRTECalcPts[Custom])+COUNTIF($AP$3:AP10,AP10)-1,"")</f>
        <v>258</v>
      </c>
      <c r="AK10" s="59">
        <v>8</v>
      </c>
      <c r="AL10" s="59" t="str">
        <f>IFERROR(INDEX(TableTEMaster[Player],MATCH(TableWRTECalcPts[[#This Row],[POSRef]],TableTEMaster[TERef],0)),"")</f>
        <v>Charlie Kolar</v>
      </c>
      <c r="AM10" s="59" t="str">
        <f>IFERROR(_xlfn.CONCAT(TableWRTECalcPts[[#This Row],[POS]],INDEX(TableTERanks[RK],MATCH(TableWRTECalcPts[[#This Row],[PLAYER]],TableTERanks[Player],0))),"")</f>
        <v>TE80</v>
      </c>
      <c r="AN10" s="59" t="str">
        <f>IFERROR(INDEX(TableTEMaster[TM],MATCH(TableWRTECalcPts[[#This Row],[POSRef]],TableTEMaster[TERef],0)),"")</f>
        <v>BAL</v>
      </c>
      <c r="AO10" s="59">
        <f>IFERROR(INDEX(TableTEMaster[BYE],MATCH(TableWRTECalcPts[[#This Row],[POSRef]],TableTEMaster[TERef],0)),"")</f>
        <v>13</v>
      </c>
      <c r="AP10" s="60">
        <f>IFERROR(INDEX(TableTEMaster[Custom],MATCH(TableWRTECalcPts[[#This Row],[POSRef]],TableTEMaster[TERef],0)),"")</f>
        <v>7.4937179652608013</v>
      </c>
    </row>
    <row r="11" spans="1:42" x14ac:dyDescent="0.2">
      <c r="A11" s="61">
        <f>IFERROR(RANK(TableQBCalcPts[[#This Row],[Custom]],TableQBCalcPts[Custom])+COUNTIF($F$3:F11,F11)-1,"")</f>
        <v>25</v>
      </c>
      <c r="B11" s="59">
        <v>9</v>
      </c>
      <c r="C11" s="59" t="str">
        <f>IFERROR(INDEX(TableQBMaster[Player],MATCH(TableQBCalcPts[[#This Row],[QBRef]],TableQBMaster[QBRef],0)),"")</f>
        <v>Bryce Young</v>
      </c>
      <c r="D11" s="59" t="str">
        <f>IFERROR(INDEX(TableQBMaster[TM],MATCH(TableQBCalcPts[[#This Row],[QBRef]],TableQBMaster[QBRef],0)),"")</f>
        <v>CAR</v>
      </c>
      <c r="E11" s="59">
        <f>IFERROR(INDEX(TableQBMaster[BYE],MATCH(TableQBCalcPts[[#This Row],[QBRef]],TableQBMaster[QBRef],0)),"")</f>
        <v>7</v>
      </c>
      <c r="F11" s="60">
        <f>IFERROR(INDEX(TableQBMaster[Custom],MATCH(TableQBCalcPts[[#This Row],[QBRef]],TableQBMaster[QBRef],0)),"")</f>
        <v>277.64474536199998</v>
      </c>
      <c r="H11" s="59">
        <f>IFERROR(RANK(TableRBCalcPts[[#This Row],[Custom]],TableRBCalcPts[Custom])+COUNTIF($M$3:M11,M11)-1,"")</f>
        <v>72</v>
      </c>
      <c r="I11" s="59">
        <v>9</v>
      </c>
      <c r="J11" s="59" t="str">
        <f>IFERROR(INDEX(TableRBMaster[Player],MATCH(TableRBCalcPts[[#This Row],[RBRef]],TableRBMaster[RBRef],0)),"")</f>
        <v>Rasheen Ali</v>
      </c>
      <c r="K11" s="59" t="str">
        <f>IFERROR(INDEX(TableRBMaster[TM],MATCH(TableRBCalcPts[[#This Row],[RBRef]],TableRBMaster[RBRef],0)),"")</f>
        <v>BAL</v>
      </c>
      <c r="L11" s="59">
        <f>IFERROR(INDEX(TableRBMaster[BYE],MATCH(TableRBCalcPts[[#This Row],[RBRef]],TableRBMaster[RBRef],0)),"")</f>
        <v>13</v>
      </c>
      <c r="M11" s="60">
        <f>IFERROR(INDEX(TableRBMaster[Custom],MATCH(TableRBCalcPts[[#This Row],[RBRef]],TableRBMaster[RBRef],0)),"")</f>
        <v>56.086905436799995</v>
      </c>
      <c r="O11" s="59">
        <f>IFERROR(RANK(TableWRCalcPts[[#This Row],[Custom]],TableWRCalcPts[Custom])+COUNTIF($T$3:T11,T11)-1,"")</f>
        <v>139</v>
      </c>
      <c r="P11" s="59">
        <v>9</v>
      </c>
      <c r="Q11" s="59" t="str">
        <f>IFERROR(INDEX(TableWRMaster[Player],MATCH(TableWRCalcPts[[#This Row],[WRRef]],TableWRMaster[WRRef],0)),"")</f>
        <v>Ray-Ray McCloud</v>
      </c>
      <c r="R11" s="59" t="str">
        <f>IFERROR(INDEX(TableWRMaster[TM],MATCH(TableWRCalcPts[[#This Row],[WRRef]],TableWRMaster[WRRef],0)),"")</f>
        <v>ATL</v>
      </c>
      <c r="S11" s="59">
        <f>IFERROR(INDEX(TableWRMaster[BYE],MATCH(TableWRCalcPts[[#This Row],[WRRef]],TableWRMaster[WRRef],0)),"")</f>
        <v>11</v>
      </c>
      <c r="T11" s="60">
        <f>IFERROR(INDEX(TableWRMaster[Custom],MATCH(TableWRCalcPts[[#This Row],[WRRef]],TableWRMaster[WRRef],0)),"")</f>
        <v>23.756703681110395</v>
      </c>
      <c r="V11" s="59">
        <f>IFERROR(RANK(TableTECalcPts[[#This Row],[Custom]],TableTECalcPts[Custom])+COUNTIF($AA$3:AA11,AA11)-1,"")</f>
        <v>6</v>
      </c>
      <c r="W11" s="59">
        <v>9</v>
      </c>
      <c r="X11" s="59" t="str">
        <f>IFERROR(INDEX(TableTEMaster[Player],MATCH(TableTECalcPts[[#This Row],[TERef]],TableTEMaster[TERef],0)),"")</f>
        <v>Dalton Kincaid</v>
      </c>
      <c r="Y11" s="59" t="str">
        <f>IFERROR(INDEX(TableTEMaster[TM],MATCH(TableTECalcPts[[#This Row],[TERef]],TableTEMaster[TERef],0)),"")</f>
        <v>BUF</v>
      </c>
      <c r="Z11" s="59">
        <f>IFERROR(INDEX(TableTEMaster[BYE],MATCH(TableTECalcPts[[#This Row],[TERef]],TableTEMaster[TERef],0)),"")</f>
        <v>13</v>
      </c>
      <c r="AA11" s="60">
        <f>IFERROR(INDEX(TableTEMaster[Custom],MATCH(TableTECalcPts[[#This Row],[TERef]],TableTEMaster[TERef],0)),"")</f>
        <v>155.12491385395197</v>
      </c>
      <c r="AC11" s="59">
        <f>IFERROR(RANK(TableDSTCalcPts[[#This Row],[Custom]],TableDSTCalcPts[Custom],0),"")</f>
        <v>10</v>
      </c>
      <c r="AD11" s="59">
        <v>9</v>
      </c>
      <c r="AE11" s="59" t="str">
        <f>IFERROR(INDEX(TableDSTMaster[Player],MATCH(TableDSTCalcPts[[#This Row],[DSTRef]],TableDSTMaster[DSTRef],0)),"")</f>
        <v>Chargers</v>
      </c>
      <c r="AF11" s="59">
        <f>IFERROR(INDEX(TableDSTMaster[BYE],MATCH(TableDSTCalcPts[[#This Row],[DSTRef]],TableDSTMaster[DSTRef],0)),"")</f>
        <v>0</v>
      </c>
      <c r="AG11" s="60">
        <f>IFERROR(INDEX(TableDSTMaster[Custom],MATCH(TableDSTCalcPts[[#This Row],[DSTRef]],TableDSTMaster[DSTRef],0)),"")</f>
        <v>117.14999999999999</v>
      </c>
      <c r="AI11" s="59" t="s">
        <v>10</v>
      </c>
      <c r="AJ11" s="59">
        <f>IFERROR(RANK(TableWRTECalcPts[[#This Row],[Custom]],TableWRTECalcPts[Custom])+COUNTIF($AP$3:AP11,AP11)-1,"")</f>
        <v>54</v>
      </c>
      <c r="AK11" s="59">
        <v>9</v>
      </c>
      <c r="AL11" s="59" t="str">
        <f>IFERROR(INDEX(TableTEMaster[Player],MATCH(TableWRTECalcPts[[#This Row],[POSRef]],TableTEMaster[TERef],0)),"")</f>
        <v>Dalton Kincaid</v>
      </c>
      <c r="AM11" s="59" t="str">
        <f>IFERROR(_xlfn.CONCAT(TableWRTECalcPts[[#This Row],[POS]],INDEX(TableTERanks[RK],MATCH(TableWRTECalcPts[[#This Row],[PLAYER]],TableTERanks[Player],0))),"")</f>
        <v>TE6</v>
      </c>
      <c r="AN11" s="59" t="str">
        <f>IFERROR(INDEX(TableTEMaster[TM],MATCH(TableWRTECalcPts[[#This Row],[POSRef]],TableTEMaster[TERef],0)),"")</f>
        <v>BUF</v>
      </c>
      <c r="AO11" s="59">
        <f>IFERROR(INDEX(TableTEMaster[BYE],MATCH(TableWRTECalcPts[[#This Row],[POSRef]],TableTEMaster[TERef],0)),"")</f>
        <v>13</v>
      </c>
      <c r="AP11" s="60">
        <f>IFERROR(INDEX(TableTEMaster[Custom],MATCH(TableWRTECalcPts[[#This Row],[POSRef]],TableTEMaster[TERef],0)),"")</f>
        <v>155.12491385395197</v>
      </c>
    </row>
    <row r="12" spans="1:42" x14ac:dyDescent="0.2">
      <c r="A12" s="61">
        <f>IFERROR(RANK(TableQBCalcPts[[#This Row],[Custom]],TableQBCalcPts[Custom])+COUNTIF($F$3:F12,F12)-1,"")</f>
        <v>44</v>
      </c>
      <c r="B12" s="59">
        <v>10</v>
      </c>
      <c r="C12" s="59" t="str">
        <f>IFERROR(INDEX(TableQBMaster[Player],MATCH(TableQBCalcPts[[#This Row],[QBRef]],TableQBMaster[QBRef],0)),"")</f>
        <v>Andy Dalton</v>
      </c>
      <c r="D12" s="59" t="str">
        <f>IFERROR(INDEX(TableQBMaster[TM],MATCH(TableQBCalcPts[[#This Row],[QBRef]],TableQBMaster[QBRef],0)),"")</f>
        <v>CAR</v>
      </c>
      <c r="E12" s="59">
        <f>IFERROR(INDEX(TableQBMaster[BYE],MATCH(TableQBCalcPts[[#This Row],[QBRef]],TableQBMaster[QBRef],0)),"")</f>
        <v>7</v>
      </c>
      <c r="F12" s="60">
        <f>IFERROR(INDEX(TableQBMaster[Custom],MATCH(TableQBCalcPts[[#This Row],[QBRef]],TableQBMaster[QBRef],0)),"")</f>
        <v>11.884636309999998</v>
      </c>
      <c r="H12" s="59">
        <f>IFERROR(RANK(TableRBCalcPts[[#This Row],[Custom]],TableRBCalcPts[Custom])+COUNTIF($M$3:M12,M12)-1,"")</f>
        <v>81</v>
      </c>
      <c r="I12" s="59">
        <v>10</v>
      </c>
      <c r="J12" s="59" t="str">
        <f>IFERROR(INDEX(TableRBMaster[Player],MATCH(TableRBCalcPts[[#This Row],[RBRef]],TableRBMaster[RBRef],0)),"")</f>
        <v>Keaton Mitchell</v>
      </c>
      <c r="K12" s="59" t="str">
        <f>IFERROR(INDEX(TableRBMaster[TM],MATCH(TableRBCalcPts[[#This Row],[RBRef]],TableRBMaster[RBRef],0)),"")</f>
        <v>BAL</v>
      </c>
      <c r="L12" s="59">
        <f>IFERROR(INDEX(TableRBMaster[BYE],MATCH(TableRBCalcPts[[#This Row],[RBRef]],TableRBMaster[RBRef],0)),"")</f>
        <v>13</v>
      </c>
      <c r="M12" s="60">
        <f>IFERROR(INDEX(TableRBMaster[Custom],MATCH(TableRBCalcPts[[#This Row],[RBRef]],TableRBMaster[RBRef],0)),"")</f>
        <v>41.590578107601594</v>
      </c>
      <c r="O12" s="59">
        <f>IFERROR(RANK(TableWRCalcPts[[#This Row],[Custom]],TableWRCalcPts[Custom])+COUNTIF($T$3:T12,T12)-1,"")</f>
        <v>147</v>
      </c>
      <c r="P12" s="59">
        <v>10</v>
      </c>
      <c r="Q12" s="59" t="str">
        <f>IFERROR(INDEX(TableWRMaster[Player],MATCH(TableWRCalcPts[[#This Row],[WRRef]],TableWRMaster[WRRef],0)),"")</f>
        <v>KhaDarel Hodge</v>
      </c>
      <c r="R12" s="59" t="str">
        <f>IFERROR(INDEX(TableWRMaster[TM],MATCH(TableWRCalcPts[[#This Row],[WRRef]],TableWRMaster[WRRef],0)),"")</f>
        <v>ATL</v>
      </c>
      <c r="S12" s="59">
        <f>IFERROR(INDEX(TableWRMaster[BYE],MATCH(TableWRCalcPts[[#This Row],[WRRef]],TableWRMaster[WRRef],0)),"")</f>
        <v>11</v>
      </c>
      <c r="T12" s="60">
        <f>IFERROR(INDEX(TableWRMaster[Custom],MATCH(TableWRCalcPts[[#This Row],[WRRef]],TableWRMaster[WRRef],0)),"")</f>
        <v>20.404002774355192</v>
      </c>
      <c r="V12" s="59">
        <f>IFERROR(RANK(TableTECalcPts[[#This Row],[Custom]],TableTECalcPts[Custom])+COUNTIF($AA$3:AA12,AA12)-1,"")</f>
        <v>35</v>
      </c>
      <c r="W12" s="59">
        <v>10</v>
      </c>
      <c r="X12" s="59" t="str">
        <f>IFERROR(INDEX(TableTEMaster[Player],MATCH(TableTECalcPts[[#This Row],[TERef]],TableTEMaster[TERef],0)),"")</f>
        <v>Dawson Knox</v>
      </c>
      <c r="Y12" s="59" t="str">
        <f>IFERROR(INDEX(TableTEMaster[TM],MATCH(TableTECalcPts[[#This Row],[TERef]],TableTEMaster[TERef],0)),"")</f>
        <v>BUF</v>
      </c>
      <c r="Z12" s="59">
        <f>IFERROR(INDEX(TableTEMaster[BYE],MATCH(TableTECalcPts[[#This Row],[TERef]],TableTEMaster[TERef],0)),"")</f>
        <v>13</v>
      </c>
      <c r="AA12" s="60">
        <f>IFERROR(INDEX(TableTEMaster[Custom],MATCH(TableTECalcPts[[#This Row],[TERef]],TableTEMaster[TERef],0)),"")</f>
        <v>58.365559107071988</v>
      </c>
      <c r="AC12" s="59">
        <f>IFERROR(RANK(TableDSTCalcPts[[#This Row],[Custom]],TableDSTCalcPts[Custom],0),"")</f>
        <v>13</v>
      </c>
      <c r="AD12" s="59">
        <v>10</v>
      </c>
      <c r="AE12" s="59" t="str">
        <f>IFERROR(INDEX(TableDSTMaster[Player],MATCH(TableDSTCalcPts[[#This Row],[DSTRef]],TableDSTMaster[DSTRef],0)),"")</f>
        <v>Chiefs</v>
      </c>
      <c r="AF12" s="59">
        <f>IFERROR(INDEX(TableDSTMaster[BYE],MATCH(TableDSTCalcPts[[#This Row],[DSTRef]],TableDSTMaster[DSTRef],0)),"")</f>
        <v>0</v>
      </c>
      <c r="AG12" s="60">
        <f>IFERROR(INDEX(TableDSTMaster[Custom],MATCH(TableDSTCalcPts[[#This Row],[DSTRef]],TableDSTMaster[DSTRef],0)),"")</f>
        <v>116.70000000000002</v>
      </c>
      <c r="AI12" s="59" t="s">
        <v>10</v>
      </c>
      <c r="AJ12" s="59">
        <f>IFERROR(RANK(TableWRTECalcPts[[#This Row],[Custom]],TableWRTECalcPts[Custom])+COUNTIF($AP$3:AP12,AP12)-1,"")</f>
        <v>133</v>
      </c>
      <c r="AK12" s="59">
        <v>10</v>
      </c>
      <c r="AL12" s="59" t="str">
        <f>IFERROR(INDEX(TableTEMaster[Player],MATCH(TableWRTECalcPts[[#This Row],[POSRef]],TableTEMaster[TERef],0)),"")</f>
        <v>Dawson Knox</v>
      </c>
      <c r="AM12" s="59" t="str">
        <f>IFERROR(_xlfn.CONCAT(TableWRTECalcPts[[#This Row],[POS]],INDEX(TableTERanks[RK],MATCH(TableWRTECalcPts[[#This Row],[PLAYER]],TableTERanks[Player],0))),"")</f>
        <v>TE35</v>
      </c>
      <c r="AN12" s="59" t="str">
        <f>IFERROR(INDEX(TableTEMaster[TM],MATCH(TableWRTECalcPts[[#This Row],[POSRef]],TableTEMaster[TERef],0)),"")</f>
        <v>BUF</v>
      </c>
      <c r="AO12" s="59">
        <f>IFERROR(INDEX(TableTEMaster[BYE],MATCH(TableWRTECalcPts[[#This Row],[POSRef]],TableTEMaster[TERef],0)),"")</f>
        <v>13</v>
      </c>
      <c r="AP12" s="60">
        <f>IFERROR(INDEX(TableTEMaster[Custom],MATCH(TableWRTECalcPts[[#This Row],[POSRef]],TableTEMaster[TERef],0)),"")</f>
        <v>58.365559107071988</v>
      </c>
    </row>
    <row r="13" spans="1:42" x14ac:dyDescent="0.2">
      <c r="A13" s="61">
        <f>IFERROR(RANK(TableQBCalcPts[[#This Row],[Custom]],TableQBCalcPts[Custom])+COUNTIF($F$3:F13,F13)-1,"")</f>
        <v>11</v>
      </c>
      <c r="B13" s="59">
        <v>11</v>
      </c>
      <c r="C13" s="59" t="str">
        <f>IFERROR(INDEX(TableQBMaster[Player],MATCH(TableQBCalcPts[[#This Row],[QBRef]],TableQBMaster[QBRef],0)),"")</f>
        <v>Caleb Williams</v>
      </c>
      <c r="D13" s="59" t="str">
        <f>IFERROR(INDEX(TableQBMaster[TM],MATCH(TableQBCalcPts[[#This Row],[QBRef]],TableQBMaster[QBRef],0)),"")</f>
        <v>CHI</v>
      </c>
      <c r="E13" s="59">
        <f>IFERROR(INDEX(TableQBMaster[BYE],MATCH(TableQBCalcPts[[#This Row],[QBRef]],TableQBMaster[QBRef],0)),"")</f>
        <v>13</v>
      </c>
      <c r="F13" s="60">
        <f>IFERROR(INDEX(TableQBMaster[Custom],MATCH(TableQBCalcPts[[#This Row],[QBRef]],TableQBMaster[QBRef],0)),"")</f>
        <v>318.25078148102403</v>
      </c>
      <c r="H13" s="59">
        <f>IFERROR(RANK(TableRBCalcPts[[#This Row],[Custom]],TableRBCalcPts[Custom])+COUNTIF($M$3:M13,M13)-1,"")</f>
        <v>96</v>
      </c>
      <c r="I13" s="59">
        <v>11</v>
      </c>
      <c r="J13" s="59" t="str">
        <f>IFERROR(INDEX(TableRBMaster[Player],MATCH(TableRBCalcPts[[#This Row],[RBRef]],TableRBMaster[RBRef],0)),"")</f>
        <v>Justice Hill</v>
      </c>
      <c r="K13" s="59" t="str">
        <f>IFERROR(INDEX(TableRBMaster[TM],MATCH(TableRBCalcPts[[#This Row],[RBRef]],TableRBMaster[RBRef],0)),"")</f>
        <v>BAL</v>
      </c>
      <c r="L13" s="59">
        <f>IFERROR(INDEX(TableRBMaster[BYE],MATCH(TableRBCalcPts[[#This Row],[RBRef]],TableRBMaster[RBRef],0)),"")</f>
        <v>13</v>
      </c>
      <c r="M13" s="60">
        <f>IFERROR(INDEX(TableRBMaster[Custom],MATCH(TableRBCalcPts[[#This Row],[RBRef]],TableRBMaster[RBRef],0)),"")</f>
        <v>20.135598235760003</v>
      </c>
      <c r="O13" s="59">
        <f>IFERROR(RANK(TableWRCalcPts[[#This Row],[Custom]],TableWRCalcPts[Custom])+COUNTIF($T$3:T13,T13)-1,"")</f>
        <v>181</v>
      </c>
      <c r="P13" s="59">
        <v>11</v>
      </c>
      <c r="Q13" s="59" t="str">
        <f>IFERROR(INDEX(TableWRMaster[Player],MATCH(TableWRCalcPts[[#This Row],[WRRef]],TableWRMaster[WRRef],0)),"")</f>
        <v>Casey Washington</v>
      </c>
      <c r="R13" s="59" t="str">
        <f>IFERROR(INDEX(TableWRMaster[TM],MATCH(TableWRCalcPts[[#This Row],[WRRef]],TableWRMaster[WRRef],0)),"")</f>
        <v>ATL</v>
      </c>
      <c r="S13" s="59">
        <f>IFERROR(INDEX(TableWRMaster[BYE],MATCH(TableWRCalcPts[[#This Row],[WRRef]],TableWRMaster[WRRef],0)),"")</f>
        <v>11</v>
      </c>
      <c r="T13" s="60">
        <f>IFERROR(INDEX(TableWRMaster[Custom],MATCH(TableWRCalcPts[[#This Row],[WRRef]],TableWRMaster[WRRef],0)),"")</f>
        <v>6.9854693388479987</v>
      </c>
      <c r="V13" s="59">
        <f>IFERROR(RANK(TableTECalcPts[[#This Row],[Custom]],TableTECalcPts[Custom])+COUNTIF($AA$3:AA13,AA13)-1,"")</f>
        <v>85</v>
      </c>
      <c r="W13" s="59">
        <v>11</v>
      </c>
      <c r="X13" s="59" t="str">
        <f>IFERROR(INDEX(TableTEMaster[Player],MATCH(TableTECalcPts[[#This Row],[TERef]],TableTEMaster[TERef],0)),"")</f>
        <v>Quintin Morris</v>
      </c>
      <c r="Y13" s="59" t="str">
        <f>IFERROR(INDEX(TableTEMaster[TM],MATCH(TableTECalcPts[[#This Row],[TERef]],TableTEMaster[TERef],0)),"")</f>
        <v>BUF</v>
      </c>
      <c r="Z13" s="59">
        <f>IFERROR(INDEX(TableTEMaster[BYE],MATCH(TableTECalcPts[[#This Row],[TERef]],TableTEMaster[TERef],0)),"")</f>
        <v>13</v>
      </c>
      <c r="AA13" s="60">
        <f>IFERROR(INDEX(TableTEMaster[Custom],MATCH(TableTECalcPts[[#This Row],[TERef]],TableTEMaster[TERef],0)),"")</f>
        <v>6.5208368332799989</v>
      </c>
      <c r="AC13" s="59">
        <f>IFERROR(RANK(TableDSTCalcPts[[#This Row],[Custom]],TableDSTCalcPts[Custom],0),"")</f>
        <v>8</v>
      </c>
      <c r="AD13" s="59">
        <v>11</v>
      </c>
      <c r="AE13" s="59" t="str">
        <f>IFERROR(INDEX(TableDSTMaster[Player],MATCH(TableDSTCalcPts[[#This Row],[DSTRef]],TableDSTMaster[DSTRef],0)),"")</f>
        <v>Colts</v>
      </c>
      <c r="AF13" s="59">
        <f>IFERROR(INDEX(TableDSTMaster[BYE],MATCH(TableDSTCalcPts[[#This Row],[DSTRef]],TableDSTMaster[DSTRef],0)),"")</f>
        <v>0</v>
      </c>
      <c r="AG13" s="60">
        <f>IFERROR(INDEX(TableDSTMaster[Custom],MATCH(TableDSTCalcPts[[#This Row],[DSTRef]],TableDSTMaster[DSTRef],0)),"")</f>
        <v>119.50000000000001</v>
      </c>
      <c r="AI13" s="59" t="s">
        <v>10</v>
      </c>
      <c r="AJ13" s="59">
        <f>IFERROR(RANK(TableWRTECalcPts[[#This Row],[Custom]],TableWRTECalcPts[Custom])+COUNTIF($AP$3:AP13,AP13)-1,"")</f>
        <v>266</v>
      </c>
      <c r="AK13" s="59">
        <v>11</v>
      </c>
      <c r="AL13" s="59" t="str">
        <f>IFERROR(INDEX(TableTEMaster[Player],MATCH(TableWRTECalcPts[[#This Row],[POSRef]],TableTEMaster[TERef],0)),"")</f>
        <v>Quintin Morris</v>
      </c>
      <c r="AM13" s="59" t="str">
        <f>IFERROR(_xlfn.CONCAT(TableWRTECalcPts[[#This Row],[POS]],INDEX(TableTERanks[RK],MATCH(TableWRTECalcPts[[#This Row],[PLAYER]],TableTERanks[Player],0))),"")</f>
        <v>TE85</v>
      </c>
      <c r="AN13" s="59" t="str">
        <f>IFERROR(INDEX(TableTEMaster[TM],MATCH(TableWRTECalcPts[[#This Row],[POSRef]],TableTEMaster[TERef],0)),"")</f>
        <v>BUF</v>
      </c>
      <c r="AO13" s="59">
        <f>IFERROR(INDEX(TableTEMaster[BYE],MATCH(TableWRTECalcPts[[#This Row],[POSRef]],TableTEMaster[TERef],0)),"")</f>
        <v>13</v>
      </c>
      <c r="AP13" s="60">
        <f>IFERROR(INDEX(TableTEMaster[Custom],MATCH(TableWRTECalcPts[[#This Row],[POSRef]],TableTEMaster[TERef],0)),"")</f>
        <v>6.5208368332799989</v>
      </c>
    </row>
    <row r="14" spans="1:42" x14ac:dyDescent="0.2">
      <c r="A14" s="61">
        <f>IFERROR(RANK(TableQBCalcPts[[#This Row],[Custom]],TableQBCalcPts[Custom])+COUNTIF($F$3:F14,F14)-1,"")</f>
        <v>57</v>
      </c>
      <c r="B14" s="59">
        <v>12</v>
      </c>
      <c r="C14" s="59" t="str">
        <f>IFERROR(INDEX(TableQBMaster[Player],MATCH(TableQBCalcPts[[#This Row],[QBRef]],TableQBMaster[QBRef],0)),"")</f>
        <v>Tyson Bagent</v>
      </c>
      <c r="D14" s="59" t="str">
        <f>IFERROR(INDEX(TableQBMaster[TM],MATCH(TableQBCalcPts[[#This Row],[QBRef]],TableQBMaster[QBRef],0)),"")</f>
        <v>CHI</v>
      </c>
      <c r="E14" s="59">
        <f>IFERROR(INDEX(TableQBMaster[BYE],MATCH(TableQBCalcPts[[#This Row],[QBRef]],TableQBMaster[QBRef],0)),"")</f>
        <v>13</v>
      </c>
      <c r="F14" s="60">
        <f>IFERROR(INDEX(TableQBMaster[Custom],MATCH(TableQBCalcPts[[#This Row],[QBRef]],TableQBMaster[QBRef],0)),"")</f>
        <v>4.2553898524800013</v>
      </c>
      <c r="H14" s="59">
        <f>IFERROR(RANK(TableRBCalcPts[[#This Row],[Custom]],TableRBCalcPts[Custom])+COUNTIF($M$3:M14,M14)-1,"")</f>
        <v>24</v>
      </c>
      <c r="I14" s="59">
        <v>12</v>
      </c>
      <c r="J14" s="59" t="str">
        <f>IFERROR(INDEX(TableRBMaster[Player],MATCH(TableRBCalcPts[[#This Row],[RBRef]],TableRBMaster[RBRef],0)),"")</f>
        <v>James Cook</v>
      </c>
      <c r="K14" s="59" t="str">
        <f>IFERROR(INDEX(TableRBMaster[TM],MATCH(TableRBCalcPts[[#This Row],[RBRef]],TableRBMaster[RBRef],0)),"")</f>
        <v>BUF</v>
      </c>
      <c r="L14" s="59">
        <f>IFERROR(INDEX(TableRBMaster[BYE],MATCH(TableRBCalcPts[[#This Row],[RBRef]],TableRBMaster[RBRef],0)),"")</f>
        <v>13</v>
      </c>
      <c r="M14" s="60">
        <f>IFERROR(INDEX(TableRBMaster[Custom],MATCH(TableRBCalcPts[[#This Row],[RBRef]],TableRBMaster[RBRef],0)),"")</f>
        <v>179.83295741859843</v>
      </c>
      <c r="O14" s="59">
        <f>IFERROR(RANK(TableWRCalcPts[[#This Row],[Custom]],TableWRCalcPts[Custom])+COUNTIF($T$3:T14,T14)-1,"")</f>
        <v>37</v>
      </c>
      <c r="P14" s="59">
        <v>12</v>
      </c>
      <c r="Q14" s="59" t="str">
        <f>IFERROR(INDEX(TableWRMaster[Player],MATCH(TableWRCalcPts[[#This Row],[WRRef]],TableWRMaster[WRRef],0)),"")</f>
        <v>Zay Flowers</v>
      </c>
      <c r="R14" s="59" t="str">
        <f>IFERROR(INDEX(TableWRMaster[TM],MATCH(TableWRCalcPts[[#This Row],[WRRef]],TableWRMaster[WRRef],0)),"")</f>
        <v>BAL</v>
      </c>
      <c r="S14" s="59">
        <f>IFERROR(INDEX(TableWRMaster[BYE],MATCH(TableWRCalcPts[[#This Row],[WRRef]],TableWRMaster[WRRef],0)),"")</f>
        <v>13</v>
      </c>
      <c r="T14" s="60">
        <f>IFERROR(INDEX(TableWRMaster[Custom],MATCH(TableWRCalcPts[[#This Row],[WRRef]],TableWRMaster[WRRef],0)),"")</f>
        <v>171.6694996834272</v>
      </c>
      <c r="V14" s="59">
        <f>IFERROR(RANK(TableTECalcPts[[#This Row],[Custom]],TableTECalcPts[Custom])+COUNTIF($AA$3:AA14,AA14)-1,"")</f>
        <v>39</v>
      </c>
      <c r="W14" s="59">
        <v>12</v>
      </c>
      <c r="X14" s="59" t="str">
        <f>IFERROR(INDEX(TableTEMaster[Player],MATCH(TableTECalcPts[[#This Row],[TERef]],TableTEMaster[TERef],0)),"")</f>
        <v>Tommy Tremble</v>
      </c>
      <c r="Y14" s="59" t="str">
        <f>IFERROR(INDEX(TableTEMaster[TM],MATCH(TableTECalcPts[[#This Row],[TERef]],TableTEMaster[TERef],0)),"")</f>
        <v>CAR</v>
      </c>
      <c r="Z14" s="59">
        <f>IFERROR(INDEX(TableTEMaster[BYE],MATCH(TableTECalcPts[[#This Row],[TERef]],TableTEMaster[TERef],0)),"")</f>
        <v>7</v>
      </c>
      <c r="AA14" s="60">
        <f>IFERROR(INDEX(TableTEMaster[Custom],MATCH(TableTECalcPts[[#This Row],[TERef]],TableTEMaster[TERef],0)),"")</f>
        <v>54.994295502719993</v>
      </c>
      <c r="AC14" s="59">
        <f>IFERROR(RANK(TableDSTCalcPts[[#This Row],[Custom]],TableDSTCalcPts[Custom],0),"")</f>
        <v>16</v>
      </c>
      <c r="AD14" s="59">
        <v>12</v>
      </c>
      <c r="AE14" s="59" t="str">
        <f>IFERROR(INDEX(TableDSTMaster[Player],MATCH(TableDSTCalcPts[[#This Row],[DSTRef]],TableDSTMaster[DSTRef],0)),"")</f>
        <v>Commanders</v>
      </c>
      <c r="AF14" s="59">
        <f>IFERROR(INDEX(TableDSTMaster[BYE],MATCH(TableDSTCalcPts[[#This Row],[DSTRef]],TableDSTMaster[DSTRef],0)),"")</f>
        <v>0</v>
      </c>
      <c r="AG14" s="60">
        <f>IFERROR(INDEX(TableDSTMaster[Custom],MATCH(TableDSTCalcPts[[#This Row],[DSTRef]],TableDSTMaster[DSTRef],0)),"")</f>
        <v>115.85</v>
      </c>
      <c r="AI14" s="59" t="s">
        <v>10</v>
      </c>
      <c r="AJ14" s="59">
        <f>IFERROR(RANK(TableWRTECalcPts[[#This Row],[Custom]],TableWRTECalcPts[Custom])+COUNTIF($AP$3:AP14,AP14)-1,"")</f>
        <v>139</v>
      </c>
      <c r="AK14" s="59">
        <v>12</v>
      </c>
      <c r="AL14" s="59" t="str">
        <f>IFERROR(INDEX(TableTEMaster[Player],MATCH(TableWRTECalcPts[[#This Row],[POSRef]],TableTEMaster[TERef],0)),"")</f>
        <v>Tommy Tremble</v>
      </c>
      <c r="AM14" s="59" t="str">
        <f>IFERROR(_xlfn.CONCAT(TableWRTECalcPts[[#This Row],[POS]],INDEX(TableTERanks[RK],MATCH(TableWRTECalcPts[[#This Row],[PLAYER]],TableTERanks[Player],0))),"")</f>
        <v>TE39</v>
      </c>
      <c r="AN14" s="59" t="str">
        <f>IFERROR(INDEX(TableTEMaster[TM],MATCH(TableWRTECalcPts[[#This Row],[POSRef]],TableTEMaster[TERef],0)),"")</f>
        <v>CAR</v>
      </c>
      <c r="AO14" s="59">
        <f>IFERROR(INDEX(TableTEMaster[BYE],MATCH(TableWRTECalcPts[[#This Row],[POSRef]],TableTEMaster[TERef],0)),"")</f>
        <v>7</v>
      </c>
      <c r="AP14" s="60">
        <f>IFERROR(INDEX(TableTEMaster[Custom],MATCH(TableWRTECalcPts[[#This Row],[POSRef]],TableTEMaster[TERef],0)),"")</f>
        <v>54.994295502719993</v>
      </c>
    </row>
    <row r="15" spans="1:42" x14ac:dyDescent="0.2">
      <c r="A15" s="61">
        <f>IFERROR(RANK(TableQBCalcPts[[#This Row],[Custom]],TableQBCalcPts[Custom])+COUNTIF($F$3:F15,F15)-1,"")</f>
        <v>7</v>
      </c>
      <c r="B15" s="59">
        <v>13</v>
      </c>
      <c r="C15" s="59" t="str">
        <f>IFERROR(INDEX(TableQBMaster[Player],MATCH(TableQBCalcPts[[#This Row],[QBRef]],TableQBMaster[QBRef],0)),"")</f>
        <v>Joe Burrow</v>
      </c>
      <c r="D15" s="59" t="str">
        <f>IFERROR(INDEX(TableQBMaster[TM],MATCH(TableQBCalcPts[[#This Row],[QBRef]],TableQBMaster[QBRef],0)),"")</f>
        <v>CIN</v>
      </c>
      <c r="E15" s="59">
        <f>IFERROR(INDEX(TableQBMaster[BYE],MATCH(TableQBCalcPts[[#This Row],[QBRef]],TableQBMaster[QBRef],0)),"")</f>
        <v>7</v>
      </c>
      <c r="F15" s="60">
        <f>IFERROR(INDEX(TableQBMaster[Custom],MATCH(TableQBCalcPts[[#This Row],[QBRef]],TableQBMaster[QBRef],0)),"")</f>
        <v>331.31720383031995</v>
      </c>
      <c r="H15" s="59">
        <f>IFERROR(RANK(TableRBCalcPts[[#This Row],[Custom]],TableRBCalcPts[Custom])+COUNTIF($M$3:M15,M15)-1,"")</f>
        <v>103</v>
      </c>
      <c r="I15" s="59">
        <v>13</v>
      </c>
      <c r="J15" s="59" t="str">
        <f>IFERROR(INDEX(TableRBMaster[Player],MATCH(TableRBCalcPts[[#This Row],[RBRef]],TableRBMaster[RBRef],0)),"")</f>
        <v>Ty Johnson</v>
      </c>
      <c r="K15" s="59" t="str">
        <f>IFERROR(INDEX(TableRBMaster[TM],MATCH(TableRBCalcPts[[#This Row],[RBRef]],TableRBMaster[RBRef],0)),"")</f>
        <v>BUF</v>
      </c>
      <c r="L15" s="59">
        <f>IFERROR(INDEX(TableRBMaster[BYE],MATCH(TableRBCalcPts[[#This Row],[RBRef]],TableRBMaster[RBRef],0)),"")</f>
        <v>13</v>
      </c>
      <c r="M15" s="60">
        <f>IFERROR(INDEX(TableRBMaster[Custom],MATCH(TableRBCalcPts[[#This Row],[RBRef]],TableRBMaster[RBRef],0)),"")</f>
        <v>15.235430730239997</v>
      </c>
      <c r="O15" s="59">
        <f>IFERROR(RANK(TableWRCalcPts[[#This Row],[Custom]],TableWRCalcPts[Custom])+COUNTIF($T$3:T15,T15)-1,"")</f>
        <v>77</v>
      </c>
      <c r="P15" s="59">
        <v>13</v>
      </c>
      <c r="Q15" s="59" t="str">
        <f>IFERROR(INDEX(TableWRMaster[Player],MATCH(TableWRCalcPts[[#This Row],[WRRef]],TableWRMaster[WRRef],0)),"")</f>
        <v>Rashod Bateman</v>
      </c>
      <c r="R15" s="59" t="str">
        <f>IFERROR(INDEX(TableWRMaster[TM],MATCH(TableWRCalcPts[[#This Row],[WRRef]],TableWRMaster[WRRef],0)),"")</f>
        <v>BAL</v>
      </c>
      <c r="S15" s="59">
        <f>IFERROR(INDEX(TableWRMaster[BYE],MATCH(TableWRCalcPts[[#This Row],[WRRef]],TableWRMaster[WRRef],0)),"")</f>
        <v>13</v>
      </c>
      <c r="T15" s="60">
        <f>IFERROR(INDEX(TableWRMaster[Custom],MATCH(TableWRCalcPts[[#This Row],[WRRef]],TableWRMaster[WRRef],0)),"")</f>
        <v>104.22113466408</v>
      </c>
      <c r="V15" s="59">
        <f>IFERROR(RANK(TableTECalcPts[[#This Row],[Custom]],TableTECalcPts[Custom])+COUNTIF($AA$3:AA15,AA15)-1,"")</f>
        <v>76</v>
      </c>
      <c r="W15" s="59">
        <v>13</v>
      </c>
      <c r="X15" s="59" t="str">
        <f>IFERROR(INDEX(TableTEMaster[Player],MATCH(TableTECalcPts[[#This Row],[TERef]],TableTEMaster[TERef],0)),"")</f>
        <v>Ian Thomas</v>
      </c>
      <c r="Y15" s="59" t="str">
        <f>IFERROR(INDEX(TableTEMaster[TM],MATCH(TableTECalcPts[[#This Row],[TERef]],TableTEMaster[TERef],0)),"")</f>
        <v>CAR</v>
      </c>
      <c r="Z15" s="59">
        <f>IFERROR(INDEX(TableTEMaster[BYE],MATCH(TableTECalcPts[[#This Row],[TERef]],TableTEMaster[TERef],0)),"")</f>
        <v>7</v>
      </c>
      <c r="AA15" s="60">
        <f>IFERROR(INDEX(TableTEMaster[Custom],MATCH(TableTECalcPts[[#This Row],[TERef]],TableTEMaster[TERef],0)),"")</f>
        <v>13.026638221379997</v>
      </c>
      <c r="AC15" s="59">
        <f>IFERROR(RANK(TableDSTCalcPts[[#This Row],[Custom]],TableDSTCalcPts[Custom],0),"")</f>
        <v>2</v>
      </c>
      <c r="AD15" s="59">
        <v>13</v>
      </c>
      <c r="AE15" s="59" t="str">
        <f>IFERROR(INDEX(TableDSTMaster[Player],MATCH(TableDSTCalcPts[[#This Row],[DSTRef]],TableDSTMaster[DSTRef],0)),"")</f>
        <v>Cowboys</v>
      </c>
      <c r="AF15" s="59">
        <f>IFERROR(INDEX(TableDSTMaster[BYE],MATCH(TableDSTCalcPts[[#This Row],[DSTRef]],TableDSTMaster[DSTRef],0)),"")</f>
        <v>0</v>
      </c>
      <c r="AG15" s="60">
        <f>IFERROR(INDEX(TableDSTMaster[Custom],MATCH(TableDSTCalcPts[[#This Row],[DSTRef]],TableDSTMaster[DSTRef],0)),"")</f>
        <v>123.05</v>
      </c>
      <c r="AI15" s="59" t="s">
        <v>10</v>
      </c>
      <c r="AJ15" s="59">
        <f>IFERROR(RANK(TableWRTECalcPts[[#This Row],[Custom]],TableWRTECalcPts[Custom])+COUNTIF($AP$3:AP15,AP15)-1,"")</f>
        <v>242</v>
      </c>
      <c r="AK15" s="59">
        <v>13</v>
      </c>
      <c r="AL15" s="59" t="str">
        <f>IFERROR(INDEX(TableTEMaster[Player],MATCH(TableWRTECalcPts[[#This Row],[POSRef]],TableTEMaster[TERef],0)),"")</f>
        <v>Ian Thomas</v>
      </c>
      <c r="AM15" s="59" t="str">
        <f>IFERROR(_xlfn.CONCAT(TableWRTECalcPts[[#This Row],[POS]],INDEX(TableTERanks[RK],MATCH(TableWRTECalcPts[[#This Row],[PLAYER]],TableTERanks[Player],0))),"")</f>
        <v>TE76</v>
      </c>
      <c r="AN15" s="59" t="str">
        <f>IFERROR(INDEX(TableTEMaster[TM],MATCH(TableWRTECalcPts[[#This Row],[POSRef]],TableTEMaster[TERef],0)),"")</f>
        <v>CAR</v>
      </c>
      <c r="AO15" s="59">
        <f>IFERROR(INDEX(TableTEMaster[BYE],MATCH(TableWRTECalcPts[[#This Row],[POSRef]],TableTEMaster[TERef],0)),"")</f>
        <v>7</v>
      </c>
      <c r="AP15" s="60">
        <f>IFERROR(INDEX(TableTEMaster[Custom],MATCH(TableWRTECalcPts[[#This Row],[POSRef]],TableTEMaster[TERef],0)),"")</f>
        <v>13.026638221379997</v>
      </c>
    </row>
    <row r="16" spans="1:42" x14ac:dyDescent="0.2">
      <c r="A16" s="61">
        <f>IFERROR(RANK(TableQBCalcPts[[#This Row],[Custom]],TableQBCalcPts[Custom])+COUNTIF($F$3:F16,F16)-1,"")</f>
        <v>42</v>
      </c>
      <c r="B16" s="59">
        <v>14</v>
      </c>
      <c r="C16" s="59" t="str">
        <f>IFERROR(INDEX(TableQBMaster[Player],MATCH(TableQBCalcPts[[#This Row],[QBRef]],TableQBMaster[QBRef],0)),"")</f>
        <v>Jake Browning</v>
      </c>
      <c r="D16" s="59" t="str">
        <f>IFERROR(INDEX(TableQBMaster[TM],MATCH(TableQBCalcPts[[#This Row],[QBRef]],TableQBMaster[QBRef],0)),"")</f>
        <v>CIN</v>
      </c>
      <c r="E16" s="59">
        <f>IFERROR(INDEX(TableQBMaster[BYE],MATCH(TableQBCalcPts[[#This Row],[QBRef]],TableQBMaster[QBRef],0)),"")</f>
        <v>7</v>
      </c>
      <c r="F16" s="60">
        <f>IFERROR(INDEX(TableQBMaster[Custom],MATCH(TableQBCalcPts[[#This Row],[QBRef]],TableQBMaster[QBRef],0)),"")</f>
        <v>12.32176968060001</v>
      </c>
      <c r="H16" s="59">
        <f>IFERROR(RANK(TableRBCalcPts[[#This Row],[Custom]],TableRBCalcPts[Custom])+COUNTIF($M$3:M16,M16)-1,"")</f>
        <v>50</v>
      </c>
      <c r="I16" s="59">
        <v>14</v>
      </c>
      <c r="J16" s="59" t="str">
        <f>IFERROR(INDEX(TableRBMaster[Player],MATCH(TableRBCalcPts[[#This Row],[RBRef]],TableRBMaster[RBRef],0)),"")</f>
        <v>Ray Davis</v>
      </c>
      <c r="K16" s="59" t="str">
        <f>IFERROR(INDEX(TableRBMaster[TM],MATCH(TableRBCalcPts[[#This Row],[RBRef]],TableRBMaster[RBRef],0)),"")</f>
        <v>BUF</v>
      </c>
      <c r="L16" s="59">
        <f>IFERROR(INDEX(TableRBMaster[BYE],MATCH(TableRBCalcPts[[#This Row],[RBRef]],TableRBMaster[RBRef],0)),"")</f>
        <v>13</v>
      </c>
      <c r="M16" s="60">
        <f>IFERROR(INDEX(TableRBMaster[Custom],MATCH(TableRBCalcPts[[#This Row],[RBRef]],TableRBMaster[RBRef],0)),"")</f>
        <v>95.421957594163203</v>
      </c>
      <c r="O16" s="59">
        <f>IFERROR(RANK(TableWRCalcPts[[#This Row],[Custom]],TableWRCalcPts[Custom])+COUNTIF($T$3:T16,T16)-1,"")</f>
        <v>83</v>
      </c>
      <c r="P16" s="59">
        <v>14</v>
      </c>
      <c r="Q16" s="59" t="str">
        <f>IFERROR(INDEX(TableWRMaster[Player],MATCH(TableWRCalcPts[[#This Row],[WRRef]],TableWRMaster[WRRef],0)),"")</f>
        <v>Nelson Agholor</v>
      </c>
      <c r="R16" s="59" t="str">
        <f>IFERROR(INDEX(TableWRMaster[TM],MATCH(TableWRCalcPts[[#This Row],[WRRef]],TableWRMaster[WRRef],0)),"")</f>
        <v>BAL</v>
      </c>
      <c r="S16" s="59">
        <f>IFERROR(INDEX(TableWRMaster[BYE],MATCH(TableWRCalcPts[[#This Row],[WRRef]],TableWRMaster[WRRef],0)),"")</f>
        <v>13</v>
      </c>
      <c r="T16" s="60">
        <f>IFERROR(INDEX(TableWRMaster[Custom],MATCH(TableWRCalcPts[[#This Row],[WRRef]],TableWRMaster[WRRef],0)),"")</f>
        <v>85.575717441312008</v>
      </c>
      <c r="V16" s="59">
        <f>IFERROR(RANK(TableTECalcPts[[#This Row],[Custom]],TableTECalcPts[Custom])+COUNTIF($AA$3:AA16,AA16)-1,"")</f>
        <v>34</v>
      </c>
      <c r="W16" s="59">
        <v>14</v>
      </c>
      <c r="X16" s="59" t="str">
        <f>IFERROR(INDEX(TableTEMaster[Player],MATCH(TableTECalcPts[[#This Row],[TERef]],TableTEMaster[TERef],0)),"")</f>
        <v>Ja'Tavion Sanders</v>
      </c>
      <c r="Y16" s="59" t="str">
        <f>IFERROR(INDEX(TableTEMaster[TM],MATCH(TableTECalcPts[[#This Row],[TERef]],TableTEMaster[TERef],0)),"")</f>
        <v>CAR</v>
      </c>
      <c r="Z16" s="59">
        <f>IFERROR(INDEX(TableTEMaster[BYE],MATCH(TableTECalcPts[[#This Row],[TERef]],TableTEMaster[TERef],0)),"")</f>
        <v>7</v>
      </c>
      <c r="AA16" s="60">
        <f>IFERROR(INDEX(TableTEMaster[Custom],MATCH(TableTECalcPts[[#This Row],[TERef]],TableTEMaster[TERef],0)),"")</f>
        <v>59.068966360991993</v>
      </c>
      <c r="AC16" s="59">
        <f>IFERROR(RANK(TableDSTCalcPts[[#This Row],[Custom]],TableDSTCalcPts[Custom],0),"")</f>
        <v>14</v>
      </c>
      <c r="AD16" s="59">
        <v>14</v>
      </c>
      <c r="AE16" s="59" t="str">
        <f>IFERROR(INDEX(TableDSTMaster[Player],MATCH(TableDSTCalcPts[[#This Row],[DSTRef]],TableDSTMaster[DSTRef],0)),"")</f>
        <v>Dolphins</v>
      </c>
      <c r="AF16" s="59">
        <f>IFERROR(INDEX(TableDSTMaster[BYE],MATCH(TableDSTCalcPts[[#This Row],[DSTRef]],TableDSTMaster[DSTRef],0)),"")</f>
        <v>0</v>
      </c>
      <c r="AG16" s="60">
        <f>IFERROR(INDEX(TableDSTMaster[Custom],MATCH(TableDSTCalcPts[[#This Row],[DSTRef]],TableDSTMaster[DSTRef],0)),"")</f>
        <v>116.45</v>
      </c>
      <c r="AI16" s="59" t="s">
        <v>10</v>
      </c>
      <c r="AJ16" s="59">
        <f>IFERROR(RANK(TableWRTECalcPts[[#This Row],[Custom]],TableWRTECalcPts[Custom])+COUNTIF($AP$3:AP16,AP16)-1,"")</f>
        <v>132</v>
      </c>
      <c r="AK16" s="59">
        <v>14</v>
      </c>
      <c r="AL16" s="59" t="str">
        <f>IFERROR(INDEX(TableTEMaster[Player],MATCH(TableWRTECalcPts[[#This Row],[POSRef]],TableTEMaster[TERef],0)),"")</f>
        <v>Ja'Tavion Sanders</v>
      </c>
      <c r="AM16" s="59" t="str">
        <f>IFERROR(_xlfn.CONCAT(TableWRTECalcPts[[#This Row],[POS]],INDEX(TableTERanks[RK],MATCH(TableWRTECalcPts[[#This Row],[PLAYER]],TableTERanks[Player],0))),"")</f>
        <v>TE34</v>
      </c>
      <c r="AN16" s="59" t="str">
        <f>IFERROR(INDEX(TableTEMaster[TM],MATCH(TableWRTECalcPts[[#This Row],[POSRef]],TableTEMaster[TERef],0)),"")</f>
        <v>CAR</v>
      </c>
      <c r="AO16" s="59">
        <f>IFERROR(INDEX(TableTEMaster[BYE],MATCH(TableWRTECalcPts[[#This Row],[POSRef]],TableTEMaster[TERef],0)),"")</f>
        <v>7</v>
      </c>
      <c r="AP16" s="60">
        <f>IFERROR(INDEX(TableTEMaster[Custom],MATCH(TableWRTECalcPts[[#This Row],[POSRef]],TableTEMaster[TERef],0)),"")</f>
        <v>59.068966360991993</v>
      </c>
    </row>
    <row r="17" spans="1:42" x14ac:dyDescent="0.2">
      <c r="A17" s="61">
        <f>IFERROR(RANK(TableQBCalcPts[[#This Row],[Custom]],TableQBCalcPts[Custom])+COUNTIF($F$3:F17,F17)-1,"")</f>
        <v>20</v>
      </c>
      <c r="B17" s="59">
        <v>15</v>
      </c>
      <c r="C17" s="59" t="str">
        <f>IFERROR(INDEX(TableQBMaster[Player],MATCH(TableQBCalcPts[[#This Row],[QBRef]],TableQBMaster[QBRef],0)),"")</f>
        <v>Deshaun Watson</v>
      </c>
      <c r="D17" s="59" t="str">
        <f>IFERROR(INDEX(TableQBMaster[TM],MATCH(TableQBCalcPts[[#This Row],[QBRef]],TableQBMaster[QBRef],0)),"")</f>
        <v>CLE</v>
      </c>
      <c r="E17" s="59">
        <f>IFERROR(INDEX(TableQBMaster[BYE],MATCH(TableQBCalcPts[[#This Row],[QBRef]],TableQBMaster[QBRef],0)),"")</f>
        <v>5</v>
      </c>
      <c r="F17" s="60">
        <f>IFERROR(INDEX(TableQBMaster[Custom],MATCH(TableQBCalcPts[[#This Row],[QBRef]],TableQBMaster[QBRef],0)),"")</f>
        <v>292.97794439760003</v>
      </c>
      <c r="H17" s="59">
        <f>IFERROR(RANK(TableRBCalcPts[[#This Row],[Custom]],TableRBCalcPts[Custom])+COUNTIF($M$3:M17,M17)-1,"")</f>
        <v>33</v>
      </c>
      <c r="I17" s="59">
        <v>15</v>
      </c>
      <c r="J17" s="59" t="str">
        <f>IFERROR(INDEX(TableRBMaster[Player],MATCH(TableRBCalcPts[[#This Row],[RBRef]],TableRBMaster[RBRef],0)),"")</f>
        <v>Chuba Hubbard</v>
      </c>
      <c r="K17" s="59" t="str">
        <f>IFERROR(INDEX(TableRBMaster[TM],MATCH(TableRBCalcPts[[#This Row],[RBRef]],TableRBMaster[RBRef],0)),"")</f>
        <v>CAR</v>
      </c>
      <c r="L17" s="59">
        <f>IFERROR(INDEX(TableRBMaster[BYE],MATCH(TableRBCalcPts[[#This Row],[RBRef]],TableRBMaster[RBRef],0)),"")</f>
        <v>7</v>
      </c>
      <c r="M17" s="60">
        <f>IFERROR(INDEX(TableRBMaster[Custom],MATCH(TableRBCalcPts[[#This Row],[RBRef]],TableRBMaster[RBRef],0)),"")</f>
        <v>155.42741467344004</v>
      </c>
      <c r="O17" s="59">
        <f>IFERROR(RANK(TableWRCalcPts[[#This Row],[Custom]],TableWRCalcPts[Custom])+COUNTIF($T$3:T17,T17)-1,"")</f>
        <v>130</v>
      </c>
      <c r="P17" s="59">
        <v>15</v>
      </c>
      <c r="Q17" s="59" t="str">
        <f>IFERROR(INDEX(TableWRMaster[Player],MATCH(TableWRCalcPts[[#This Row],[WRRef]],TableWRMaster[WRRef],0)),"")</f>
        <v>Deonte Harty</v>
      </c>
      <c r="R17" s="59" t="str">
        <f>IFERROR(INDEX(TableWRMaster[TM],MATCH(TableWRCalcPts[[#This Row],[WRRef]],TableWRMaster[WRRef],0)),"")</f>
        <v>BAL</v>
      </c>
      <c r="S17" s="59">
        <f>IFERROR(INDEX(TableWRMaster[BYE],MATCH(TableWRCalcPts[[#This Row],[WRRef]],TableWRMaster[WRRef],0)),"")</f>
        <v>13</v>
      </c>
      <c r="T17" s="60">
        <f>IFERROR(INDEX(TableWRMaster[Custom],MATCH(TableWRCalcPts[[#This Row],[WRRef]],TableWRMaster[WRRef],0)),"")</f>
        <v>28.234076045145603</v>
      </c>
      <c r="V17" s="59">
        <f>IFERROR(RANK(TableTECalcPts[[#This Row],[Custom]],TableTECalcPts[Custom])+COUNTIF($AA$3:AA17,AA17)-1,"")</f>
        <v>14</v>
      </c>
      <c r="W17" s="59">
        <v>15</v>
      </c>
      <c r="X17" s="59" t="str">
        <f>IFERROR(INDEX(TableTEMaster[Player],MATCH(TableTECalcPts[[#This Row],[TERef]],TableTEMaster[TERef],0)),"")</f>
        <v>Cole Kmet</v>
      </c>
      <c r="Y17" s="59" t="str">
        <f>IFERROR(INDEX(TableTEMaster[TM],MATCH(TableTECalcPts[[#This Row],[TERef]],TableTEMaster[TERef],0)),"")</f>
        <v>CHI</v>
      </c>
      <c r="Z17" s="59">
        <f>IFERROR(INDEX(TableTEMaster[BYE],MATCH(TableTECalcPts[[#This Row],[TERef]],TableTEMaster[TERef],0)),"")</f>
        <v>13</v>
      </c>
      <c r="AA17" s="60">
        <f>IFERROR(INDEX(TableTEMaster[Custom],MATCH(TableTECalcPts[[#This Row],[TERef]],TableTEMaster[TERef],0)),"")</f>
        <v>113.3588619576</v>
      </c>
      <c r="AC17" s="59">
        <f>IFERROR(RANK(TableDSTCalcPts[[#This Row],[Custom]],TableDSTCalcPts[Custom],0),"")</f>
        <v>1</v>
      </c>
      <c r="AD17" s="59">
        <v>15</v>
      </c>
      <c r="AE17" s="59" t="str">
        <f>IFERROR(INDEX(TableDSTMaster[Player],MATCH(TableDSTCalcPts[[#This Row],[DSTRef]],TableDSTMaster[DSTRef],0)),"")</f>
        <v>Eagles</v>
      </c>
      <c r="AF17" s="59">
        <f>IFERROR(INDEX(TableDSTMaster[BYE],MATCH(TableDSTCalcPts[[#This Row],[DSTRef]],TableDSTMaster[DSTRef],0)),"")</f>
        <v>0</v>
      </c>
      <c r="AG17" s="60">
        <f>IFERROR(INDEX(TableDSTMaster[Custom],MATCH(TableDSTCalcPts[[#This Row],[DSTRef]],TableDSTMaster[DSTRef],0)),"")</f>
        <v>123.35</v>
      </c>
      <c r="AI17" s="59" t="s">
        <v>10</v>
      </c>
      <c r="AJ17" s="59">
        <f>IFERROR(RANK(TableWRTECalcPts[[#This Row],[Custom]],TableWRTECalcPts[Custom])+COUNTIF($AP$3:AP17,AP17)-1,"")</f>
        <v>87</v>
      </c>
      <c r="AK17" s="59">
        <v>15</v>
      </c>
      <c r="AL17" s="59" t="str">
        <f>IFERROR(INDEX(TableTEMaster[Player],MATCH(TableWRTECalcPts[[#This Row],[POSRef]],TableTEMaster[TERef],0)),"")</f>
        <v>Cole Kmet</v>
      </c>
      <c r="AM17" s="59" t="str">
        <f>IFERROR(_xlfn.CONCAT(TableWRTECalcPts[[#This Row],[POS]],INDEX(TableTERanks[RK],MATCH(TableWRTECalcPts[[#This Row],[PLAYER]],TableTERanks[Player],0))),"")</f>
        <v>TE14</v>
      </c>
      <c r="AN17" s="59" t="str">
        <f>IFERROR(INDEX(TableTEMaster[TM],MATCH(TableWRTECalcPts[[#This Row],[POSRef]],TableTEMaster[TERef],0)),"")</f>
        <v>CHI</v>
      </c>
      <c r="AO17" s="59">
        <f>IFERROR(INDEX(TableTEMaster[BYE],MATCH(TableWRTECalcPts[[#This Row],[POSRef]],TableTEMaster[TERef],0)),"")</f>
        <v>13</v>
      </c>
      <c r="AP17" s="60">
        <f>IFERROR(INDEX(TableTEMaster[Custom],MATCH(TableWRTECalcPts[[#This Row],[POSRef]],TableTEMaster[TERef],0)),"")</f>
        <v>113.3588619576</v>
      </c>
    </row>
    <row r="18" spans="1:42" x14ac:dyDescent="0.2">
      <c r="A18" s="61">
        <f>IFERROR(RANK(TableQBCalcPts[[#This Row],[Custom]],TableQBCalcPts[Custom])+COUNTIF($F$3:F18,F18)-1,"")</f>
        <v>47</v>
      </c>
      <c r="B18" s="59">
        <v>16</v>
      </c>
      <c r="C18" s="59" t="str">
        <f>IFERROR(INDEX(TableQBMaster[Player],MATCH(TableQBCalcPts[[#This Row],[QBRef]],TableQBMaster[QBRef],0)),"")</f>
        <v>Jameis Winston</v>
      </c>
      <c r="D18" s="59" t="str">
        <f>IFERROR(INDEX(TableQBMaster[TM],MATCH(TableQBCalcPts[[#This Row],[QBRef]],TableQBMaster[QBRef],0)),"")</f>
        <v>CLE</v>
      </c>
      <c r="E18" s="59">
        <f>IFERROR(INDEX(TableQBMaster[BYE],MATCH(TableQBCalcPts[[#This Row],[QBRef]],TableQBMaster[QBRef],0)),"")</f>
        <v>5</v>
      </c>
      <c r="F18" s="60">
        <f>IFERROR(INDEX(TableQBMaster[Custom],MATCH(TableQBCalcPts[[#This Row],[QBRef]],TableQBMaster[QBRef],0)),"")</f>
        <v>7.1280318186000038</v>
      </c>
      <c r="H18" s="59">
        <f>IFERROR(RANK(TableRBCalcPts[[#This Row],[Custom]],TableRBCalcPts[Custom])+COUNTIF($M$3:M18,M18)-1,"")</f>
        <v>46</v>
      </c>
      <c r="I18" s="59">
        <v>16</v>
      </c>
      <c r="J18" s="59" t="str">
        <f>IFERROR(INDEX(TableRBMaster[Player],MATCH(TableRBCalcPts[[#This Row],[RBRef]],TableRBMaster[RBRef],0)),"")</f>
        <v>Jonathon Brooks</v>
      </c>
      <c r="K18" s="59" t="str">
        <f>IFERROR(INDEX(TableRBMaster[TM],MATCH(TableRBCalcPts[[#This Row],[RBRef]],TableRBMaster[RBRef],0)),"")</f>
        <v>CAR</v>
      </c>
      <c r="L18" s="59">
        <f>IFERROR(INDEX(TableRBMaster[BYE],MATCH(TableRBCalcPts[[#This Row],[RBRef]],TableRBMaster[RBRef],0)),"")</f>
        <v>7</v>
      </c>
      <c r="M18" s="60">
        <f>IFERROR(INDEX(TableRBMaster[Custom],MATCH(TableRBCalcPts[[#This Row],[RBRef]],TableRBMaster[RBRef],0)),"")</f>
        <v>111.15842767764001</v>
      </c>
      <c r="O18" s="59">
        <f>IFERROR(RANK(TableWRCalcPts[[#This Row],[Custom]],TableWRCalcPts[Custom])+COUNTIF($T$3:T18,T18)-1,"")</f>
        <v>105</v>
      </c>
      <c r="P18" s="59">
        <v>16</v>
      </c>
      <c r="Q18" s="59" t="str">
        <f>IFERROR(INDEX(TableWRMaster[Player],MATCH(TableWRCalcPts[[#This Row],[WRRef]],TableWRMaster[WRRef],0)),"")</f>
        <v>Devontez Walker</v>
      </c>
      <c r="R18" s="59" t="str">
        <f>IFERROR(INDEX(TableWRMaster[TM],MATCH(TableWRCalcPts[[#This Row],[WRRef]],TableWRMaster[WRRef],0)),"")</f>
        <v>BAL</v>
      </c>
      <c r="S18" s="59">
        <f>IFERROR(INDEX(TableWRMaster[BYE],MATCH(TableWRCalcPts[[#This Row],[WRRef]],TableWRMaster[WRRef],0)),"")</f>
        <v>13</v>
      </c>
      <c r="T18" s="60">
        <f>IFERROR(INDEX(TableWRMaster[Custom],MATCH(TableWRCalcPts[[#This Row],[WRRef]],TableWRMaster[WRRef],0)),"")</f>
        <v>41.847989055196805</v>
      </c>
      <c r="V18" s="59">
        <f>IFERROR(RANK(TableTECalcPts[[#This Row],[Custom]],TableTECalcPts[Custom])+COUNTIF($AA$3:AA18,AA18)-1,"")</f>
        <v>48</v>
      </c>
      <c r="W18" s="59">
        <v>16</v>
      </c>
      <c r="X18" s="59" t="str">
        <f>IFERROR(INDEX(TableTEMaster[Player],MATCH(TableTECalcPts[[#This Row],[TERef]],TableTEMaster[TERef],0)),"")</f>
        <v>Gerald Everett</v>
      </c>
      <c r="Y18" s="59" t="str">
        <f>IFERROR(INDEX(TableTEMaster[TM],MATCH(TableTECalcPts[[#This Row],[TERef]],TableTEMaster[TERef],0)),"")</f>
        <v>CHI</v>
      </c>
      <c r="Z18" s="59">
        <f>IFERROR(INDEX(TableTEMaster[BYE],MATCH(TableTECalcPts[[#This Row],[TERef]],TableTEMaster[TERef],0)),"")</f>
        <v>13</v>
      </c>
      <c r="AA18" s="60">
        <f>IFERROR(INDEX(TableTEMaster[Custom],MATCH(TableTECalcPts[[#This Row],[TERef]],TableTEMaster[TERef],0)),"")</f>
        <v>31.095113212799991</v>
      </c>
      <c r="AC18" s="59">
        <f>IFERROR(RANK(TableDSTCalcPts[[#This Row],[Custom]],TableDSTCalcPts[Custom],0),"")</f>
        <v>27</v>
      </c>
      <c r="AD18" s="59">
        <v>16</v>
      </c>
      <c r="AE18" s="59" t="str">
        <f>IFERROR(INDEX(TableDSTMaster[Player],MATCH(TableDSTCalcPts[[#This Row],[DSTRef]],TableDSTMaster[DSTRef],0)),"")</f>
        <v>Falcons</v>
      </c>
      <c r="AF18" s="59">
        <f>IFERROR(INDEX(TableDSTMaster[BYE],MATCH(TableDSTCalcPts[[#This Row],[DSTRef]],TableDSTMaster[DSTRef],0)),"")</f>
        <v>0</v>
      </c>
      <c r="AG18" s="60">
        <f>IFERROR(INDEX(TableDSTMaster[Custom],MATCH(TableDSTCalcPts[[#This Row],[DSTRef]],TableDSTMaster[DSTRef],0)),"")</f>
        <v>107.50000000000001</v>
      </c>
      <c r="AI18" s="59" t="s">
        <v>10</v>
      </c>
      <c r="AJ18" s="59">
        <f>IFERROR(RANK(TableWRTECalcPts[[#This Row],[Custom]],TableWRTECalcPts[Custom])+COUNTIF($AP$3:AP18,AP18)-1,"")</f>
        <v>168</v>
      </c>
      <c r="AK18" s="59">
        <v>16</v>
      </c>
      <c r="AL18" s="59" t="str">
        <f>IFERROR(INDEX(TableTEMaster[Player],MATCH(TableWRTECalcPts[[#This Row],[POSRef]],TableTEMaster[TERef],0)),"")</f>
        <v>Gerald Everett</v>
      </c>
      <c r="AM18" s="59" t="str">
        <f>IFERROR(_xlfn.CONCAT(TableWRTECalcPts[[#This Row],[POS]],INDEX(TableTERanks[RK],MATCH(TableWRTECalcPts[[#This Row],[PLAYER]],TableTERanks[Player],0))),"")</f>
        <v>TE48</v>
      </c>
      <c r="AN18" s="59" t="str">
        <f>IFERROR(INDEX(TableTEMaster[TM],MATCH(TableWRTECalcPts[[#This Row],[POSRef]],TableTEMaster[TERef],0)),"")</f>
        <v>CHI</v>
      </c>
      <c r="AO18" s="59">
        <f>IFERROR(INDEX(TableTEMaster[BYE],MATCH(TableWRTECalcPts[[#This Row],[POSRef]],TableTEMaster[TERef],0)),"")</f>
        <v>13</v>
      </c>
      <c r="AP18" s="60">
        <f>IFERROR(INDEX(TableTEMaster[Custom],MATCH(TableWRTECalcPts[[#This Row],[POSRef]],TableTEMaster[TERef],0)),"")</f>
        <v>31.095113212799991</v>
      </c>
    </row>
    <row r="19" spans="1:42" x14ac:dyDescent="0.2">
      <c r="A19" s="61">
        <f>IFERROR(RANK(TableQBCalcPts[[#This Row],[Custom]],TableQBCalcPts[Custom])+COUNTIF($F$3:F19,F19)-1,"")</f>
        <v>6</v>
      </c>
      <c r="B19" s="59">
        <v>17</v>
      </c>
      <c r="C19" s="59" t="str">
        <f>IFERROR(INDEX(TableQBMaster[Player],MATCH(TableQBCalcPts[[#This Row],[QBRef]],TableQBMaster[QBRef],0)),"")</f>
        <v>Dak Prescott</v>
      </c>
      <c r="D19" s="59" t="str">
        <f>IFERROR(INDEX(TableQBMaster[TM],MATCH(TableQBCalcPts[[#This Row],[QBRef]],TableQBMaster[QBRef],0)),"")</f>
        <v>DAL</v>
      </c>
      <c r="E19" s="59">
        <f>IFERROR(INDEX(TableQBMaster[BYE],MATCH(TableQBCalcPts[[#This Row],[QBRef]],TableQBMaster[QBRef],0)),"")</f>
        <v>7</v>
      </c>
      <c r="F19" s="60">
        <f>IFERROR(INDEX(TableQBMaster[Custom],MATCH(TableQBCalcPts[[#This Row],[QBRef]],TableQBMaster[QBRef],0)),"")</f>
        <v>334.28760747900003</v>
      </c>
      <c r="H19" s="59">
        <f>IFERROR(RANK(TableRBCalcPts[[#This Row],[Custom]],TableRBCalcPts[Custom])+COUNTIF($M$3:M19,M19)-1,"")</f>
        <v>83</v>
      </c>
      <c r="I19" s="59">
        <v>17</v>
      </c>
      <c r="J19" s="59" t="str">
        <f>IFERROR(INDEX(TableRBMaster[Player],MATCH(TableRBCalcPts[[#This Row],[RBRef]],TableRBMaster[RBRef],0)),"")</f>
        <v>Miles Sanders</v>
      </c>
      <c r="K19" s="59" t="str">
        <f>IFERROR(INDEX(TableRBMaster[TM],MATCH(TableRBCalcPts[[#This Row],[RBRef]],TableRBMaster[RBRef],0)),"")</f>
        <v>CAR</v>
      </c>
      <c r="L19" s="59">
        <f>IFERROR(INDEX(TableRBMaster[BYE],MATCH(TableRBCalcPts[[#This Row],[RBRef]],TableRBMaster[RBRef],0)),"")</f>
        <v>7</v>
      </c>
      <c r="M19" s="60">
        <f>IFERROR(INDEX(TableRBMaster[Custom],MATCH(TableRBCalcPts[[#This Row],[RBRef]],TableRBMaster[RBRef],0)),"")</f>
        <v>37.084329000767994</v>
      </c>
      <c r="O19" s="59">
        <f>IFERROR(RANK(TableWRCalcPts[[#This Row],[Custom]],TableWRCalcPts[Custom])+COUNTIF($T$3:T19,T19)-1,"")</f>
        <v>39</v>
      </c>
      <c r="P19" s="59">
        <v>17</v>
      </c>
      <c r="Q19" s="59" t="str">
        <f>IFERROR(INDEX(TableWRMaster[Player],MATCH(TableWRCalcPts[[#This Row],[WRRef]],TableWRMaster[WRRef],0)),"")</f>
        <v>Curtis Samuel</v>
      </c>
      <c r="R19" s="59" t="str">
        <f>IFERROR(INDEX(TableWRMaster[TM],MATCH(TableWRCalcPts[[#This Row],[WRRef]],TableWRMaster[WRRef],0)),"")</f>
        <v>BUF</v>
      </c>
      <c r="S19" s="59">
        <f>IFERROR(INDEX(TableWRMaster[BYE],MATCH(TableWRCalcPts[[#This Row],[WRRef]],TableWRMaster[WRRef],0)),"")</f>
        <v>13</v>
      </c>
      <c r="T19" s="60">
        <f>IFERROR(INDEX(TableWRMaster[Custom],MATCH(TableWRCalcPts[[#This Row],[WRRef]],TableWRMaster[WRRef],0)),"")</f>
        <v>167.65626644121596</v>
      </c>
      <c r="V19" s="59">
        <f>IFERROR(RANK(TableTECalcPts[[#This Row],[Custom]],TableTECalcPts[Custom])+COUNTIF($AA$3:AA19,AA19)-1,"")</f>
        <v>30</v>
      </c>
      <c r="W19" s="59">
        <v>17</v>
      </c>
      <c r="X19" s="59" t="str">
        <f>IFERROR(INDEX(TableTEMaster[Player],MATCH(TableTECalcPts[[#This Row],[TERef]],TableTEMaster[TERef],0)),"")</f>
        <v>Mike Gesicki</v>
      </c>
      <c r="Y19" s="59" t="str">
        <f>IFERROR(INDEX(TableTEMaster[TM],MATCH(TableTECalcPts[[#This Row],[TERef]],TableTEMaster[TERef],0)),"")</f>
        <v>CIN</v>
      </c>
      <c r="Z19" s="59">
        <f>IFERROR(INDEX(TableTEMaster[BYE],MATCH(TableTECalcPts[[#This Row],[TERef]],TableTEMaster[TERef],0)),"")</f>
        <v>7</v>
      </c>
      <c r="AA19" s="60">
        <f>IFERROR(INDEX(TableTEMaster[Custom],MATCH(TableTECalcPts[[#This Row],[TERef]],TableTEMaster[TERef],0)),"")</f>
        <v>67.972915915967988</v>
      </c>
      <c r="AC19" s="59">
        <f>IFERROR(RANK(TableDSTCalcPts[[#This Row],[Custom]],TableDSTCalcPts[Custom],0),"")</f>
        <v>9</v>
      </c>
      <c r="AD19" s="59">
        <v>17</v>
      </c>
      <c r="AE19" s="59" t="str">
        <f>IFERROR(INDEX(TableDSTMaster[Player],MATCH(TableDSTCalcPts[[#This Row],[DSTRef]],TableDSTMaster[DSTRef],0)),"")</f>
        <v>Giants</v>
      </c>
      <c r="AF19" s="59">
        <f>IFERROR(INDEX(TableDSTMaster[BYE],MATCH(TableDSTCalcPts[[#This Row],[DSTRef]],TableDSTMaster[DSTRef],0)),"")</f>
        <v>0</v>
      </c>
      <c r="AG19" s="60">
        <f>IFERROR(INDEX(TableDSTMaster[Custom],MATCH(TableDSTCalcPts[[#This Row],[DSTRef]],TableDSTMaster[DSTRef],0)),"")</f>
        <v>118.45</v>
      </c>
      <c r="AI19" s="59" t="s">
        <v>10</v>
      </c>
      <c r="AJ19" s="59">
        <f>IFERROR(RANK(TableWRTECalcPts[[#This Row],[Custom]],TableWRTECalcPts[Custom])+COUNTIF($AP$3:AP19,AP19)-1,"")</f>
        <v>123</v>
      </c>
      <c r="AK19" s="59">
        <v>17</v>
      </c>
      <c r="AL19" s="59" t="str">
        <f>IFERROR(INDEX(TableTEMaster[Player],MATCH(TableWRTECalcPts[[#This Row],[POSRef]],TableTEMaster[TERef],0)),"")</f>
        <v>Mike Gesicki</v>
      </c>
      <c r="AM19" s="59" t="str">
        <f>IFERROR(_xlfn.CONCAT(TableWRTECalcPts[[#This Row],[POS]],INDEX(TableTERanks[RK],MATCH(TableWRTECalcPts[[#This Row],[PLAYER]],TableTERanks[Player],0))),"")</f>
        <v>TE30</v>
      </c>
      <c r="AN19" s="59" t="str">
        <f>IFERROR(INDEX(TableTEMaster[TM],MATCH(TableWRTECalcPts[[#This Row],[POSRef]],TableTEMaster[TERef],0)),"")</f>
        <v>CIN</v>
      </c>
      <c r="AO19" s="59">
        <f>IFERROR(INDEX(TableTEMaster[BYE],MATCH(TableWRTECalcPts[[#This Row],[POSRef]],TableTEMaster[TERef],0)),"")</f>
        <v>7</v>
      </c>
      <c r="AP19" s="60">
        <f>IFERROR(INDEX(TableTEMaster[Custom],MATCH(TableWRTECalcPts[[#This Row],[POSRef]],TableTEMaster[TERef],0)),"")</f>
        <v>67.972915915967988</v>
      </c>
    </row>
    <row r="20" spans="1:42" x14ac:dyDescent="0.2">
      <c r="A20" s="61">
        <f>IFERROR(RANK(TableQBCalcPts[[#This Row],[Custom]],TableQBCalcPts[Custom])+COUNTIF($F$3:F20,F20)-1,"")</f>
        <v>52</v>
      </c>
      <c r="B20" s="59">
        <v>18</v>
      </c>
      <c r="C20" s="59" t="str">
        <f>IFERROR(INDEX(TableQBMaster[Player],MATCH(TableQBCalcPts[[#This Row],[QBRef]],TableQBMaster[QBRef],0)),"")</f>
        <v>Trey Lance</v>
      </c>
      <c r="D20" s="59" t="str">
        <f>IFERROR(INDEX(TableQBMaster[TM],MATCH(TableQBCalcPts[[#This Row],[QBRef]],TableQBMaster[QBRef],0)),"")</f>
        <v>DAL</v>
      </c>
      <c r="E20" s="59">
        <f>IFERROR(INDEX(TableQBMaster[BYE],MATCH(TableQBCalcPts[[#This Row],[QBRef]],TableQBMaster[QBRef],0)),"")</f>
        <v>7</v>
      </c>
      <c r="F20" s="60">
        <f>IFERROR(INDEX(TableQBMaster[Custom],MATCH(TableQBCalcPts[[#This Row],[QBRef]],TableQBMaster[QBRef],0)),"")</f>
        <v>5.697326827800004</v>
      </c>
      <c r="H20" s="59">
        <f>IFERROR(RANK(TableRBCalcPts[[#This Row],[Custom]],TableRBCalcPts[Custom])+COUNTIF($M$3:M20,M20)-1,"")</f>
        <v>99</v>
      </c>
      <c r="I20" s="59">
        <v>18</v>
      </c>
      <c r="J20" s="59" t="str">
        <f>IFERROR(INDEX(TableRBMaster[Player],MATCH(TableRBCalcPts[[#This Row],[RBRef]],TableRBMaster[RBRef],0)),"")</f>
        <v>Raheem Blackshear</v>
      </c>
      <c r="K20" s="59" t="str">
        <f>IFERROR(INDEX(TableRBMaster[TM],MATCH(TableRBCalcPts[[#This Row],[RBRef]],TableRBMaster[RBRef],0)),"")</f>
        <v>CAR</v>
      </c>
      <c r="L20" s="59">
        <f>IFERROR(INDEX(TableRBMaster[BYE],MATCH(TableRBCalcPts[[#This Row],[RBRef]],TableRBMaster[RBRef],0)),"")</f>
        <v>7</v>
      </c>
      <c r="M20" s="60">
        <f>IFERROR(INDEX(TableRBMaster[Custom],MATCH(TableRBCalcPts[[#This Row],[RBRef]],TableRBMaster[RBRef],0)),"")</f>
        <v>17.937397642752</v>
      </c>
      <c r="O20" s="59">
        <f>IFERROR(RANK(TableWRCalcPts[[#This Row],[Custom]],TableWRCalcPts[Custom])+COUNTIF($T$3:T20,T20)-1,"")</f>
        <v>40</v>
      </c>
      <c r="P20" s="59">
        <v>18</v>
      </c>
      <c r="Q20" s="59" t="str">
        <f>IFERROR(INDEX(TableWRMaster[Player],MATCH(TableWRCalcPts[[#This Row],[WRRef]],TableWRMaster[WRRef],0)),"")</f>
        <v>Keon Coleman</v>
      </c>
      <c r="R20" s="59" t="str">
        <f>IFERROR(INDEX(TableWRMaster[TM],MATCH(TableWRCalcPts[[#This Row],[WRRef]],TableWRMaster[WRRef],0)),"")</f>
        <v>BUF</v>
      </c>
      <c r="S20" s="59">
        <f>IFERROR(INDEX(TableWRMaster[BYE],MATCH(TableWRCalcPts[[#This Row],[WRRef]],TableWRMaster[WRRef],0)),"")</f>
        <v>13</v>
      </c>
      <c r="T20" s="60">
        <f>IFERROR(INDEX(TableWRMaster[Custom],MATCH(TableWRCalcPts[[#This Row],[WRRef]],TableWRMaster[WRRef],0)),"")</f>
        <v>166.64394539519995</v>
      </c>
      <c r="V20" s="59">
        <f>IFERROR(RANK(TableTECalcPts[[#This Row],[Custom]],TableTECalcPts[Custom])+COUNTIF($AA$3:AA20,AA20)-1,"")</f>
        <v>65</v>
      </c>
      <c r="W20" s="59">
        <v>18</v>
      </c>
      <c r="X20" s="59" t="str">
        <f>IFERROR(INDEX(TableTEMaster[Player],MATCH(TableTECalcPts[[#This Row],[TERef]],TableTEMaster[TERef],0)),"")</f>
        <v>Tanner Hudson</v>
      </c>
      <c r="Y20" s="59" t="str">
        <f>IFERROR(INDEX(TableTEMaster[TM],MATCH(TableTECalcPts[[#This Row],[TERef]],TableTEMaster[TERef],0)),"")</f>
        <v>CIN</v>
      </c>
      <c r="Z20" s="59">
        <f>IFERROR(INDEX(TableTEMaster[BYE],MATCH(TableTECalcPts[[#This Row],[TERef]],TableTEMaster[TERef],0)),"")</f>
        <v>7</v>
      </c>
      <c r="AA20" s="60">
        <f>IFERROR(INDEX(TableTEMaster[Custom],MATCH(TableTECalcPts[[#This Row],[TERef]],TableTEMaster[TERef],0)),"")</f>
        <v>16.453780198379999</v>
      </c>
      <c r="AC20" s="59">
        <f>IFERROR(RANK(TableDSTCalcPts[[#This Row],[Custom]],TableDSTCalcPts[Custom],0),"")</f>
        <v>19</v>
      </c>
      <c r="AD20" s="59">
        <v>18</v>
      </c>
      <c r="AE20" s="59" t="str">
        <f>IFERROR(INDEX(TableDSTMaster[Player],MATCH(TableDSTCalcPts[[#This Row],[DSTRef]],TableDSTMaster[DSTRef],0)),"")</f>
        <v>Jaguars</v>
      </c>
      <c r="AF20" s="59">
        <f>IFERROR(INDEX(TableDSTMaster[BYE],MATCH(TableDSTCalcPts[[#This Row],[DSTRef]],TableDSTMaster[DSTRef],0)),"")</f>
        <v>0</v>
      </c>
      <c r="AG20" s="60">
        <f>IFERROR(INDEX(TableDSTMaster[Custom],MATCH(TableDSTCalcPts[[#This Row],[DSTRef]],TableDSTMaster[DSTRef],0)),"")</f>
        <v>113.45</v>
      </c>
      <c r="AI20" s="59" t="s">
        <v>10</v>
      </c>
      <c r="AJ20" s="59">
        <f>IFERROR(RANK(TableWRTECalcPts[[#This Row],[Custom]],TableWRTECalcPts[Custom])+COUNTIF($AP$3:AP20,AP20)-1,"")</f>
        <v>219</v>
      </c>
      <c r="AK20" s="59">
        <v>18</v>
      </c>
      <c r="AL20" s="59" t="str">
        <f>IFERROR(INDEX(TableTEMaster[Player],MATCH(TableWRTECalcPts[[#This Row],[POSRef]],TableTEMaster[TERef],0)),"")</f>
        <v>Tanner Hudson</v>
      </c>
      <c r="AM20" s="59" t="str">
        <f>IFERROR(_xlfn.CONCAT(TableWRTECalcPts[[#This Row],[POS]],INDEX(TableTERanks[RK],MATCH(TableWRTECalcPts[[#This Row],[PLAYER]],TableTERanks[Player],0))),"")</f>
        <v>TE65</v>
      </c>
      <c r="AN20" s="59" t="str">
        <f>IFERROR(INDEX(TableTEMaster[TM],MATCH(TableWRTECalcPts[[#This Row],[POSRef]],TableTEMaster[TERef],0)),"")</f>
        <v>CIN</v>
      </c>
      <c r="AO20" s="59">
        <f>IFERROR(INDEX(TableTEMaster[BYE],MATCH(TableWRTECalcPts[[#This Row],[POSRef]],TableTEMaster[TERef],0)),"")</f>
        <v>7</v>
      </c>
      <c r="AP20" s="60">
        <f>IFERROR(INDEX(TableTEMaster[Custom],MATCH(TableWRTECalcPts[[#This Row],[POSRef]],TableTEMaster[TERef],0)),"")</f>
        <v>16.453780198379999</v>
      </c>
    </row>
    <row r="21" spans="1:42" x14ac:dyDescent="0.2">
      <c r="A21" s="61">
        <f>IFERROR(RANK(TableQBCalcPts[[#This Row],[Custom]],TableQBCalcPts[Custom])+COUNTIF($F$3:F21,F21)-1,"")</f>
        <v>31</v>
      </c>
      <c r="B21" s="59">
        <v>19</v>
      </c>
      <c r="C21" s="59" t="str">
        <f>IFERROR(INDEX(TableQBMaster[Player],MATCH(TableQBCalcPts[[#This Row],[QBRef]],TableQBMaster[QBRef],0)),"")</f>
        <v>Bo Nix</v>
      </c>
      <c r="D21" s="59" t="str">
        <f>IFERROR(INDEX(TableQBMaster[TM],MATCH(TableQBCalcPts[[#This Row],[QBRef]],TableQBMaster[QBRef],0)),"")</f>
        <v>DEN</v>
      </c>
      <c r="E21" s="59">
        <f>IFERROR(INDEX(TableQBMaster[BYE],MATCH(TableQBCalcPts[[#This Row],[QBRef]],TableQBMaster[QBRef],0)),"")</f>
        <v>9</v>
      </c>
      <c r="F21" s="60">
        <f>IFERROR(INDEX(TableQBMaster[Custom],MATCH(TableQBCalcPts[[#This Row],[QBRef]],TableQBMaster[QBRef],0)),"")</f>
        <v>201.03964756350001</v>
      </c>
      <c r="H21" s="59">
        <f>IFERROR(RANK(TableRBCalcPts[[#This Row],[Custom]],TableRBCalcPts[Custom])+COUNTIF($M$3:M21,M21)-1,"")</f>
        <v>23</v>
      </c>
      <c r="I21" s="59">
        <v>19</v>
      </c>
      <c r="J21" s="59" t="str">
        <f>IFERROR(INDEX(TableRBMaster[Player],MATCH(TableRBCalcPts[[#This Row],[RBRef]],TableRBMaster[RBRef],0)),"")</f>
        <v>D'Andre Swift</v>
      </c>
      <c r="K21" s="59" t="str">
        <f>IFERROR(INDEX(TableRBMaster[TM],MATCH(TableRBCalcPts[[#This Row],[RBRef]],TableRBMaster[RBRef],0)),"")</f>
        <v>CHI</v>
      </c>
      <c r="L21" s="59">
        <f>IFERROR(INDEX(TableRBMaster[BYE],MATCH(TableRBCalcPts[[#This Row],[RBRef]],TableRBMaster[RBRef],0)),"")</f>
        <v>13</v>
      </c>
      <c r="M21" s="60">
        <f>IFERROR(INDEX(TableRBMaster[Custom],MATCH(TableRBCalcPts[[#This Row],[RBRef]],TableRBMaster[RBRef],0)),"")</f>
        <v>181.93578197759999</v>
      </c>
      <c r="O21" s="59">
        <f>IFERROR(RANK(TableWRCalcPts[[#This Row],[Custom]],TableWRCalcPts[Custom])+COUNTIF($T$3:T21,T21)-1,"")</f>
        <v>60</v>
      </c>
      <c r="P21" s="59">
        <v>19</v>
      </c>
      <c r="Q21" s="59" t="str">
        <f>IFERROR(INDEX(TableWRMaster[Player],MATCH(TableWRCalcPts[[#This Row],[WRRef]],TableWRMaster[WRRef],0)),"")</f>
        <v>Khalil Shakir</v>
      </c>
      <c r="R21" s="59" t="str">
        <f>IFERROR(INDEX(TableWRMaster[TM],MATCH(TableWRCalcPts[[#This Row],[WRRef]],TableWRMaster[WRRef],0)),"")</f>
        <v>BUF</v>
      </c>
      <c r="S21" s="59">
        <f>IFERROR(INDEX(TableWRMaster[BYE],MATCH(TableWRCalcPts[[#This Row],[WRRef]],TableWRMaster[WRRef],0)),"")</f>
        <v>13</v>
      </c>
      <c r="T21" s="60">
        <f>IFERROR(INDEX(TableWRMaster[Custom],MATCH(TableWRCalcPts[[#This Row],[WRRef]],TableWRMaster[WRRef],0)),"")</f>
        <v>138.1168361067264</v>
      </c>
      <c r="V21" s="59">
        <f>IFERROR(RANK(TableTECalcPts[[#This Row],[Custom]],TableTECalcPts[Custom])+COUNTIF($AA$3:AA21,AA21)-1,"")</f>
        <v>67</v>
      </c>
      <c r="W21" s="59">
        <v>19</v>
      </c>
      <c r="X21" s="59" t="str">
        <f>IFERROR(INDEX(TableTEMaster[Player],MATCH(TableTECalcPts[[#This Row],[TERef]],TableTEMaster[TERef],0)),"")</f>
        <v>Erick All</v>
      </c>
      <c r="Y21" s="59" t="str">
        <f>IFERROR(INDEX(TableTEMaster[TM],MATCH(TableTECalcPts[[#This Row],[TERef]],TableTEMaster[TERef],0)),"")</f>
        <v>CIN</v>
      </c>
      <c r="Z21" s="59">
        <f>IFERROR(INDEX(TableTEMaster[BYE],MATCH(TableTECalcPts[[#This Row],[TERef]],TableTEMaster[TERef],0)),"")</f>
        <v>7</v>
      </c>
      <c r="AA21" s="60">
        <f>IFERROR(INDEX(TableTEMaster[Custom],MATCH(TableTECalcPts[[#This Row],[TERef]],TableTEMaster[TERef],0)),"")</f>
        <v>16.098907581288</v>
      </c>
      <c r="AC21" s="59">
        <f>IFERROR(RANK(TableDSTCalcPts[[#This Row],[Custom]],TableDSTCalcPts[Custom],0),"")</f>
        <v>7</v>
      </c>
      <c r="AD21" s="59">
        <v>19</v>
      </c>
      <c r="AE21" s="59" t="str">
        <f>IFERROR(INDEX(TableDSTMaster[Player],MATCH(TableDSTCalcPts[[#This Row],[DSTRef]],TableDSTMaster[DSTRef],0)),"")</f>
        <v>Jets</v>
      </c>
      <c r="AF21" s="59">
        <f>IFERROR(INDEX(TableDSTMaster[BYE],MATCH(TableDSTCalcPts[[#This Row],[DSTRef]],TableDSTMaster[DSTRef],0)),"")</f>
        <v>0</v>
      </c>
      <c r="AG21" s="60">
        <f>IFERROR(INDEX(TableDSTMaster[Custom],MATCH(TableDSTCalcPts[[#This Row],[DSTRef]],TableDSTMaster[DSTRef],0)),"")</f>
        <v>119.7</v>
      </c>
      <c r="AI21" s="59" t="s">
        <v>10</v>
      </c>
      <c r="AJ21" s="59">
        <f>IFERROR(RANK(TableWRTECalcPts[[#This Row],[Custom]],TableWRTECalcPts[Custom])+COUNTIF($AP$3:AP21,AP21)-1,"")</f>
        <v>221</v>
      </c>
      <c r="AK21" s="59">
        <v>19</v>
      </c>
      <c r="AL21" s="59" t="str">
        <f>IFERROR(INDEX(TableTEMaster[Player],MATCH(TableWRTECalcPts[[#This Row],[POSRef]],TableTEMaster[TERef],0)),"")</f>
        <v>Erick All</v>
      </c>
      <c r="AM21" s="59" t="str">
        <f>IFERROR(_xlfn.CONCAT(TableWRTECalcPts[[#This Row],[POS]],INDEX(TableTERanks[RK],MATCH(TableWRTECalcPts[[#This Row],[PLAYER]],TableTERanks[Player],0))),"")</f>
        <v>TE67</v>
      </c>
      <c r="AN21" s="59" t="str">
        <f>IFERROR(INDEX(TableTEMaster[TM],MATCH(TableWRTECalcPts[[#This Row],[POSRef]],TableTEMaster[TERef],0)),"")</f>
        <v>CIN</v>
      </c>
      <c r="AO21" s="59">
        <f>IFERROR(INDEX(TableTEMaster[BYE],MATCH(TableWRTECalcPts[[#This Row],[POSRef]],TableTEMaster[TERef],0)),"")</f>
        <v>7</v>
      </c>
      <c r="AP21" s="60">
        <f>IFERROR(INDEX(TableTEMaster[Custom],MATCH(TableWRTECalcPts[[#This Row],[POSRef]],TableTEMaster[TERef],0)),"")</f>
        <v>16.098907581288</v>
      </c>
    </row>
    <row r="22" spans="1:42" x14ac:dyDescent="0.2">
      <c r="A22" s="61">
        <f>IFERROR(RANK(TableQBCalcPts[[#This Row],[Custom]],TableQBCalcPts[Custom])+COUNTIF($F$3:F22,F22)-1,"")</f>
        <v>37</v>
      </c>
      <c r="B22" s="59">
        <v>20</v>
      </c>
      <c r="C22" s="59" t="str">
        <f>IFERROR(INDEX(TableQBMaster[Player],MATCH(TableQBCalcPts[[#This Row],[QBRef]],TableQBMaster[QBRef],0)),"")</f>
        <v>Zach Wilson</v>
      </c>
      <c r="D22" s="59" t="str">
        <f>IFERROR(INDEX(TableQBMaster[TM],MATCH(TableQBCalcPts[[#This Row],[QBRef]],TableQBMaster[QBRef],0)),"")</f>
        <v>DEN</v>
      </c>
      <c r="E22" s="59">
        <f>IFERROR(INDEX(TableQBMaster[BYE],MATCH(TableQBCalcPts[[#This Row],[QBRef]],TableQBMaster[QBRef],0)),"")</f>
        <v>9</v>
      </c>
      <c r="F22" s="60">
        <f>IFERROR(INDEX(TableQBMaster[Custom],MATCH(TableQBCalcPts[[#This Row],[QBRef]],TableQBMaster[QBRef],0)),"")</f>
        <v>36.205431316199991</v>
      </c>
      <c r="H22" s="59">
        <f>IFERROR(RANK(TableRBCalcPts[[#This Row],[Custom]],TableRBCalcPts[Custom])+COUNTIF($M$3:M22,M22)-1,"")</f>
        <v>59</v>
      </c>
      <c r="I22" s="59">
        <v>20</v>
      </c>
      <c r="J22" s="59" t="str">
        <f>IFERROR(INDEX(TableRBMaster[Player],MATCH(TableRBCalcPts[[#This Row],[RBRef]],TableRBMaster[RBRef],0)),"")</f>
        <v>Khalil Herbert</v>
      </c>
      <c r="K22" s="59" t="str">
        <f>IFERROR(INDEX(TableRBMaster[TM],MATCH(TableRBCalcPts[[#This Row],[RBRef]],TableRBMaster[RBRef],0)),"")</f>
        <v>CHI</v>
      </c>
      <c r="L22" s="59">
        <f>IFERROR(INDEX(TableRBMaster[BYE],MATCH(TableRBCalcPts[[#This Row],[RBRef]],TableRBMaster[RBRef],0)),"")</f>
        <v>13</v>
      </c>
      <c r="M22" s="60">
        <f>IFERROR(INDEX(TableRBMaster[Custom],MATCH(TableRBCalcPts[[#This Row],[RBRef]],TableRBMaster[RBRef],0)),"")</f>
        <v>76.037838458399975</v>
      </c>
      <c r="O22" s="59">
        <f>IFERROR(RANK(TableWRCalcPts[[#This Row],[Custom]],TableWRCalcPts[Custom])+COUNTIF($T$3:T22,T22)-1,"")</f>
        <v>115</v>
      </c>
      <c r="P22" s="59">
        <v>20</v>
      </c>
      <c r="Q22" s="59" t="str">
        <f>IFERROR(INDEX(TableWRMaster[Player],MATCH(TableWRCalcPts[[#This Row],[WRRef]],TableWRMaster[WRRef],0)),"")</f>
        <v>Mack Hollins</v>
      </c>
      <c r="R22" s="59" t="str">
        <f>IFERROR(INDEX(TableWRMaster[TM],MATCH(TableWRCalcPts[[#This Row],[WRRef]],TableWRMaster[WRRef],0)),"")</f>
        <v>BUF</v>
      </c>
      <c r="S22" s="59">
        <f>IFERROR(INDEX(TableWRMaster[BYE],MATCH(TableWRCalcPts[[#This Row],[WRRef]],TableWRMaster[WRRef],0)),"")</f>
        <v>13</v>
      </c>
      <c r="T22" s="60">
        <f>IFERROR(INDEX(TableWRMaster[Custom],MATCH(TableWRCalcPts[[#This Row],[WRRef]],TableWRMaster[WRRef],0)),"")</f>
        <v>35.190761181183994</v>
      </c>
      <c r="V22" s="59">
        <f>IFERROR(RANK(TableTECalcPts[[#This Row],[Custom]],TableTECalcPts[Custom])+COUNTIF($AA$3:AA22,AA22)-1,"")</f>
        <v>8</v>
      </c>
      <c r="W22" s="59">
        <v>20</v>
      </c>
      <c r="X22" s="59" t="str">
        <f>IFERROR(INDEX(TableTEMaster[Player],MATCH(TableTECalcPts[[#This Row],[TERef]],TableTEMaster[TERef],0)),"")</f>
        <v>David Njoku</v>
      </c>
      <c r="Y22" s="59" t="str">
        <f>IFERROR(INDEX(TableTEMaster[TM],MATCH(TableTECalcPts[[#This Row],[TERef]],TableTEMaster[TERef],0)),"")</f>
        <v>CLE</v>
      </c>
      <c r="Z22" s="59">
        <f>IFERROR(INDEX(TableTEMaster[BYE],MATCH(TableTECalcPts[[#This Row],[TERef]],TableTEMaster[TERef],0)),"")</f>
        <v>5</v>
      </c>
      <c r="AA22" s="60">
        <f>IFERROR(INDEX(TableTEMaster[Custom],MATCH(TableTECalcPts[[#This Row],[TERef]],TableTEMaster[TERef],0)),"")</f>
        <v>146.32427848500004</v>
      </c>
      <c r="AC22" s="59">
        <f>IFERROR(RANK(TableDSTCalcPts[[#This Row],[Custom]],TableDSTCalcPts[Custom],0),"")</f>
        <v>17</v>
      </c>
      <c r="AD22" s="59">
        <v>20</v>
      </c>
      <c r="AE22" s="59" t="str">
        <f>IFERROR(INDEX(TableDSTMaster[Player],MATCH(TableDSTCalcPts[[#This Row],[DSTRef]],TableDSTMaster[DSTRef],0)),"")</f>
        <v>Lions</v>
      </c>
      <c r="AF22" s="59">
        <f>IFERROR(INDEX(TableDSTMaster[BYE],MATCH(TableDSTCalcPts[[#This Row],[DSTRef]],TableDSTMaster[DSTRef],0)),"")</f>
        <v>0</v>
      </c>
      <c r="AG22" s="60">
        <f>IFERROR(INDEX(TableDSTMaster[Custom],MATCH(TableDSTCalcPts[[#This Row],[DSTRef]],TableDSTMaster[DSTRef],0)),"")</f>
        <v>115.60000000000001</v>
      </c>
      <c r="AI22" s="59" t="s">
        <v>10</v>
      </c>
      <c r="AJ22" s="59">
        <f>IFERROR(RANK(TableWRTECalcPts[[#This Row],[Custom]],TableWRTECalcPts[Custom])+COUNTIF($AP$3:AP22,AP22)-1,"")</f>
        <v>62</v>
      </c>
      <c r="AK22" s="59">
        <v>20</v>
      </c>
      <c r="AL22" s="59" t="str">
        <f>IFERROR(INDEX(TableTEMaster[Player],MATCH(TableWRTECalcPts[[#This Row],[POSRef]],TableTEMaster[TERef],0)),"")</f>
        <v>David Njoku</v>
      </c>
      <c r="AM22" s="59" t="str">
        <f>IFERROR(_xlfn.CONCAT(TableWRTECalcPts[[#This Row],[POS]],INDEX(TableTERanks[RK],MATCH(TableWRTECalcPts[[#This Row],[PLAYER]],TableTERanks[Player],0))),"")</f>
        <v>TE8</v>
      </c>
      <c r="AN22" s="59" t="str">
        <f>IFERROR(INDEX(TableTEMaster[TM],MATCH(TableWRTECalcPts[[#This Row],[POSRef]],TableTEMaster[TERef],0)),"")</f>
        <v>CLE</v>
      </c>
      <c r="AO22" s="59">
        <f>IFERROR(INDEX(TableTEMaster[BYE],MATCH(TableWRTECalcPts[[#This Row],[POSRef]],TableTEMaster[TERef],0)),"")</f>
        <v>5</v>
      </c>
      <c r="AP22" s="60">
        <f>IFERROR(INDEX(TableTEMaster[Custom],MATCH(TableWRTECalcPts[[#This Row],[POSRef]],TableTEMaster[TERef],0)),"")</f>
        <v>146.32427848500004</v>
      </c>
    </row>
    <row r="23" spans="1:42" x14ac:dyDescent="0.2">
      <c r="A23" s="61">
        <f>IFERROR(RANK(TableQBCalcPts[[#This Row],[Custom]],TableQBCalcPts[Custom])+COUNTIF($F$3:F23,F23)-1,"")</f>
        <v>16</v>
      </c>
      <c r="B23" s="59">
        <v>21</v>
      </c>
      <c r="C23" s="59" t="str">
        <f>IFERROR(INDEX(TableQBMaster[Player],MATCH(TableQBCalcPts[[#This Row],[QBRef]],TableQBMaster[QBRef],0)),"")</f>
        <v>Jared Goff</v>
      </c>
      <c r="D23" s="59" t="str">
        <f>IFERROR(INDEX(TableQBMaster[TM],MATCH(TableQBCalcPts[[#This Row],[QBRef]],TableQBMaster[QBRef],0)),"")</f>
        <v>DET</v>
      </c>
      <c r="E23" s="59">
        <f>IFERROR(INDEX(TableQBMaster[BYE],MATCH(TableQBCalcPts[[#This Row],[QBRef]],TableQBMaster[QBRef],0)),"")</f>
        <v>9</v>
      </c>
      <c r="F23" s="60">
        <f>IFERROR(INDEX(TableQBMaster[Custom],MATCH(TableQBCalcPts[[#This Row],[QBRef]],TableQBMaster[QBRef],0)),"")</f>
        <v>306.24531786967998</v>
      </c>
      <c r="H23" s="59">
        <f>IFERROR(RANK(TableRBCalcPts[[#This Row],[Custom]],TableRBCalcPts[Custom])+COUNTIF($M$3:M23,M23)-1,"")</f>
        <v>54</v>
      </c>
      <c r="I23" s="59">
        <v>21</v>
      </c>
      <c r="J23" s="59" t="str">
        <f>IFERROR(INDEX(TableRBMaster[Player],MATCH(TableRBCalcPts[[#This Row],[RBRef]],TableRBMaster[RBRef],0)),"")</f>
        <v>Roschon Johnson</v>
      </c>
      <c r="K23" s="59" t="str">
        <f>IFERROR(INDEX(TableRBMaster[TM],MATCH(TableRBCalcPts[[#This Row],[RBRef]],TableRBMaster[RBRef],0)),"")</f>
        <v>CHI</v>
      </c>
      <c r="L23" s="59">
        <f>IFERROR(INDEX(TableRBMaster[BYE],MATCH(TableRBCalcPts[[#This Row],[RBRef]],TableRBMaster[RBRef],0)),"")</f>
        <v>13</v>
      </c>
      <c r="M23" s="60">
        <f>IFERROR(INDEX(TableRBMaster[Custom],MATCH(TableRBCalcPts[[#This Row],[RBRef]],TableRBMaster[RBRef],0)),"")</f>
        <v>90.562940092799991</v>
      </c>
      <c r="O23" s="59">
        <f>IFERROR(RANK(TableWRCalcPts[[#This Row],[Custom]],TableWRCalcPts[Custom])+COUNTIF($T$3:T23,T23)-1,"")</f>
        <v>174</v>
      </c>
      <c r="P23" s="59">
        <v>21</v>
      </c>
      <c r="Q23" s="59" t="str">
        <f>IFERROR(INDEX(TableWRMaster[Player],MATCH(TableWRCalcPts[[#This Row],[WRRef]],TableWRMaster[WRRef],0)),"")</f>
        <v>Andy Isabella</v>
      </c>
      <c r="R23" s="59" t="str">
        <f>IFERROR(INDEX(TableWRMaster[TM],MATCH(TableWRCalcPts[[#This Row],[WRRef]],TableWRMaster[WRRef],0)),"")</f>
        <v>BUF</v>
      </c>
      <c r="S23" s="59">
        <f>IFERROR(INDEX(TableWRMaster[BYE],MATCH(TableWRCalcPts[[#This Row],[WRRef]],TableWRMaster[WRRef],0)),"")</f>
        <v>13</v>
      </c>
      <c r="T23" s="60">
        <f>IFERROR(INDEX(TableWRMaster[Custom],MATCH(TableWRCalcPts[[#This Row],[WRRef]],TableWRMaster[WRRef],0)),"")</f>
        <v>10.255012024319997</v>
      </c>
      <c r="V23" s="59">
        <f>IFERROR(RANK(TableTECalcPts[[#This Row],[Custom]],TableTECalcPts[Custom])+COUNTIF($AA$3:AA23,AA23)-1,"")</f>
        <v>62</v>
      </c>
      <c r="W23" s="59">
        <v>21</v>
      </c>
      <c r="X23" s="59" t="str">
        <f>IFERROR(INDEX(TableTEMaster[Player],MATCH(TableTECalcPts[[#This Row],[TERef]],TableTEMaster[TERef],0)),"")</f>
        <v>Jordan Akins</v>
      </c>
      <c r="Y23" s="59" t="str">
        <f>IFERROR(INDEX(TableTEMaster[TM],MATCH(TableTECalcPts[[#This Row],[TERef]],TableTEMaster[TERef],0)),"")</f>
        <v>CLE</v>
      </c>
      <c r="Z23" s="59">
        <f>IFERROR(INDEX(TableTEMaster[BYE],MATCH(TableTECalcPts[[#This Row],[TERef]],TableTEMaster[TERef],0)),"")</f>
        <v>5</v>
      </c>
      <c r="AA23" s="60">
        <f>IFERROR(INDEX(TableTEMaster[Custom],MATCH(TableTECalcPts[[#This Row],[TERef]],TableTEMaster[TERef],0)),"")</f>
        <v>19.760745571875002</v>
      </c>
      <c r="AC23" s="59">
        <f>IFERROR(RANK(TableDSTCalcPts[[#This Row],[Custom]],TableDSTCalcPts[Custom],0),"")</f>
        <v>20</v>
      </c>
      <c r="AD23" s="59">
        <v>21</v>
      </c>
      <c r="AE23" s="59" t="str">
        <f>IFERROR(INDEX(TableDSTMaster[Player],MATCH(TableDSTCalcPts[[#This Row],[DSTRef]],TableDSTMaster[DSTRef],0)),"")</f>
        <v>Packers</v>
      </c>
      <c r="AF23" s="59">
        <f>IFERROR(INDEX(TableDSTMaster[BYE],MATCH(TableDSTCalcPts[[#This Row],[DSTRef]],TableDSTMaster[DSTRef],0)),"")</f>
        <v>0</v>
      </c>
      <c r="AG23" s="60">
        <f>IFERROR(INDEX(TableDSTMaster[Custom],MATCH(TableDSTCalcPts[[#This Row],[DSTRef]],TableDSTMaster[DSTRef],0)),"")</f>
        <v>113.35</v>
      </c>
      <c r="AI23" s="59" t="s">
        <v>10</v>
      </c>
      <c r="AJ23" s="59">
        <f>IFERROR(RANK(TableWRTECalcPts[[#This Row],[Custom]],TableWRTECalcPts[Custom])+COUNTIF($AP$3:AP23,AP23)-1,"")</f>
        <v>210</v>
      </c>
      <c r="AK23" s="59">
        <v>21</v>
      </c>
      <c r="AL23" s="59" t="str">
        <f>IFERROR(INDEX(TableTEMaster[Player],MATCH(TableWRTECalcPts[[#This Row],[POSRef]],TableTEMaster[TERef],0)),"")</f>
        <v>Jordan Akins</v>
      </c>
      <c r="AM23" s="59" t="str">
        <f>IFERROR(_xlfn.CONCAT(TableWRTECalcPts[[#This Row],[POS]],INDEX(TableTERanks[RK],MATCH(TableWRTECalcPts[[#This Row],[PLAYER]],TableTERanks[Player],0))),"")</f>
        <v>TE62</v>
      </c>
      <c r="AN23" s="59" t="str">
        <f>IFERROR(INDEX(TableTEMaster[TM],MATCH(TableWRTECalcPts[[#This Row],[POSRef]],TableTEMaster[TERef],0)),"")</f>
        <v>CLE</v>
      </c>
      <c r="AO23" s="59">
        <f>IFERROR(INDEX(TableTEMaster[BYE],MATCH(TableWRTECalcPts[[#This Row],[POSRef]],TableTEMaster[TERef],0)),"")</f>
        <v>5</v>
      </c>
      <c r="AP23" s="60">
        <f>IFERROR(INDEX(TableTEMaster[Custom],MATCH(TableWRTECalcPts[[#This Row],[POSRef]],TableTEMaster[TERef],0)),"")</f>
        <v>19.760745571875002</v>
      </c>
    </row>
    <row r="24" spans="1:42" x14ac:dyDescent="0.2">
      <c r="A24" s="61">
        <f>IFERROR(RANK(TableQBCalcPts[[#This Row],[Custom]],TableQBCalcPts[Custom])+COUNTIF($F$3:F24,F24)-1,"")</f>
        <v>54</v>
      </c>
      <c r="B24" s="59">
        <v>22</v>
      </c>
      <c r="C24" s="59" t="str">
        <f>IFERROR(INDEX(TableQBMaster[Player],MATCH(TableQBCalcPts[[#This Row],[QBRef]],TableQBMaster[QBRef],0)),"")</f>
        <v>Hendon Hooker</v>
      </c>
      <c r="D24" s="59" t="str">
        <f>IFERROR(INDEX(TableQBMaster[TM],MATCH(TableQBCalcPts[[#This Row],[QBRef]],TableQBMaster[QBRef],0)),"")</f>
        <v>DET</v>
      </c>
      <c r="E24" s="59">
        <f>IFERROR(INDEX(TableQBMaster[BYE],MATCH(TableQBCalcPts[[#This Row],[QBRef]],TableQBMaster[QBRef],0)),"")</f>
        <v>9</v>
      </c>
      <c r="F24" s="60">
        <f>IFERROR(INDEX(TableQBMaster[Custom],MATCH(TableQBCalcPts[[#This Row],[QBRef]],TableQBMaster[QBRef],0)),"")</f>
        <v>5.3230360408560049</v>
      </c>
      <c r="H24" s="59">
        <f>IFERROR(RANK(TableRBCalcPts[[#This Row],[Custom]],TableRBCalcPts[Custom])+COUNTIF($M$3:M24,M24)-1,"")</f>
        <v>30</v>
      </c>
      <c r="I24" s="59">
        <v>22</v>
      </c>
      <c r="J24" s="59" t="str">
        <f>IFERROR(INDEX(TableRBMaster[Player],MATCH(TableRBCalcPts[[#This Row],[RBRef]],TableRBMaster[RBRef],0)),"")</f>
        <v>Zack Moss</v>
      </c>
      <c r="K24" s="59" t="str">
        <f>IFERROR(INDEX(TableRBMaster[TM],MATCH(TableRBCalcPts[[#This Row],[RBRef]],TableRBMaster[RBRef],0)),"")</f>
        <v>CIN</v>
      </c>
      <c r="L24" s="59">
        <f>IFERROR(INDEX(TableRBMaster[BYE],MATCH(TableRBCalcPts[[#This Row],[RBRef]],TableRBMaster[RBRef],0)),"")</f>
        <v>7</v>
      </c>
      <c r="M24" s="60">
        <f>IFERROR(INDEX(TableRBMaster[Custom],MATCH(TableRBCalcPts[[#This Row],[RBRef]],TableRBMaster[RBRef],0)),"")</f>
        <v>161.43138356486401</v>
      </c>
      <c r="O24" s="59">
        <f>IFERROR(RANK(TableWRCalcPts[[#This Row],[Custom]],TableWRCalcPts[Custom])+COUNTIF($T$3:T24,T24)-1,"")</f>
        <v>175</v>
      </c>
      <c r="P24" s="59">
        <v>22</v>
      </c>
      <c r="Q24" s="59" t="str">
        <f>IFERROR(INDEX(TableWRMaster[Player],MATCH(TableWRCalcPts[[#This Row],[WRRef]],TableWRMaster[WRRef],0)),"")</f>
        <v>Justin Shorter</v>
      </c>
      <c r="R24" s="59" t="str">
        <f>IFERROR(INDEX(TableWRMaster[TM],MATCH(TableWRCalcPts[[#This Row],[WRRef]],TableWRMaster[WRRef],0)),"")</f>
        <v>BUF</v>
      </c>
      <c r="S24" s="59">
        <f>IFERROR(INDEX(TableWRMaster[BYE],MATCH(TableWRCalcPts[[#This Row],[WRRef]],TableWRMaster[WRRef],0)),"")</f>
        <v>13</v>
      </c>
      <c r="T24" s="60">
        <f>IFERROR(INDEX(TableWRMaster[Custom],MATCH(TableWRCalcPts[[#This Row],[WRRef]],TableWRMaster[WRRef],0)),"")</f>
        <v>10.112884991999998</v>
      </c>
      <c r="V24" s="59">
        <f>IFERROR(RANK(TableTECalcPts[[#This Row],[Custom]],TableTECalcPts[Custom])+COUNTIF($AA$3:AA24,AA24)-1,"")</f>
        <v>9</v>
      </c>
      <c r="W24" s="59">
        <v>22</v>
      </c>
      <c r="X24" s="59" t="str">
        <f>IFERROR(INDEX(TableTEMaster[Player],MATCH(TableTECalcPts[[#This Row],[TERef]],TableTEMaster[TERef],0)),"")</f>
        <v>Jake Ferguson</v>
      </c>
      <c r="Y24" s="59" t="str">
        <f>IFERROR(INDEX(TableTEMaster[TM],MATCH(TableTECalcPts[[#This Row],[TERef]],TableTEMaster[TERef],0)),"")</f>
        <v>DAL</v>
      </c>
      <c r="Z24" s="59">
        <f>IFERROR(INDEX(TableTEMaster[BYE],MATCH(TableTECalcPts[[#This Row],[TERef]],TableTEMaster[TERef],0)),"")</f>
        <v>7</v>
      </c>
      <c r="AA24" s="60">
        <f>IFERROR(INDEX(TableTEMaster[Custom],MATCH(TableTECalcPts[[#This Row],[TERef]],TableTEMaster[TERef],0)),"")</f>
        <v>145.89143428607994</v>
      </c>
      <c r="AC24" s="59">
        <f>IFERROR(RANK(TableDSTCalcPts[[#This Row],[Custom]],TableDSTCalcPts[Custom],0),"")</f>
        <v>31</v>
      </c>
      <c r="AD24" s="59">
        <v>22</v>
      </c>
      <c r="AE24" s="59" t="str">
        <f>IFERROR(INDEX(TableDSTMaster[Player],MATCH(TableDSTCalcPts[[#This Row],[DSTRef]],TableDSTMaster[DSTRef],0)),"")</f>
        <v>Panthers</v>
      </c>
      <c r="AF24" s="59">
        <f>IFERROR(INDEX(TableDSTMaster[BYE],MATCH(TableDSTCalcPts[[#This Row],[DSTRef]],TableDSTMaster[DSTRef],0)),"")</f>
        <v>0</v>
      </c>
      <c r="AG24" s="60">
        <f>IFERROR(INDEX(TableDSTMaster[Custom],MATCH(TableDSTCalcPts[[#This Row],[DSTRef]],TableDSTMaster[DSTRef],0)),"")</f>
        <v>104.30000000000001</v>
      </c>
      <c r="AI24" s="59" t="s">
        <v>10</v>
      </c>
      <c r="AJ24" s="59">
        <f>IFERROR(RANK(TableWRTECalcPts[[#This Row],[Custom]],TableWRTECalcPts[Custom])+COUNTIF($AP$3:AP24,AP24)-1,"")</f>
        <v>63</v>
      </c>
      <c r="AK24" s="59">
        <v>22</v>
      </c>
      <c r="AL24" s="59" t="str">
        <f>IFERROR(INDEX(TableTEMaster[Player],MATCH(TableWRTECalcPts[[#This Row],[POSRef]],TableTEMaster[TERef],0)),"")</f>
        <v>Jake Ferguson</v>
      </c>
      <c r="AM24" s="59" t="str">
        <f>IFERROR(_xlfn.CONCAT(TableWRTECalcPts[[#This Row],[POS]],INDEX(TableTERanks[RK],MATCH(TableWRTECalcPts[[#This Row],[PLAYER]],TableTERanks[Player],0))),"")</f>
        <v>TE9</v>
      </c>
      <c r="AN24" s="59" t="str">
        <f>IFERROR(INDEX(TableTEMaster[TM],MATCH(TableWRTECalcPts[[#This Row],[POSRef]],TableTEMaster[TERef],0)),"")</f>
        <v>DAL</v>
      </c>
      <c r="AO24" s="59">
        <f>IFERROR(INDEX(TableTEMaster[BYE],MATCH(TableWRTECalcPts[[#This Row],[POSRef]],TableTEMaster[TERef],0)),"")</f>
        <v>7</v>
      </c>
      <c r="AP24" s="60">
        <f>IFERROR(INDEX(TableTEMaster[Custom],MATCH(TableWRTECalcPts[[#This Row],[POSRef]],TableTEMaster[TERef],0)),"")</f>
        <v>145.89143428607994</v>
      </c>
    </row>
    <row r="25" spans="1:42" x14ac:dyDescent="0.2">
      <c r="A25" s="61">
        <f>IFERROR(RANK(TableQBCalcPts[[#This Row],[Custom]],TableQBCalcPts[Custom])+COUNTIF($F$3:F25,F25)-1,"")</f>
        <v>10</v>
      </c>
      <c r="B25" s="59">
        <v>23</v>
      </c>
      <c r="C25" s="59" t="str">
        <f>IFERROR(INDEX(TableQBMaster[Player],MATCH(TableQBCalcPts[[#This Row],[QBRef]],TableQBMaster[QBRef],0)),"")</f>
        <v>Jordan Love</v>
      </c>
      <c r="D25" s="59" t="str">
        <f>IFERROR(INDEX(TableQBMaster[TM],MATCH(TableQBCalcPts[[#This Row],[QBRef]],TableQBMaster[QBRef],0)),"")</f>
        <v>GB</v>
      </c>
      <c r="E25" s="59">
        <f>IFERROR(INDEX(TableQBMaster[BYE],MATCH(TableQBCalcPts[[#This Row],[QBRef]],TableQBMaster[QBRef],0)),"")</f>
        <v>6</v>
      </c>
      <c r="F25" s="60">
        <f>IFERROR(INDEX(TableQBMaster[Custom],MATCH(TableQBCalcPts[[#This Row],[QBRef]],TableQBMaster[QBRef],0)),"")</f>
        <v>326.93467879072</v>
      </c>
      <c r="H25" s="59">
        <f>IFERROR(RANK(TableRBCalcPts[[#This Row],[Custom]],TableRBCalcPts[Custom])+COUNTIF($M$3:M25,M25)-1,"")</f>
        <v>43</v>
      </c>
      <c r="I25" s="59">
        <v>23</v>
      </c>
      <c r="J25" s="59" t="str">
        <f>IFERROR(INDEX(TableRBMaster[Player],MATCH(TableRBCalcPts[[#This Row],[RBRef]],TableRBMaster[RBRef],0)),"")</f>
        <v>Chase Brown</v>
      </c>
      <c r="K25" s="59" t="str">
        <f>IFERROR(INDEX(TableRBMaster[TM],MATCH(TableRBCalcPts[[#This Row],[RBRef]],TableRBMaster[RBRef],0)),"")</f>
        <v>CIN</v>
      </c>
      <c r="L25" s="59">
        <f>IFERROR(INDEX(TableRBMaster[BYE],MATCH(TableRBCalcPts[[#This Row],[RBRef]],TableRBMaster[RBRef],0)),"")</f>
        <v>7</v>
      </c>
      <c r="M25" s="60">
        <f>IFERROR(INDEX(TableRBMaster[Custom],MATCH(TableRBCalcPts[[#This Row],[RBRef]],TableRBMaster[RBRef],0)),"")</f>
        <v>112.90314533836799</v>
      </c>
      <c r="O25" s="59">
        <f>IFERROR(RANK(TableWRCalcPts[[#This Row],[Custom]],TableWRCalcPts[Custom])+COUNTIF($T$3:T25,T25)-1,"")</f>
        <v>48</v>
      </c>
      <c r="P25" s="59">
        <v>23</v>
      </c>
      <c r="Q25" s="59" t="str">
        <f>IFERROR(INDEX(TableWRMaster[Player],MATCH(TableWRCalcPts[[#This Row],[WRRef]],TableWRMaster[WRRef],0)),"")</f>
        <v>Diontae Johnson</v>
      </c>
      <c r="R25" s="59" t="str">
        <f>IFERROR(INDEX(TableWRMaster[TM],MATCH(TableWRCalcPts[[#This Row],[WRRef]],TableWRMaster[WRRef],0)),"")</f>
        <v>CAR</v>
      </c>
      <c r="S25" s="59">
        <f>IFERROR(INDEX(TableWRMaster[BYE],MATCH(TableWRCalcPts[[#This Row],[WRRef]],TableWRMaster[WRRef],0)),"")</f>
        <v>7</v>
      </c>
      <c r="T25" s="60">
        <f>IFERROR(INDEX(TableWRMaster[Custom],MATCH(TableWRCalcPts[[#This Row],[WRRef]],TableWRMaster[WRRef],0)),"")</f>
        <v>157.09497063649198</v>
      </c>
      <c r="V25" s="59">
        <f>IFERROR(RANK(TableTECalcPts[[#This Row],[Custom]],TableTECalcPts[Custom])+COUNTIF($AA$3:AA25,AA25)-1,"")</f>
        <v>56</v>
      </c>
      <c r="W25" s="59">
        <v>23</v>
      </c>
      <c r="X25" s="59" t="str">
        <f>IFERROR(INDEX(TableTEMaster[Player],MATCH(TableTECalcPts[[#This Row],[TERef]],TableTEMaster[TERef],0)),"")</f>
        <v>Peyton Hendershot</v>
      </c>
      <c r="Y25" s="59" t="str">
        <f>IFERROR(INDEX(TableTEMaster[TM],MATCH(TableTECalcPts[[#This Row],[TERef]],TableTEMaster[TERef],0)),"")</f>
        <v>DAL</v>
      </c>
      <c r="Z25" s="59">
        <f>IFERROR(INDEX(TableTEMaster[BYE],MATCH(TableTECalcPts[[#This Row],[TERef]],TableTEMaster[TERef],0)),"")</f>
        <v>7</v>
      </c>
      <c r="AA25" s="60">
        <f>IFERROR(INDEX(TableTEMaster[Custom],MATCH(TableTECalcPts[[#This Row],[TERef]],TableTEMaster[TERef],0)),"")</f>
        <v>23.209625030608795</v>
      </c>
      <c r="AC25" s="59">
        <f>IFERROR(RANK(TableDSTCalcPts[[#This Row],[Custom]],TableDSTCalcPts[Custom],0),"")</f>
        <v>25</v>
      </c>
      <c r="AD25" s="59">
        <v>23</v>
      </c>
      <c r="AE25" s="59" t="str">
        <f>IFERROR(INDEX(TableDSTMaster[Player],MATCH(TableDSTCalcPts[[#This Row],[DSTRef]],TableDSTMaster[DSTRef],0)),"")</f>
        <v>Patriots</v>
      </c>
      <c r="AF25" s="59">
        <f>IFERROR(INDEX(TableDSTMaster[BYE],MATCH(TableDSTCalcPts[[#This Row],[DSTRef]],TableDSTMaster[DSTRef],0)),"")</f>
        <v>0</v>
      </c>
      <c r="AG25" s="60">
        <f>IFERROR(INDEX(TableDSTMaster[Custom],MATCH(TableDSTCalcPts[[#This Row],[DSTRef]],TableDSTMaster[DSTRef],0)),"")</f>
        <v>107.64999999999999</v>
      </c>
      <c r="AI25" s="59" t="s">
        <v>10</v>
      </c>
      <c r="AJ25" s="59">
        <f>IFERROR(RANK(TableWRTECalcPts[[#This Row],[Custom]],TableWRTECalcPts[Custom])+COUNTIF($AP$3:AP25,AP25)-1,"")</f>
        <v>196</v>
      </c>
      <c r="AK25" s="59">
        <v>23</v>
      </c>
      <c r="AL25" s="59" t="str">
        <f>IFERROR(INDEX(TableTEMaster[Player],MATCH(TableWRTECalcPts[[#This Row],[POSRef]],TableTEMaster[TERef],0)),"")</f>
        <v>Peyton Hendershot</v>
      </c>
      <c r="AM25" s="59" t="str">
        <f>IFERROR(_xlfn.CONCAT(TableWRTECalcPts[[#This Row],[POS]],INDEX(TableTERanks[RK],MATCH(TableWRTECalcPts[[#This Row],[PLAYER]],TableTERanks[Player],0))),"")</f>
        <v>TE56</v>
      </c>
      <c r="AN25" s="59" t="str">
        <f>IFERROR(INDEX(TableTEMaster[TM],MATCH(TableWRTECalcPts[[#This Row],[POSRef]],TableTEMaster[TERef],0)),"")</f>
        <v>DAL</v>
      </c>
      <c r="AO25" s="59">
        <f>IFERROR(INDEX(TableTEMaster[BYE],MATCH(TableWRTECalcPts[[#This Row],[POSRef]],TableTEMaster[TERef],0)),"")</f>
        <v>7</v>
      </c>
      <c r="AP25" s="60">
        <f>IFERROR(INDEX(TableTEMaster[Custom],MATCH(TableWRTECalcPts[[#This Row],[POSRef]],TableTEMaster[TERef],0)),"")</f>
        <v>23.209625030608795</v>
      </c>
    </row>
    <row r="26" spans="1:42" x14ac:dyDescent="0.2">
      <c r="A26" s="61">
        <f>IFERROR(RANK(TableQBCalcPts[[#This Row],[Custom]],TableQBCalcPts[Custom])+COUNTIF($F$3:F26,F26)-1,"")</f>
        <v>62</v>
      </c>
      <c r="B26" s="59">
        <v>24</v>
      </c>
      <c r="C26" s="59" t="str">
        <f>IFERROR(INDEX(TableQBMaster[Player],MATCH(TableQBCalcPts[[#This Row],[QBRef]],TableQBMaster[QBRef],0)),"")</f>
        <v>Sean Clifford</v>
      </c>
      <c r="D26" s="59" t="str">
        <f>IFERROR(INDEX(TableQBMaster[TM],MATCH(TableQBCalcPts[[#This Row],[QBRef]],TableQBMaster[QBRef],0)),"")</f>
        <v>GB</v>
      </c>
      <c r="E26" s="59">
        <f>IFERROR(INDEX(TableQBMaster[BYE],MATCH(TableQBCalcPts[[#This Row],[QBRef]],TableQBMaster[QBRef],0)),"")</f>
        <v>6</v>
      </c>
      <c r="F26" s="60">
        <f>IFERROR(INDEX(TableQBMaster[Custom],MATCH(TableQBCalcPts[[#This Row],[QBRef]],TableQBMaster[QBRef],0)),"")</f>
        <v>2.1737542400000023</v>
      </c>
      <c r="H26" s="59">
        <f>IFERROR(RANK(TableRBCalcPts[[#This Row],[Custom]],TableRBCalcPts[Custom])+COUNTIF($M$3:M26,M26)-1,"")</f>
        <v>105</v>
      </c>
      <c r="I26" s="59">
        <v>24</v>
      </c>
      <c r="J26" s="59" t="str">
        <f>IFERROR(INDEX(TableRBMaster[Player],MATCH(TableRBCalcPts[[#This Row],[RBRef]],TableRBMaster[RBRef],0)),"")</f>
        <v>Trayveon Williams</v>
      </c>
      <c r="K26" s="59" t="str">
        <f>IFERROR(INDEX(TableRBMaster[TM],MATCH(TableRBCalcPts[[#This Row],[RBRef]],TableRBMaster[RBRef],0)),"")</f>
        <v>CIN</v>
      </c>
      <c r="L26" s="59">
        <f>IFERROR(INDEX(TableRBMaster[BYE],MATCH(TableRBCalcPts[[#This Row],[RBRef]],TableRBMaster[RBRef],0)),"")</f>
        <v>7</v>
      </c>
      <c r="M26" s="60">
        <f>IFERROR(INDEX(TableRBMaster[Custom],MATCH(TableRBCalcPts[[#This Row],[RBRef]],TableRBMaster[RBRef],0)),"")</f>
        <v>14.0733526416</v>
      </c>
      <c r="O26" s="59">
        <f>IFERROR(RANK(TableWRCalcPts[[#This Row],[Custom]],TableWRCalcPts[Custom])+COUNTIF($T$3:T26,T26)-1,"")</f>
        <v>43</v>
      </c>
      <c r="P26" s="59">
        <v>24</v>
      </c>
      <c r="Q26" s="59" t="str">
        <f>IFERROR(INDEX(TableWRMaster[Player],MATCH(TableWRCalcPts[[#This Row],[WRRef]],TableWRMaster[WRRef],0)),"")</f>
        <v>Xavier Legette</v>
      </c>
      <c r="R26" s="59" t="str">
        <f>IFERROR(INDEX(TableWRMaster[TM],MATCH(TableWRCalcPts[[#This Row],[WRRef]],TableWRMaster[WRRef],0)),"")</f>
        <v>CAR</v>
      </c>
      <c r="S26" s="59">
        <f>IFERROR(INDEX(TableWRMaster[BYE],MATCH(TableWRCalcPts[[#This Row],[WRRef]],TableWRMaster[WRRef],0)),"")</f>
        <v>7</v>
      </c>
      <c r="T26" s="60">
        <f>IFERROR(INDEX(TableWRMaster[Custom],MATCH(TableWRCalcPts[[#This Row],[WRRef]],TableWRMaster[WRRef],0)),"")</f>
        <v>163.16862053171394</v>
      </c>
      <c r="V26" s="59">
        <f>IFERROR(RANK(TableTECalcPts[[#This Row],[Custom]],TableTECalcPts[Custom])+COUNTIF($AA$3:AA26,AA26)-1,"")</f>
        <v>66</v>
      </c>
      <c r="W26" s="59">
        <v>24</v>
      </c>
      <c r="X26" s="59" t="str">
        <f>IFERROR(INDEX(TableTEMaster[Player],MATCH(TableTECalcPts[[#This Row],[TERef]],TableTEMaster[TERef],0)),"")</f>
        <v>Luke Schoonmaker</v>
      </c>
      <c r="Y26" s="59" t="str">
        <f>IFERROR(INDEX(TableTEMaster[TM],MATCH(TableTECalcPts[[#This Row],[TERef]],TableTEMaster[TERef],0)),"")</f>
        <v>DAL</v>
      </c>
      <c r="Z26" s="59">
        <f>IFERROR(INDEX(TableTEMaster[BYE],MATCH(TableTECalcPts[[#This Row],[TERef]],TableTEMaster[TERef],0)),"")</f>
        <v>7</v>
      </c>
      <c r="AA26" s="60">
        <f>IFERROR(INDEX(TableTEMaster[Custom],MATCH(TableTECalcPts[[#This Row],[TERef]],TableTEMaster[TERef],0)),"")</f>
        <v>16.188977851703996</v>
      </c>
      <c r="AC26" s="59">
        <f>IFERROR(RANK(TableDSTCalcPts[[#This Row],[Custom]],TableDSTCalcPts[Custom],0),"")</f>
        <v>26</v>
      </c>
      <c r="AD26" s="59">
        <v>24</v>
      </c>
      <c r="AE26" s="59" t="str">
        <f>IFERROR(INDEX(TableDSTMaster[Player],MATCH(TableDSTCalcPts[[#This Row],[DSTRef]],TableDSTMaster[DSTRef],0)),"")</f>
        <v>Raiders</v>
      </c>
      <c r="AF26" s="59">
        <f>IFERROR(INDEX(TableDSTMaster[BYE],MATCH(TableDSTCalcPts[[#This Row],[DSTRef]],TableDSTMaster[DSTRef],0)),"")</f>
        <v>0</v>
      </c>
      <c r="AG26" s="60">
        <f>IFERROR(INDEX(TableDSTMaster[Custom],MATCH(TableDSTCalcPts[[#This Row],[DSTRef]],TableDSTMaster[DSTRef],0)),"")</f>
        <v>107.6</v>
      </c>
      <c r="AI26" s="59" t="s">
        <v>10</v>
      </c>
      <c r="AJ26" s="59">
        <f>IFERROR(RANK(TableWRTECalcPts[[#This Row],[Custom]],TableWRTECalcPts[Custom])+COUNTIF($AP$3:AP26,AP26)-1,"")</f>
        <v>220</v>
      </c>
      <c r="AK26" s="59">
        <v>24</v>
      </c>
      <c r="AL26" s="59" t="str">
        <f>IFERROR(INDEX(TableTEMaster[Player],MATCH(TableWRTECalcPts[[#This Row],[POSRef]],TableTEMaster[TERef],0)),"")</f>
        <v>Luke Schoonmaker</v>
      </c>
      <c r="AM26" s="59" t="str">
        <f>IFERROR(_xlfn.CONCAT(TableWRTECalcPts[[#This Row],[POS]],INDEX(TableTERanks[RK],MATCH(TableWRTECalcPts[[#This Row],[PLAYER]],TableTERanks[Player],0))),"")</f>
        <v>TE66</v>
      </c>
      <c r="AN26" s="59" t="str">
        <f>IFERROR(INDEX(TableTEMaster[TM],MATCH(TableWRTECalcPts[[#This Row],[POSRef]],TableTEMaster[TERef],0)),"")</f>
        <v>DAL</v>
      </c>
      <c r="AO26" s="59">
        <f>IFERROR(INDEX(TableTEMaster[BYE],MATCH(TableWRTECalcPts[[#This Row],[POSRef]],TableTEMaster[TERef],0)),"")</f>
        <v>7</v>
      </c>
      <c r="AP26" s="60">
        <f>IFERROR(INDEX(TableTEMaster[Custom],MATCH(TableWRTECalcPts[[#This Row],[POSRef]],TableTEMaster[TERef],0)),"")</f>
        <v>16.188977851703996</v>
      </c>
    </row>
    <row r="27" spans="1:42" x14ac:dyDescent="0.2">
      <c r="A27" s="61">
        <f>IFERROR(RANK(TableQBCalcPts[[#This Row],[Custom]],TableQBCalcPts[Custom])+COUNTIF($F$3:F27,F27)-1,"")</f>
        <v>64</v>
      </c>
      <c r="B27" s="59">
        <v>25</v>
      </c>
      <c r="C27" s="59" t="str">
        <f>IFERROR(INDEX(TableQBMaster[Player],MATCH(TableQBCalcPts[[#This Row],[QBRef]],TableQBMaster[QBRef],0)),"")</f>
        <v>Case Keenum</v>
      </c>
      <c r="D27" s="59" t="str">
        <f>IFERROR(INDEX(TableQBMaster[TM],MATCH(TableQBCalcPts[[#This Row],[QBRef]],TableQBMaster[QBRef],0)),"")</f>
        <v>HOU</v>
      </c>
      <c r="E27" s="59">
        <f>IFERROR(INDEX(TableQBMaster[BYE],MATCH(TableQBCalcPts[[#This Row],[QBRef]],TableQBMaster[QBRef],0)),"")</f>
        <v>7</v>
      </c>
      <c r="F27" s="60">
        <f>IFERROR(INDEX(TableQBMaster[Custom],MATCH(TableQBCalcPts[[#This Row],[QBRef]],TableQBMaster[QBRef],0)),"")</f>
        <v>2.072494528</v>
      </c>
      <c r="H27" s="59">
        <f>IFERROR(RANK(TableRBCalcPts[[#This Row],[Custom]],TableRBCalcPts[Custom])+COUNTIF($M$3:M27,M27)-1,"")</f>
        <v>95</v>
      </c>
      <c r="I27" s="59">
        <v>25</v>
      </c>
      <c r="J27" s="59" t="str">
        <f>IFERROR(INDEX(TableRBMaster[Player],MATCH(TableRBCalcPts[[#This Row],[RBRef]],TableRBMaster[RBRef],0)),"")</f>
        <v>Chris Evans</v>
      </c>
      <c r="K27" s="59" t="str">
        <f>IFERROR(INDEX(TableRBMaster[TM],MATCH(TableRBCalcPts[[#This Row],[RBRef]],TableRBMaster[RBRef],0)),"")</f>
        <v>CIN</v>
      </c>
      <c r="L27" s="59">
        <f>IFERROR(INDEX(TableRBMaster[BYE],MATCH(TableRBCalcPts[[#This Row],[RBRef]],TableRBMaster[RBRef],0)),"")</f>
        <v>7</v>
      </c>
      <c r="M27" s="60">
        <f>IFERROR(INDEX(TableRBMaster[Custom],MATCH(TableRBCalcPts[[#This Row],[RBRef]],TableRBMaster[RBRef],0)),"")</f>
        <v>21.211792024415999</v>
      </c>
      <c r="O27" s="59">
        <f>IFERROR(RANK(TableWRCalcPts[[#This Row],[Custom]],TableWRCalcPts[Custom])+COUNTIF($T$3:T27,T27)-1,"")</f>
        <v>71</v>
      </c>
      <c r="P27" s="59">
        <v>25</v>
      </c>
      <c r="Q27" s="59" t="str">
        <f>IFERROR(INDEX(TableWRMaster[Player],MATCH(TableWRCalcPts[[#This Row],[WRRef]],TableWRMaster[WRRef],0)),"")</f>
        <v>Adam Thielen</v>
      </c>
      <c r="R27" s="59" t="str">
        <f>IFERROR(INDEX(TableWRMaster[TM],MATCH(TableWRCalcPts[[#This Row],[WRRef]],TableWRMaster[WRRef],0)),"")</f>
        <v>CAR</v>
      </c>
      <c r="S27" s="59">
        <f>IFERROR(INDEX(TableWRMaster[BYE],MATCH(TableWRCalcPts[[#This Row],[WRRef]],TableWRMaster[WRRef],0)),"")</f>
        <v>7</v>
      </c>
      <c r="T27" s="60">
        <f>IFERROR(INDEX(TableWRMaster[Custom],MATCH(TableWRCalcPts[[#This Row],[WRRef]],TableWRMaster[WRRef],0)),"")</f>
        <v>117.82870796050199</v>
      </c>
      <c r="V27" s="59">
        <f>IFERROR(RANK(TableTECalcPts[[#This Row],[Custom]],TableTECalcPts[Custom])+COUNTIF($AA$3:AA27,AA27)-1,"")</f>
        <v>40</v>
      </c>
      <c r="W27" s="59">
        <v>25</v>
      </c>
      <c r="X27" s="59" t="str">
        <f>IFERROR(INDEX(TableTEMaster[Player],MATCH(TableTECalcPts[[#This Row],[TERef]],TableTEMaster[TERef],0)),"")</f>
        <v>Greg Dulcich</v>
      </c>
      <c r="Y27" s="59" t="str">
        <f>IFERROR(INDEX(TableTEMaster[TM],MATCH(TableTECalcPts[[#This Row],[TERef]],TableTEMaster[TERef],0)),"")</f>
        <v>DEN</v>
      </c>
      <c r="Z27" s="59">
        <f>IFERROR(INDEX(TableTEMaster[BYE],MATCH(TableTECalcPts[[#This Row],[TERef]],TableTEMaster[TERef],0)),"")</f>
        <v>9</v>
      </c>
      <c r="AA27" s="60">
        <f>IFERROR(INDEX(TableTEMaster[Custom],MATCH(TableTECalcPts[[#This Row],[TERef]],TableTEMaster[TERef],0)),"")</f>
        <v>52.664460695448014</v>
      </c>
      <c r="AC27" s="59">
        <f>IFERROR(RANK(TableDSTCalcPts[[#This Row],[Custom]],TableDSTCalcPts[Custom],0),"")</f>
        <v>28</v>
      </c>
      <c r="AD27" s="59">
        <v>25</v>
      </c>
      <c r="AE27" s="59" t="str">
        <f>IFERROR(INDEX(TableDSTMaster[Player],MATCH(TableDSTCalcPts[[#This Row],[DSTRef]],TableDSTMaster[DSTRef],0)),"")</f>
        <v>Rams</v>
      </c>
      <c r="AF27" s="59">
        <f>IFERROR(INDEX(TableDSTMaster[BYE],MATCH(TableDSTCalcPts[[#This Row],[DSTRef]],TableDSTMaster[DSTRef],0)),"")</f>
        <v>0</v>
      </c>
      <c r="AG27" s="60">
        <f>IFERROR(INDEX(TableDSTMaster[Custom],MATCH(TableDSTCalcPts[[#This Row],[DSTRef]],TableDSTMaster[DSTRef],0)),"")</f>
        <v>107.15</v>
      </c>
      <c r="AI27" s="59" t="s">
        <v>10</v>
      </c>
      <c r="AJ27" s="59">
        <f>IFERROR(RANK(TableWRTECalcPts[[#This Row],[Custom]],TableWRTECalcPts[Custom])+COUNTIF($AP$3:AP27,AP27)-1,"")</f>
        <v>141</v>
      </c>
      <c r="AK27" s="59">
        <v>25</v>
      </c>
      <c r="AL27" s="59" t="str">
        <f>IFERROR(INDEX(TableTEMaster[Player],MATCH(TableWRTECalcPts[[#This Row],[POSRef]],TableTEMaster[TERef],0)),"")</f>
        <v>Greg Dulcich</v>
      </c>
      <c r="AM27" s="59" t="str">
        <f>IFERROR(_xlfn.CONCAT(TableWRTECalcPts[[#This Row],[POS]],INDEX(TableTERanks[RK],MATCH(TableWRTECalcPts[[#This Row],[PLAYER]],TableTERanks[Player],0))),"")</f>
        <v>TE40</v>
      </c>
      <c r="AN27" s="59" t="str">
        <f>IFERROR(INDEX(TableTEMaster[TM],MATCH(TableWRTECalcPts[[#This Row],[POSRef]],TableTEMaster[TERef],0)),"")</f>
        <v>DEN</v>
      </c>
      <c r="AO27" s="59">
        <f>IFERROR(INDEX(TableTEMaster[BYE],MATCH(TableWRTECalcPts[[#This Row],[POSRef]],TableTEMaster[TERef],0)),"")</f>
        <v>9</v>
      </c>
      <c r="AP27" s="60">
        <f>IFERROR(INDEX(TableTEMaster[Custom],MATCH(TableWRTECalcPts[[#This Row],[POSRef]],TableTEMaster[TERef],0)),"")</f>
        <v>52.664460695448014</v>
      </c>
    </row>
    <row r="28" spans="1:42" x14ac:dyDescent="0.2">
      <c r="A28" s="61">
        <f>IFERROR(RANK(TableQBCalcPts[[#This Row],[Custom]],TableQBCalcPts[Custom])+COUNTIF($F$3:F28,F28)-1,"")</f>
        <v>9</v>
      </c>
      <c r="B28" s="59">
        <v>26</v>
      </c>
      <c r="C28" s="59" t="str">
        <f>IFERROR(INDEX(TableQBMaster[Player],MATCH(TableQBCalcPts[[#This Row],[QBRef]],TableQBMaster[QBRef],0)),"")</f>
        <v>C.J. Stroud</v>
      </c>
      <c r="D28" s="59" t="str">
        <f>IFERROR(INDEX(TableQBMaster[TM],MATCH(TableQBCalcPts[[#This Row],[QBRef]],TableQBMaster[QBRef],0)),"")</f>
        <v>HOU</v>
      </c>
      <c r="E28" s="59">
        <f>IFERROR(INDEX(TableQBMaster[BYE],MATCH(TableQBCalcPts[[#This Row],[QBRef]],TableQBMaster[QBRef],0)),"")</f>
        <v>7</v>
      </c>
      <c r="F28" s="60">
        <f>IFERROR(INDEX(TableQBMaster[Custom],MATCH(TableQBCalcPts[[#This Row],[QBRef]],TableQBMaster[QBRef],0)),"")</f>
        <v>330.83255162880005</v>
      </c>
      <c r="H28" s="59">
        <f>IFERROR(RANK(TableRBCalcPts[[#This Row],[Custom]],TableRBCalcPts[Custom])+COUNTIF($M$3:M28,M28)-1,"")</f>
        <v>19</v>
      </c>
      <c r="I28" s="59">
        <v>26</v>
      </c>
      <c r="J28" s="59" t="str">
        <f>IFERROR(INDEX(TableRBMaster[Player],MATCH(TableRBCalcPts[[#This Row],[RBRef]],TableRBMaster[RBRef],0)),"")</f>
        <v>Nick Chubb</v>
      </c>
      <c r="K28" s="59" t="str">
        <f>IFERROR(INDEX(TableRBMaster[TM],MATCH(TableRBCalcPts[[#This Row],[RBRef]],TableRBMaster[RBRef],0)),"")</f>
        <v>CLE</v>
      </c>
      <c r="L28" s="59">
        <f>IFERROR(INDEX(TableRBMaster[BYE],MATCH(TableRBCalcPts[[#This Row],[RBRef]],TableRBMaster[RBRef],0)),"")</f>
        <v>5</v>
      </c>
      <c r="M28" s="60">
        <f>IFERROR(INDEX(TableRBMaster[Custom],MATCH(TableRBCalcPts[[#This Row],[RBRef]],TableRBMaster[RBRef],0)),"")</f>
        <v>186.48854343350001</v>
      </c>
      <c r="O28" s="59">
        <f>IFERROR(RANK(TableWRCalcPts[[#This Row],[Custom]],TableWRCalcPts[Custom])+COUNTIF($T$3:T28,T28)-1,"")</f>
        <v>125</v>
      </c>
      <c r="P28" s="59">
        <v>26</v>
      </c>
      <c r="Q28" s="59" t="str">
        <f>IFERROR(INDEX(TableWRMaster[Player],MATCH(TableWRCalcPts[[#This Row],[WRRef]],TableWRMaster[WRRef],0)),"")</f>
        <v>Jonathan Mingo</v>
      </c>
      <c r="R28" s="59" t="str">
        <f>IFERROR(INDEX(TableWRMaster[TM],MATCH(TableWRCalcPts[[#This Row],[WRRef]],TableWRMaster[WRRef],0)),"")</f>
        <v>CAR</v>
      </c>
      <c r="S28" s="59">
        <f>IFERROR(INDEX(TableWRMaster[BYE],MATCH(TableWRCalcPts[[#This Row],[WRRef]],TableWRMaster[WRRef],0)),"")</f>
        <v>7</v>
      </c>
      <c r="T28" s="60">
        <f>IFERROR(INDEX(TableWRMaster[Custom],MATCH(TableWRCalcPts[[#This Row],[WRRef]],TableWRMaster[WRRef],0)),"")</f>
        <v>29.630162097535994</v>
      </c>
      <c r="V28" s="59">
        <f>IFERROR(RANK(TableTECalcPts[[#This Row],[Custom]],TableTECalcPts[Custom])+COUNTIF($AA$3:AA28,AA28)-1,"")</f>
        <v>47</v>
      </c>
      <c r="W28" s="59">
        <v>26</v>
      </c>
      <c r="X28" s="59" t="str">
        <f>IFERROR(INDEX(TableTEMaster[Player],MATCH(TableTECalcPts[[#This Row],[TERef]],TableTEMaster[TERef],0)),"")</f>
        <v>Adam Trautman</v>
      </c>
      <c r="Y28" s="59" t="str">
        <f>IFERROR(INDEX(TableTEMaster[TM],MATCH(TableTECalcPts[[#This Row],[TERef]],TableTEMaster[TERef],0)),"")</f>
        <v>DEN</v>
      </c>
      <c r="Z28" s="59">
        <f>IFERROR(INDEX(TableTEMaster[BYE],MATCH(TableTECalcPts[[#This Row],[TERef]],TableTEMaster[TERef],0)),"")</f>
        <v>9</v>
      </c>
      <c r="AA28" s="60">
        <f>IFERROR(INDEX(TableTEMaster[Custom],MATCH(TableTECalcPts[[#This Row],[TERef]],TableTEMaster[TERef],0)),"")</f>
        <v>31.824565295600003</v>
      </c>
      <c r="AC28" s="59">
        <f>IFERROR(RANK(TableDSTCalcPts[[#This Row],[Custom]],TableDSTCalcPts[Custom],0),"")</f>
        <v>3</v>
      </c>
      <c r="AD28" s="59">
        <v>26</v>
      </c>
      <c r="AE28" s="59" t="str">
        <f>IFERROR(INDEX(TableDSTMaster[Player],MATCH(TableDSTCalcPts[[#This Row],[DSTRef]],TableDSTMaster[DSTRef],0)),"")</f>
        <v>Ravens</v>
      </c>
      <c r="AF28" s="59">
        <f>IFERROR(INDEX(TableDSTMaster[BYE],MATCH(TableDSTCalcPts[[#This Row],[DSTRef]],TableDSTMaster[DSTRef],0)),"")</f>
        <v>0</v>
      </c>
      <c r="AG28" s="60">
        <f>IFERROR(INDEX(TableDSTMaster[Custom],MATCH(TableDSTCalcPts[[#This Row],[DSTRef]],TableDSTMaster[DSTRef],0)),"")</f>
        <v>121.85</v>
      </c>
      <c r="AI28" s="59" t="s">
        <v>10</v>
      </c>
      <c r="AJ28" s="59">
        <f>IFERROR(RANK(TableWRTECalcPts[[#This Row],[Custom]],TableWRTECalcPts[Custom])+COUNTIF($AP$3:AP28,AP28)-1,"")</f>
        <v>166</v>
      </c>
      <c r="AK28" s="59">
        <v>26</v>
      </c>
      <c r="AL28" s="59" t="str">
        <f>IFERROR(INDEX(TableTEMaster[Player],MATCH(TableWRTECalcPts[[#This Row],[POSRef]],TableTEMaster[TERef],0)),"")</f>
        <v>Adam Trautman</v>
      </c>
      <c r="AM28" s="59" t="str">
        <f>IFERROR(_xlfn.CONCAT(TableWRTECalcPts[[#This Row],[POS]],INDEX(TableTERanks[RK],MATCH(TableWRTECalcPts[[#This Row],[PLAYER]],TableTERanks[Player],0))),"")</f>
        <v>TE47</v>
      </c>
      <c r="AN28" s="59" t="str">
        <f>IFERROR(INDEX(TableTEMaster[TM],MATCH(TableWRTECalcPts[[#This Row],[POSRef]],TableTEMaster[TERef],0)),"")</f>
        <v>DEN</v>
      </c>
      <c r="AO28" s="59">
        <f>IFERROR(INDEX(TableTEMaster[BYE],MATCH(TableWRTECalcPts[[#This Row],[POSRef]],TableTEMaster[TERef],0)),"")</f>
        <v>9</v>
      </c>
      <c r="AP28" s="60">
        <f>IFERROR(INDEX(TableTEMaster[Custom],MATCH(TableWRTECalcPts[[#This Row],[POSRef]],TableTEMaster[TERef],0)),"")</f>
        <v>31.824565295600003</v>
      </c>
    </row>
    <row r="29" spans="1:42" x14ac:dyDescent="0.2">
      <c r="A29" s="61">
        <f>IFERROR(RANK(TableQBCalcPts[[#This Row],[Custom]],TableQBCalcPts[Custom])+COUNTIF($F$3:F29,F29)-1,"")</f>
        <v>5</v>
      </c>
      <c r="B29" s="59">
        <v>27</v>
      </c>
      <c r="C29" s="59" t="str">
        <f>IFERROR(INDEX(TableQBMaster[Player],MATCH(TableQBCalcPts[[#This Row],[QBRef]],TableQBMaster[QBRef],0)),"")</f>
        <v>Anthony Richardson</v>
      </c>
      <c r="D29" s="59" t="str">
        <f>IFERROR(INDEX(TableQBMaster[TM],MATCH(TableQBCalcPts[[#This Row],[QBRef]],TableQBMaster[QBRef],0)),"")</f>
        <v>IND</v>
      </c>
      <c r="E29" s="59">
        <f>IFERROR(INDEX(TableQBMaster[BYE],MATCH(TableQBCalcPts[[#This Row],[QBRef]],TableQBMaster[QBRef],0)),"")</f>
        <v>11</v>
      </c>
      <c r="F29" s="60">
        <f>IFERROR(INDEX(TableQBMaster[Custom],MATCH(TableQBCalcPts[[#This Row],[QBRef]],TableQBMaster[QBRef],0)),"")</f>
        <v>337.949489218</v>
      </c>
      <c r="H29" s="59">
        <f>IFERROR(RANK(TableRBCalcPts[[#This Row],[Custom]],TableRBCalcPts[Custom])+COUNTIF($M$3:M29,M29)-1,"")</f>
        <v>44</v>
      </c>
      <c r="I29" s="59">
        <v>27</v>
      </c>
      <c r="J29" s="59" t="str">
        <f>IFERROR(INDEX(TableRBMaster[Player],MATCH(TableRBCalcPts[[#This Row],[RBRef]],TableRBMaster[RBRef],0)),"")</f>
        <v>Jerome Ford</v>
      </c>
      <c r="K29" s="59" t="str">
        <f>IFERROR(INDEX(TableRBMaster[TM],MATCH(TableRBCalcPts[[#This Row],[RBRef]],TableRBMaster[RBRef],0)),"")</f>
        <v>CLE</v>
      </c>
      <c r="L29" s="59">
        <f>IFERROR(INDEX(TableRBMaster[BYE],MATCH(TableRBCalcPts[[#This Row],[RBRef]],TableRBMaster[RBRef],0)),"")</f>
        <v>5</v>
      </c>
      <c r="M29" s="60">
        <f>IFERROR(INDEX(TableRBMaster[Custom],MATCH(TableRBCalcPts[[#This Row],[RBRef]],TableRBMaster[RBRef],0)),"")</f>
        <v>112.71807855</v>
      </c>
      <c r="O29" s="59">
        <f>IFERROR(RANK(TableWRCalcPts[[#This Row],[Custom]],TableWRCalcPts[Custom])+COUNTIF($T$3:T29,T29)-1,"")</f>
        <v>128</v>
      </c>
      <c r="P29" s="59">
        <v>27</v>
      </c>
      <c r="Q29" s="59" t="str">
        <f>IFERROR(INDEX(TableWRMaster[Player],MATCH(TableWRCalcPts[[#This Row],[WRRef]],TableWRMaster[WRRef],0)),"")</f>
        <v>Terrace Marshall</v>
      </c>
      <c r="R29" s="59" t="str">
        <f>IFERROR(INDEX(TableWRMaster[TM],MATCH(TableWRCalcPts[[#This Row],[WRRef]],TableWRMaster[WRRef],0)),"")</f>
        <v>CAR</v>
      </c>
      <c r="S29" s="59">
        <f>IFERROR(INDEX(TableWRMaster[BYE],MATCH(TableWRCalcPts[[#This Row],[WRRef]],TableWRMaster[WRRef],0)),"")</f>
        <v>7</v>
      </c>
      <c r="T29" s="60">
        <f>IFERROR(INDEX(TableWRMaster[Custom],MATCH(TableWRCalcPts[[#This Row],[WRRef]],TableWRMaster[WRRef],0)),"")</f>
        <v>28.987005173839997</v>
      </c>
      <c r="V29" s="59">
        <f>IFERROR(RANK(TableTECalcPts[[#This Row],[Custom]],TableTECalcPts[Custom])+COUNTIF($AA$3:AA29,AA29)-1,"")</f>
        <v>2</v>
      </c>
      <c r="W29" s="59">
        <v>27</v>
      </c>
      <c r="X29" s="59" t="str">
        <f>IFERROR(INDEX(TableTEMaster[Player],MATCH(TableTECalcPts[[#This Row],[TERef]],TableTEMaster[TERef],0)),"")</f>
        <v>Sam LaPorta</v>
      </c>
      <c r="Y29" s="59" t="str">
        <f>IFERROR(INDEX(TableTEMaster[TM],MATCH(TableTECalcPts[[#This Row],[TERef]],TableTEMaster[TERef],0)),"")</f>
        <v>DET</v>
      </c>
      <c r="Z29" s="59">
        <f>IFERROR(INDEX(TableTEMaster[BYE],MATCH(TableTECalcPts[[#This Row],[TERef]],TableTEMaster[TERef],0)),"")</f>
        <v>9</v>
      </c>
      <c r="AA29" s="60">
        <f>IFERROR(INDEX(TableTEMaster[Custom],MATCH(TableTECalcPts[[#This Row],[TERef]],TableTEMaster[TERef],0)),"")</f>
        <v>183.65560471586994</v>
      </c>
      <c r="AC29" s="59">
        <f>IFERROR(RANK(TableDSTCalcPts[[#This Row],[Custom]],TableDSTCalcPts[Custom],0),"")</f>
        <v>23</v>
      </c>
      <c r="AD29" s="59">
        <v>27</v>
      </c>
      <c r="AE29" s="59" t="str">
        <f>IFERROR(INDEX(TableDSTMaster[Player],MATCH(TableDSTCalcPts[[#This Row],[DSTRef]],TableDSTMaster[DSTRef],0)),"")</f>
        <v>Saints</v>
      </c>
      <c r="AF29" s="59">
        <f>IFERROR(INDEX(TableDSTMaster[BYE],MATCH(TableDSTCalcPts[[#This Row],[DSTRef]],TableDSTMaster[DSTRef],0)),"")</f>
        <v>0</v>
      </c>
      <c r="AG29" s="60">
        <f>IFERROR(INDEX(TableDSTMaster[Custom],MATCH(TableDSTCalcPts[[#This Row],[DSTRef]],TableDSTMaster[DSTRef],0)),"")</f>
        <v>112.5</v>
      </c>
      <c r="AI29" s="59" t="s">
        <v>10</v>
      </c>
      <c r="AJ29" s="59">
        <f>IFERROR(RANK(TableWRTECalcPts[[#This Row],[Custom]],TableWRTECalcPts[Custom])+COUNTIF($AP$3:AP29,AP29)-1,"")</f>
        <v>25</v>
      </c>
      <c r="AK29" s="59">
        <v>27</v>
      </c>
      <c r="AL29" s="59" t="str">
        <f>IFERROR(INDEX(TableTEMaster[Player],MATCH(TableWRTECalcPts[[#This Row],[POSRef]],TableTEMaster[TERef],0)),"")</f>
        <v>Sam LaPorta</v>
      </c>
      <c r="AM29" s="59" t="str">
        <f>IFERROR(_xlfn.CONCAT(TableWRTECalcPts[[#This Row],[POS]],INDEX(TableTERanks[RK],MATCH(TableWRTECalcPts[[#This Row],[PLAYER]],TableTERanks[Player],0))),"")</f>
        <v>TE2</v>
      </c>
      <c r="AN29" s="59" t="str">
        <f>IFERROR(INDEX(TableTEMaster[TM],MATCH(TableWRTECalcPts[[#This Row],[POSRef]],TableTEMaster[TERef],0)),"")</f>
        <v>DET</v>
      </c>
      <c r="AO29" s="59">
        <f>IFERROR(INDEX(TableTEMaster[BYE],MATCH(TableWRTECalcPts[[#This Row],[POSRef]],TableTEMaster[TERef],0)),"")</f>
        <v>9</v>
      </c>
      <c r="AP29" s="60">
        <f>IFERROR(INDEX(TableTEMaster[Custom],MATCH(TableWRTECalcPts[[#This Row],[POSRef]],TableTEMaster[TERef],0)),"")</f>
        <v>183.65560471586994</v>
      </c>
    </row>
    <row r="30" spans="1:42" x14ac:dyDescent="0.2">
      <c r="A30" s="61">
        <f>IFERROR(RANK(TableQBCalcPts[[#This Row],[Custom]],TableQBCalcPts[Custom])+COUNTIF($F$3:F30,F30)-1,"")</f>
        <v>43</v>
      </c>
      <c r="B30" s="59">
        <v>28</v>
      </c>
      <c r="C30" s="59" t="str">
        <f>IFERROR(INDEX(TableQBMaster[Player],MATCH(TableQBCalcPts[[#This Row],[QBRef]],TableQBMaster[QBRef],0)),"")</f>
        <v>Joe Flacco</v>
      </c>
      <c r="D30" s="59" t="str">
        <f>IFERROR(INDEX(TableQBMaster[TM],MATCH(TableQBCalcPts[[#This Row],[QBRef]],TableQBMaster[QBRef],0)),"")</f>
        <v>IND</v>
      </c>
      <c r="E30" s="59">
        <f>IFERROR(INDEX(TableQBMaster[BYE],MATCH(TableQBCalcPts[[#This Row],[QBRef]],TableQBMaster[QBRef],0)),"")</f>
        <v>11</v>
      </c>
      <c r="F30" s="60">
        <f>IFERROR(INDEX(TableQBMaster[Custom],MATCH(TableQBCalcPts[[#This Row],[QBRef]],TableQBMaster[QBRef],0)),"")</f>
        <v>11.991640597200011</v>
      </c>
      <c r="H30" s="59">
        <f>IFERROR(RANK(TableRBCalcPts[[#This Row],[Custom]],TableRBCalcPts[Custom])+COUNTIF($M$3:M30,M30)-1,"")</f>
        <v>73</v>
      </c>
      <c r="I30" s="59">
        <v>28</v>
      </c>
      <c r="J30" s="59" t="str">
        <f>IFERROR(INDEX(TableRBMaster[Player],MATCH(TableRBCalcPts[[#This Row],[RBRef]],TableRBMaster[RBRef],0)),"")</f>
        <v>D'Onta Foreman</v>
      </c>
      <c r="K30" s="59" t="str">
        <f>IFERROR(INDEX(TableRBMaster[TM],MATCH(TableRBCalcPts[[#This Row],[RBRef]],TableRBMaster[RBRef],0)),"")</f>
        <v>CLE</v>
      </c>
      <c r="L30" s="59">
        <f>IFERROR(INDEX(TableRBMaster[BYE],MATCH(TableRBCalcPts[[#This Row],[RBRef]],TableRBMaster[RBRef],0)),"")</f>
        <v>5</v>
      </c>
      <c r="M30" s="60">
        <f>IFERROR(INDEX(TableRBMaster[Custom],MATCH(TableRBCalcPts[[#This Row],[RBRef]],TableRBMaster[RBRef],0)),"")</f>
        <v>49.677862080000004</v>
      </c>
      <c r="O30" s="59">
        <f>IFERROR(RANK(TableWRCalcPts[[#This Row],[Custom]],TableWRCalcPts[Custom])+COUNTIF($T$3:T30,T30)-1,"")</f>
        <v>168</v>
      </c>
      <c r="P30" s="59">
        <v>28</v>
      </c>
      <c r="Q30" s="59" t="str">
        <f>IFERROR(INDEX(TableWRMaster[Player],MATCH(TableWRCalcPts[[#This Row],[WRRef]],TableWRMaster[WRRef],0)),"")</f>
        <v>David Moore</v>
      </c>
      <c r="R30" s="59" t="str">
        <f>IFERROR(INDEX(TableWRMaster[TM],MATCH(TableWRCalcPts[[#This Row],[WRRef]],TableWRMaster[WRRef],0)),"")</f>
        <v>CAR</v>
      </c>
      <c r="S30" s="59">
        <f>IFERROR(INDEX(TableWRMaster[BYE],MATCH(TableWRCalcPts[[#This Row],[WRRef]],TableWRMaster[WRRef],0)),"")</f>
        <v>7</v>
      </c>
      <c r="T30" s="60">
        <f>IFERROR(INDEX(TableWRMaster[Custom],MATCH(TableWRCalcPts[[#This Row],[WRRef]],TableWRMaster[WRRef],0)),"")</f>
        <v>12.832094951199998</v>
      </c>
      <c r="V30" s="59">
        <f>IFERROR(RANK(TableTECalcPts[[#This Row],[Custom]],TableTECalcPts[Custom])+COUNTIF($AA$3:AA30,AA30)-1,"")</f>
        <v>63</v>
      </c>
      <c r="W30" s="59">
        <v>28</v>
      </c>
      <c r="X30" s="59" t="str">
        <f>IFERROR(INDEX(TableTEMaster[Player],MATCH(TableTECalcPts[[#This Row],[TERef]],TableTEMaster[TERef],0)),"")</f>
        <v>James Mitchell</v>
      </c>
      <c r="Y30" s="59" t="str">
        <f>IFERROR(INDEX(TableTEMaster[TM],MATCH(TableTECalcPts[[#This Row],[TERef]],TableTEMaster[TERef],0)),"")</f>
        <v>DET</v>
      </c>
      <c r="Z30" s="59">
        <f>IFERROR(INDEX(TableTEMaster[BYE],MATCH(TableTECalcPts[[#This Row],[TERef]],TableTEMaster[TERef],0)),"")</f>
        <v>9</v>
      </c>
      <c r="AA30" s="60">
        <f>IFERROR(INDEX(TableTEMaster[Custom],MATCH(TableTECalcPts[[#This Row],[TERef]],TableTEMaster[TERef],0)),"")</f>
        <v>17.717118155099996</v>
      </c>
      <c r="AC30" s="59">
        <f>IFERROR(RANK(TableDSTCalcPts[[#This Row],[Custom]],TableDSTCalcPts[Custom],0),"")</f>
        <v>22</v>
      </c>
      <c r="AD30" s="59">
        <v>28</v>
      </c>
      <c r="AE30" s="59" t="str">
        <f>IFERROR(INDEX(TableDSTMaster[Player],MATCH(TableDSTCalcPts[[#This Row],[DSTRef]],TableDSTMaster[DSTRef],0)),"")</f>
        <v>Seahawks</v>
      </c>
      <c r="AF30" s="59">
        <f>IFERROR(INDEX(TableDSTMaster[BYE],MATCH(TableDSTCalcPts[[#This Row],[DSTRef]],TableDSTMaster[DSTRef],0)),"")</f>
        <v>0</v>
      </c>
      <c r="AG30" s="60">
        <f>IFERROR(INDEX(TableDSTMaster[Custom],MATCH(TableDSTCalcPts[[#This Row],[DSTRef]],TableDSTMaster[DSTRef],0)),"")</f>
        <v>113.20000000000002</v>
      </c>
      <c r="AI30" s="59" t="s">
        <v>10</v>
      </c>
      <c r="AJ30" s="59">
        <f>IFERROR(RANK(TableWRTECalcPts[[#This Row],[Custom]],TableWRTECalcPts[Custom])+COUNTIF($AP$3:AP30,AP30)-1,"")</f>
        <v>215</v>
      </c>
      <c r="AK30" s="59">
        <v>28</v>
      </c>
      <c r="AL30" s="59" t="str">
        <f>IFERROR(INDEX(TableTEMaster[Player],MATCH(TableWRTECalcPts[[#This Row],[POSRef]],TableTEMaster[TERef],0)),"")</f>
        <v>James Mitchell</v>
      </c>
      <c r="AM30" s="59" t="str">
        <f>IFERROR(_xlfn.CONCAT(TableWRTECalcPts[[#This Row],[POS]],INDEX(TableTERanks[RK],MATCH(TableWRTECalcPts[[#This Row],[PLAYER]],TableTERanks[Player],0))),"")</f>
        <v>TE63</v>
      </c>
      <c r="AN30" s="59" t="str">
        <f>IFERROR(INDEX(TableTEMaster[TM],MATCH(TableWRTECalcPts[[#This Row],[POSRef]],TableTEMaster[TERef],0)),"")</f>
        <v>DET</v>
      </c>
      <c r="AO30" s="59">
        <f>IFERROR(INDEX(TableTEMaster[BYE],MATCH(TableWRTECalcPts[[#This Row],[POSRef]],TableTEMaster[TERef],0)),"")</f>
        <v>9</v>
      </c>
      <c r="AP30" s="60">
        <f>IFERROR(INDEX(TableTEMaster[Custom],MATCH(TableWRTECalcPts[[#This Row],[POSRef]],TableTEMaster[TERef],0)),"")</f>
        <v>17.717118155099996</v>
      </c>
    </row>
    <row r="31" spans="1:42" x14ac:dyDescent="0.2">
      <c r="A31" s="61">
        <f>IFERROR(RANK(TableQBCalcPts[[#This Row],[Custom]],TableQBCalcPts[Custom])+COUNTIF($F$3:F31,F31)-1,"")</f>
        <v>14</v>
      </c>
      <c r="B31" s="59">
        <v>29</v>
      </c>
      <c r="C31" s="59" t="str">
        <f>IFERROR(INDEX(TableQBMaster[Player],MATCH(TableQBCalcPts[[#This Row],[QBRef]],TableQBMaster[QBRef],0)),"")</f>
        <v>Trevor Lawrence</v>
      </c>
      <c r="D31" s="59" t="str">
        <f>IFERROR(INDEX(TableQBMaster[TM],MATCH(TableQBCalcPts[[#This Row],[QBRef]],TableQBMaster[QBRef],0)),"")</f>
        <v>JAX</v>
      </c>
      <c r="E31" s="59">
        <f>IFERROR(INDEX(TableQBMaster[BYE],MATCH(TableQBCalcPts[[#This Row],[QBRef]],TableQBMaster[QBRef],0)),"")</f>
        <v>9</v>
      </c>
      <c r="F31" s="60">
        <f>IFERROR(INDEX(TableQBMaster[Custom],MATCH(TableQBCalcPts[[#This Row],[QBRef]],TableQBMaster[QBRef],0)),"")</f>
        <v>309.60138209180002</v>
      </c>
      <c r="H31" s="59">
        <f>IFERROR(RANK(TableRBCalcPts[[#This Row],[Custom]],TableRBCalcPts[Custom])+COUNTIF($M$3:M31,M31)-1,"")</f>
        <v>22</v>
      </c>
      <c r="I31" s="59">
        <v>29</v>
      </c>
      <c r="J31" s="59" t="str">
        <f>IFERROR(INDEX(TableRBMaster[Player],MATCH(TableRBCalcPts[[#This Row],[RBRef]],TableRBMaster[RBRef],0)),"")</f>
        <v>Ezekiel Elliott</v>
      </c>
      <c r="K31" s="59" t="str">
        <f>IFERROR(INDEX(TableRBMaster[TM],MATCH(TableRBCalcPts[[#This Row],[RBRef]],TableRBMaster[RBRef],0)),"")</f>
        <v>DAL</v>
      </c>
      <c r="L31" s="59">
        <f>IFERROR(INDEX(TableRBMaster[BYE],MATCH(TableRBCalcPts[[#This Row],[RBRef]],TableRBMaster[RBRef],0)),"")</f>
        <v>7</v>
      </c>
      <c r="M31" s="60">
        <f>IFERROR(INDEX(TableRBMaster[Custom],MATCH(TableRBCalcPts[[#This Row],[RBRef]],TableRBMaster[RBRef],0)),"")</f>
        <v>182.70860020896004</v>
      </c>
      <c r="O31" s="59">
        <f>IFERROR(RANK(TableWRCalcPts[[#This Row],[Custom]],TableWRCalcPts[Custom])+COUNTIF($T$3:T31,T31)-1,"")</f>
        <v>19</v>
      </c>
      <c r="P31" s="59">
        <v>29</v>
      </c>
      <c r="Q31" s="59" t="str">
        <f>IFERROR(INDEX(TableWRMaster[Player],MATCH(TableWRCalcPts[[#This Row],[WRRef]],TableWRMaster[WRRef],0)),"")</f>
        <v>DJ Moore</v>
      </c>
      <c r="R31" s="59" t="str">
        <f>IFERROR(INDEX(TableWRMaster[TM],MATCH(TableWRCalcPts[[#This Row],[WRRef]],TableWRMaster[WRRef],0)),"")</f>
        <v>CHI</v>
      </c>
      <c r="S31" s="59">
        <f>IFERROR(INDEX(TableWRMaster[BYE],MATCH(TableWRCalcPts[[#This Row],[WRRef]],TableWRMaster[WRRef],0)),"")</f>
        <v>13</v>
      </c>
      <c r="T31" s="60">
        <f>IFERROR(INDEX(TableWRMaster[Custom],MATCH(TableWRCalcPts[[#This Row],[WRRef]],TableWRMaster[WRRef],0)),"")</f>
        <v>190.97919337139996</v>
      </c>
      <c r="V31" s="59">
        <f>IFERROR(RANK(TableTECalcPts[[#This Row],[Custom]],TableTECalcPts[Custom])+COUNTIF($AA$3:AA31,AA31)-1,"")</f>
        <v>72</v>
      </c>
      <c r="W31" s="59">
        <v>29</v>
      </c>
      <c r="X31" s="59" t="str">
        <f>IFERROR(INDEX(TableTEMaster[Player],MATCH(TableTECalcPts[[#This Row],[TERef]],TableTEMaster[TERef],0)),"")</f>
        <v>Brock Wright</v>
      </c>
      <c r="Y31" s="59" t="str">
        <f>IFERROR(INDEX(TableTEMaster[TM],MATCH(TableTECalcPts[[#This Row],[TERef]],TableTEMaster[TERef],0)),"")</f>
        <v>DET</v>
      </c>
      <c r="Z31" s="59">
        <f>IFERROR(INDEX(TableTEMaster[BYE],MATCH(TableTECalcPts[[#This Row],[TERef]],TableTEMaster[TERef],0)),"")</f>
        <v>9</v>
      </c>
      <c r="AA31" s="60">
        <f>IFERROR(INDEX(TableTEMaster[Custom],MATCH(TableTECalcPts[[#This Row],[TERef]],TableTEMaster[TERef],0)),"")</f>
        <v>14.383572453432</v>
      </c>
      <c r="AC31" s="59">
        <f>IFERROR(RANK(TableDSTCalcPts[[#This Row],[Custom]],TableDSTCalcPts[Custom],0),"")</f>
        <v>15</v>
      </c>
      <c r="AD31" s="59">
        <v>29</v>
      </c>
      <c r="AE31" s="59" t="str">
        <f>IFERROR(INDEX(TableDSTMaster[Player],MATCH(TableDSTCalcPts[[#This Row],[DSTRef]],TableDSTMaster[DSTRef],0)),"")</f>
        <v>Steelers</v>
      </c>
      <c r="AF31" s="59">
        <f>IFERROR(INDEX(TableDSTMaster[BYE],MATCH(TableDSTCalcPts[[#This Row],[DSTRef]],TableDSTMaster[DSTRef],0)),"")</f>
        <v>0</v>
      </c>
      <c r="AG31" s="60">
        <f>IFERROR(INDEX(TableDSTMaster[Custom],MATCH(TableDSTCalcPts[[#This Row],[DSTRef]],TableDSTMaster[DSTRef],0)),"")</f>
        <v>115.99999999999999</v>
      </c>
      <c r="AI31" s="59" t="s">
        <v>10</v>
      </c>
      <c r="AJ31" s="59">
        <f>IFERROR(RANK(TableWRTECalcPts[[#This Row],[Custom]],TableWRTECalcPts[Custom])+COUNTIF($AP$3:AP31,AP31)-1,"")</f>
        <v>232</v>
      </c>
      <c r="AK31" s="59">
        <v>29</v>
      </c>
      <c r="AL31" s="59" t="str">
        <f>IFERROR(INDEX(TableTEMaster[Player],MATCH(TableWRTECalcPts[[#This Row],[POSRef]],TableTEMaster[TERef],0)),"")</f>
        <v>Brock Wright</v>
      </c>
      <c r="AM31" s="59" t="str">
        <f>IFERROR(_xlfn.CONCAT(TableWRTECalcPts[[#This Row],[POS]],INDEX(TableTERanks[RK],MATCH(TableWRTECalcPts[[#This Row],[PLAYER]],TableTERanks[Player],0))),"")</f>
        <v>TE72</v>
      </c>
      <c r="AN31" s="59" t="str">
        <f>IFERROR(INDEX(TableTEMaster[TM],MATCH(TableWRTECalcPts[[#This Row],[POSRef]],TableTEMaster[TERef],0)),"")</f>
        <v>DET</v>
      </c>
      <c r="AO31" s="59">
        <f>IFERROR(INDEX(TableTEMaster[BYE],MATCH(TableWRTECalcPts[[#This Row],[POSRef]],TableTEMaster[TERef],0)),"")</f>
        <v>9</v>
      </c>
      <c r="AP31" s="60">
        <f>IFERROR(INDEX(TableTEMaster[Custom],MATCH(TableWRTECalcPts[[#This Row],[POSRef]],TableTEMaster[TERef],0)),"")</f>
        <v>14.383572453432</v>
      </c>
    </row>
    <row r="32" spans="1:42" x14ac:dyDescent="0.2">
      <c r="A32" s="61">
        <f>IFERROR(RANK(TableQBCalcPts[[#This Row],[Custom]],TableQBCalcPts[Custom])+COUNTIF($F$3:F32,F32)-1,"")</f>
        <v>59</v>
      </c>
      <c r="B32" s="59">
        <v>30</v>
      </c>
      <c r="C32" s="59" t="str">
        <f>IFERROR(INDEX(TableQBMaster[Player],MATCH(TableQBCalcPts[[#This Row],[QBRef]],TableQBMaster[QBRef],0)),"")</f>
        <v>Mac Jones</v>
      </c>
      <c r="D32" s="59" t="str">
        <f>IFERROR(INDEX(TableQBMaster[TM],MATCH(TableQBCalcPts[[#This Row],[QBRef]],TableQBMaster[QBRef],0)),"")</f>
        <v>JAX</v>
      </c>
      <c r="E32" s="59">
        <f>IFERROR(INDEX(TableQBMaster[BYE],MATCH(TableQBCalcPts[[#This Row],[QBRef]],TableQBMaster[QBRef],0)),"")</f>
        <v>9</v>
      </c>
      <c r="F32" s="60">
        <f>IFERROR(INDEX(TableQBMaster[Custom],MATCH(TableQBCalcPts[[#This Row],[QBRef]],TableQBMaster[QBRef],0)),"")</f>
        <v>2.5996852557000025</v>
      </c>
      <c r="H32" s="59">
        <f>IFERROR(RANK(TableRBCalcPts[[#This Row],[Custom]],TableRBCalcPts[Custom])+COUNTIF($M$3:M32,M32)-1,"")</f>
        <v>39</v>
      </c>
      <c r="I32" s="59">
        <v>30</v>
      </c>
      <c r="J32" s="59" t="str">
        <f>IFERROR(INDEX(TableRBMaster[Player],MATCH(TableRBCalcPts[[#This Row],[RBRef]],TableRBMaster[RBRef],0)),"")</f>
        <v>Rico Dowdle</v>
      </c>
      <c r="K32" s="59" t="str">
        <f>IFERROR(INDEX(TableRBMaster[TM],MATCH(TableRBCalcPts[[#This Row],[RBRef]],TableRBMaster[RBRef],0)),"")</f>
        <v>DAL</v>
      </c>
      <c r="L32" s="59">
        <f>IFERROR(INDEX(TableRBMaster[BYE],MATCH(TableRBCalcPts[[#This Row],[RBRef]],TableRBMaster[RBRef],0)),"")</f>
        <v>7</v>
      </c>
      <c r="M32" s="60">
        <f>IFERROR(INDEX(TableRBMaster[Custom],MATCH(TableRBCalcPts[[#This Row],[RBRef]],TableRBMaster[RBRef],0)),"")</f>
        <v>122.60550555187201</v>
      </c>
      <c r="O32" s="59">
        <f>IFERROR(RANK(TableWRCalcPts[[#This Row],[Custom]],TableWRCalcPts[Custom])+COUNTIF($T$3:T32,T32)-1,"")</f>
        <v>52</v>
      </c>
      <c r="P32" s="59">
        <v>30</v>
      </c>
      <c r="Q32" s="59" t="str">
        <f>IFERROR(INDEX(TableWRMaster[Player],MATCH(TableWRCalcPts[[#This Row],[WRRef]],TableWRMaster[WRRef],0)),"")</f>
        <v>Keenan Allen</v>
      </c>
      <c r="R32" s="59" t="str">
        <f>IFERROR(INDEX(TableWRMaster[TM],MATCH(TableWRCalcPts[[#This Row],[WRRef]],TableWRMaster[WRRef],0)),"")</f>
        <v>CHI</v>
      </c>
      <c r="S32" s="59">
        <f>IFERROR(INDEX(TableWRMaster[BYE],MATCH(TableWRCalcPts[[#This Row],[WRRef]],TableWRMaster[WRRef],0)),"")</f>
        <v>13</v>
      </c>
      <c r="T32" s="60">
        <f>IFERROR(INDEX(TableWRMaster[Custom],MATCH(TableWRCalcPts[[#This Row],[WRRef]],TableWRMaster[WRRef],0)),"")</f>
        <v>151.05445991999994</v>
      </c>
      <c r="V32" s="59">
        <f>IFERROR(RANK(TableTECalcPts[[#This Row],[Custom]],TableTECalcPts[Custom])+COUNTIF($AA$3:AA32,AA32)-1,"")</f>
        <v>18</v>
      </c>
      <c r="W32" s="59">
        <v>30</v>
      </c>
      <c r="X32" s="59" t="str">
        <f>IFERROR(INDEX(TableTEMaster[Player],MATCH(TableTECalcPts[[#This Row],[TERef]],TableTEMaster[TERef],0)),"")</f>
        <v>Luke Musgrave</v>
      </c>
      <c r="Y32" s="59" t="str">
        <f>IFERROR(INDEX(TableTEMaster[TM],MATCH(TableTECalcPts[[#This Row],[TERef]],TableTEMaster[TERef],0)),"")</f>
        <v>GB</v>
      </c>
      <c r="Z32" s="59">
        <f>IFERROR(INDEX(TableTEMaster[BYE],MATCH(TableTECalcPts[[#This Row],[TERef]],TableTEMaster[TERef],0)),"")</f>
        <v>6</v>
      </c>
      <c r="AA32" s="60">
        <f>IFERROR(INDEX(TableTEMaster[Custom],MATCH(TableTECalcPts[[#This Row],[TERef]],TableTEMaster[TERef],0)),"")</f>
        <v>99.969667209216013</v>
      </c>
      <c r="AC32" s="59">
        <f>IFERROR(RANK(TableDSTCalcPts[[#This Row],[Custom]],TableDSTCalcPts[Custom],0),"")</f>
        <v>11</v>
      </c>
      <c r="AD32" s="59">
        <v>30</v>
      </c>
      <c r="AE32" s="59" t="str">
        <f>IFERROR(INDEX(TableDSTMaster[Player],MATCH(TableDSTCalcPts[[#This Row],[DSTRef]],TableDSTMaster[DSTRef],0)),"")</f>
        <v>Texans</v>
      </c>
      <c r="AF32" s="59">
        <f>IFERROR(INDEX(TableDSTMaster[BYE],MATCH(TableDSTCalcPts[[#This Row],[DSTRef]],TableDSTMaster[DSTRef],0)),"")</f>
        <v>0</v>
      </c>
      <c r="AG32" s="60">
        <f>IFERROR(INDEX(TableDSTMaster[Custom],MATCH(TableDSTCalcPts[[#This Row],[DSTRef]],TableDSTMaster[DSTRef],0)),"")</f>
        <v>117.1</v>
      </c>
      <c r="AI32" s="59" t="s">
        <v>10</v>
      </c>
      <c r="AJ32" s="59">
        <f>IFERROR(RANK(TableWRTECalcPts[[#This Row],[Custom]],TableWRTECalcPts[Custom])+COUNTIF($AP$3:AP32,AP32)-1,"")</f>
        <v>95</v>
      </c>
      <c r="AK32" s="59">
        <v>30</v>
      </c>
      <c r="AL32" s="59" t="str">
        <f>IFERROR(INDEX(TableTEMaster[Player],MATCH(TableWRTECalcPts[[#This Row],[POSRef]],TableTEMaster[TERef],0)),"")</f>
        <v>Luke Musgrave</v>
      </c>
      <c r="AM32" s="59" t="str">
        <f>IFERROR(_xlfn.CONCAT(TableWRTECalcPts[[#This Row],[POS]],INDEX(TableTERanks[RK],MATCH(TableWRTECalcPts[[#This Row],[PLAYER]],TableTERanks[Player],0))),"")</f>
        <v>TE18</v>
      </c>
      <c r="AN32" s="59" t="str">
        <f>IFERROR(INDEX(TableTEMaster[TM],MATCH(TableWRTECalcPts[[#This Row],[POSRef]],TableTEMaster[TERef],0)),"")</f>
        <v>GB</v>
      </c>
      <c r="AO32" s="59">
        <f>IFERROR(INDEX(TableTEMaster[BYE],MATCH(TableWRTECalcPts[[#This Row],[POSRef]],TableTEMaster[TERef],0)),"")</f>
        <v>6</v>
      </c>
      <c r="AP32" s="60">
        <f>IFERROR(INDEX(TableTEMaster[Custom],MATCH(TableWRTECalcPts[[#This Row],[POSRef]],TableTEMaster[TERef],0)),"")</f>
        <v>99.969667209216013</v>
      </c>
    </row>
    <row r="33" spans="1:42" x14ac:dyDescent="0.2">
      <c r="A33" s="61">
        <f>IFERROR(RANK(TableQBCalcPts[[#This Row],[Custom]],TableQBCalcPts[Custom])+COUNTIF($F$3:F33,F33)-1,"")</f>
        <v>4</v>
      </c>
      <c r="B33" s="59">
        <v>31</v>
      </c>
      <c r="C33" s="59" t="str">
        <f>IFERROR(INDEX(TableQBMaster[Player],MATCH(TableQBCalcPts[[#This Row],[QBRef]],TableQBMaster[QBRef],0)),"")</f>
        <v>Patrick Mahomes</v>
      </c>
      <c r="D33" s="59" t="str">
        <f>IFERROR(INDEX(TableQBMaster[TM],MATCH(TableQBCalcPts[[#This Row],[QBRef]],TableQBMaster[QBRef],0)),"")</f>
        <v>KC</v>
      </c>
      <c r="E33" s="59">
        <f>IFERROR(INDEX(TableQBMaster[BYE],MATCH(TableQBCalcPts[[#This Row],[QBRef]],TableQBMaster[QBRef],0)),"")</f>
        <v>10</v>
      </c>
      <c r="F33" s="60">
        <f>IFERROR(INDEX(TableQBMaster[Custom],MATCH(TableQBCalcPts[[#This Row],[QBRef]],TableQBMaster[QBRef],0)),"")</f>
        <v>366.75681728383995</v>
      </c>
      <c r="H33" s="59">
        <f>IFERROR(RANK(TableRBCalcPts[[#This Row],[Custom]],TableRBCalcPts[Custom])+COUNTIF($M$3:M33,M33)-1,"")</f>
        <v>94</v>
      </c>
      <c r="I33" s="59">
        <v>31</v>
      </c>
      <c r="J33" s="59" t="str">
        <f>IFERROR(INDEX(TableRBMaster[Player],MATCH(TableRBCalcPts[[#This Row],[RBRef]],TableRBMaster[RBRef],0)),"")</f>
        <v>Royce Freeman</v>
      </c>
      <c r="K33" s="59" t="str">
        <f>IFERROR(INDEX(TableRBMaster[TM],MATCH(TableRBCalcPts[[#This Row],[RBRef]],TableRBMaster[RBRef],0)),"")</f>
        <v>DAL</v>
      </c>
      <c r="L33" s="59">
        <f>IFERROR(INDEX(TableRBMaster[BYE],MATCH(TableRBCalcPts[[#This Row],[RBRef]],TableRBMaster[RBRef],0)),"")</f>
        <v>7</v>
      </c>
      <c r="M33" s="60">
        <f>IFERROR(INDEX(TableRBMaster[Custom],MATCH(TableRBCalcPts[[#This Row],[RBRef]],TableRBMaster[RBRef],0)),"")</f>
        <v>22.019979806999999</v>
      </c>
      <c r="O33" s="59">
        <f>IFERROR(RANK(TableWRCalcPts[[#This Row],[Custom]],TableWRCalcPts[Custom])+COUNTIF($T$3:T33,T33)-1,"")</f>
        <v>63</v>
      </c>
      <c r="P33" s="59">
        <v>31</v>
      </c>
      <c r="Q33" s="59" t="str">
        <f>IFERROR(INDEX(TableWRMaster[Player],MATCH(TableWRCalcPts[[#This Row],[WRRef]],TableWRMaster[WRRef],0)),"")</f>
        <v>Rome Odunze</v>
      </c>
      <c r="R33" s="59" t="str">
        <f>IFERROR(INDEX(TableWRMaster[TM],MATCH(TableWRCalcPts[[#This Row],[WRRef]],TableWRMaster[WRRef],0)),"")</f>
        <v>CHI</v>
      </c>
      <c r="S33" s="59">
        <f>IFERROR(INDEX(TableWRMaster[BYE],MATCH(TableWRCalcPts[[#This Row],[WRRef]],TableWRMaster[WRRef],0)),"")</f>
        <v>13</v>
      </c>
      <c r="T33" s="60">
        <f>IFERROR(INDEX(TableWRMaster[Custom],MATCH(TableWRCalcPts[[#This Row],[WRRef]],TableWRMaster[WRRef],0)),"")</f>
        <v>135.18949056479997</v>
      </c>
      <c r="V33" s="59">
        <f>IFERROR(RANK(TableTECalcPts[[#This Row],[Custom]],TableTECalcPts[Custom])+COUNTIF($AA$3:AA33,AA33)-1,"")</f>
        <v>31</v>
      </c>
      <c r="W33" s="59">
        <v>31</v>
      </c>
      <c r="X33" s="59" t="str">
        <f>IFERROR(INDEX(TableTEMaster[Player],MATCH(TableTECalcPts[[#This Row],[TERef]],TableTEMaster[TERef],0)),"")</f>
        <v>Tucker Kraft</v>
      </c>
      <c r="Y33" s="59" t="str">
        <f>IFERROR(INDEX(TableTEMaster[TM],MATCH(TableTECalcPts[[#This Row],[TERef]],TableTEMaster[TERef],0)),"")</f>
        <v>GB</v>
      </c>
      <c r="Z33" s="59">
        <f>IFERROR(INDEX(TableTEMaster[BYE],MATCH(TableTECalcPts[[#This Row],[TERef]],TableTEMaster[TERef],0)),"")</f>
        <v>6</v>
      </c>
      <c r="AA33" s="60">
        <f>IFERROR(INDEX(TableTEMaster[Custom],MATCH(TableTECalcPts[[#This Row],[TERef]],TableTEMaster[TERef],0)),"")</f>
        <v>67.057766586496001</v>
      </c>
      <c r="AC33" s="59">
        <f>IFERROR(RANK(TableDSTCalcPts[[#This Row],[Custom]],TableDSTCalcPts[Custom],0),"")</f>
        <v>30</v>
      </c>
      <c r="AD33" s="59">
        <v>31</v>
      </c>
      <c r="AE33" s="59" t="str">
        <f>IFERROR(INDEX(TableDSTMaster[Player],MATCH(TableDSTCalcPts[[#This Row],[DSTRef]],TableDSTMaster[DSTRef],0)),"")</f>
        <v>Titans</v>
      </c>
      <c r="AF33" s="59">
        <f>IFERROR(INDEX(TableDSTMaster[BYE],MATCH(TableDSTCalcPts[[#This Row],[DSTRef]],TableDSTMaster[DSTRef],0)),"")</f>
        <v>0</v>
      </c>
      <c r="AG33" s="60">
        <f>IFERROR(INDEX(TableDSTMaster[Custom],MATCH(TableDSTCalcPts[[#This Row],[DSTRef]],TableDSTMaster[DSTRef],0)),"")</f>
        <v>105.35</v>
      </c>
      <c r="AI33" s="59" t="s">
        <v>10</v>
      </c>
      <c r="AJ33" s="59">
        <f>IFERROR(RANK(TableWRTECalcPts[[#This Row],[Custom]],TableWRTECalcPts[Custom])+COUNTIF($AP$3:AP33,AP33)-1,"")</f>
        <v>124</v>
      </c>
      <c r="AK33" s="59">
        <v>31</v>
      </c>
      <c r="AL33" s="59" t="str">
        <f>IFERROR(INDEX(TableTEMaster[Player],MATCH(TableWRTECalcPts[[#This Row],[POSRef]],TableTEMaster[TERef],0)),"")</f>
        <v>Tucker Kraft</v>
      </c>
      <c r="AM33" s="59" t="str">
        <f>IFERROR(_xlfn.CONCAT(TableWRTECalcPts[[#This Row],[POS]],INDEX(TableTERanks[RK],MATCH(TableWRTECalcPts[[#This Row],[PLAYER]],TableTERanks[Player],0))),"")</f>
        <v>TE31</v>
      </c>
      <c r="AN33" s="59" t="str">
        <f>IFERROR(INDEX(TableTEMaster[TM],MATCH(TableWRTECalcPts[[#This Row],[POSRef]],TableTEMaster[TERef],0)),"")</f>
        <v>GB</v>
      </c>
      <c r="AO33" s="59">
        <f>IFERROR(INDEX(TableTEMaster[BYE],MATCH(TableWRTECalcPts[[#This Row],[POSRef]],TableTEMaster[TERef],0)),"")</f>
        <v>6</v>
      </c>
      <c r="AP33" s="60">
        <f>IFERROR(INDEX(TableTEMaster[Custom],MATCH(TableWRTECalcPts[[#This Row],[POSRef]],TableTEMaster[TERef],0)),"")</f>
        <v>67.057766586496001</v>
      </c>
    </row>
    <row r="34" spans="1:42" x14ac:dyDescent="0.2">
      <c r="A34" s="61">
        <f>IFERROR(RANK(TableQBCalcPts[[#This Row],[Custom]],TableQBCalcPts[Custom])+COUNTIF($F$3:F34,F34)-1,"")</f>
        <v>60</v>
      </c>
      <c r="B34" s="59">
        <v>32</v>
      </c>
      <c r="C34" s="59" t="str">
        <f>IFERROR(INDEX(TableQBMaster[Player],MATCH(TableQBCalcPts[[#This Row],[QBRef]],TableQBMaster[QBRef],0)),"")</f>
        <v>Carson Wentz</v>
      </c>
      <c r="D34" s="59" t="str">
        <f>IFERROR(INDEX(TableQBMaster[TM],MATCH(TableQBCalcPts[[#This Row],[QBRef]],TableQBMaster[QBRef],0)),"")</f>
        <v>KC</v>
      </c>
      <c r="E34" s="59">
        <f>IFERROR(INDEX(TableQBMaster[BYE],MATCH(TableQBCalcPts[[#This Row],[QBRef]],TableQBMaster[QBRef],0)),"")</f>
        <v>10</v>
      </c>
      <c r="F34" s="60">
        <f>IFERROR(INDEX(TableQBMaster[Custom],MATCH(TableQBCalcPts[[#This Row],[QBRef]],TableQBMaster[QBRef],0)),"")</f>
        <v>2.4426883584000016</v>
      </c>
      <c r="H34" s="59">
        <f>IFERROR(RANK(TableRBCalcPts[[#This Row],[Custom]],TableRBCalcPts[Custom])+COUNTIF($M$3:M34,M34)-1,"")</f>
        <v>78</v>
      </c>
      <c r="I34" s="59">
        <v>32</v>
      </c>
      <c r="J34" s="59" t="str">
        <f>IFERROR(INDEX(TableRBMaster[Player],MATCH(TableRBCalcPts[[#This Row],[RBRef]],TableRBMaster[RBRef],0)),"")</f>
        <v>Deuce Vaughn</v>
      </c>
      <c r="K34" s="59" t="str">
        <f>IFERROR(INDEX(TableRBMaster[TM],MATCH(TableRBCalcPts[[#This Row],[RBRef]],TableRBMaster[RBRef],0)),"")</f>
        <v>DAL</v>
      </c>
      <c r="L34" s="59">
        <f>IFERROR(INDEX(TableRBMaster[BYE],MATCH(TableRBCalcPts[[#This Row],[RBRef]],TableRBMaster[RBRef],0)),"")</f>
        <v>7</v>
      </c>
      <c r="M34" s="60">
        <f>IFERROR(INDEX(TableRBMaster[Custom],MATCH(TableRBCalcPts[[#This Row],[RBRef]],TableRBMaster[RBRef],0)),"")</f>
        <v>45.58296467793599</v>
      </c>
      <c r="O34" s="59">
        <f>IFERROR(RANK(TableWRCalcPts[[#This Row],[Custom]],TableWRCalcPts[Custom])+COUNTIF($T$3:T34,T34)-1,"")</f>
        <v>146</v>
      </c>
      <c r="P34" s="59">
        <v>32</v>
      </c>
      <c r="Q34" s="59" t="str">
        <f>IFERROR(INDEX(TableWRMaster[Player],MATCH(TableWRCalcPts[[#This Row],[WRRef]],TableWRMaster[WRRef],0)),"")</f>
        <v>Tyler Scott</v>
      </c>
      <c r="R34" s="59" t="str">
        <f>IFERROR(INDEX(TableWRMaster[TM],MATCH(TableWRCalcPts[[#This Row],[WRRef]],TableWRMaster[WRRef],0)),"")</f>
        <v>CHI</v>
      </c>
      <c r="S34" s="59">
        <f>IFERROR(INDEX(TableWRMaster[BYE],MATCH(TableWRCalcPts[[#This Row],[WRRef]],TableWRMaster[WRRef],0)),"")</f>
        <v>13</v>
      </c>
      <c r="T34" s="60">
        <f>IFERROR(INDEX(TableWRMaster[Custom],MATCH(TableWRCalcPts[[#This Row],[WRRef]],TableWRMaster[WRRef],0)),"")</f>
        <v>21.268921403519993</v>
      </c>
      <c r="V34" s="59">
        <f>IFERROR(RANK(TableTECalcPts[[#This Row],[Custom]],TableTECalcPts[Custom])+COUNTIF($AA$3:AA34,AA34)-1,"")</f>
        <v>25</v>
      </c>
      <c r="W34" s="59">
        <v>32</v>
      </c>
      <c r="X34" s="59" t="str">
        <f>IFERROR(INDEX(TableTEMaster[Player],MATCH(TableTECalcPts[[#This Row],[TERef]],TableTEMaster[TERef],0)),"")</f>
        <v>Dalton Schultz</v>
      </c>
      <c r="Y34" s="59" t="str">
        <f>IFERROR(INDEX(TableTEMaster[TM],MATCH(TableTECalcPts[[#This Row],[TERef]],TableTEMaster[TERef],0)),"")</f>
        <v>HOU</v>
      </c>
      <c r="Z34" s="59">
        <f>IFERROR(INDEX(TableTEMaster[BYE],MATCH(TableTECalcPts[[#This Row],[TERef]],TableTEMaster[TERef],0)),"")</f>
        <v>7</v>
      </c>
      <c r="AA34" s="60">
        <f>IFERROR(INDEX(TableTEMaster[Custom],MATCH(TableTECalcPts[[#This Row],[TERef]],TableTEMaster[TERef],0)),"")</f>
        <v>86.800296892108804</v>
      </c>
      <c r="AC34" s="59">
        <f>IFERROR(RANK(TableDSTCalcPts[[#This Row],[Custom]],TableDSTCalcPts[Custom],0),"")</f>
        <v>21</v>
      </c>
      <c r="AD34" s="59">
        <v>32</v>
      </c>
      <c r="AE34" s="59" t="str">
        <f>IFERROR(INDEX(TableDSTMaster[Player],MATCH(TableDSTCalcPts[[#This Row],[DSTRef]],TableDSTMaster[DSTRef],0)),"")</f>
        <v>Vikings</v>
      </c>
      <c r="AF34" s="59">
        <f>IFERROR(INDEX(TableDSTMaster[BYE],MATCH(TableDSTCalcPts[[#This Row],[DSTRef]],TableDSTMaster[DSTRef],0)),"")</f>
        <v>0</v>
      </c>
      <c r="AG34" s="60">
        <f>IFERROR(INDEX(TableDSTMaster[Custom],MATCH(TableDSTCalcPts[[#This Row],[DSTRef]],TableDSTMaster[DSTRef],0)),"")</f>
        <v>113.30000000000001</v>
      </c>
      <c r="AI34" s="59" t="s">
        <v>10</v>
      </c>
      <c r="AJ34" s="59">
        <f>IFERROR(RANK(TableWRTECalcPts[[#This Row],[Custom]],TableWRTECalcPts[Custom])+COUNTIF($AP$3:AP34,AP34)-1,"")</f>
        <v>107</v>
      </c>
      <c r="AK34" s="59">
        <v>32</v>
      </c>
      <c r="AL34" s="59" t="str">
        <f>IFERROR(INDEX(TableTEMaster[Player],MATCH(TableWRTECalcPts[[#This Row],[POSRef]],TableTEMaster[TERef],0)),"")</f>
        <v>Dalton Schultz</v>
      </c>
      <c r="AM34" s="59" t="str">
        <f>IFERROR(_xlfn.CONCAT(TableWRTECalcPts[[#This Row],[POS]],INDEX(TableTERanks[RK],MATCH(TableWRTECalcPts[[#This Row],[PLAYER]],TableTERanks[Player],0))),"")</f>
        <v>TE25</v>
      </c>
      <c r="AN34" s="59" t="str">
        <f>IFERROR(INDEX(TableTEMaster[TM],MATCH(TableWRTECalcPts[[#This Row],[POSRef]],TableTEMaster[TERef],0)),"")</f>
        <v>HOU</v>
      </c>
      <c r="AO34" s="59">
        <f>IFERROR(INDEX(TableTEMaster[BYE],MATCH(TableWRTECalcPts[[#This Row],[POSRef]],TableTEMaster[TERef],0)),"")</f>
        <v>7</v>
      </c>
      <c r="AP34" s="60">
        <f>IFERROR(INDEX(TableTEMaster[Custom],MATCH(TableWRTECalcPts[[#This Row],[POSRef]],TableTEMaster[TERef],0)),"")</f>
        <v>86.800296892108804</v>
      </c>
    </row>
    <row r="35" spans="1:42" x14ac:dyDescent="0.2">
      <c r="A35" s="61">
        <f>IFERROR(RANK(TableQBCalcPts[[#This Row],[Custom]],TableQBCalcPts[Custom])+COUNTIF($F$3:F35,F35)-1,"")</f>
        <v>15</v>
      </c>
      <c r="B35" s="59">
        <v>33</v>
      </c>
      <c r="C35" s="59" t="str">
        <f>IFERROR(INDEX(TableQBMaster[Player],MATCH(TableQBCalcPts[[#This Row],[QBRef]],TableQBMaster[QBRef],0)),"")</f>
        <v>Justin Herbert</v>
      </c>
      <c r="D35" s="59" t="str">
        <f>IFERROR(INDEX(TableQBMaster[TM],MATCH(TableQBCalcPts[[#This Row],[QBRef]],TableQBMaster[QBRef],0)),"")</f>
        <v>LAC</v>
      </c>
      <c r="E35" s="59">
        <f>IFERROR(INDEX(TableQBMaster[BYE],MATCH(TableQBCalcPts[[#This Row],[QBRef]],TableQBMaster[QBRef],0)),"")</f>
        <v>5</v>
      </c>
      <c r="F35" s="60">
        <f>IFERROR(INDEX(TableQBMaster[Custom],MATCH(TableQBCalcPts[[#This Row],[QBRef]],TableQBMaster[QBRef],0)),"")</f>
        <v>309.26148084574157</v>
      </c>
      <c r="H35" s="59">
        <f>IFERROR(RANK(TableRBCalcPts[[#This Row],[Custom]],TableRBCalcPts[Custom])+COUNTIF($M$3:M35,M35)-1,"")</f>
        <v>35</v>
      </c>
      <c r="I35" s="59">
        <v>33</v>
      </c>
      <c r="J35" s="59" t="str">
        <f>IFERROR(INDEX(TableRBMaster[Player],MATCH(TableRBCalcPts[[#This Row],[RBRef]],TableRBMaster[RBRef],0)),"")</f>
        <v>Javonte Williams</v>
      </c>
      <c r="K35" s="59" t="str">
        <f>IFERROR(INDEX(TableRBMaster[TM],MATCH(TableRBCalcPts[[#This Row],[RBRef]],TableRBMaster[RBRef],0)),"")</f>
        <v>DEN</v>
      </c>
      <c r="L35" s="59">
        <f>IFERROR(INDEX(TableRBMaster[BYE],MATCH(TableRBCalcPts[[#This Row],[RBRef]],TableRBMaster[RBRef],0)),"")</f>
        <v>9</v>
      </c>
      <c r="M35" s="60">
        <f>IFERROR(INDEX(TableRBMaster[Custom],MATCH(TableRBCalcPts[[#This Row],[RBRef]],TableRBMaster[RBRef],0)),"")</f>
        <v>146.73668960395202</v>
      </c>
      <c r="O35" s="59">
        <f>IFERROR(RANK(TableWRCalcPts[[#This Row],[Custom]],TableWRCalcPts[Custom])+COUNTIF($T$3:T35,T35)-1,"")</f>
        <v>161</v>
      </c>
      <c r="P35" s="59">
        <v>33</v>
      </c>
      <c r="Q35" s="59" t="str">
        <f>IFERROR(INDEX(TableWRMaster[Player],MATCH(TableWRCalcPts[[#This Row],[WRRef]],TableWRMaster[WRRef],0)),"")</f>
        <v>Velus Jones</v>
      </c>
      <c r="R35" s="59" t="str">
        <f>IFERROR(INDEX(TableWRMaster[TM],MATCH(TableWRCalcPts[[#This Row],[WRRef]],TableWRMaster[WRRef],0)),"")</f>
        <v>CHI</v>
      </c>
      <c r="S35" s="59">
        <f>IFERROR(INDEX(TableWRMaster[BYE],MATCH(TableWRCalcPts[[#This Row],[WRRef]],TableWRMaster[WRRef],0)),"")</f>
        <v>13</v>
      </c>
      <c r="T35" s="60">
        <f>IFERROR(INDEX(TableWRMaster[Custom],MATCH(TableWRCalcPts[[#This Row],[WRRef]],TableWRMaster[WRRef],0)),"")</f>
        <v>14.333452842239994</v>
      </c>
      <c r="V35" s="59">
        <f>IFERROR(RANK(TableTECalcPts[[#This Row],[Custom]],TableTECalcPts[Custom])+COUNTIF($AA$3:AA35,AA35)-1,"")</f>
        <v>55</v>
      </c>
      <c r="W35" s="59">
        <v>33</v>
      </c>
      <c r="X35" s="59" t="str">
        <f>IFERROR(INDEX(TableTEMaster[Player],MATCH(TableTECalcPts[[#This Row],[TERef]],TableTEMaster[TERef],0)),"")</f>
        <v>Cade Stover</v>
      </c>
      <c r="Y35" s="59" t="str">
        <f>IFERROR(INDEX(TableTEMaster[TM],MATCH(TableTECalcPts[[#This Row],[TERef]],TableTEMaster[TERef],0)),"")</f>
        <v>HOU</v>
      </c>
      <c r="Z35" s="59">
        <f>IFERROR(INDEX(TableTEMaster[BYE],MATCH(TableTECalcPts[[#This Row],[TERef]],TableTEMaster[TERef],0)),"")</f>
        <v>7</v>
      </c>
      <c r="AA35" s="60">
        <f>IFERROR(INDEX(TableTEMaster[Custom],MATCH(TableTECalcPts[[#This Row],[TERef]],TableTEMaster[TERef],0)),"")</f>
        <v>23.553999006720002</v>
      </c>
      <c r="AF35" s="61"/>
      <c r="AG35" s="60"/>
      <c r="AI35" s="59" t="s">
        <v>10</v>
      </c>
      <c r="AJ35" s="59">
        <f>IFERROR(RANK(TableWRTECalcPts[[#This Row],[Custom]],TableWRTECalcPts[Custom])+COUNTIF($AP$3:AP35,AP35)-1,"")</f>
        <v>194</v>
      </c>
      <c r="AK35" s="59">
        <v>33</v>
      </c>
      <c r="AL35" s="59" t="str">
        <f>IFERROR(INDEX(TableTEMaster[Player],MATCH(TableWRTECalcPts[[#This Row],[POSRef]],TableTEMaster[TERef],0)),"")</f>
        <v>Cade Stover</v>
      </c>
      <c r="AM35" s="59" t="str">
        <f>IFERROR(_xlfn.CONCAT(TableWRTECalcPts[[#This Row],[POS]],INDEX(TableTERanks[RK],MATCH(TableWRTECalcPts[[#This Row],[PLAYER]],TableTERanks[Player],0))),"")</f>
        <v>TE55</v>
      </c>
      <c r="AN35" s="59" t="str">
        <f>IFERROR(INDEX(TableTEMaster[TM],MATCH(TableWRTECalcPts[[#This Row],[POSRef]],TableTEMaster[TERef],0)),"")</f>
        <v>HOU</v>
      </c>
      <c r="AO35" s="59">
        <f>IFERROR(INDEX(TableTEMaster[BYE],MATCH(TableWRTECalcPts[[#This Row],[POSRef]],TableTEMaster[TERef],0)),"")</f>
        <v>7</v>
      </c>
      <c r="AP35" s="60">
        <f>IFERROR(INDEX(TableTEMaster[Custom],MATCH(TableWRTECalcPts[[#This Row],[POSRef]],TableTEMaster[TERef],0)),"")</f>
        <v>23.553999006720002</v>
      </c>
    </row>
    <row r="36" spans="1:42" x14ac:dyDescent="0.2">
      <c r="A36" s="61">
        <f>IFERROR(RANK(TableQBCalcPts[[#This Row],[Custom]],TableQBCalcPts[Custom])+COUNTIF($F$3:F36,F36)-1,"")</f>
        <v>63</v>
      </c>
      <c r="B36" s="59">
        <v>34</v>
      </c>
      <c r="C36" s="59" t="str">
        <f>IFERROR(INDEX(TableQBMaster[Player],MATCH(TableQBCalcPts[[#This Row],[QBRef]],TableQBMaster[QBRef],0)),"")</f>
        <v>Easton Stick</v>
      </c>
      <c r="D36" s="59" t="str">
        <f>IFERROR(INDEX(TableQBMaster[TM],MATCH(TableQBCalcPts[[#This Row],[QBRef]],TableQBMaster[QBRef],0)),"")</f>
        <v>LAC</v>
      </c>
      <c r="E36" s="59">
        <f>IFERROR(INDEX(TableQBMaster[BYE],MATCH(TableQBCalcPts[[#This Row],[QBRef]],TableQBMaster[QBRef],0)),"")</f>
        <v>5</v>
      </c>
      <c r="F36" s="60">
        <f>IFERROR(INDEX(TableQBMaster[Custom],MATCH(TableQBCalcPts[[#This Row],[QBRef]],TableQBMaster[QBRef],0)),"")</f>
        <v>2.1720732159600025</v>
      </c>
      <c r="H36" s="59">
        <f>IFERROR(RANK(TableRBCalcPts[[#This Row],[Custom]],TableRBCalcPts[Custom])+COUNTIF($M$3:M36,M36)-1,"")</f>
        <v>55</v>
      </c>
      <c r="I36" s="59">
        <v>34</v>
      </c>
      <c r="J36" s="59" t="str">
        <f>IFERROR(INDEX(TableRBMaster[Player],MATCH(TableRBCalcPts[[#This Row],[RBRef]],TableRBMaster[RBRef],0)),"")</f>
        <v>Audric Estime</v>
      </c>
      <c r="K36" s="59" t="str">
        <f>IFERROR(INDEX(TableRBMaster[TM],MATCH(TableRBCalcPts[[#This Row],[RBRef]],TableRBMaster[RBRef],0)),"")</f>
        <v>DEN</v>
      </c>
      <c r="L36" s="59">
        <f>IFERROR(INDEX(TableRBMaster[BYE],MATCH(TableRBCalcPts[[#This Row],[RBRef]],TableRBMaster[RBRef],0)),"")</f>
        <v>9</v>
      </c>
      <c r="M36" s="60">
        <f>IFERROR(INDEX(TableRBMaster[Custom],MATCH(TableRBCalcPts[[#This Row],[RBRef]],TableRBMaster[RBRef],0)),"")</f>
        <v>81.797843901900023</v>
      </c>
      <c r="O36" s="59">
        <f>IFERROR(RANK(TableWRCalcPts[[#This Row],[Custom]],TableWRCalcPts[Custom])+COUNTIF($T$3:T36,T36)-1,"")</f>
        <v>5</v>
      </c>
      <c r="P36" s="59">
        <v>34</v>
      </c>
      <c r="Q36" s="59" t="str">
        <f>IFERROR(INDEX(TableWRMaster[Player],MATCH(TableWRCalcPts[[#This Row],[WRRef]],TableWRMaster[WRRef],0)),"")</f>
        <v>Ja'Marr Chase</v>
      </c>
      <c r="R36" s="59" t="str">
        <f>IFERROR(INDEX(TableWRMaster[TM],MATCH(TableWRCalcPts[[#This Row],[WRRef]],TableWRMaster[WRRef],0)),"")</f>
        <v>CIN</v>
      </c>
      <c r="S36" s="59">
        <f>IFERROR(INDEX(TableWRMaster[BYE],MATCH(TableWRCalcPts[[#This Row],[WRRef]],TableWRMaster[WRRef],0)),"")</f>
        <v>7</v>
      </c>
      <c r="T36" s="60">
        <f>IFERROR(INDEX(TableWRMaster[Custom],MATCH(TableWRCalcPts[[#This Row],[WRRef]],TableWRMaster[WRRef],0)),"")</f>
        <v>239.22255571620002</v>
      </c>
      <c r="V36" s="59">
        <f>IFERROR(RANK(TableTECalcPts[[#This Row],[Custom]],TableTECalcPts[Custom])+COUNTIF($AA$3:AA36,AA36)-1,"")</f>
        <v>68</v>
      </c>
      <c r="W36" s="59">
        <v>34</v>
      </c>
      <c r="X36" s="59" t="str">
        <f>IFERROR(INDEX(TableTEMaster[Player],MATCH(TableTECalcPts[[#This Row],[TERef]],TableTEMaster[TERef],0)),"")</f>
        <v>Brevin Jordan</v>
      </c>
      <c r="Y36" s="59" t="str">
        <f>IFERROR(INDEX(TableTEMaster[TM],MATCH(TableTECalcPts[[#This Row],[TERef]],TableTEMaster[TERef],0)),"")</f>
        <v>HOU</v>
      </c>
      <c r="Z36" s="59">
        <f>IFERROR(INDEX(TableTEMaster[BYE],MATCH(TableTECalcPts[[#This Row],[TERef]],TableTEMaster[TERef],0)),"")</f>
        <v>7</v>
      </c>
      <c r="AA36" s="60">
        <f>IFERROR(INDEX(TableTEMaster[Custom],MATCH(TableTECalcPts[[#This Row],[TERef]],TableTEMaster[TERef],0)),"")</f>
        <v>15.682476386304002</v>
      </c>
      <c r="AI36" s="59" t="s">
        <v>10</v>
      </c>
      <c r="AJ36" s="59">
        <f>IFERROR(RANK(TableWRTECalcPts[[#This Row],[Custom]],TableWRTECalcPts[Custom])+COUNTIF($AP$3:AP36,AP36)-1,"")</f>
        <v>225</v>
      </c>
      <c r="AK36" s="59">
        <v>34</v>
      </c>
      <c r="AL36" s="59" t="str">
        <f>IFERROR(INDEX(TableTEMaster[Player],MATCH(TableWRTECalcPts[[#This Row],[POSRef]],TableTEMaster[TERef],0)),"")</f>
        <v>Brevin Jordan</v>
      </c>
      <c r="AM36" s="59" t="str">
        <f>IFERROR(_xlfn.CONCAT(TableWRTECalcPts[[#This Row],[POS]],INDEX(TableTERanks[RK],MATCH(TableWRTECalcPts[[#This Row],[PLAYER]],TableTERanks[Player],0))),"")</f>
        <v>TE68</v>
      </c>
      <c r="AN36" s="59" t="str">
        <f>IFERROR(INDEX(TableTEMaster[TM],MATCH(TableWRTECalcPts[[#This Row],[POSRef]],TableTEMaster[TERef],0)),"")</f>
        <v>HOU</v>
      </c>
      <c r="AO36" s="59">
        <f>IFERROR(INDEX(TableTEMaster[BYE],MATCH(TableWRTECalcPts[[#This Row],[POSRef]],TableTEMaster[TERef],0)),"")</f>
        <v>7</v>
      </c>
      <c r="AP36" s="60">
        <f>IFERROR(INDEX(TableTEMaster[Custom],MATCH(TableWRTECalcPts[[#This Row],[POSRef]],TableTEMaster[TERef],0)),"")</f>
        <v>15.682476386304002</v>
      </c>
    </row>
    <row r="37" spans="1:42" x14ac:dyDescent="0.2">
      <c r="A37" s="61">
        <f>IFERROR(RANK(TableQBCalcPts[[#This Row],[Custom]],TableQBCalcPts[Custom])+COUNTIF($F$3:F37,F37)-1,"")</f>
        <v>21</v>
      </c>
      <c r="B37" s="59">
        <v>35</v>
      </c>
      <c r="C37" s="59" t="str">
        <f>IFERROR(INDEX(TableQBMaster[Player],MATCH(TableQBCalcPts[[#This Row],[QBRef]],TableQBMaster[QBRef],0)),"")</f>
        <v>Matthew Stafford</v>
      </c>
      <c r="D37" s="59" t="str">
        <f>IFERROR(INDEX(TableQBMaster[TM],MATCH(TableQBCalcPts[[#This Row],[QBRef]],TableQBMaster[QBRef],0)),"")</f>
        <v>LAR</v>
      </c>
      <c r="E37" s="59">
        <f>IFERROR(INDEX(TableQBMaster[BYE],MATCH(TableQBCalcPts[[#This Row],[QBRef]],TableQBMaster[QBRef],0)),"")</f>
        <v>10</v>
      </c>
      <c r="F37" s="60">
        <f>IFERROR(INDEX(TableQBMaster[Custom],MATCH(TableQBCalcPts[[#This Row],[QBRef]],TableQBMaster[QBRef],0)),"")</f>
        <v>290.96319501864951</v>
      </c>
      <c r="H37" s="59">
        <f>IFERROR(RANK(TableRBCalcPts[[#This Row],[Custom]],TableRBCalcPts[Custom])+COUNTIF($M$3:M37,M37)-1,"")</f>
        <v>51</v>
      </c>
      <c r="I37" s="59">
        <v>35</v>
      </c>
      <c r="J37" s="59" t="str">
        <f>IFERROR(INDEX(TableRBMaster[Player],MATCH(TableRBCalcPts[[#This Row],[RBRef]],TableRBMaster[RBRef],0)),"")</f>
        <v>Samaje Perine</v>
      </c>
      <c r="K37" s="59" t="str">
        <f>IFERROR(INDEX(TableRBMaster[TM],MATCH(TableRBCalcPts[[#This Row],[RBRef]],TableRBMaster[RBRef],0)),"")</f>
        <v>DEN</v>
      </c>
      <c r="L37" s="59">
        <f>IFERROR(INDEX(TableRBMaster[BYE],MATCH(TableRBCalcPts[[#This Row],[RBRef]],TableRBMaster[RBRef],0)),"")</f>
        <v>9</v>
      </c>
      <c r="M37" s="60">
        <f>IFERROR(INDEX(TableRBMaster[Custom],MATCH(TableRBCalcPts[[#This Row],[RBRef]],TableRBMaster[RBRef],0)),"")</f>
        <v>95.098238476724006</v>
      </c>
      <c r="O37" s="59">
        <f>IFERROR(RANK(TableWRCalcPts[[#This Row],[Custom]],TableWRCalcPts[Custom])+COUNTIF($T$3:T37,T37)-1,"")</f>
        <v>14</v>
      </c>
      <c r="P37" s="59">
        <v>35</v>
      </c>
      <c r="Q37" s="59" t="str">
        <f>IFERROR(INDEX(TableWRMaster[Player],MATCH(TableWRCalcPts[[#This Row],[WRRef]],TableWRMaster[WRRef],0)),"")</f>
        <v>Tee Higgins</v>
      </c>
      <c r="R37" s="59" t="str">
        <f>IFERROR(INDEX(TableWRMaster[TM],MATCH(TableWRCalcPts[[#This Row],[WRRef]],TableWRMaster[WRRef],0)),"")</f>
        <v>CIN</v>
      </c>
      <c r="S37" s="59">
        <f>IFERROR(INDEX(TableWRMaster[BYE],MATCH(TableWRCalcPts[[#This Row],[WRRef]],TableWRMaster[WRRef],0)),"")</f>
        <v>7</v>
      </c>
      <c r="T37" s="60">
        <f>IFERROR(INDEX(TableWRMaster[Custom],MATCH(TableWRCalcPts[[#This Row],[WRRef]],TableWRMaster[WRRef],0)),"")</f>
        <v>200.92599491277602</v>
      </c>
      <c r="V37" s="59">
        <f>IFERROR(RANK(TableTECalcPts[[#This Row],[Custom]],TableTECalcPts[Custom])+COUNTIF($AA$3:AA37,AA37)-1,"")</f>
        <v>46</v>
      </c>
      <c r="W37" s="59">
        <v>35</v>
      </c>
      <c r="X37" s="59" t="str">
        <f>IFERROR(INDEX(TableTEMaster[Player],MATCH(TableTECalcPts[[#This Row],[TERef]],TableTEMaster[TERef],0)),"")</f>
        <v>Mo Alie-Cox</v>
      </c>
      <c r="Y37" s="59" t="str">
        <f>IFERROR(INDEX(TableTEMaster[TM],MATCH(TableTECalcPts[[#This Row],[TERef]],TableTEMaster[TERef],0)),"")</f>
        <v>IND</v>
      </c>
      <c r="Z37" s="59">
        <f>IFERROR(INDEX(TableTEMaster[BYE],MATCH(TableTECalcPts[[#This Row],[TERef]],TableTEMaster[TERef],0)),"")</f>
        <v>11</v>
      </c>
      <c r="AA37" s="60">
        <f>IFERROR(INDEX(TableTEMaster[Custom],MATCH(TableTECalcPts[[#This Row],[TERef]],TableTEMaster[TERef],0)),"")</f>
        <v>36.596044523500012</v>
      </c>
      <c r="AI37" s="59" t="s">
        <v>10</v>
      </c>
      <c r="AJ37" s="59">
        <f>IFERROR(RANK(TableWRTECalcPts[[#This Row],[Custom]],TableWRTECalcPts[Custom])+COUNTIF($AP$3:AP37,AP37)-1,"")</f>
        <v>159</v>
      </c>
      <c r="AK37" s="59">
        <v>35</v>
      </c>
      <c r="AL37" s="59" t="str">
        <f>IFERROR(INDEX(TableTEMaster[Player],MATCH(TableWRTECalcPts[[#This Row],[POSRef]],TableTEMaster[TERef],0)),"")</f>
        <v>Mo Alie-Cox</v>
      </c>
      <c r="AM37" s="59" t="str">
        <f>IFERROR(_xlfn.CONCAT(TableWRTECalcPts[[#This Row],[POS]],INDEX(TableTERanks[RK],MATCH(TableWRTECalcPts[[#This Row],[PLAYER]],TableTERanks[Player],0))),"")</f>
        <v>TE46</v>
      </c>
      <c r="AN37" s="59" t="str">
        <f>IFERROR(INDEX(TableTEMaster[TM],MATCH(TableWRTECalcPts[[#This Row],[POSRef]],TableTEMaster[TERef],0)),"")</f>
        <v>IND</v>
      </c>
      <c r="AO37" s="59">
        <f>IFERROR(INDEX(TableTEMaster[BYE],MATCH(TableWRTECalcPts[[#This Row],[POSRef]],TableTEMaster[TERef],0)),"")</f>
        <v>11</v>
      </c>
      <c r="AP37" s="60">
        <f>IFERROR(INDEX(TableTEMaster[Custom],MATCH(TableWRTECalcPts[[#This Row],[POSRef]],TableTEMaster[TERef],0)),"")</f>
        <v>36.596044523500012</v>
      </c>
    </row>
    <row r="38" spans="1:42" x14ac:dyDescent="0.2">
      <c r="A38" s="61">
        <f>IFERROR(RANK(TableQBCalcPts[[#This Row],[Custom]],TableQBCalcPts[Custom])+COUNTIF($F$3:F38,F38)-1,"")</f>
        <v>46</v>
      </c>
      <c r="B38" s="59">
        <v>36</v>
      </c>
      <c r="C38" s="59" t="str">
        <f>IFERROR(INDEX(TableQBMaster[Player],MATCH(TableQBCalcPts[[#This Row],[QBRef]],TableQBMaster[QBRef],0)),"")</f>
        <v>Jimmy Garoppolo</v>
      </c>
      <c r="D38" s="59" t="str">
        <f>IFERROR(INDEX(TableQBMaster[TM],MATCH(TableQBCalcPts[[#This Row],[QBRef]],TableQBMaster[QBRef],0)),"")</f>
        <v>LAR</v>
      </c>
      <c r="E38" s="59">
        <f>IFERROR(INDEX(TableQBMaster[BYE],MATCH(TableQBCalcPts[[#This Row],[QBRef]],TableQBMaster[QBRef],0)),"")</f>
        <v>10</v>
      </c>
      <c r="F38" s="60">
        <f>IFERROR(INDEX(TableQBMaster[Custom],MATCH(TableQBCalcPts[[#This Row],[QBRef]],TableQBMaster[QBRef],0)),"")</f>
        <v>11.27498843144001</v>
      </c>
      <c r="H38" s="59">
        <f>IFERROR(RANK(TableRBCalcPts[[#This Row],[Custom]],TableRBCalcPts[Custom])+COUNTIF($M$3:M38,M38)-1,"")</f>
        <v>93</v>
      </c>
      <c r="I38" s="59">
        <v>36</v>
      </c>
      <c r="J38" s="59" t="str">
        <f>IFERROR(INDEX(TableRBMaster[Player],MATCH(TableRBCalcPts[[#This Row],[RBRef]],TableRBMaster[RBRef],0)),"")</f>
        <v>Jaleel McLaughlin</v>
      </c>
      <c r="K38" s="59" t="str">
        <f>IFERROR(INDEX(TableRBMaster[TM],MATCH(TableRBCalcPts[[#This Row],[RBRef]],TableRBMaster[RBRef],0)),"")</f>
        <v>DEN</v>
      </c>
      <c r="L38" s="59">
        <f>IFERROR(INDEX(TableRBMaster[BYE],MATCH(TableRBCalcPts[[#This Row],[RBRef]],TableRBMaster[RBRef],0)),"")</f>
        <v>9</v>
      </c>
      <c r="M38" s="60">
        <f>IFERROR(INDEX(TableRBMaster[Custom],MATCH(TableRBCalcPts[[#This Row],[RBRef]],TableRBMaster[RBRef],0)),"")</f>
        <v>22.372623066780001</v>
      </c>
      <c r="O38" s="59">
        <f>IFERROR(RANK(TableWRCalcPts[[#This Row],[Custom]],TableWRCalcPts[Custom])+COUNTIF($T$3:T38,T38)-1,"")</f>
        <v>87</v>
      </c>
      <c r="P38" s="59">
        <v>36</v>
      </c>
      <c r="Q38" s="59" t="str">
        <f>IFERROR(INDEX(TableWRMaster[Player],MATCH(TableWRCalcPts[[#This Row],[WRRef]],TableWRMaster[WRRef],0)),"")</f>
        <v>Andrei Iosivas</v>
      </c>
      <c r="R38" s="59" t="str">
        <f>IFERROR(INDEX(TableWRMaster[TM],MATCH(TableWRCalcPts[[#This Row],[WRRef]],TableWRMaster[WRRef],0)),"")</f>
        <v>CIN</v>
      </c>
      <c r="S38" s="59">
        <f>IFERROR(INDEX(TableWRMaster[BYE],MATCH(TableWRCalcPts[[#This Row],[WRRef]],TableWRMaster[WRRef],0)),"")</f>
        <v>7</v>
      </c>
      <c r="T38" s="60">
        <f>IFERROR(INDEX(TableWRMaster[Custom],MATCH(TableWRCalcPts[[#This Row],[WRRef]],TableWRMaster[WRRef],0)),"")</f>
        <v>83.809426032359994</v>
      </c>
      <c r="V38" s="59">
        <f>IFERROR(RANK(TableTECalcPts[[#This Row],[Custom]],TableTECalcPts[Custom])+COUNTIF($AA$3:AA38,AA38)-1,"")</f>
        <v>74</v>
      </c>
      <c r="W38" s="59">
        <v>36</v>
      </c>
      <c r="X38" s="59" t="str">
        <f>IFERROR(INDEX(TableTEMaster[Player],MATCH(TableTECalcPts[[#This Row],[TERef]],TableTEMaster[TERef],0)),"")</f>
        <v>Kylen Granson</v>
      </c>
      <c r="Y38" s="59" t="str">
        <f>IFERROR(INDEX(TableTEMaster[TM],MATCH(TableTECalcPts[[#This Row],[TERef]],TableTEMaster[TERef],0)),"")</f>
        <v>IND</v>
      </c>
      <c r="Z38" s="59">
        <f>IFERROR(INDEX(TableTEMaster[BYE],MATCH(TableTECalcPts[[#This Row],[TERef]],TableTEMaster[TERef],0)),"")</f>
        <v>11</v>
      </c>
      <c r="AA38" s="60">
        <f>IFERROR(INDEX(TableTEMaster[Custom],MATCH(TableTECalcPts[[#This Row],[TERef]],TableTEMaster[TERef],0)),"")</f>
        <v>13.906188357600001</v>
      </c>
      <c r="AI38" s="59" t="s">
        <v>10</v>
      </c>
      <c r="AJ38" s="59">
        <f>IFERROR(RANK(TableWRTECalcPts[[#This Row],[Custom]],TableWRTECalcPts[Custom])+COUNTIF($AP$3:AP38,AP38)-1,"")</f>
        <v>237</v>
      </c>
      <c r="AK38" s="59">
        <v>36</v>
      </c>
      <c r="AL38" s="59" t="str">
        <f>IFERROR(INDEX(TableTEMaster[Player],MATCH(TableWRTECalcPts[[#This Row],[POSRef]],TableTEMaster[TERef],0)),"")</f>
        <v>Kylen Granson</v>
      </c>
      <c r="AM38" s="59" t="str">
        <f>IFERROR(_xlfn.CONCAT(TableWRTECalcPts[[#This Row],[POS]],INDEX(TableTERanks[RK],MATCH(TableWRTECalcPts[[#This Row],[PLAYER]],TableTERanks[Player],0))),"")</f>
        <v>TE74</v>
      </c>
      <c r="AN38" s="59" t="str">
        <f>IFERROR(INDEX(TableTEMaster[TM],MATCH(TableWRTECalcPts[[#This Row],[POSRef]],TableTEMaster[TERef],0)),"")</f>
        <v>IND</v>
      </c>
      <c r="AO38" s="59">
        <f>IFERROR(INDEX(TableTEMaster[BYE],MATCH(TableWRTECalcPts[[#This Row],[POSRef]],TableTEMaster[TERef],0)),"")</f>
        <v>11</v>
      </c>
      <c r="AP38" s="60">
        <f>IFERROR(INDEX(TableTEMaster[Custom],MATCH(TableWRTECalcPts[[#This Row],[POSRef]],TableTEMaster[TERef],0)),"")</f>
        <v>13.906188357600001</v>
      </c>
    </row>
    <row r="39" spans="1:42" x14ac:dyDescent="0.2">
      <c r="A39" s="61">
        <f>IFERROR(RANK(TableQBCalcPts[[#This Row],[Custom]],TableQBCalcPts[Custom])+COUNTIF($F$3:F39,F39)-1,"")</f>
        <v>32</v>
      </c>
      <c r="B39" s="59">
        <v>37</v>
      </c>
      <c r="C39" s="59" t="str">
        <f>IFERROR(INDEX(TableQBMaster[Player],MATCH(TableQBCalcPts[[#This Row],[QBRef]],TableQBMaster[QBRef],0)),"")</f>
        <v>Gardner Minshew</v>
      </c>
      <c r="D39" s="59" t="str">
        <f>IFERROR(INDEX(TableQBMaster[TM],MATCH(TableQBCalcPts[[#This Row],[QBRef]],TableQBMaster[QBRef],0)),"")</f>
        <v>LV</v>
      </c>
      <c r="E39" s="59">
        <f>IFERROR(INDEX(TableQBMaster[BYE],MATCH(TableQBCalcPts[[#This Row],[QBRef]],TableQBMaster[QBRef],0)),"")</f>
        <v>13</v>
      </c>
      <c r="F39" s="60">
        <f>IFERROR(INDEX(TableQBMaster[Custom],MATCH(TableQBCalcPts[[#This Row],[QBRef]],TableQBMaster[QBRef],0)),"")</f>
        <v>162.41279159999999</v>
      </c>
      <c r="H39" s="59">
        <f>IFERROR(RANK(TableRBCalcPts[[#This Row],[Custom]],TableRBCalcPts[Custom])+COUNTIF($M$3:M39,M39)-1,"")</f>
        <v>8</v>
      </c>
      <c r="I39" s="59">
        <v>37</v>
      </c>
      <c r="J39" s="59" t="str">
        <f>IFERROR(INDEX(TableRBMaster[Player],MATCH(TableRBCalcPts[[#This Row],[RBRef]],TableRBMaster[RBRef],0)),"")</f>
        <v>Jahmyr Gibbs</v>
      </c>
      <c r="K39" s="59" t="str">
        <f>IFERROR(INDEX(TableRBMaster[TM],MATCH(TableRBCalcPts[[#This Row],[RBRef]],TableRBMaster[RBRef],0)),"")</f>
        <v>DET</v>
      </c>
      <c r="L39" s="59">
        <f>IFERROR(INDEX(TableRBMaster[BYE],MATCH(TableRBCalcPts[[#This Row],[RBRef]],TableRBMaster[RBRef],0)),"")</f>
        <v>9</v>
      </c>
      <c r="M39" s="60">
        <f>IFERROR(INDEX(TableRBMaster[Custom],MATCH(TableRBCalcPts[[#This Row],[RBRef]],TableRBMaster[RBRef],0)),"")</f>
        <v>220.63154206799999</v>
      </c>
      <c r="O39" s="59">
        <f>IFERROR(RANK(TableWRCalcPts[[#This Row],[Custom]],TableWRCalcPts[Custom])+COUNTIF($T$3:T39,T39)-1,"")</f>
        <v>134</v>
      </c>
      <c r="P39" s="59">
        <v>37</v>
      </c>
      <c r="Q39" s="59" t="str">
        <f>IFERROR(INDEX(TableWRMaster[Player],MATCH(TableWRCalcPts[[#This Row],[WRRef]],TableWRMaster[WRRef],0)),"")</f>
        <v>Charlie Jones</v>
      </c>
      <c r="R39" s="59" t="str">
        <f>IFERROR(INDEX(TableWRMaster[TM],MATCH(TableWRCalcPts[[#This Row],[WRRef]],TableWRMaster[WRRef],0)),"")</f>
        <v>CIN</v>
      </c>
      <c r="S39" s="59">
        <f>IFERROR(INDEX(TableWRMaster[BYE],MATCH(TableWRCalcPts[[#This Row],[WRRef]],TableWRMaster[WRRef],0)),"")</f>
        <v>7</v>
      </c>
      <c r="T39" s="60">
        <f>IFERROR(INDEX(TableWRMaster[Custom],MATCH(TableWRCalcPts[[#This Row],[WRRef]],TableWRMaster[WRRef],0)),"")</f>
        <v>25.683274299312004</v>
      </c>
      <c r="V39" s="59">
        <f>IFERROR(RANK(TableTECalcPts[[#This Row],[Custom]],TableTECalcPts[Custom])+COUNTIF($AA$3:AA39,AA39)-1,"")</f>
        <v>21</v>
      </c>
      <c r="W39" s="59">
        <v>37</v>
      </c>
      <c r="X39" s="59" t="str">
        <f>IFERROR(INDEX(TableTEMaster[Player],MATCH(TableTECalcPts[[#This Row],[TERef]],TableTEMaster[TERef],0)),"")</f>
        <v>Jelani Woods</v>
      </c>
      <c r="Y39" s="59" t="str">
        <f>IFERROR(INDEX(TableTEMaster[TM],MATCH(TableTECalcPts[[#This Row],[TERef]],TableTEMaster[TERef],0)),"")</f>
        <v>IND</v>
      </c>
      <c r="Z39" s="59">
        <f>IFERROR(INDEX(TableTEMaster[BYE],MATCH(TableTECalcPts[[#This Row],[TERef]],TableTEMaster[TERef],0)),"")</f>
        <v>11</v>
      </c>
      <c r="AA39" s="60">
        <f>IFERROR(INDEX(TableTEMaster[Custom],MATCH(TableTECalcPts[[#This Row],[TERef]],TableTEMaster[TERef],0)),"")</f>
        <v>89.963733537216015</v>
      </c>
      <c r="AI39" s="59" t="s">
        <v>10</v>
      </c>
      <c r="AJ39" s="59">
        <f>IFERROR(RANK(TableWRTECalcPts[[#This Row],[Custom]],TableWRTECalcPts[Custom])+COUNTIF($AP$3:AP39,AP39)-1,"")</f>
        <v>103</v>
      </c>
      <c r="AK39" s="59">
        <v>37</v>
      </c>
      <c r="AL39" s="59" t="str">
        <f>IFERROR(INDEX(TableTEMaster[Player],MATCH(TableWRTECalcPts[[#This Row],[POSRef]],TableTEMaster[TERef],0)),"")</f>
        <v>Jelani Woods</v>
      </c>
      <c r="AM39" s="59" t="str">
        <f>IFERROR(_xlfn.CONCAT(TableWRTECalcPts[[#This Row],[POS]],INDEX(TableTERanks[RK],MATCH(TableWRTECalcPts[[#This Row],[PLAYER]],TableTERanks[Player],0))),"")</f>
        <v>TE21</v>
      </c>
      <c r="AN39" s="59" t="str">
        <f>IFERROR(INDEX(TableTEMaster[TM],MATCH(TableWRTECalcPts[[#This Row],[POSRef]],TableTEMaster[TERef],0)),"")</f>
        <v>IND</v>
      </c>
      <c r="AO39" s="59">
        <f>IFERROR(INDEX(TableTEMaster[BYE],MATCH(TableWRTECalcPts[[#This Row],[POSRef]],TableTEMaster[TERef],0)),"")</f>
        <v>11</v>
      </c>
      <c r="AP39" s="60">
        <f>IFERROR(INDEX(TableTEMaster[Custom],MATCH(TableWRTECalcPts[[#This Row],[POSRef]],TableTEMaster[TERef],0)),"")</f>
        <v>89.963733537216015</v>
      </c>
    </row>
    <row r="40" spans="1:42" x14ac:dyDescent="0.2">
      <c r="A40" s="61">
        <f>IFERROR(RANK(TableQBCalcPts[[#This Row],[Custom]],TableQBCalcPts[Custom])+COUNTIF($F$3:F40,F40)-1,"")</f>
        <v>34</v>
      </c>
      <c r="B40" s="59">
        <v>38</v>
      </c>
      <c r="C40" s="59" t="str">
        <f>IFERROR(INDEX(TableQBMaster[Player],MATCH(TableQBCalcPts[[#This Row],[QBRef]],TableQBMaster[QBRef],0)),"")</f>
        <v>Aidan O'Connell</v>
      </c>
      <c r="D40" s="59" t="str">
        <f>IFERROR(INDEX(TableQBMaster[TM],MATCH(TableQBCalcPts[[#This Row],[QBRef]],TableQBMaster[QBRef],0)),"")</f>
        <v>LV</v>
      </c>
      <c r="E40" s="59">
        <f>IFERROR(INDEX(TableQBMaster[BYE],MATCH(TableQBCalcPts[[#This Row],[QBRef]],TableQBMaster[QBRef],0)),"")</f>
        <v>13</v>
      </c>
      <c r="F40" s="60">
        <f>IFERROR(INDEX(TableQBMaster[Custom],MATCH(TableQBCalcPts[[#This Row],[QBRef]],TableQBMaster[QBRef],0)),"")</f>
        <v>98.655392280000015</v>
      </c>
      <c r="H40" s="59">
        <f>IFERROR(RANK(TableRBCalcPts[[#This Row],[Custom]],TableRBCalcPts[Custom])+COUNTIF($M$3:M40,M40)-1,"")</f>
        <v>26</v>
      </c>
      <c r="I40" s="59">
        <v>38</v>
      </c>
      <c r="J40" s="59" t="str">
        <f>IFERROR(INDEX(TableRBMaster[Player],MATCH(TableRBCalcPts[[#This Row],[RBRef]],TableRBMaster[RBRef],0)),"")</f>
        <v>David Montgomery</v>
      </c>
      <c r="K40" s="59" t="str">
        <f>IFERROR(INDEX(TableRBMaster[TM],MATCH(TableRBCalcPts[[#This Row],[RBRef]],TableRBMaster[RBRef],0)),"")</f>
        <v>DET</v>
      </c>
      <c r="L40" s="59">
        <f>IFERROR(INDEX(TableRBMaster[BYE],MATCH(TableRBCalcPts[[#This Row],[RBRef]],TableRBMaster[RBRef],0)),"")</f>
        <v>9</v>
      </c>
      <c r="M40" s="60">
        <f>IFERROR(INDEX(TableRBMaster[Custom],MATCH(TableRBCalcPts[[#This Row],[RBRef]],TableRBMaster[RBRef],0)),"")</f>
        <v>169.16697923389603</v>
      </c>
      <c r="O40" s="59">
        <f>IFERROR(RANK(TableWRCalcPts[[#This Row],[Custom]],TableWRCalcPts[Custom])+COUNTIF($T$3:T40,T40)-1,"")</f>
        <v>70</v>
      </c>
      <c r="P40" s="59">
        <v>38</v>
      </c>
      <c r="Q40" s="59" t="str">
        <f>IFERROR(INDEX(TableWRMaster[Player],MATCH(TableWRCalcPts[[#This Row],[WRRef]],TableWRMaster[WRRef],0)),"")</f>
        <v>Jermaine Burton</v>
      </c>
      <c r="R40" s="59" t="str">
        <f>IFERROR(INDEX(TableWRMaster[TM],MATCH(TableWRCalcPts[[#This Row],[WRRef]],TableWRMaster[WRRef],0)),"")</f>
        <v>CIN</v>
      </c>
      <c r="S40" s="59">
        <f>IFERROR(INDEX(TableWRMaster[BYE],MATCH(TableWRCalcPts[[#This Row],[WRRef]],TableWRMaster[WRRef],0)),"")</f>
        <v>7</v>
      </c>
      <c r="T40" s="60">
        <f>IFERROR(INDEX(TableWRMaster[Custom],MATCH(TableWRCalcPts[[#This Row],[WRRef]],TableWRMaster[WRRef],0)),"")</f>
        <v>118.73828249010003</v>
      </c>
      <c r="V40" s="59">
        <f>IFERROR(RANK(TableTECalcPts[[#This Row],[Custom]],TableTECalcPts[Custom])+COUNTIF($AA$3:AA40,AA40)-1,"")</f>
        <v>10</v>
      </c>
      <c r="W40" s="59">
        <v>38</v>
      </c>
      <c r="X40" s="59" t="str">
        <f>IFERROR(INDEX(TableTEMaster[Player],MATCH(TableTECalcPts[[#This Row],[TERef]],TableTEMaster[TERef],0)),"")</f>
        <v>Evan Engram</v>
      </c>
      <c r="Y40" s="59" t="str">
        <f>IFERROR(INDEX(TableTEMaster[TM],MATCH(TableTECalcPts[[#This Row],[TERef]],TableTEMaster[TERef],0)),"")</f>
        <v>JAX</v>
      </c>
      <c r="Z40" s="59">
        <f>IFERROR(INDEX(TableTEMaster[BYE],MATCH(TableTECalcPts[[#This Row],[TERef]],TableTEMaster[TERef],0)),"")</f>
        <v>9</v>
      </c>
      <c r="AA40" s="60">
        <f>IFERROR(INDEX(TableTEMaster[Custom],MATCH(TableTECalcPts[[#This Row],[TERef]],TableTEMaster[TERef],0)),"")</f>
        <v>142.99224053587196</v>
      </c>
      <c r="AI40" s="59" t="s">
        <v>10</v>
      </c>
      <c r="AJ40" s="59">
        <f>IFERROR(RANK(TableWRTECalcPts[[#This Row],[Custom]],TableWRTECalcPts[Custom])+COUNTIF($AP$3:AP40,AP40)-1,"")</f>
        <v>67</v>
      </c>
      <c r="AK40" s="59">
        <v>38</v>
      </c>
      <c r="AL40" s="59" t="str">
        <f>IFERROR(INDEX(TableTEMaster[Player],MATCH(TableWRTECalcPts[[#This Row],[POSRef]],TableTEMaster[TERef],0)),"")</f>
        <v>Evan Engram</v>
      </c>
      <c r="AM40" s="59" t="str">
        <f>IFERROR(_xlfn.CONCAT(TableWRTECalcPts[[#This Row],[POS]],INDEX(TableTERanks[RK],MATCH(TableWRTECalcPts[[#This Row],[PLAYER]],TableTERanks[Player],0))),"")</f>
        <v>TE10</v>
      </c>
      <c r="AN40" s="59" t="str">
        <f>IFERROR(INDEX(TableTEMaster[TM],MATCH(TableWRTECalcPts[[#This Row],[POSRef]],TableTEMaster[TERef],0)),"")</f>
        <v>JAX</v>
      </c>
      <c r="AO40" s="59">
        <f>IFERROR(INDEX(TableTEMaster[BYE],MATCH(TableWRTECalcPts[[#This Row],[POSRef]],TableTEMaster[TERef],0)),"")</f>
        <v>9</v>
      </c>
      <c r="AP40" s="60">
        <f>IFERROR(INDEX(TableTEMaster[Custom],MATCH(TableWRTECalcPts[[#This Row],[POSRef]],TableTEMaster[TERef],0)),"")</f>
        <v>142.99224053587196</v>
      </c>
    </row>
    <row r="41" spans="1:42" x14ac:dyDescent="0.2">
      <c r="A41" s="61">
        <f>IFERROR(RANK(TableQBCalcPts[[#This Row],[Custom]],TableQBCalcPts[Custom])+COUNTIF($F$3:F41,F41)-1,"")</f>
        <v>17</v>
      </c>
      <c r="B41" s="59">
        <v>39</v>
      </c>
      <c r="C41" s="59" t="str">
        <f>IFERROR(INDEX(TableQBMaster[Player],MATCH(TableQBCalcPts[[#This Row],[QBRef]],TableQBMaster[QBRef],0)),"")</f>
        <v>Tua Tagovailoa</v>
      </c>
      <c r="D41" s="59" t="str">
        <f>IFERROR(INDEX(TableQBMaster[TM],MATCH(TableQBCalcPts[[#This Row],[QBRef]],TableQBMaster[QBRef],0)),"")</f>
        <v>MIA</v>
      </c>
      <c r="E41" s="59">
        <f>IFERROR(INDEX(TableQBMaster[BYE],MATCH(TableQBCalcPts[[#This Row],[QBRef]],TableQBMaster[QBRef],0)),"")</f>
        <v>10</v>
      </c>
      <c r="F41" s="60">
        <f>IFERROR(INDEX(TableQBMaster[Custom],MATCH(TableQBCalcPts[[#This Row],[QBRef]],TableQBMaster[QBRef],0)),"")</f>
        <v>302.2407970072</v>
      </c>
      <c r="H41" s="59">
        <f>IFERROR(RANK(TableRBCalcPts[[#This Row],[Custom]],TableRBCalcPts[Custom])+COUNTIF($M$3:M41,M41)-1,"")</f>
        <v>97</v>
      </c>
      <c r="I41" s="59">
        <v>39</v>
      </c>
      <c r="J41" s="59" t="str">
        <f>IFERROR(INDEX(TableRBMaster[Player],MATCH(TableRBCalcPts[[#This Row],[RBRef]],TableRBMaster[RBRef],0)),"")</f>
        <v>Craig Reynolds</v>
      </c>
      <c r="K41" s="59" t="str">
        <f>IFERROR(INDEX(TableRBMaster[TM],MATCH(TableRBCalcPts[[#This Row],[RBRef]],TableRBMaster[RBRef],0)),"")</f>
        <v>DET</v>
      </c>
      <c r="L41" s="59">
        <f>IFERROR(INDEX(TableRBMaster[BYE],MATCH(TableRBCalcPts[[#This Row],[RBRef]],TableRBMaster[RBRef],0)),"")</f>
        <v>9</v>
      </c>
      <c r="M41" s="60">
        <f>IFERROR(INDEX(TableRBMaster[Custom],MATCH(TableRBCalcPts[[#This Row],[RBRef]],TableRBMaster[RBRef],0)),"")</f>
        <v>19.247159624000005</v>
      </c>
      <c r="O41" s="59">
        <f>IFERROR(RANK(TableWRCalcPts[[#This Row],[Custom]],TableWRCalcPts[Custom])+COUNTIF($T$3:T41,T41)-1,"")</f>
        <v>22</v>
      </c>
      <c r="P41" s="59">
        <v>39</v>
      </c>
      <c r="Q41" s="59" t="str">
        <f>IFERROR(INDEX(TableWRMaster[Player],MATCH(TableWRCalcPts[[#This Row],[WRRef]],TableWRMaster[WRRef],0)),"")</f>
        <v>Amari Cooper</v>
      </c>
      <c r="R41" s="59" t="str">
        <f>IFERROR(INDEX(TableWRMaster[TM],MATCH(TableWRCalcPts[[#This Row],[WRRef]],TableWRMaster[WRRef],0)),"")</f>
        <v>CLE</v>
      </c>
      <c r="S41" s="59">
        <f>IFERROR(INDEX(TableWRMaster[BYE],MATCH(TableWRCalcPts[[#This Row],[WRRef]],TableWRMaster[WRRef],0)),"")</f>
        <v>5</v>
      </c>
      <c r="T41" s="60">
        <f>IFERROR(INDEX(TableWRMaster[Custom],MATCH(TableWRCalcPts[[#This Row],[WRRef]],TableWRMaster[WRRef],0)),"")</f>
        <v>185.65527934799999</v>
      </c>
      <c r="V41" s="59">
        <f>IFERROR(RANK(TableTECalcPts[[#This Row],[Custom]],TableTECalcPts[Custom])+COUNTIF($AA$3:AA41,AA41)-1,"")</f>
        <v>71</v>
      </c>
      <c r="W41" s="59">
        <v>39</v>
      </c>
      <c r="X41" s="59" t="str">
        <f>IFERROR(INDEX(TableTEMaster[Player],MATCH(TableTECalcPts[[#This Row],[TERef]],TableTEMaster[TERef],0)),"")</f>
        <v>Luke Farrell</v>
      </c>
      <c r="Y41" s="59" t="str">
        <f>IFERROR(INDEX(TableTEMaster[TM],MATCH(TableTECalcPts[[#This Row],[TERef]],TableTEMaster[TERef],0)),"")</f>
        <v>JAX</v>
      </c>
      <c r="Z41" s="59">
        <f>IFERROR(INDEX(TableTEMaster[BYE],MATCH(TableTECalcPts[[#This Row],[TERef]],TableTEMaster[TERef],0)),"")</f>
        <v>9</v>
      </c>
      <c r="AA41" s="60">
        <f>IFERROR(INDEX(TableTEMaster[Custom],MATCH(TableTECalcPts[[#This Row],[TERef]],TableTEMaster[TERef],0)),"")</f>
        <v>14.710061620799998</v>
      </c>
      <c r="AI41" s="59" t="s">
        <v>10</v>
      </c>
      <c r="AJ41" s="59">
        <f>IFERROR(RANK(TableWRTECalcPts[[#This Row],[Custom]],TableWRTECalcPts[Custom])+COUNTIF($AP$3:AP41,AP41)-1,"")</f>
        <v>229</v>
      </c>
      <c r="AK41" s="59">
        <v>39</v>
      </c>
      <c r="AL41" s="59" t="str">
        <f>IFERROR(INDEX(TableTEMaster[Player],MATCH(TableWRTECalcPts[[#This Row],[POSRef]],TableTEMaster[TERef],0)),"")</f>
        <v>Luke Farrell</v>
      </c>
      <c r="AM41" s="59" t="str">
        <f>IFERROR(_xlfn.CONCAT(TableWRTECalcPts[[#This Row],[POS]],INDEX(TableTERanks[RK],MATCH(TableWRTECalcPts[[#This Row],[PLAYER]],TableTERanks[Player],0))),"")</f>
        <v>TE71</v>
      </c>
      <c r="AN41" s="59" t="str">
        <f>IFERROR(INDEX(TableTEMaster[TM],MATCH(TableWRTECalcPts[[#This Row],[POSRef]],TableTEMaster[TERef],0)),"")</f>
        <v>JAX</v>
      </c>
      <c r="AO41" s="59">
        <f>IFERROR(INDEX(TableTEMaster[BYE],MATCH(TableWRTECalcPts[[#This Row],[POSRef]],TableTEMaster[TERef],0)),"")</f>
        <v>9</v>
      </c>
      <c r="AP41" s="60">
        <f>IFERROR(INDEX(TableTEMaster[Custom],MATCH(TableWRTECalcPts[[#This Row],[POSRef]],TableTEMaster[TERef],0)),"")</f>
        <v>14.710061620799998</v>
      </c>
    </row>
    <row r="42" spans="1:42" x14ac:dyDescent="0.2">
      <c r="A42" s="61">
        <f>IFERROR(RANK(TableQBCalcPts[[#This Row],[Custom]],TableQBCalcPts[Custom])+COUNTIF($F$3:F42,F42)-1,"")</f>
        <v>48</v>
      </c>
      <c r="B42" s="59">
        <v>40</v>
      </c>
      <c r="C42" s="59" t="str">
        <f>IFERROR(INDEX(TableQBMaster[Player],MATCH(TableQBCalcPts[[#This Row],[QBRef]],TableQBMaster[QBRef],0)),"")</f>
        <v>Mike White</v>
      </c>
      <c r="D42" s="59" t="str">
        <f>IFERROR(INDEX(TableQBMaster[TM],MATCH(TableQBCalcPts[[#This Row],[QBRef]],TableQBMaster[QBRef],0)),"")</f>
        <v>MIA</v>
      </c>
      <c r="E42" s="59">
        <f>IFERROR(INDEX(TableQBMaster[BYE],MATCH(TableQBCalcPts[[#This Row],[QBRef]],TableQBMaster[QBRef],0)),"")</f>
        <v>10</v>
      </c>
      <c r="F42" s="60">
        <f>IFERROR(INDEX(TableQBMaster[Custom],MATCH(TableQBCalcPts[[#This Row],[QBRef]],TableQBMaster[QBRef],0)),"")</f>
        <v>6.8469736127040051</v>
      </c>
      <c r="H42" s="59">
        <f>IFERROR(RANK(TableRBCalcPts[[#This Row],[Custom]],TableRBCalcPts[Custom])+COUNTIF($M$3:M42,M42)-1,"")</f>
        <v>15</v>
      </c>
      <c r="I42" s="59">
        <v>40</v>
      </c>
      <c r="J42" s="59" t="str">
        <f>IFERROR(INDEX(TableRBMaster[Player],MATCH(TableRBCalcPts[[#This Row],[RBRef]],TableRBMaster[RBRef],0)),"")</f>
        <v>Josh Jacobs</v>
      </c>
      <c r="K42" s="59" t="str">
        <f>IFERROR(INDEX(TableRBMaster[TM],MATCH(TableRBCalcPts[[#This Row],[RBRef]],TableRBMaster[RBRef],0)),"")</f>
        <v>GB</v>
      </c>
      <c r="L42" s="59">
        <f>IFERROR(INDEX(TableRBMaster[BYE],MATCH(TableRBCalcPts[[#This Row],[RBRef]],TableRBMaster[RBRef],0)),"")</f>
        <v>6</v>
      </c>
      <c r="M42" s="60">
        <f>IFERROR(INDEX(TableRBMaster[Custom],MATCH(TableRBCalcPts[[#This Row],[RBRef]],TableRBMaster[RBRef],0)),"")</f>
        <v>195.67667368737602</v>
      </c>
      <c r="O42" s="59">
        <f>IFERROR(RANK(TableWRCalcPts[[#This Row],[Custom]],TableWRCalcPts[Custom])+COUNTIF($T$3:T42,T42)-1,"")</f>
        <v>66</v>
      </c>
      <c r="P42" s="59">
        <v>40</v>
      </c>
      <c r="Q42" s="59" t="str">
        <f>IFERROR(INDEX(TableWRMaster[Player],MATCH(TableWRCalcPts[[#This Row],[WRRef]],TableWRMaster[WRRef],0)),"")</f>
        <v>Jerry Jeudy</v>
      </c>
      <c r="R42" s="59" t="str">
        <f>IFERROR(INDEX(TableWRMaster[TM],MATCH(TableWRCalcPts[[#This Row],[WRRef]],TableWRMaster[WRRef],0)),"")</f>
        <v>CLE</v>
      </c>
      <c r="S42" s="59">
        <f>IFERROR(INDEX(TableWRMaster[BYE],MATCH(TableWRCalcPts[[#This Row],[WRRef]],TableWRMaster[WRRef],0)),"")</f>
        <v>5</v>
      </c>
      <c r="T42" s="60">
        <f>IFERROR(INDEX(TableWRMaster[Custom],MATCH(TableWRCalcPts[[#This Row],[WRRef]],TableWRMaster[WRRef],0)),"")</f>
        <v>128.455263234375</v>
      </c>
      <c r="V42" s="59">
        <f>IFERROR(RANK(TableTECalcPts[[#This Row],[Custom]],TableTECalcPts[Custom])+COUNTIF($AA$3:AA42,AA42)-1,"")</f>
        <v>57</v>
      </c>
      <c r="W42" s="59">
        <v>40</v>
      </c>
      <c r="X42" s="59" t="str">
        <f>IFERROR(INDEX(TableTEMaster[Player],MATCH(TableTECalcPts[[#This Row],[TERef]],TableTEMaster[TERef],0)),"")</f>
        <v>Brenton Strange</v>
      </c>
      <c r="Y42" s="59" t="str">
        <f>IFERROR(INDEX(TableTEMaster[TM],MATCH(TableTECalcPts[[#This Row],[TERef]],TableTEMaster[TERef],0)),"")</f>
        <v>JAX</v>
      </c>
      <c r="Z42" s="59">
        <f>IFERROR(INDEX(TableTEMaster[BYE],MATCH(TableTECalcPts[[#This Row],[TERef]],TableTEMaster[TERef],0)),"")</f>
        <v>9</v>
      </c>
      <c r="AA42" s="60">
        <f>IFERROR(INDEX(TableTEMaster[Custom],MATCH(TableTECalcPts[[#This Row],[TERef]],TableTEMaster[TERef],0)),"")</f>
        <v>22.138437291515991</v>
      </c>
      <c r="AI42" s="59" t="s">
        <v>10</v>
      </c>
      <c r="AJ42" s="59">
        <f>IFERROR(RANK(TableWRTECalcPts[[#This Row],[Custom]],TableWRTECalcPts[Custom])+COUNTIF($AP$3:AP42,AP42)-1,"")</f>
        <v>199</v>
      </c>
      <c r="AK42" s="59">
        <v>40</v>
      </c>
      <c r="AL42" s="59" t="str">
        <f>IFERROR(INDEX(TableTEMaster[Player],MATCH(TableWRTECalcPts[[#This Row],[POSRef]],TableTEMaster[TERef],0)),"")</f>
        <v>Brenton Strange</v>
      </c>
      <c r="AM42" s="59" t="str">
        <f>IFERROR(_xlfn.CONCAT(TableWRTECalcPts[[#This Row],[POS]],INDEX(TableTERanks[RK],MATCH(TableWRTECalcPts[[#This Row],[PLAYER]],TableTERanks[Player],0))),"")</f>
        <v>TE57</v>
      </c>
      <c r="AN42" s="59" t="str">
        <f>IFERROR(INDEX(TableTEMaster[TM],MATCH(TableWRTECalcPts[[#This Row],[POSRef]],TableTEMaster[TERef],0)),"")</f>
        <v>JAX</v>
      </c>
      <c r="AO42" s="59">
        <f>IFERROR(INDEX(TableTEMaster[BYE],MATCH(TableWRTECalcPts[[#This Row],[POSRef]],TableTEMaster[TERef],0)),"")</f>
        <v>9</v>
      </c>
      <c r="AP42" s="60">
        <f>IFERROR(INDEX(TableTEMaster[Custom],MATCH(TableWRTECalcPts[[#This Row],[POSRef]],TableTEMaster[TERef],0)),"")</f>
        <v>22.138437291515991</v>
      </c>
    </row>
    <row r="43" spans="1:42" x14ac:dyDescent="0.2">
      <c r="A43" s="61">
        <f>IFERROR(RANK(TableQBCalcPts[[#This Row],[Custom]],TableQBCalcPts[Custom])+COUNTIF($F$3:F43,F43)-1,"")</f>
        <v>23</v>
      </c>
      <c r="B43" s="59">
        <v>41</v>
      </c>
      <c r="C43" s="59" t="str">
        <f>IFERROR(INDEX(TableQBMaster[Player],MATCH(TableQBCalcPts[[#This Row],[QBRef]],TableQBMaster[QBRef],0)),"")</f>
        <v>J.J. McCarthy</v>
      </c>
      <c r="D43" s="59" t="str">
        <f>IFERROR(INDEX(TableQBMaster[TM],MATCH(TableQBCalcPts[[#This Row],[QBRef]],TableQBMaster[QBRef],0)),"")</f>
        <v>MIN</v>
      </c>
      <c r="E43" s="59">
        <f>IFERROR(INDEX(TableQBMaster[BYE],MATCH(TableQBCalcPts[[#This Row],[QBRef]],TableQBMaster[QBRef],0)),"")</f>
        <v>13</v>
      </c>
      <c r="F43" s="60">
        <f>IFERROR(INDEX(TableQBMaster[Custom],MATCH(TableQBCalcPts[[#This Row],[QBRef]],TableQBMaster[QBRef],0)),"")</f>
        <v>284.59812010240006</v>
      </c>
      <c r="H43" s="59">
        <f>IFERROR(RANK(TableRBCalcPts[[#This Row],[Custom]],TableRBCalcPts[Custom])+COUNTIF($M$3:M43,M43)-1,"")</f>
        <v>75</v>
      </c>
      <c r="I43" s="59">
        <v>41</v>
      </c>
      <c r="J43" s="59" t="str">
        <f>IFERROR(INDEX(TableRBMaster[Player],MATCH(TableRBCalcPts[[#This Row],[RBRef]],TableRBMaster[RBRef],0)),"")</f>
        <v>AJ Dillon</v>
      </c>
      <c r="K43" s="59" t="str">
        <f>IFERROR(INDEX(TableRBMaster[TM],MATCH(TableRBCalcPts[[#This Row],[RBRef]],TableRBMaster[RBRef],0)),"")</f>
        <v>GB</v>
      </c>
      <c r="L43" s="59">
        <f>IFERROR(INDEX(TableRBMaster[BYE],MATCH(TableRBCalcPts[[#This Row],[RBRef]],TableRBMaster[RBRef],0)),"")</f>
        <v>6</v>
      </c>
      <c r="M43" s="60">
        <f>IFERROR(INDEX(TableRBMaster[Custom],MATCH(TableRBCalcPts[[#This Row],[RBRef]],TableRBMaster[RBRef],0)),"")</f>
        <v>46.699534555968008</v>
      </c>
      <c r="O43" s="59">
        <f>IFERROR(RANK(TableWRCalcPts[[#This Row],[Custom]],TableWRCalcPts[Custom])+COUNTIF($T$3:T43,T43)-1,"")</f>
        <v>85</v>
      </c>
      <c r="P43" s="59">
        <v>41</v>
      </c>
      <c r="Q43" s="59" t="str">
        <f>IFERROR(INDEX(TableWRMaster[Player],MATCH(TableWRCalcPts[[#This Row],[WRRef]],TableWRMaster[WRRef],0)),"")</f>
        <v>Elijah Moore</v>
      </c>
      <c r="R43" s="59" t="str">
        <f>IFERROR(INDEX(TableWRMaster[TM],MATCH(TableWRCalcPts[[#This Row],[WRRef]],TableWRMaster[WRRef],0)),"")</f>
        <v>CLE</v>
      </c>
      <c r="S43" s="59">
        <f>IFERROR(INDEX(TableWRMaster[BYE],MATCH(TableWRCalcPts[[#This Row],[WRRef]],TableWRMaster[WRRef],0)),"")</f>
        <v>5</v>
      </c>
      <c r="T43" s="60">
        <f>IFERROR(INDEX(TableWRMaster[Custom],MATCH(TableWRCalcPts[[#This Row],[WRRef]],TableWRMaster[WRRef],0)),"")</f>
        <v>84.639138333749997</v>
      </c>
      <c r="V43" s="59">
        <f>IFERROR(RANK(TableTECalcPts[[#This Row],[Custom]],TableTECalcPts[Custom])+COUNTIF($AA$3:AA43,AA43)-1,"")</f>
        <v>1</v>
      </c>
      <c r="W43" s="59">
        <v>41</v>
      </c>
      <c r="X43" s="59" t="str">
        <f>IFERROR(INDEX(TableTEMaster[Player],MATCH(TableTECalcPts[[#This Row],[TERef]],TableTEMaster[TERef],0)),"")</f>
        <v>Travis Kelce</v>
      </c>
      <c r="Y43" s="59" t="str">
        <f>IFERROR(INDEX(TableTEMaster[TM],MATCH(TableTECalcPts[[#This Row],[TERef]],TableTEMaster[TERef],0)),"")</f>
        <v>KC</v>
      </c>
      <c r="Z43" s="59">
        <f>IFERROR(INDEX(TableTEMaster[BYE],MATCH(TableTECalcPts[[#This Row],[TERef]],TableTEMaster[TERef],0)),"")</f>
        <v>10</v>
      </c>
      <c r="AA43" s="60">
        <f>IFERROR(INDEX(TableTEMaster[Custom],MATCH(TableTECalcPts[[#This Row],[TERef]],TableTEMaster[TERef],0)),"")</f>
        <v>190.78049731103991</v>
      </c>
      <c r="AI43" s="59" t="s">
        <v>10</v>
      </c>
      <c r="AJ43" s="59">
        <f>IFERROR(RANK(TableWRTECalcPts[[#This Row],[Custom]],TableWRTECalcPts[Custom])+COUNTIF($AP$3:AP43,AP43)-1,"")</f>
        <v>20</v>
      </c>
      <c r="AK43" s="59">
        <v>41</v>
      </c>
      <c r="AL43" s="59" t="str">
        <f>IFERROR(INDEX(TableTEMaster[Player],MATCH(TableWRTECalcPts[[#This Row],[POSRef]],TableTEMaster[TERef],0)),"")</f>
        <v>Travis Kelce</v>
      </c>
      <c r="AM43" s="59" t="str">
        <f>IFERROR(_xlfn.CONCAT(TableWRTECalcPts[[#This Row],[POS]],INDEX(TableTERanks[RK],MATCH(TableWRTECalcPts[[#This Row],[PLAYER]],TableTERanks[Player],0))),"")</f>
        <v>TE1</v>
      </c>
      <c r="AN43" s="59" t="str">
        <f>IFERROR(INDEX(TableTEMaster[TM],MATCH(TableWRTECalcPts[[#This Row],[POSRef]],TableTEMaster[TERef],0)),"")</f>
        <v>KC</v>
      </c>
      <c r="AO43" s="59">
        <f>IFERROR(INDEX(TableTEMaster[BYE],MATCH(TableWRTECalcPts[[#This Row],[POSRef]],TableTEMaster[TERef],0)),"")</f>
        <v>10</v>
      </c>
      <c r="AP43" s="60">
        <f>IFERROR(INDEX(TableTEMaster[Custom],MATCH(TableWRTECalcPts[[#This Row],[POSRef]],TableTEMaster[TERef],0)),"")</f>
        <v>190.78049731103991</v>
      </c>
    </row>
    <row r="44" spans="1:42" x14ac:dyDescent="0.2">
      <c r="A44" s="61">
        <f>IFERROR(RANK(TableQBCalcPts[[#This Row],[Custom]],TableQBCalcPts[Custom])+COUNTIF($F$3:F44,F44)-1,"")</f>
        <v>40</v>
      </c>
      <c r="B44" s="59">
        <v>42</v>
      </c>
      <c r="C44" s="59" t="str">
        <f>IFERROR(INDEX(TableQBMaster[Player],MATCH(TableQBCalcPts[[#This Row],[QBRef]],TableQBMaster[QBRef],0)),"")</f>
        <v>Sam Darnold</v>
      </c>
      <c r="D44" s="59" t="str">
        <f>IFERROR(INDEX(TableQBMaster[TM],MATCH(TableQBCalcPts[[#This Row],[QBRef]],TableQBMaster[QBRef],0)),"")</f>
        <v>MIN</v>
      </c>
      <c r="E44" s="59">
        <f>IFERROR(INDEX(TableQBMaster[BYE],MATCH(TableQBCalcPts[[#This Row],[QBRef]],TableQBMaster[QBRef],0)),"")</f>
        <v>13</v>
      </c>
      <c r="F44" s="60">
        <f>IFERROR(INDEX(TableQBMaster[Custom],MATCH(TableQBCalcPts[[#This Row],[QBRef]],TableQBMaster[QBRef],0)),"")</f>
        <v>17.303615899839997</v>
      </c>
      <c r="H44" s="59">
        <f>IFERROR(RANK(TableRBCalcPts[[#This Row],[Custom]],TableRBCalcPts[Custom])+COUNTIF($M$3:M44,M44)-1,"")</f>
        <v>52</v>
      </c>
      <c r="I44" s="59">
        <v>42</v>
      </c>
      <c r="J44" s="59" t="str">
        <f>IFERROR(INDEX(TableRBMaster[Player],MATCH(TableRBCalcPts[[#This Row],[RBRef]],TableRBMaster[RBRef],0)),"")</f>
        <v>MarShawn Lloyd</v>
      </c>
      <c r="K44" s="59" t="str">
        <f>IFERROR(INDEX(TableRBMaster[TM],MATCH(TableRBCalcPts[[#This Row],[RBRef]],TableRBMaster[RBRef],0)),"")</f>
        <v>GB</v>
      </c>
      <c r="L44" s="59">
        <f>IFERROR(INDEX(TableRBMaster[BYE],MATCH(TableRBCalcPts[[#This Row],[RBRef]],TableRBMaster[RBRef],0)),"")</f>
        <v>6</v>
      </c>
      <c r="M44" s="60">
        <f>IFERROR(INDEX(TableRBMaster[Custom],MATCH(TableRBCalcPts[[#This Row],[RBRef]],TableRBMaster[RBRef],0)),"")</f>
        <v>92.192326900800012</v>
      </c>
      <c r="O44" s="59">
        <f>IFERROR(RANK(TableWRCalcPts[[#This Row],[Custom]],TableWRCalcPts[Custom])+COUNTIF($T$3:T44,T44)-1,"")</f>
        <v>107</v>
      </c>
      <c r="P44" s="59">
        <v>42</v>
      </c>
      <c r="Q44" s="59" t="str">
        <f>IFERROR(INDEX(TableWRMaster[Player],MATCH(TableWRCalcPts[[#This Row],[WRRef]],TableWRMaster[WRRef],0)),"")</f>
        <v>Cedric Tillman</v>
      </c>
      <c r="R44" s="59" t="str">
        <f>IFERROR(INDEX(TableWRMaster[TM],MATCH(TableWRCalcPts[[#This Row],[WRRef]],TableWRMaster[WRRef],0)),"")</f>
        <v>CLE</v>
      </c>
      <c r="S44" s="59">
        <f>IFERROR(INDEX(TableWRMaster[BYE],MATCH(TableWRCalcPts[[#This Row],[WRRef]],TableWRMaster[WRRef],0)),"")</f>
        <v>5</v>
      </c>
      <c r="T44" s="60">
        <f>IFERROR(INDEX(TableWRMaster[Custom],MATCH(TableWRCalcPts[[#This Row],[WRRef]],TableWRMaster[WRRef],0)),"")</f>
        <v>40.104575279999999</v>
      </c>
      <c r="V44" s="59">
        <f>IFERROR(RANK(TableTECalcPts[[#This Row],[Custom]],TableTECalcPts[Custom])+COUNTIF($AA$3:AA44,AA44)-1,"")</f>
        <v>53</v>
      </c>
      <c r="W44" s="59">
        <v>42</v>
      </c>
      <c r="X44" s="59" t="str">
        <f>IFERROR(INDEX(TableTEMaster[Player],MATCH(TableTECalcPts[[#This Row],[TERef]],TableTEMaster[TERef],0)),"")</f>
        <v>Irv Smith</v>
      </c>
      <c r="Y44" s="59" t="str">
        <f>IFERROR(INDEX(TableTEMaster[TM],MATCH(TableTECalcPts[[#This Row],[TERef]],TableTEMaster[TERef],0)),"")</f>
        <v>KC</v>
      </c>
      <c r="Z44" s="59">
        <f>IFERROR(INDEX(TableTEMaster[BYE],MATCH(TableTECalcPts[[#This Row],[TERef]],TableTEMaster[TERef],0)),"")</f>
        <v>10</v>
      </c>
      <c r="AA44" s="60">
        <f>IFERROR(INDEX(TableTEMaster[Custom],MATCH(TableTECalcPts[[#This Row],[TERef]],TableTEMaster[TERef],0)),"")</f>
        <v>25.696037848319992</v>
      </c>
      <c r="AI44" s="59" t="s">
        <v>10</v>
      </c>
      <c r="AJ44" s="59">
        <f>IFERROR(RANK(TableWRTECalcPts[[#This Row],[Custom]],TableWRTECalcPts[Custom])+COUNTIF($AP$3:AP44,AP44)-1,"")</f>
        <v>186</v>
      </c>
      <c r="AK44" s="59">
        <v>42</v>
      </c>
      <c r="AL44" s="59" t="str">
        <f>IFERROR(INDEX(TableTEMaster[Player],MATCH(TableWRTECalcPts[[#This Row],[POSRef]],TableTEMaster[TERef],0)),"")</f>
        <v>Irv Smith</v>
      </c>
      <c r="AM44" s="59" t="str">
        <f>IFERROR(_xlfn.CONCAT(TableWRTECalcPts[[#This Row],[POS]],INDEX(TableTERanks[RK],MATCH(TableWRTECalcPts[[#This Row],[PLAYER]],TableTERanks[Player],0))),"")</f>
        <v>TE53</v>
      </c>
      <c r="AN44" s="59" t="str">
        <f>IFERROR(INDEX(TableTEMaster[TM],MATCH(TableWRTECalcPts[[#This Row],[POSRef]],TableTEMaster[TERef],0)),"")</f>
        <v>KC</v>
      </c>
      <c r="AO44" s="59">
        <f>IFERROR(INDEX(TableTEMaster[BYE],MATCH(TableWRTECalcPts[[#This Row],[POSRef]],TableTEMaster[TERef],0)),"")</f>
        <v>10</v>
      </c>
      <c r="AP44" s="60">
        <f>IFERROR(INDEX(TableTEMaster[Custom],MATCH(TableWRTECalcPts[[#This Row],[POSRef]],TableTEMaster[TERef],0)),"")</f>
        <v>25.696037848319992</v>
      </c>
    </row>
    <row r="45" spans="1:42" x14ac:dyDescent="0.2">
      <c r="A45" s="61">
        <f>IFERROR(RANK(TableQBCalcPts[[#This Row],[Custom]],TableQBCalcPts[Custom])+COUNTIF($F$3:F45,F45)-1,"")</f>
        <v>28</v>
      </c>
      <c r="B45" s="59">
        <v>43</v>
      </c>
      <c r="C45" s="59" t="str">
        <f>IFERROR(INDEX(TableQBMaster[Player],MATCH(TableQBCalcPts[[#This Row],[QBRef]],TableQBMaster[QBRef],0)),"")</f>
        <v>Drake Maye</v>
      </c>
      <c r="D45" s="59" t="str">
        <f>IFERROR(INDEX(TableQBMaster[TM],MATCH(TableQBCalcPts[[#This Row],[QBRef]],TableQBMaster[QBRef],0)),"")</f>
        <v>NE</v>
      </c>
      <c r="E45" s="59">
        <f>IFERROR(INDEX(TableQBMaster[BYE],MATCH(TableQBCalcPts[[#This Row],[QBRef]],TableQBMaster[QBRef],0)),"")</f>
        <v>11</v>
      </c>
      <c r="F45" s="60">
        <f>IFERROR(INDEX(TableQBMaster[Custom],MATCH(TableQBCalcPts[[#This Row],[QBRef]],TableQBMaster[QBRef],0)),"")</f>
        <v>239.09473180042801</v>
      </c>
      <c r="H45" s="59">
        <f>IFERROR(RANK(TableRBCalcPts[[#This Row],[Custom]],TableRBCalcPts[Custom])+COUNTIF($M$3:M45,M45)-1,"")</f>
        <v>9</v>
      </c>
      <c r="I45" s="59">
        <v>43</v>
      </c>
      <c r="J45" s="59" t="str">
        <f>IFERROR(INDEX(TableRBMaster[Player],MATCH(TableRBCalcPts[[#This Row],[RBRef]],TableRBMaster[RBRef],0)),"")</f>
        <v>Joe Mixon</v>
      </c>
      <c r="K45" s="59" t="str">
        <f>IFERROR(INDEX(TableRBMaster[TM],MATCH(TableRBCalcPts[[#This Row],[RBRef]],TableRBMaster[RBRef],0)),"")</f>
        <v>HOU</v>
      </c>
      <c r="L45" s="59">
        <f>IFERROR(INDEX(TableRBMaster[BYE],MATCH(TableRBCalcPts[[#This Row],[RBRef]],TableRBMaster[RBRef],0)),"")</f>
        <v>7</v>
      </c>
      <c r="M45" s="60">
        <f>IFERROR(INDEX(TableRBMaster[Custom],MATCH(TableRBCalcPts[[#This Row],[RBRef]],TableRBMaster[RBRef],0)),"")</f>
        <v>219.5935959949056</v>
      </c>
      <c r="O45" s="59">
        <f>IFERROR(RANK(TableWRCalcPts[[#This Row],[Custom]],TableWRCalcPts[Custom])+COUNTIF($T$3:T45,T45)-1,"")</f>
        <v>182</v>
      </c>
      <c r="P45" s="59">
        <v>43</v>
      </c>
      <c r="Q45" s="59" t="str">
        <f>IFERROR(INDEX(TableWRMaster[Player],MATCH(TableWRCalcPts[[#This Row],[WRRef]],TableWRMaster[WRRef],0)),"")</f>
        <v>David Bell</v>
      </c>
      <c r="R45" s="59" t="str">
        <f>IFERROR(INDEX(TableWRMaster[TM],MATCH(TableWRCalcPts[[#This Row],[WRRef]],TableWRMaster[WRRef],0)),"")</f>
        <v>CLE</v>
      </c>
      <c r="S45" s="59">
        <f>IFERROR(INDEX(TableWRMaster[BYE],MATCH(TableWRCalcPts[[#This Row],[WRRef]],TableWRMaster[WRRef],0)),"")</f>
        <v>5</v>
      </c>
      <c r="T45" s="60">
        <f>IFERROR(INDEX(TableWRMaster[Custom],MATCH(TableWRCalcPts[[#This Row],[WRRef]],TableWRMaster[WRRef],0)),"")</f>
        <v>6.5034446400000006</v>
      </c>
      <c r="V45" s="59">
        <f>IFERROR(RANK(TableTECalcPts[[#This Row],[Custom]],TableTECalcPts[Custom])+COUNTIF($AA$3:AA45,AA45)-1,"")</f>
        <v>64</v>
      </c>
      <c r="W45" s="59">
        <v>43</v>
      </c>
      <c r="X45" s="59" t="str">
        <f>IFERROR(INDEX(TableTEMaster[Player],MATCH(TableTECalcPts[[#This Row],[TERef]],TableTEMaster[TERef],0)),"")</f>
        <v>Noah Gray</v>
      </c>
      <c r="Y45" s="59" t="str">
        <f>IFERROR(INDEX(TableTEMaster[TM],MATCH(TableTECalcPts[[#This Row],[TERef]],TableTEMaster[TERef],0)),"")</f>
        <v>KC</v>
      </c>
      <c r="Z45" s="59">
        <f>IFERROR(INDEX(TableTEMaster[BYE],MATCH(TableTECalcPts[[#This Row],[TERef]],TableTEMaster[TERef],0)),"")</f>
        <v>10</v>
      </c>
      <c r="AA45" s="60">
        <f>IFERROR(INDEX(TableTEMaster[Custom],MATCH(TableTECalcPts[[#This Row],[TERef]],TableTEMaster[TERef],0)),"")</f>
        <v>17.649029798399997</v>
      </c>
      <c r="AI45" s="59" t="s">
        <v>10</v>
      </c>
      <c r="AJ45" s="59">
        <f>IFERROR(RANK(TableWRTECalcPts[[#This Row],[Custom]],TableWRTECalcPts[Custom])+COUNTIF($AP$3:AP45,AP45)-1,"")</f>
        <v>217</v>
      </c>
      <c r="AK45" s="59">
        <v>43</v>
      </c>
      <c r="AL45" s="59" t="str">
        <f>IFERROR(INDEX(TableTEMaster[Player],MATCH(TableWRTECalcPts[[#This Row],[POSRef]],TableTEMaster[TERef],0)),"")</f>
        <v>Noah Gray</v>
      </c>
      <c r="AM45" s="59" t="str">
        <f>IFERROR(_xlfn.CONCAT(TableWRTECalcPts[[#This Row],[POS]],INDEX(TableTERanks[RK],MATCH(TableWRTECalcPts[[#This Row],[PLAYER]],TableTERanks[Player],0))),"")</f>
        <v>TE64</v>
      </c>
      <c r="AN45" s="59" t="str">
        <f>IFERROR(INDEX(TableTEMaster[TM],MATCH(TableWRTECalcPts[[#This Row],[POSRef]],TableTEMaster[TERef],0)),"")</f>
        <v>KC</v>
      </c>
      <c r="AO45" s="59">
        <f>IFERROR(INDEX(TableTEMaster[BYE],MATCH(TableWRTECalcPts[[#This Row],[POSRef]],TableTEMaster[TERef],0)),"")</f>
        <v>10</v>
      </c>
      <c r="AP45" s="60">
        <f>IFERROR(INDEX(TableTEMaster[Custom],MATCH(TableWRTECalcPts[[#This Row],[POSRef]],TableTEMaster[TERef],0)),"")</f>
        <v>17.649029798399997</v>
      </c>
    </row>
    <row r="46" spans="1:42" x14ac:dyDescent="0.2">
      <c r="A46" s="61">
        <f>IFERROR(RANK(TableQBCalcPts[[#This Row],[Custom]],TableQBCalcPts[Custom])+COUNTIF($F$3:F46,F46)-1,"")</f>
        <v>36</v>
      </c>
      <c r="B46" s="59">
        <v>44</v>
      </c>
      <c r="C46" s="59" t="str">
        <f>IFERROR(INDEX(TableQBMaster[Player],MATCH(TableQBCalcPts[[#This Row],[QBRef]],TableQBMaster[QBRef],0)),"")</f>
        <v>Jacoby Brissett</v>
      </c>
      <c r="D46" s="59" t="str">
        <f>IFERROR(INDEX(TableQBMaster[TM],MATCH(TableQBCalcPts[[#This Row],[QBRef]],TableQBMaster[QBRef],0)),"")</f>
        <v>NE</v>
      </c>
      <c r="E46" s="59">
        <f>IFERROR(INDEX(TableQBMaster[BYE],MATCH(TableQBCalcPts[[#This Row],[QBRef]],TableQBMaster[QBRef],0)),"")</f>
        <v>11</v>
      </c>
      <c r="F46" s="60">
        <f>IFERROR(INDEX(TableQBMaster[Custom],MATCH(TableQBCalcPts[[#This Row],[QBRef]],TableQBMaster[QBRef],0)),"")</f>
        <v>38.742384955344001</v>
      </c>
      <c r="H46" s="59">
        <f>IFERROR(RANK(TableRBCalcPts[[#This Row],[Custom]],TableRBCalcPts[Custom])+COUNTIF($M$3:M46,M46)-1,"")</f>
        <v>79</v>
      </c>
      <c r="I46" s="59">
        <v>44</v>
      </c>
      <c r="J46" s="59" t="str">
        <f>IFERROR(INDEX(TableRBMaster[Player],MATCH(TableRBCalcPts[[#This Row],[RBRef]],TableRBMaster[RBRef],0)),"")</f>
        <v>Dameon Pierce</v>
      </c>
      <c r="K46" s="59" t="str">
        <f>IFERROR(INDEX(TableRBMaster[TM],MATCH(TableRBCalcPts[[#This Row],[RBRef]],TableRBMaster[RBRef],0)),"")</f>
        <v>HOU</v>
      </c>
      <c r="L46" s="59">
        <f>IFERROR(INDEX(TableRBMaster[BYE],MATCH(TableRBCalcPts[[#This Row],[RBRef]],TableRBMaster[RBRef],0)),"")</f>
        <v>7</v>
      </c>
      <c r="M46" s="60">
        <f>IFERROR(INDEX(TableRBMaster[Custom],MATCH(TableRBCalcPts[[#This Row],[RBRef]],TableRBMaster[RBRef],0)),"")</f>
        <v>45.497728859648007</v>
      </c>
      <c r="O46" s="59">
        <f>IFERROR(RANK(TableWRCalcPts[[#This Row],[Custom]],TableWRCalcPts[Custom])+COUNTIF($T$3:T46,T46)-1,"")</f>
        <v>148</v>
      </c>
      <c r="P46" s="59">
        <v>44</v>
      </c>
      <c r="Q46" s="59" t="str">
        <f>IFERROR(INDEX(TableWRMaster[Player],MATCH(TableWRCalcPts[[#This Row],[WRRef]],TableWRMaster[WRRef],0)),"")</f>
        <v>Jamari Thrash</v>
      </c>
      <c r="R46" s="59" t="str">
        <f>IFERROR(INDEX(TableWRMaster[TM],MATCH(TableWRCalcPts[[#This Row],[WRRef]],TableWRMaster[WRRef],0)),"")</f>
        <v>CLE</v>
      </c>
      <c r="S46" s="59">
        <f>IFERROR(INDEX(TableWRMaster[BYE],MATCH(TableWRCalcPts[[#This Row],[WRRef]],TableWRMaster[WRRef],0)),"")</f>
        <v>5</v>
      </c>
      <c r="T46" s="60">
        <f>IFERROR(INDEX(TableWRMaster[Custom],MATCH(TableWRCalcPts[[#This Row],[WRRef]],TableWRMaster[WRRef],0)),"")</f>
        <v>20.346103978199999</v>
      </c>
      <c r="V46" s="59">
        <f>IFERROR(RANK(TableTECalcPts[[#This Row],[Custom]],TableTECalcPts[Custom])+COUNTIF($AA$3:AA46,AA46)-1,"")</f>
        <v>33</v>
      </c>
      <c r="W46" s="59">
        <v>44</v>
      </c>
      <c r="X46" s="59" t="str">
        <f>IFERROR(INDEX(TableTEMaster[Player],MATCH(TableTECalcPts[[#This Row],[TERef]],TableTEMaster[TERef],0)),"")</f>
        <v>Will Dissly</v>
      </c>
      <c r="Y46" s="59" t="str">
        <f>IFERROR(INDEX(TableTEMaster[TM],MATCH(TableTECalcPts[[#This Row],[TERef]],TableTEMaster[TERef],0)),"")</f>
        <v>LAC</v>
      </c>
      <c r="Z46" s="59">
        <f>IFERROR(INDEX(TableTEMaster[BYE],MATCH(TableTECalcPts[[#This Row],[TERef]],TableTEMaster[TERef],0)),"")</f>
        <v>5</v>
      </c>
      <c r="AA46" s="60">
        <f>IFERROR(INDEX(TableTEMaster[Custom],MATCH(TableTECalcPts[[#This Row],[TERef]],TableTEMaster[TERef],0)),"")</f>
        <v>59.707462324891488</v>
      </c>
      <c r="AI46" s="59" t="s">
        <v>10</v>
      </c>
      <c r="AJ46" s="59">
        <f>IFERROR(RANK(TableWRTECalcPts[[#This Row],[Custom]],TableWRTECalcPts[Custom])+COUNTIF($AP$3:AP46,AP46)-1,"")</f>
        <v>130</v>
      </c>
      <c r="AK46" s="59">
        <v>44</v>
      </c>
      <c r="AL46" s="59" t="str">
        <f>IFERROR(INDEX(TableTEMaster[Player],MATCH(TableWRTECalcPts[[#This Row],[POSRef]],TableTEMaster[TERef],0)),"")</f>
        <v>Will Dissly</v>
      </c>
      <c r="AM46" s="59" t="str">
        <f>IFERROR(_xlfn.CONCAT(TableWRTECalcPts[[#This Row],[POS]],INDEX(TableTERanks[RK],MATCH(TableWRTECalcPts[[#This Row],[PLAYER]],TableTERanks[Player],0))),"")</f>
        <v>TE33</v>
      </c>
      <c r="AN46" s="59" t="str">
        <f>IFERROR(INDEX(TableTEMaster[TM],MATCH(TableWRTECalcPts[[#This Row],[POSRef]],TableTEMaster[TERef],0)),"")</f>
        <v>LAC</v>
      </c>
      <c r="AO46" s="59">
        <f>IFERROR(INDEX(TableTEMaster[BYE],MATCH(TableWRTECalcPts[[#This Row],[POSRef]],TableTEMaster[TERef],0)),"")</f>
        <v>5</v>
      </c>
      <c r="AP46" s="60">
        <f>IFERROR(INDEX(TableTEMaster[Custom],MATCH(TableWRTECalcPts[[#This Row],[POSRef]],TableTEMaster[TERef],0)),"")</f>
        <v>59.707462324891488</v>
      </c>
    </row>
    <row r="47" spans="1:42" x14ac:dyDescent="0.2">
      <c r="A47" s="61">
        <f>IFERROR(RANK(TableQBCalcPts[[#This Row],[Custom]],TableQBCalcPts[Custom])+COUNTIF($F$3:F47,F47)-1,"")</f>
        <v>27</v>
      </c>
      <c r="B47" s="59">
        <v>45</v>
      </c>
      <c r="C47" s="59" t="str">
        <f>IFERROR(INDEX(TableQBMaster[Player],MATCH(TableQBCalcPts[[#This Row],[QBRef]],TableQBMaster[QBRef],0)),"")</f>
        <v>Derek Carr</v>
      </c>
      <c r="D47" s="59" t="str">
        <f>IFERROR(INDEX(TableQBMaster[TM],MATCH(TableQBCalcPts[[#This Row],[QBRef]],TableQBMaster[QBRef],0)),"")</f>
        <v>NO</v>
      </c>
      <c r="E47" s="59">
        <f>IFERROR(INDEX(TableQBMaster[BYE],MATCH(TableQBCalcPts[[#This Row],[QBRef]],TableQBMaster[QBRef],0)),"")</f>
        <v>11</v>
      </c>
      <c r="F47" s="60">
        <f>IFERROR(INDEX(TableQBMaster[Custom],MATCH(TableQBCalcPts[[#This Row],[QBRef]],TableQBMaster[QBRef],0)),"")</f>
        <v>257.64070224111998</v>
      </c>
      <c r="H47" s="59">
        <f>IFERROR(RANK(TableRBCalcPts[[#This Row],[Custom]],TableRBCalcPts[Custom])+COUNTIF($M$3:M47,M47)-1,"")</f>
        <v>65</v>
      </c>
      <c r="I47" s="59">
        <v>45</v>
      </c>
      <c r="J47" s="59" t="str">
        <f>IFERROR(INDEX(TableRBMaster[Player],MATCH(TableRBCalcPts[[#This Row],[RBRef]],TableRBMaster[RBRef],0)),"")</f>
        <v>Jawhar Jordan</v>
      </c>
      <c r="K47" s="59" t="str">
        <f>IFERROR(INDEX(TableRBMaster[TM],MATCH(TableRBCalcPts[[#This Row],[RBRef]],TableRBMaster[RBRef],0)),"")</f>
        <v>HOU</v>
      </c>
      <c r="L47" s="59">
        <f>IFERROR(INDEX(TableRBMaster[BYE],MATCH(TableRBCalcPts[[#This Row],[RBRef]],TableRBMaster[RBRef],0)),"")</f>
        <v>7</v>
      </c>
      <c r="M47" s="60">
        <f>IFERROR(INDEX(TableRBMaster[Custom],MATCH(TableRBCalcPts[[#This Row],[RBRef]],TableRBMaster[RBRef],0)),"")</f>
        <v>66.159671968000012</v>
      </c>
      <c r="O47" s="59">
        <f>IFERROR(RANK(TableWRCalcPts[[#This Row],[Custom]],TableWRCalcPts[Custom])+COUNTIF($T$3:T47,T47)-1,"")</f>
        <v>2</v>
      </c>
      <c r="P47" s="59">
        <v>45</v>
      </c>
      <c r="Q47" s="59" t="str">
        <f>IFERROR(INDEX(TableWRMaster[Player],MATCH(TableWRCalcPts[[#This Row],[WRRef]],TableWRMaster[WRRef],0)),"")</f>
        <v>CeeDee Lamb</v>
      </c>
      <c r="R47" s="59" t="str">
        <f>IFERROR(INDEX(TableWRMaster[TM],MATCH(TableWRCalcPts[[#This Row],[WRRef]],TableWRMaster[WRRef],0)),"")</f>
        <v>DAL</v>
      </c>
      <c r="S47" s="59">
        <f>IFERROR(INDEX(TableWRMaster[BYE],MATCH(TableWRCalcPts[[#This Row],[WRRef]],TableWRMaster[WRRef],0)),"")</f>
        <v>7</v>
      </c>
      <c r="T47" s="60">
        <f>IFERROR(INDEX(TableWRMaster[Custom],MATCH(TableWRCalcPts[[#This Row],[WRRef]],TableWRMaster[WRRef],0)),"")</f>
        <v>252.66183146769589</v>
      </c>
      <c r="V47" s="59">
        <f>IFERROR(RANK(TableTECalcPts[[#This Row],[Custom]],TableTECalcPts[Custom])+COUNTIF($AA$3:AA47,AA47)-1,"")</f>
        <v>54</v>
      </c>
      <c r="W47" s="59">
        <v>45</v>
      </c>
      <c r="X47" s="59" t="str">
        <f>IFERROR(INDEX(TableTEMaster[Player],MATCH(TableTECalcPts[[#This Row],[TERef]],TableTEMaster[TERef],0)),"")</f>
        <v>Hayden Hurst</v>
      </c>
      <c r="Y47" s="59" t="str">
        <f>IFERROR(INDEX(TableTEMaster[TM],MATCH(TableTECalcPts[[#This Row],[TERef]],TableTEMaster[TERef],0)),"")</f>
        <v>LAC</v>
      </c>
      <c r="Z47" s="59">
        <f>IFERROR(INDEX(TableTEMaster[BYE],MATCH(TableTECalcPts[[#This Row],[TERef]],TableTEMaster[TERef],0)),"")</f>
        <v>5</v>
      </c>
      <c r="AA47" s="60">
        <f>IFERROR(INDEX(TableTEMaster[Custom],MATCH(TableTECalcPts[[#This Row],[TERef]],TableTEMaster[TERef],0)),"")</f>
        <v>25.211992245510004</v>
      </c>
      <c r="AI47" s="59" t="s">
        <v>10</v>
      </c>
      <c r="AJ47" s="59">
        <f>IFERROR(RANK(TableWRTECalcPts[[#This Row],[Custom]],TableWRTECalcPts[Custom])+COUNTIF($AP$3:AP47,AP47)-1,"")</f>
        <v>190</v>
      </c>
      <c r="AK47" s="59">
        <v>45</v>
      </c>
      <c r="AL47" s="59" t="str">
        <f>IFERROR(INDEX(TableTEMaster[Player],MATCH(TableWRTECalcPts[[#This Row],[POSRef]],TableTEMaster[TERef],0)),"")</f>
        <v>Hayden Hurst</v>
      </c>
      <c r="AM47" s="59" t="str">
        <f>IFERROR(_xlfn.CONCAT(TableWRTECalcPts[[#This Row],[POS]],INDEX(TableTERanks[RK],MATCH(TableWRTECalcPts[[#This Row],[PLAYER]],TableTERanks[Player],0))),"")</f>
        <v>TE54</v>
      </c>
      <c r="AN47" s="59" t="str">
        <f>IFERROR(INDEX(TableTEMaster[TM],MATCH(TableWRTECalcPts[[#This Row],[POSRef]],TableTEMaster[TERef],0)),"")</f>
        <v>LAC</v>
      </c>
      <c r="AO47" s="59">
        <f>IFERROR(INDEX(TableTEMaster[BYE],MATCH(TableWRTECalcPts[[#This Row],[POSRef]],TableTEMaster[TERef],0)),"")</f>
        <v>5</v>
      </c>
      <c r="AP47" s="60">
        <f>IFERROR(INDEX(TableTEMaster[Custom],MATCH(TableWRTECalcPts[[#This Row],[POSRef]],TableTEMaster[TERef],0)),"")</f>
        <v>25.211992245510004</v>
      </c>
    </row>
    <row r="48" spans="1:42" x14ac:dyDescent="0.2">
      <c r="A48" s="61">
        <f>IFERROR(RANK(TableQBCalcPts[[#This Row],[Custom]],TableQBCalcPts[Custom])+COUNTIF($F$3:F48,F48)-1,"")</f>
        <v>56</v>
      </c>
      <c r="B48" s="59">
        <v>46</v>
      </c>
      <c r="C48" s="59" t="str">
        <f>IFERROR(INDEX(TableQBMaster[Player],MATCH(TableQBCalcPts[[#This Row],[QBRef]],TableQBMaster[QBRef],0)),"")</f>
        <v>Nathan Peterman</v>
      </c>
      <c r="D48" s="59" t="str">
        <f>IFERROR(INDEX(TableQBMaster[TM],MATCH(TableQBCalcPts[[#This Row],[QBRef]],TableQBMaster[QBRef],0)),"")</f>
        <v>NO</v>
      </c>
      <c r="E48" s="59">
        <f>IFERROR(INDEX(TableQBMaster[BYE],MATCH(TableQBCalcPts[[#This Row],[QBRef]],TableQBMaster[QBRef],0)),"")</f>
        <v>11</v>
      </c>
      <c r="F48" s="60">
        <f>IFERROR(INDEX(TableQBMaster[Custom],MATCH(TableQBCalcPts[[#This Row],[QBRef]],TableQBMaster[QBRef],0)),"")</f>
        <v>4.8003418979999992</v>
      </c>
      <c r="H48" s="59">
        <f>IFERROR(RANK(TableRBCalcPts[[#This Row],[Custom]],TableRBCalcPts[Custom])+COUNTIF($M$3:M48,M48)-1,"")</f>
        <v>2</v>
      </c>
      <c r="I48" s="59">
        <v>46</v>
      </c>
      <c r="J48" s="59" t="str">
        <f>IFERROR(INDEX(TableRBMaster[Player],MATCH(TableRBCalcPts[[#This Row],[RBRef]],TableRBMaster[RBRef],0)),"")</f>
        <v>Jonathan Taylor</v>
      </c>
      <c r="K48" s="59" t="str">
        <f>IFERROR(INDEX(TableRBMaster[TM],MATCH(TableRBCalcPts[[#This Row],[RBRef]],TableRBMaster[RBRef],0)),"")</f>
        <v>IND</v>
      </c>
      <c r="L48" s="59">
        <f>IFERROR(INDEX(TableRBMaster[BYE],MATCH(TableRBCalcPts[[#This Row],[RBRef]],TableRBMaster[RBRef],0)),"")</f>
        <v>11</v>
      </c>
      <c r="M48" s="60">
        <f>IFERROR(INDEX(TableRBMaster[Custom],MATCH(TableRBCalcPts[[#This Row],[RBRef]],TableRBMaster[RBRef],0)),"")</f>
        <v>258.01645011296</v>
      </c>
      <c r="O48" s="59">
        <f>IFERROR(RANK(TableWRCalcPts[[#This Row],[Custom]],TableWRCalcPts[Custom])+COUNTIF($T$3:T48,T48)-1,"")</f>
        <v>45</v>
      </c>
      <c r="P48" s="59">
        <v>46</v>
      </c>
      <c r="Q48" s="59" t="str">
        <f>IFERROR(INDEX(TableWRMaster[Player],MATCH(TableWRCalcPts[[#This Row],[WRRef]],TableWRMaster[WRRef],0)),"")</f>
        <v>Brandin Cooks</v>
      </c>
      <c r="R48" s="59" t="str">
        <f>IFERROR(INDEX(TableWRMaster[TM],MATCH(TableWRCalcPts[[#This Row],[WRRef]],TableWRMaster[WRRef],0)),"")</f>
        <v>DAL</v>
      </c>
      <c r="S48" s="59">
        <f>IFERROR(INDEX(TableWRMaster[BYE],MATCH(TableWRCalcPts[[#This Row],[WRRef]],TableWRMaster[WRRef],0)),"")</f>
        <v>7</v>
      </c>
      <c r="T48" s="60">
        <f>IFERROR(INDEX(TableWRMaster[Custom],MATCH(TableWRCalcPts[[#This Row],[WRRef]],TableWRMaster[WRRef],0)),"")</f>
        <v>159.86001222374398</v>
      </c>
      <c r="V48" s="59">
        <f>IFERROR(RANK(TableTECalcPts[[#This Row],[Custom]],TableTECalcPts[Custom])+COUNTIF($AA$3:AA48,AA48)-1,"")</f>
        <v>43</v>
      </c>
      <c r="W48" s="59">
        <v>46</v>
      </c>
      <c r="X48" s="59" t="str">
        <f>IFERROR(INDEX(TableTEMaster[Player],MATCH(TableTECalcPts[[#This Row],[TERef]],TableTEMaster[TERef],0)),"")</f>
        <v>Donald Parham</v>
      </c>
      <c r="Y48" s="59" t="str">
        <f>IFERROR(INDEX(TableTEMaster[TM],MATCH(TableTECalcPts[[#This Row],[TERef]],TableTEMaster[TERef],0)),"")</f>
        <v>LAC</v>
      </c>
      <c r="Z48" s="59">
        <f>IFERROR(INDEX(TableTEMaster[BYE],MATCH(TableTECalcPts[[#This Row],[TERef]],TableTEMaster[TERef],0)),"")</f>
        <v>5</v>
      </c>
      <c r="AA48" s="60">
        <f>IFERROR(INDEX(TableTEMaster[Custom],MATCH(TableTECalcPts[[#This Row],[TERef]],TableTEMaster[TERef],0)),"")</f>
        <v>47.064153670841982</v>
      </c>
      <c r="AI48" s="59" t="s">
        <v>10</v>
      </c>
      <c r="AJ48" s="59">
        <f>IFERROR(RANK(TableWRTECalcPts[[#This Row],[Custom]],TableWRTECalcPts[Custom])+COUNTIF($AP$3:AP48,AP48)-1,"")</f>
        <v>145</v>
      </c>
      <c r="AK48" s="59">
        <v>46</v>
      </c>
      <c r="AL48" s="59" t="str">
        <f>IFERROR(INDEX(TableTEMaster[Player],MATCH(TableWRTECalcPts[[#This Row],[POSRef]],TableTEMaster[TERef],0)),"")</f>
        <v>Donald Parham</v>
      </c>
      <c r="AM48" s="59" t="str">
        <f>IFERROR(_xlfn.CONCAT(TableWRTECalcPts[[#This Row],[POS]],INDEX(TableTERanks[RK],MATCH(TableWRTECalcPts[[#This Row],[PLAYER]],TableTERanks[Player],0))),"")</f>
        <v>TE43</v>
      </c>
      <c r="AN48" s="59" t="str">
        <f>IFERROR(INDEX(TableTEMaster[TM],MATCH(TableWRTECalcPts[[#This Row],[POSRef]],TableTEMaster[TERef],0)),"")</f>
        <v>LAC</v>
      </c>
      <c r="AO48" s="59">
        <f>IFERROR(INDEX(TableTEMaster[BYE],MATCH(TableWRTECalcPts[[#This Row],[POSRef]],TableTEMaster[TERef],0)),"")</f>
        <v>5</v>
      </c>
      <c r="AP48" s="60">
        <f>IFERROR(INDEX(TableTEMaster[Custom],MATCH(TableWRTECalcPts[[#This Row],[POSRef]],TableTEMaster[TERef],0)),"")</f>
        <v>47.064153670841982</v>
      </c>
    </row>
    <row r="49" spans="1:42" x14ac:dyDescent="0.2">
      <c r="A49" s="61">
        <f>IFERROR(RANK(TableQBCalcPts[[#This Row],[Custom]],TableQBCalcPts[Custom])+COUNTIF($F$3:F49,F49)-1,"")</f>
        <v>29</v>
      </c>
      <c r="B49" s="59">
        <v>47</v>
      </c>
      <c r="C49" s="59" t="str">
        <f>IFERROR(INDEX(TableQBMaster[Player],MATCH(TableQBCalcPts[[#This Row],[QBRef]],TableQBMaster[QBRef],0)),"")</f>
        <v>Daniel Jones</v>
      </c>
      <c r="D49" s="59" t="str">
        <f>IFERROR(INDEX(TableQBMaster[TM],MATCH(TableQBCalcPts[[#This Row],[QBRef]],TableQBMaster[QBRef],0)),"")</f>
        <v>NYG</v>
      </c>
      <c r="E49" s="59">
        <f>IFERROR(INDEX(TableQBMaster[BYE],MATCH(TableQBCalcPts[[#This Row],[QBRef]],TableQBMaster[QBRef],0)),"")</f>
        <v>13</v>
      </c>
      <c r="F49" s="60">
        <f>IFERROR(INDEX(TableQBMaster[Custom],MATCH(TableQBCalcPts[[#This Row],[QBRef]],TableQBMaster[QBRef],0)),"")</f>
        <v>222.10489002455995</v>
      </c>
      <c r="H49" s="59">
        <f>IFERROR(RANK(TableRBCalcPts[[#This Row],[Custom]],TableRBCalcPts[Custom])+COUNTIF($M$3:M49,M49)-1,"")</f>
        <v>82</v>
      </c>
      <c r="I49" s="59">
        <v>47</v>
      </c>
      <c r="J49" s="59" t="str">
        <f>IFERROR(INDEX(TableRBMaster[Player],MATCH(TableRBCalcPts[[#This Row],[RBRef]],TableRBMaster[RBRef],0)),"")</f>
        <v>Trey Sermon</v>
      </c>
      <c r="K49" s="59" t="str">
        <f>IFERROR(INDEX(TableRBMaster[TM],MATCH(TableRBCalcPts[[#This Row],[RBRef]],TableRBMaster[RBRef],0)),"")</f>
        <v>IND</v>
      </c>
      <c r="L49" s="59">
        <f>IFERROR(INDEX(TableRBMaster[BYE],MATCH(TableRBCalcPts[[#This Row],[RBRef]],TableRBMaster[RBRef],0)),"")</f>
        <v>11</v>
      </c>
      <c r="M49" s="60">
        <f>IFERROR(INDEX(TableRBMaster[Custom],MATCH(TableRBCalcPts[[#This Row],[RBRef]],TableRBMaster[RBRef],0)),"")</f>
        <v>40.170814067999999</v>
      </c>
      <c r="O49" s="59">
        <f>IFERROR(RANK(TableWRCalcPts[[#This Row],[Custom]],TableWRCalcPts[Custom])+COUNTIF($T$3:T49,T49)-1,"")</f>
        <v>86</v>
      </c>
      <c r="P49" s="59">
        <v>47</v>
      </c>
      <c r="Q49" s="59" t="str">
        <f>IFERROR(INDEX(TableWRMaster[Player],MATCH(TableWRCalcPts[[#This Row],[WRRef]],TableWRMaster[WRRef],0)),"")</f>
        <v>Jalen Tolbert</v>
      </c>
      <c r="R49" s="59" t="str">
        <f>IFERROR(INDEX(TableWRMaster[TM],MATCH(TableWRCalcPts[[#This Row],[WRRef]],TableWRMaster[WRRef],0)),"")</f>
        <v>DAL</v>
      </c>
      <c r="S49" s="59">
        <f>IFERROR(INDEX(TableWRMaster[BYE],MATCH(TableWRCalcPts[[#This Row],[WRRef]],TableWRMaster[WRRef],0)),"")</f>
        <v>7</v>
      </c>
      <c r="T49" s="60">
        <f>IFERROR(INDEX(TableWRMaster[Custom],MATCH(TableWRCalcPts[[#This Row],[WRRef]],TableWRMaster[WRRef],0)),"")</f>
        <v>84.097540023587982</v>
      </c>
      <c r="V49" s="59">
        <f>IFERROR(RANK(TableTECalcPts[[#This Row],[Custom]],TableTECalcPts[Custom])+COUNTIF($AA$3:AA49,AA49)-1,"")</f>
        <v>20</v>
      </c>
      <c r="W49" s="59">
        <v>47</v>
      </c>
      <c r="X49" s="59" t="str">
        <f>IFERROR(INDEX(TableTEMaster[Player],MATCH(TableTECalcPts[[#This Row],[TERef]],TableTEMaster[TERef],0)),"")</f>
        <v>Tyler Higbee</v>
      </c>
      <c r="Y49" s="59" t="str">
        <f>IFERROR(INDEX(TableTEMaster[TM],MATCH(TableTECalcPts[[#This Row],[TERef]],TableTEMaster[TERef],0)),"")</f>
        <v>LAR</v>
      </c>
      <c r="Z49" s="59">
        <f>IFERROR(INDEX(TableTEMaster[BYE],MATCH(TableTECalcPts[[#This Row],[TERef]],TableTEMaster[TERef],0)),"")</f>
        <v>10</v>
      </c>
      <c r="AA49" s="60">
        <f>IFERROR(INDEX(TableTEMaster[Custom],MATCH(TableTECalcPts[[#This Row],[TERef]],TableTEMaster[TERef],0)),"")</f>
        <v>94.274959189353581</v>
      </c>
      <c r="AI49" s="59" t="s">
        <v>10</v>
      </c>
      <c r="AJ49" s="59">
        <f>IFERROR(RANK(TableWRTECalcPts[[#This Row],[Custom]],TableWRTECalcPts[Custom])+COUNTIF($AP$3:AP49,AP49)-1,"")</f>
        <v>100</v>
      </c>
      <c r="AK49" s="59">
        <v>47</v>
      </c>
      <c r="AL49" s="59" t="str">
        <f>IFERROR(INDEX(TableTEMaster[Player],MATCH(TableWRTECalcPts[[#This Row],[POSRef]],TableTEMaster[TERef],0)),"")</f>
        <v>Tyler Higbee</v>
      </c>
      <c r="AM49" s="59" t="str">
        <f>IFERROR(_xlfn.CONCAT(TableWRTECalcPts[[#This Row],[POS]],INDEX(TableTERanks[RK],MATCH(TableWRTECalcPts[[#This Row],[PLAYER]],TableTERanks[Player],0))),"")</f>
        <v>TE20</v>
      </c>
      <c r="AN49" s="59" t="str">
        <f>IFERROR(INDEX(TableTEMaster[TM],MATCH(TableWRTECalcPts[[#This Row],[POSRef]],TableTEMaster[TERef],0)),"")</f>
        <v>LAR</v>
      </c>
      <c r="AO49" s="59">
        <f>IFERROR(INDEX(TableTEMaster[BYE],MATCH(TableWRTECalcPts[[#This Row],[POSRef]],TableTEMaster[TERef],0)),"")</f>
        <v>10</v>
      </c>
      <c r="AP49" s="60">
        <f>IFERROR(INDEX(TableTEMaster[Custom],MATCH(TableWRTECalcPts[[#This Row],[POSRef]],TableTEMaster[TERef],0)),"")</f>
        <v>94.274959189353581</v>
      </c>
    </row>
    <row r="50" spans="1:42" x14ac:dyDescent="0.2">
      <c r="A50" s="61">
        <f>IFERROR(RANK(TableQBCalcPts[[#This Row],[Custom]],TableQBCalcPts[Custom])+COUNTIF($F$3:F50,F50)-1,"")</f>
        <v>35</v>
      </c>
      <c r="B50" s="59">
        <v>48</v>
      </c>
      <c r="C50" s="59" t="str">
        <f>IFERROR(INDEX(TableQBMaster[Player],MATCH(TableQBCalcPts[[#This Row],[QBRef]],TableQBMaster[QBRef],0)),"")</f>
        <v>Drew Lock</v>
      </c>
      <c r="D50" s="59" t="str">
        <f>IFERROR(INDEX(TableQBMaster[TM],MATCH(TableQBCalcPts[[#This Row],[QBRef]],TableQBMaster[QBRef],0)),"")</f>
        <v>NYG</v>
      </c>
      <c r="E50" s="59">
        <f>IFERROR(INDEX(TableQBMaster[BYE],MATCH(TableQBCalcPts[[#This Row],[QBRef]],TableQBMaster[QBRef],0)),"")</f>
        <v>13</v>
      </c>
      <c r="F50" s="60">
        <f>IFERROR(INDEX(TableQBMaster[Custom],MATCH(TableQBCalcPts[[#This Row],[QBRef]],TableQBMaster[QBRef],0)),"")</f>
        <v>64.911786210399995</v>
      </c>
      <c r="H50" s="59">
        <f>IFERROR(RANK(TableRBCalcPts[[#This Row],[Custom]],TableRBCalcPts[Custom])+COUNTIF($M$3:M50,M50)-1,"")</f>
        <v>92</v>
      </c>
      <c r="I50" s="59">
        <v>48</v>
      </c>
      <c r="J50" s="59" t="str">
        <f>IFERROR(INDEX(TableRBMaster[Player],MATCH(TableRBCalcPts[[#This Row],[RBRef]],TableRBMaster[RBRef],0)),"")</f>
        <v>Evan Hull</v>
      </c>
      <c r="K50" s="59" t="str">
        <f>IFERROR(INDEX(TableRBMaster[TM],MATCH(TableRBCalcPts[[#This Row],[RBRef]],TableRBMaster[RBRef],0)),"")</f>
        <v>IND</v>
      </c>
      <c r="L50" s="59">
        <f>IFERROR(INDEX(TableRBMaster[BYE],MATCH(TableRBCalcPts[[#This Row],[RBRef]],TableRBMaster[RBRef],0)),"")</f>
        <v>11</v>
      </c>
      <c r="M50" s="60">
        <f>IFERROR(INDEX(TableRBMaster[Custom],MATCH(TableRBCalcPts[[#This Row],[RBRef]],TableRBMaster[RBRef],0)),"")</f>
        <v>22.991422196511998</v>
      </c>
      <c r="O50" s="59">
        <f>IFERROR(RANK(TableWRCalcPts[[#This Row],[Custom]],TableWRCalcPts[Custom])+COUNTIF($T$3:T50,T50)-1,"")</f>
        <v>145</v>
      </c>
      <c r="P50" s="59">
        <v>48</v>
      </c>
      <c r="Q50" s="59" t="str">
        <f>IFERROR(INDEX(TableWRMaster[Player],MATCH(TableWRCalcPts[[#This Row],[WRRef]],TableWRMaster[WRRef],0)),"")</f>
        <v>Racey McMath</v>
      </c>
      <c r="R50" s="59" t="str">
        <f>IFERROR(INDEX(TableWRMaster[TM],MATCH(TableWRCalcPts[[#This Row],[WRRef]],TableWRMaster[WRRef],0)),"")</f>
        <v>DAL</v>
      </c>
      <c r="S50" s="59">
        <f>IFERROR(INDEX(TableWRMaster[BYE],MATCH(TableWRCalcPts[[#This Row],[WRRef]],TableWRMaster[WRRef],0)),"")</f>
        <v>7</v>
      </c>
      <c r="T50" s="60">
        <f>IFERROR(INDEX(TableWRMaster[Custom],MATCH(TableWRCalcPts[[#This Row],[WRRef]],TableWRMaster[WRRef],0)),"")</f>
        <v>21.427072611839996</v>
      </c>
      <c r="V50" s="59">
        <f>IFERROR(RANK(TableTECalcPts[[#This Row],[Custom]],TableTECalcPts[Custom])+COUNTIF($AA$3:AA50,AA50)-1,"")</f>
        <v>36</v>
      </c>
      <c r="W50" s="59">
        <v>48</v>
      </c>
      <c r="X50" s="59" t="str">
        <f>IFERROR(INDEX(TableTEMaster[Player],MATCH(TableTECalcPts[[#This Row],[TERef]],TableTEMaster[TERef],0)),"")</f>
        <v>Colby Parkinson</v>
      </c>
      <c r="Y50" s="59" t="str">
        <f>IFERROR(INDEX(TableTEMaster[TM],MATCH(TableTECalcPts[[#This Row],[TERef]],TableTEMaster[TERef],0)),"")</f>
        <v>LAR</v>
      </c>
      <c r="Z50" s="59">
        <f>IFERROR(INDEX(TableTEMaster[BYE],MATCH(TableTECalcPts[[#This Row],[TERef]],TableTEMaster[TERef],0)),"")</f>
        <v>10</v>
      </c>
      <c r="AA50" s="60">
        <f>IFERROR(INDEX(TableTEMaster[Custom],MATCH(TableTECalcPts[[#This Row],[TERef]],TableTEMaster[TERef],0)),"")</f>
        <v>55.509939280947187</v>
      </c>
      <c r="AI50" s="59" t="s">
        <v>10</v>
      </c>
      <c r="AJ50" s="59">
        <f>IFERROR(RANK(TableWRTECalcPts[[#This Row],[Custom]],TableWRTECalcPts[Custom])+COUNTIF($AP$3:AP50,AP50)-1,"")</f>
        <v>136</v>
      </c>
      <c r="AK50" s="59">
        <v>48</v>
      </c>
      <c r="AL50" s="59" t="str">
        <f>IFERROR(INDEX(TableTEMaster[Player],MATCH(TableWRTECalcPts[[#This Row],[POSRef]],TableTEMaster[TERef],0)),"")</f>
        <v>Colby Parkinson</v>
      </c>
      <c r="AM50" s="59" t="str">
        <f>IFERROR(_xlfn.CONCAT(TableWRTECalcPts[[#This Row],[POS]],INDEX(TableTERanks[RK],MATCH(TableWRTECalcPts[[#This Row],[PLAYER]],TableTERanks[Player],0))),"")</f>
        <v>TE36</v>
      </c>
      <c r="AN50" s="59" t="str">
        <f>IFERROR(INDEX(TableTEMaster[TM],MATCH(TableWRTECalcPts[[#This Row],[POSRef]],TableTEMaster[TERef],0)),"")</f>
        <v>LAR</v>
      </c>
      <c r="AO50" s="59">
        <f>IFERROR(INDEX(TableTEMaster[BYE],MATCH(TableWRTECalcPts[[#This Row],[POSRef]],TableTEMaster[TERef],0)),"")</f>
        <v>10</v>
      </c>
      <c r="AP50" s="60">
        <f>IFERROR(INDEX(TableTEMaster[Custom],MATCH(TableWRTECalcPts[[#This Row],[POSRef]],TableTEMaster[TERef],0)),"")</f>
        <v>55.509939280947187</v>
      </c>
    </row>
    <row r="51" spans="1:42" x14ac:dyDescent="0.2">
      <c r="A51" s="61">
        <f>IFERROR(RANK(TableQBCalcPts[[#This Row],[Custom]],TableQBCalcPts[Custom])+COUNTIF($F$3:F51,F51)-1,"")</f>
        <v>18</v>
      </c>
      <c r="B51" s="59">
        <v>49</v>
      </c>
      <c r="C51" s="59" t="str">
        <f>IFERROR(INDEX(TableQBMaster[Player],MATCH(TableQBCalcPts[[#This Row],[QBRef]],TableQBMaster[QBRef],0)),"")</f>
        <v>Aaron Rodgers</v>
      </c>
      <c r="D51" s="59" t="str">
        <f>IFERROR(INDEX(TableQBMaster[TM],MATCH(TableQBCalcPts[[#This Row],[QBRef]],TableQBMaster[QBRef],0)),"")</f>
        <v>NYJ</v>
      </c>
      <c r="E51" s="59">
        <f>IFERROR(INDEX(TableQBMaster[BYE],MATCH(TableQBCalcPts[[#This Row],[QBRef]],TableQBMaster[QBRef],0)),"")</f>
        <v>7</v>
      </c>
      <c r="F51" s="60">
        <f>IFERROR(INDEX(TableQBMaster[Custom],MATCH(TableQBCalcPts[[#This Row],[QBRef]],TableQBMaster[QBRef],0)),"")</f>
        <v>299.34462933983997</v>
      </c>
      <c r="H51" s="59">
        <f>IFERROR(RANK(TableRBCalcPts[[#This Row],[Custom]],TableRBCalcPts[Custom])+COUNTIF($M$3:M51,M51)-1,"")</f>
        <v>16</v>
      </c>
      <c r="I51" s="59">
        <v>49</v>
      </c>
      <c r="J51" s="59" t="str">
        <f>IFERROR(INDEX(TableRBMaster[Player],MATCH(TableRBCalcPts[[#This Row],[RBRef]],TableRBMaster[RBRef],0)),"")</f>
        <v>Travis Etienne</v>
      </c>
      <c r="K51" s="59" t="str">
        <f>IFERROR(INDEX(TableRBMaster[TM],MATCH(TableRBCalcPts[[#This Row],[RBRef]],TableRBMaster[RBRef],0)),"")</f>
        <v>JAX</v>
      </c>
      <c r="L51" s="59">
        <f>IFERROR(INDEX(TableRBMaster[BYE],MATCH(TableRBCalcPts[[#This Row],[RBRef]],TableRBMaster[RBRef],0)),"")</f>
        <v>9</v>
      </c>
      <c r="M51" s="60">
        <f>IFERROR(INDEX(TableRBMaster[Custom],MATCH(TableRBCalcPts[[#This Row],[RBRef]],TableRBMaster[RBRef],0)),"")</f>
        <v>191.02926081876004</v>
      </c>
      <c r="O51" s="59">
        <f>IFERROR(RANK(TableWRCalcPts[[#This Row],[Custom]],TableWRCalcPts[Custom])+COUNTIF($T$3:T51,T51)-1,"")</f>
        <v>118</v>
      </c>
      <c r="P51" s="59">
        <v>49</v>
      </c>
      <c r="Q51" s="59" t="str">
        <f>IFERROR(INDEX(TableWRMaster[Player],MATCH(TableWRCalcPts[[#This Row],[WRRef]],TableWRMaster[WRRef],0)),"")</f>
        <v>KaVontae Turpin</v>
      </c>
      <c r="R51" s="59" t="str">
        <f>IFERROR(INDEX(TableWRMaster[TM],MATCH(TableWRCalcPts[[#This Row],[WRRef]],TableWRMaster[WRRef],0)),"")</f>
        <v>DAL</v>
      </c>
      <c r="S51" s="59">
        <f>IFERROR(INDEX(TableWRMaster[BYE],MATCH(TableWRCalcPts[[#This Row],[WRRef]],TableWRMaster[WRRef],0)),"")</f>
        <v>7</v>
      </c>
      <c r="T51" s="60">
        <f>IFERROR(INDEX(TableWRMaster[Custom],MATCH(TableWRCalcPts[[#This Row],[WRRef]],TableWRMaster[WRRef],0)),"")</f>
        <v>33.663409307035188</v>
      </c>
      <c r="V51" s="59">
        <f>IFERROR(RANK(TableTECalcPts[[#This Row],[Custom]],TableTECalcPts[Custom])+COUNTIF($AA$3:AA51,AA51)-1,"")</f>
        <v>28</v>
      </c>
      <c r="W51" s="59">
        <v>49</v>
      </c>
      <c r="X51" s="59" t="str">
        <f>IFERROR(INDEX(TableTEMaster[Player],MATCH(TableTECalcPts[[#This Row],[TERef]],TableTEMaster[TERef],0)),"")</f>
        <v>Jonnu Smith</v>
      </c>
      <c r="Y51" s="59" t="str">
        <f>IFERROR(INDEX(TableTEMaster[TM],MATCH(TableTECalcPts[[#This Row],[TERef]],TableTEMaster[TERef],0)),"")</f>
        <v>MIA</v>
      </c>
      <c r="Z51" s="59">
        <f>IFERROR(INDEX(TableTEMaster[BYE],MATCH(TableTECalcPts[[#This Row],[TERef]],TableTEMaster[TERef],0)),"")</f>
        <v>10</v>
      </c>
      <c r="AA51" s="60">
        <f>IFERROR(INDEX(TableTEMaster[Custom],MATCH(TableTECalcPts[[#This Row],[TERef]],TableTEMaster[TERef],0)),"")</f>
        <v>69.270961745512807</v>
      </c>
      <c r="AI51" s="59" t="s">
        <v>10</v>
      </c>
      <c r="AJ51" s="59">
        <f>IFERROR(RANK(TableWRTECalcPts[[#This Row],[Custom]],TableWRTECalcPts[Custom])+COUNTIF($AP$3:AP51,AP51)-1,"")</f>
        <v>120</v>
      </c>
      <c r="AK51" s="59">
        <v>49</v>
      </c>
      <c r="AL51" s="59" t="str">
        <f>IFERROR(INDEX(TableTEMaster[Player],MATCH(TableWRTECalcPts[[#This Row],[POSRef]],TableTEMaster[TERef],0)),"")</f>
        <v>Jonnu Smith</v>
      </c>
      <c r="AM51" s="59" t="str">
        <f>IFERROR(_xlfn.CONCAT(TableWRTECalcPts[[#This Row],[POS]],INDEX(TableTERanks[RK],MATCH(TableWRTECalcPts[[#This Row],[PLAYER]],TableTERanks[Player],0))),"")</f>
        <v>TE28</v>
      </c>
      <c r="AN51" s="59" t="str">
        <f>IFERROR(INDEX(TableTEMaster[TM],MATCH(TableWRTECalcPts[[#This Row],[POSRef]],TableTEMaster[TERef],0)),"")</f>
        <v>MIA</v>
      </c>
      <c r="AO51" s="59">
        <f>IFERROR(INDEX(TableTEMaster[BYE],MATCH(TableWRTECalcPts[[#This Row],[POSRef]],TableTEMaster[TERef],0)),"")</f>
        <v>10</v>
      </c>
      <c r="AP51" s="60">
        <f>IFERROR(INDEX(TableTEMaster[Custom],MATCH(TableWRTECalcPts[[#This Row],[POSRef]],TableTEMaster[TERef],0)),"")</f>
        <v>69.270961745512807</v>
      </c>
    </row>
    <row r="52" spans="1:42" x14ac:dyDescent="0.2">
      <c r="A52" s="61">
        <f>IFERROR(RANK(TableQBCalcPts[[#This Row],[Custom]],TableQBCalcPts[Custom])+COUNTIF($F$3:F52,F52)-1,"")</f>
        <v>55</v>
      </c>
      <c r="B52" s="59">
        <v>50</v>
      </c>
      <c r="C52" s="59" t="str">
        <f>IFERROR(INDEX(TableQBMaster[Player],MATCH(TableQBCalcPts[[#This Row],[QBRef]],TableQBMaster[QBRef],0)),"")</f>
        <v>Tyrod Taylor</v>
      </c>
      <c r="D52" s="59" t="str">
        <f>IFERROR(INDEX(TableQBMaster[TM],MATCH(TableQBCalcPts[[#This Row],[QBRef]],TableQBMaster[QBRef],0)),"")</f>
        <v>NYJ</v>
      </c>
      <c r="E52" s="59">
        <f>IFERROR(INDEX(TableQBMaster[BYE],MATCH(TableQBCalcPts[[#This Row],[QBRef]],TableQBMaster[QBRef],0)),"")</f>
        <v>7</v>
      </c>
      <c r="F52" s="60">
        <f>IFERROR(INDEX(TableQBMaster[Custom],MATCH(TableQBCalcPts[[#This Row],[QBRef]],TableQBMaster[QBRef],0)),"")</f>
        <v>5.1004583192640007</v>
      </c>
      <c r="H52" s="59">
        <f>IFERROR(RANK(TableRBCalcPts[[#This Row],[Custom]],TableRBCalcPts[Custom])+COUNTIF($M$3:M52,M52)-1,"")</f>
        <v>58</v>
      </c>
      <c r="I52" s="59">
        <v>50</v>
      </c>
      <c r="J52" s="59" t="str">
        <f>IFERROR(INDEX(TableRBMaster[Player],MATCH(TableRBCalcPts[[#This Row],[RBRef]],TableRBMaster[RBRef],0)),"")</f>
        <v>Tank Bigsby</v>
      </c>
      <c r="K52" s="59" t="str">
        <f>IFERROR(INDEX(TableRBMaster[TM],MATCH(TableRBCalcPts[[#This Row],[RBRef]],TableRBMaster[RBRef],0)),"")</f>
        <v>JAX</v>
      </c>
      <c r="L52" s="59">
        <f>IFERROR(INDEX(TableRBMaster[BYE],MATCH(TableRBCalcPts[[#This Row],[RBRef]],TableRBMaster[RBRef],0)),"")</f>
        <v>9</v>
      </c>
      <c r="M52" s="60">
        <f>IFERROR(INDEX(TableRBMaster[Custom],MATCH(TableRBCalcPts[[#This Row],[RBRef]],TableRBMaster[RBRef],0)),"")</f>
        <v>79.728725952917998</v>
      </c>
      <c r="O52" s="59">
        <f>IFERROR(RANK(TableWRCalcPts[[#This Row],[Custom]],TableWRCalcPts[Custom])+COUNTIF($T$3:T52,T52)-1,"")</f>
        <v>133</v>
      </c>
      <c r="P52" s="59">
        <v>50</v>
      </c>
      <c r="Q52" s="59" t="str">
        <f>IFERROR(INDEX(TableWRMaster[Player],MATCH(TableWRCalcPts[[#This Row],[WRRef]],TableWRMaster[WRRef],0)),"")</f>
        <v>Ryan Flournoy</v>
      </c>
      <c r="R52" s="59" t="str">
        <f>IFERROR(INDEX(TableWRMaster[TM],MATCH(TableWRCalcPts[[#This Row],[WRRef]],TableWRMaster[WRRef],0)),"")</f>
        <v>DAL</v>
      </c>
      <c r="S52" s="59">
        <f>IFERROR(INDEX(TableWRMaster[BYE],MATCH(TableWRCalcPts[[#This Row],[WRRef]],TableWRMaster[WRRef],0)),"")</f>
        <v>7</v>
      </c>
      <c r="T52" s="60">
        <f>IFERROR(INDEX(TableWRMaster[Custom],MATCH(TableWRCalcPts[[#This Row],[WRRef]],TableWRMaster[WRRef],0)),"")</f>
        <v>25.959249732729589</v>
      </c>
      <c r="V52" s="59">
        <f>IFERROR(RANK(TableTECalcPts[[#This Row],[Custom]],TableTECalcPts[Custom])+COUNTIF($AA$3:AA52,AA52)-1,"")</f>
        <v>69</v>
      </c>
      <c r="W52" s="59">
        <v>50</v>
      </c>
      <c r="X52" s="59" t="str">
        <f>IFERROR(INDEX(TableTEMaster[Player],MATCH(TableTECalcPts[[#This Row],[TERef]],TableTEMaster[TERef],0)),"")</f>
        <v>Durham Smythe</v>
      </c>
      <c r="Y52" s="59" t="str">
        <f>IFERROR(INDEX(TableTEMaster[TM],MATCH(TableTECalcPts[[#This Row],[TERef]],TableTEMaster[TERef],0)),"")</f>
        <v>MIA</v>
      </c>
      <c r="Z52" s="59">
        <f>IFERROR(INDEX(TableTEMaster[BYE],MATCH(TableTECalcPts[[#This Row],[TERef]],TableTEMaster[TERef],0)),"")</f>
        <v>10</v>
      </c>
      <c r="AA52" s="60">
        <f>IFERROR(INDEX(TableTEMaster[Custom],MATCH(TableTECalcPts[[#This Row],[TERef]],TableTEMaster[TERef],0)),"")</f>
        <v>14.89512935232</v>
      </c>
      <c r="AI52" s="59" t="s">
        <v>10</v>
      </c>
      <c r="AJ52" s="59">
        <f>IFERROR(RANK(TableWRTECalcPts[[#This Row],[Custom]],TableWRTECalcPts[Custom])+COUNTIF($AP$3:AP52,AP52)-1,"")</f>
        <v>227</v>
      </c>
      <c r="AK52" s="59">
        <v>50</v>
      </c>
      <c r="AL52" s="59" t="str">
        <f>IFERROR(INDEX(TableTEMaster[Player],MATCH(TableWRTECalcPts[[#This Row],[POSRef]],TableTEMaster[TERef],0)),"")</f>
        <v>Durham Smythe</v>
      </c>
      <c r="AM52" s="59" t="str">
        <f>IFERROR(_xlfn.CONCAT(TableWRTECalcPts[[#This Row],[POS]],INDEX(TableTERanks[RK],MATCH(TableWRTECalcPts[[#This Row],[PLAYER]],TableTERanks[Player],0))),"")</f>
        <v>TE69</v>
      </c>
      <c r="AN52" s="59" t="str">
        <f>IFERROR(INDEX(TableTEMaster[TM],MATCH(TableWRTECalcPts[[#This Row],[POSRef]],TableTEMaster[TERef],0)),"")</f>
        <v>MIA</v>
      </c>
      <c r="AO52" s="59">
        <f>IFERROR(INDEX(TableTEMaster[BYE],MATCH(TableWRTECalcPts[[#This Row],[POSRef]],TableTEMaster[TERef],0)),"")</f>
        <v>10</v>
      </c>
      <c r="AP52" s="60">
        <f>IFERROR(INDEX(TableTEMaster[Custom],MATCH(TableWRTECalcPts[[#This Row],[POSRef]],TableTEMaster[TERef],0)),"")</f>
        <v>14.89512935232</v>
      </c>
    </row>
    <row r="53" spans="1:42" x14ac:dyDescent="0.2">
      <c r="A53" s="61">
        <f>IFERROR(RANK(TableQBCalcPts[[#This Row],[Custom]],TableQBCalcPts[Custom])+COUNTIF($F$3:F53,F53)-1,"")</f>
        <v>3</v>
      </c>
      <c r="B53" s="59">
        <v>51</v>
      </c>
      <c r="C53" s="59" t="str">
        <f>IFERROR(INDEX(TableQBMaster[Player],MATCH(TableQBCalcPts[[#This Row],[QBRef]],TableQBMaster[QBRef],0)),"")</f>
        <v>Jalen Hurts</v>
      </c>
      <c r="D53" s="59" t="str">
        <f>IFERROR(INDEX(TableQBMaster[TM],MATCH(TableQBCalcPts[[#This Row],[QBRef]],TableQBMaster[QBRef],0)),"")</f>
        <v>PHI</v>
      </c>
      <c r="E53" s="59">
        <f>IFERROR(INDEX(TableQBMaster[BYE],MATCH(TableQBCalcPts[[#This Row],[QBRef]],TableQBMaster[QBRef],0)),"")</f>
        <v>10</v>
      </c>
      <c r="F53" s="60">
        <f>IFERROR(INDEX(TableQBMaster[Custom],MATCH(TableQBCalcPts[[#This Row],[QBRef]],TableQBMaster[QBRef],0)),"")</f>
        <v>373.54217098705925</v>
      </c>
      <c r="H53" s="59">
        <f>IFERROR(RANK(TableRBCalcPts[[#This Row],[Custom]],TableRBCalcPts[Custom])+COUNTIF($M$3:M53,M53)-1,"")</f>
        <v>85</v>
      </c>
      <c r="I53" s="59">
        <v>51</v>
      </c>
      <c r="J53" s="59" t="str">
        <f>IFERROR(INDEX(TableRBMaster[Player],MATCH(TableRBCalcPts[[#This Row],[RBRef]],TableRBMaster[RBRef],0)),"")</f>
        <v>D'Ernest Johnson</v>
      </c>
      <c r="K53" s="59" t="str">
        <f>IFERROR(INDEX(TableRBMaster[TM],MATCH(TableRBCalcPts[[#This Row],[RBRef]],TableRBMaster[RBRef],0)),"")</f>
        <v>JAX</v>
      </c>
      <c r="L53" s="59">
        <f>IFERROR(INDEX(TableRBMaster[BYE],MATCH(TableRBCalcPts[[#This Row],[RBRef]],TableRBMaster[RBRef],0)),"")</f>
        <v>9</v>
      </c>
      <c r="M53" s="60">
        <f>IFERROR(INDEX(TableRBMaster[Custom],MATCH(TableRBCalcPts[[#This Row],[RBRef]],TableRBMaster[RBRef],0)),"")</f>
        <v>29.691011263031999</v>
      </c>
      <c r="O53" s="59">
        <f>IFERROR(RANK(TableWRCalcPts[[#This Row],[Custom]],TableWRCalcPts[Custom])+COUNTIF($T$3:T53,T53)-1,"")</f>
        <v>33</v>
      </c>
      <c r="P53" s="59">
        <v>51</v>
      </c>
      <c r="Q53" s="59" t="str">
        <f>IFERROR(INDEX(TableWRMaster[Player],MATCH(TableWRCalcPts[[#This Row],[WRRef]],TableWRMaster[WRRef],0)),"")</f>
        <v>Courtland Sutton</v>
      </c>
      <c r="R53" s="59" t="str">
        <f>IFERROR(INDEX(TableWRMaster[TM],MATCH(TableWRCalcPts[[#This Row],[WRRef]],TableWRMaster[WRRef],0)),"")</f>
        <v>DEN</v>
      </c>
      <c r="S53" s="59">
        <f>IFERROR(INDEX(TableWRMaster[BYE],MATCH(TableWRCalcPts[[#This Row],[WRRef]],TableWRMaster[WRRef],0)),"")</f>
        <v>9</v>
      </c>
      <c r="T53" s="60">
        <f>IFERROR(INDEX(TableWRMaster[Custom],MATCH(TableWRCalcPts[[#This Row],[WRRef]],TableWRMaster[WRRef],0)),"")</f>
        <v>176.02978377907999</v>
      </c>
      <c r="V53" s="59">
        <f>IFERROR(RANK(TableTECalcPts[[#This Row],[Custom]],TableTECalcPts[Custom])+COUNTIF($AA$3:AA53,AA53)-1,"")</f>
        <v>79</v>
      </c>
      <c r="W53" s="59">
        <v>51</v>
      </c>
      <c r="X53" s="59" t="str">
        <f>IFERROR(INDEX(TableTEMaster[Player],MATCH(TableTECalcPts[[#This Row],[TERef]],TableTEMaster[TERef],0)),"")</f>
        <v>Julian Hill</v>
      </c>
      <c r="Y53" s="59" t="str">
        <f>IFERROR(INDEX(TableTEMaster[TM],MATCH(TableTECalcPts[[#This Row],[TERef]],TableTEMaster[TERef],0)),"")</f>
        <v>MIA</v>
      </c>
      <c r="Z53" s="59">
        <f>IFERROR(INDEX(TableTEMaster[BYE],MATCH(TableTECalcPts[[#This Row],[TERef]],TableTEMaster[TERef],0)),"")</f>
        <v>10</v>
      </c>
      <c r="AA53" s="60">
        <f>IFERROR(INDEX(TableTEMaster[Custom],MATCH(TableTECalcPts[[#This Row],[TERef]],TableTEMaster[TERef],0)),"")</f>
        <v>10.617792785711998</v>
      </c>
      <c r="AI53" s="59" t="s">
        <v>10</v>
      </c>
      <c r="AJ53" s="59">
        <f>IFERROR(RANK(TableWRTECalcPts[[#This Row],[Custom]],TableWRTECalcPts[Custom])+COUNTIF($AP$3:AP53,AP53)-1,"")</f>
        <v>252</v>
      </c>
      <c r="AK53" s="59">
        <v>51</v>
      </c>
      <c r="AL53" s="59" t="str">
        <f>IFERROR(INDEX(TableTEMaster[Player],MATCH(TableWRTECalcPts[[#This Row],[POSRef]],TableTEMaster[TERef],0)),"")</f>
        <v>Julian Hill</v>
      </c>
      <c r="AM53" s="59" t="str">
        <f>IFERROR(_xlfn.CONCAT(TableWRTECalcPts[[#This Row],[POS]],INDEX(TableTERanks[RK],MATCH(TableWRTECalcPts[[#This Row],[PLAYER]],TableTERanks[Player],0))),"")</f>
        <v>TE79</v>
      </c>
      <c r="AN53" s="59" t="str">
        <f>IFERROR(INDEX(TableTEMaster[TM],MATCH(TableWRTECalcPts[[#This Row],[POSRef]],TableTEMaster[TERef],0)),"")</f>
        <v>MIA</v>
      </c>
      <c r="AO53" s="59">
        <f>IFERROR(INDEX(TableTEMaster[BYE],MATCH(TableWRTECalcPts[[#This Row],[POSRef]],TableTEMaster[TERef],0)),"")</f>
        <v>10</v>
      </c>
      <c r="AP53" s="60">
        <f>IFERROR(INDEX(TableTEMaster[Custom],MATCH(TableWRTECalcPts[[#This Row],[POSRef]],TableTEMaster[TERef],0)),"")</f>
        <v>10.617792785711998</v>
      </c>
    </row>
    <row r="54" spans="1:42" x14ac:dyDescent="0.2">
      <c r="A54" s="61">
        <f>IFERROR(RANK(TableQBCalcPts[[#This Row],[Custom]],TableQBCalcPts[Custom])+COUNTIF($F$3:F54,F54)-1,"")</f>
        <v>53</v>
      </c>
      <c r="B54" s="59">
        <v>52</v>
      </c>
      <c r="C54" s="59" t="str">
        <f>IFERROR(INDEX(TableQBMaster[Player],MATCH(TableQBCalcPts[[#This Row],[QBRef]],TableQBMaster[QBRef],0)),"")</f>
        <v>Kenny Pickett</v>
      </c>
      <c r="D54" s="59" t="str">
        <f>IFERROR(INDEX(TableQBMaster[TM],MATCH(TableQBCalcPts[[#This Row],[QBRef]],TableQBMaster[QBRef],0)),"")</f>
        <v>PHI</v>
      </c>
      <c r="E54" s="59">
        <f>IFERROR(INDEX(TableQBMaster[BYE],MATCH(TableQBCalcPts[[#This Row],[QBRef]],TableQBMaster[QBRef],0)),"")</f>
        <v>10</v>
      </c>
      <c r="F54" s="60">
        <f>IFERROR(INDEX(TableQBMaster[Custom],MATCH(TableQBCalcPts[[#This Row],[QBRef]],TableQBMaster[QBRef],0)),"")</f>
        <v>5.3997111671040043</v>
      </c>
      <c r="H54" s="59">
        <f>IFERROR(RANK(TableRBCalcPts[[#This Row],[Custom]],TableRBCalcPts[Custom])+COUNTIF($M$3:M54,M54)-1,"")</f>
        <v>109</v>
      </c>
      <c r="I54" s="59">
        <v>52</v>
      </c>
      <c r="J54" s="59" t="str">
        <f>IFERROR(INDEX(TableRBMaster[Player],MATCH(TableRBCalcPts[[#This Row],[RBRef]],TableRBMaster[RBRef],0)),"")</f>
        <v>Kellan Robinson</v>
      </c>
      <c r="K54" s="59" t="str">
        <f>IFERROR(INDEX(TableRBMaster[TM],MATCH(TableRBCalcPts[[#This Row],[RBRef]],TableRBMaster[RBRef],0)),"")</f>
        <v>JAX</v>
      </c>
      <c r="L54" s="59">
        <f>IFERROR(INDEX(TableRBMaster[BYE],MATCH(TableRBCalcPts[[#This Row],[RBRef]],TableRBMaster[RBRef],0)),"")</f>
        <v>9</v>
      </c>
      <c r="M54" s="60">
        <f>IFERROR(INDEX(TableRBMaster[Custom],MATCH(TableRBCalcPts[[#This Row],[RBRef]],TableRBMaster[RBRef],0)),"")</f>
        <v>4.9467571719999999</v>
      </c>
      <c r="O54" s="59">
        <f>IFERROR(RANK(TableWRCalcPts[[#This Row],[Custom]],TableWRCalcPts[Custom])+COUNTIF($T$3:T54,T54)-1,"")</f>
        <v>76</v>
      </c>
      <c r="P54" s="59">
        <v>52</v>
      </c>
      <c r="Q54" s="59" t="str">
        <f>IFERROR(INDEX(TableWRMaster[Player],MATCH(TableWRCalcPts[[#This Row],[WRRef]],TableWRMaster[WRRef],0)),"")</f>
        <v>Marvin Mims</v>
      </c>
      <c r="R54" s="59" t="str">
        <f>IFERROR(INDEX(TableWRMaster[TM],MATCH(TableWRCalcPts[[#This Row],[WRRef]],TableWRMaster[WRRef],0)),"")</f>
        <v>DEN</v>
      </c>
      <c r="S54" s="59">
        <f>IFERROR(INDEX(TableWRMaster[BYE],MATCH(TableWRCalcPts[[#This Row],[WRRef]],TableWRMaster[WRRef],0)),"")</f>
        <v>9</v>
      </c>
      <c r="T54" s="60">
        <f>IFERROR(INDEX(TableWRMaster[Custom],MATCH(TableWRCalcPts[[#This Row],[WRRef]],TableWRMaster[WRRef],0)),"")</f>
        <v>104.3449333248</v>
      </c>
      <c r="V54" s="59">
        <f>IFERROR(RANK(TableTECalcPts[[#This Row],[Custom]],TableTECalcPts[Custom])+COUNTIF($AA$3:AA54,AA54)-1,"")</f>
        <v>13</v>
      </c>
      <c r="W54" s="59">
        <v>52</v>
      </c>
      <c r="X54" s="59" t="str">
        <f>IFERROR(INDEX(TableTEMaster[Player],MATCH(TableTECalcPts[[#This Row],[TERef]],TableTEMaster[TERef],0)),"")</f>
        <v>T.J. Hockenson</v>
      </c>
      <c r="Y54" s="59" t="str">
        <f>IFERROR(INDEX(TableTEMaster[TM],MATCH(TableTECalcPts[[#This Row],[TERef]],TableTEMaster[TERef],0)),"")</f>
        <v>MIN</v>
      </c>
      <c r="Z54" s="59">
        <f>IFERROR(INDEX(TableTEMaster[BYE],MATCH(TableTECalcPts[[#This Row],[TERef]],TableTEMaster[TERef],0)),"")</f>
        <v>13</v>
      </c>
      <c r="AA54" s="60">
        <f>IFERROR(INDEX(TableTEMaster[Custom],MATCH(TableTECalcPts[[#This Row],[TERef]],TableTEMaster[TERef],0)),"")</f>
        <v>122.60684427264</v>
      </c>
      <c r="AI54" s="59" t="s">
        <v>10</v>
      </c>
      <c r="AJ54" s="59">
        <f>IFERROR(RANK(TableWRTECalcPts[[#This Row],[Custom]],TableWRTECalcPts[Custom])+COUNTIF($AP$3:AP54,AP54)-1,"")</f>
        <v>82</v>
      </c>
      <c r="AK54" s="59">
        <v>52</v>
      </c>
      <c r="AL54" s="59" t="str">
        <f>IFERROR(INDEX(TableTEMaster[Player],MATCH(TableWRTECalcPts[[#This Row],[POSRef]],TableTEMaster[TERef],0)),"")</f>
        <v>T.J. Hockenson</v>
      </c>
      <c r="AM54" s="59" t="str">
        <f>IFERROR(_xlfn.CONCAT(TableWRTECalcPts[[#This Row],[POS]],INDEX(TableTERanks[RK],MATCH(TableWRTECalcPts[[#This Row],[PLAYER]],TableTERanks[Player],0))),"")</f>
        <v>TE13</v>
      </c>
      <c r="AN54" s="59" t="str">
        <f>IFERROR(INDEX(TableTEMaster[TM],MATCH(TableWRTECalcPts[[#This Row],[POSRef]],TableTEMaster[TERef],0)),"")</f>
        <v>MIN</v>
      </c>
      <c r="AO54" s="59">
        <f>IFERROR(INDEX(TableTEMaster[BYE],MATCH(TableWRTECalcPts[[#This Row],[POSRef]],TableTEMaster[TERef],0)),"")</f>
        <v>13</v>
      </c>
      <c r="AP54" s="60">
        <f>IFERROR(INDEX(TableTEMaster[Custom],MATCH(TableWRTECalcPts[[#This Row],[POSRef]],TableTEMaster[TERef],0)),"")</f>
        <v>122.60684427264</v>
      </c>
    </row>
    <row r="55" spans="1:42" x14ac:dyDescent="0.2">
      <c r="A55" s="61">
        <f>IFERROR(RANK(TableQBCalcPts[[#This Row],[Custom]],TableQBCalcPts[Custom])+COUNTIF($F$3:F55,F55)-1,"")</f>
        <v>30</v>
      </c>
      <c r="B55" s="59">
        <v>53</v>
      </c>
      <c r="C55" s="59" t="str">
        <f>IFERROR(INDEX(TableQBMaster[Player],MATCH(TableQBCalcPts[[#This Row],[QBRef]],TableQBMaster[QBRef],0)),"")</f>
        <v>Russell Wilson</v>
      </c>
      <c r="D55" s="59" t="str">
        <f>IFERROR(INDEX(TableQBMaster[TM],MATCH(TableQBCalcPts[[#This Row],[QBRef]],TableQBMaster[QBRef],0)),"")</f>
        <v>PIT</v>
      </c>
      <c r="E55" s="59">
        <f>IFERROR(INDEX(TableQBMaster[BYE],MATCH(TableQBCalcPts[[#This Row],[QBRef]],TableQBMaster[QBRef],0)),"")</f>
        <v>6</v>
      </c>
      <c r="F55" s="60">
        <f>IFERROR(INDEX(TableQBMaster[Custom],MATCH(TableQBCalcPts[[#This Row],[QBRef]],TableQBMaster[QBRef],0)),"")</f>
        <v>201.532956324</v>
      </c>
      <c r="H55" s="59">
        <f>IFERROR(RANK(TableRBCalcPts[[#This Row],[Custom]],TableRBCalcPts[Custom])+COUNTIF($M$3:M55,M55)-1,"")</f>
        <v>10</v>
      </c>
      <c r="I55" s="59">
        <v>53</v>
      </c>
      <c r="J55" s="59" t="str">
        <f>IFERROR(INDEX(TableRBMaster[Player],MATCH(TableRBCalcPts[[#This Row],[RBRef]],TableRBMaster[RBRef],0)),"")</f>
        <v>Isiah Pacheco</v>
      </c>
      <c r="K55" s="59" t="str">
        <f>IFERROR(INDEX(TableRBMaster[TM],MATCH(TableRBCalcPts[[#This Row],[RBRef]],TableRBMaster[RBRef],0)),"")</f>
        <v>KC</v>
      </c>
      <c r="L55" s="59">
        <f>IFERROR(INDEX(TableRBMaster[BYE],MATCH(TableRBCalcPts[[#This Row],[RBRef]],TableRBMaster[RBRef],0)),"")</f>
        <v>10</v>
      </c>
      <c r="M55" s="60">
        <f>IFERROR(INDEX(TableRBMaster[Custom],MATCH(TableRBCalcPts[[#This Row],[RBRef]],TableRBMaster[RBRef],0)),"")</f>
        <v>217.17277173760002</v>
      </c>
      <c r="O55" s="59">
        <f>IFERROR(RANK(TableWRCalcPts[[#This Row],[Custom]],TableWRCalcPts[Custom])+COUNTIF($T$3:T55,T55)-1,"")</f>
        <v>75</v>
      </c>
      <c r="P55" s="59">
        <v>53</v>
      </c>
      <c r="Q55" s="59" t="str">
        <f>IFERROR(INDEX(TableWRMaster[Player],MATCH(TableWRCalcPts[[#This Row],[WRRef]],TableWRMaster[WRRef],0)),"")</f>
        <v>Josh Reynolds</v>
      </c>
      <c r="R55" s="59" t="str">
        <f>IFERROR(INDEX(TableWRMaster[TM],MATCH(TableWRCalcPts[[#This Row],[WRRef]],TableWRMaster[WRRef],0)),"")</f>
        <v>DEN</v>
      </c>
      <c r="S55" s="59">
        <f>IFERROR(INDEX(TableWRMaster[BYE],MATCH(TableWRCalcPts[[#This Row],[WRRef]],TableWRMaster[WRRef],0)),"")</f>
        <v>9</v>
      </c>
      <c r="T55" s="60">
        <f>IFERROR(INDEX(TableWRMaster[Custom],MATCH(TableWRCalcPts[[#This Row],[WRRef]],TableWRMaster[WRRef],0)),"")</f>
        <v>105.31443284480997</v>
      </c>
      <c r="V55" s="59">
        <f>IFERROR(RANK(TableTECalcPts[[#This Row],[Custom]],TableTECalcPts[Custom])+COUNTIF($AA$3:AA55,AA55)-1,"")</f>
        <v>61</v>
      </c>
      <c r="W55" s="59">
        <v>53</v>
      </c>
      <c r="X55" s="59" t="str">
        <f>IFERROR(INDEX(TableTEMaster[Player],MATCH(TableTECalcPts[[#This Row],[TERef]],TableTEMaster[TERef],0)),"")</f>
        <v>Johnny Mundt</v>
      </c>
      <c r="Y55" s="59" t="str">
        <f>IFERROR(INDEX(TableTEMaster[TM],MATCH(TableTECalcPts[[#This Row],[TERef]],TableTEMaster[TERef],0)),"")</f>
        <v>MIN</v>
      </c>
      <c r="Z55" s="59">
        <f>IFERROR(INDEX(TableTEMaster[BYE],MATCH(TableTECalcPts[[#This Row],[TERef]],TableTEMaster[TERef],0)),"")</f>
        <v>13</v>
      </c>
      <c r="AA55" s="60">
        <f>IFERROR(INDEX(TableTEMaster[Custom],MATCH(TableTECalcPts[[#This Row],[TERef]],TableTEMaster[TERef],0)),"")</f>
        <v>19.988201519999997</v>
      </c>
      <c r="AI55" s="59" t="s">
        <v>10</v>
      </c>
      <c r="AJ55" s="59">
        <f>IFERROR(RANK(TableWRTECalcPts[[#This Row],[Custom]],TableWRTECalcPts[Custom])+COUNTIF($AP$3:AP55,AP55)-1,"")</f>
        <v>209</v>
      </c>
      <c r="AK55" s="59">
        <v>53</v>
      </c>
      <c r="AL55" s="59" t="str">
        <f>IFERROR(INDEX(TableTEMaster[Player],MATCH(TableWRTECalcPts[[#This Row],[POSRef]],TableTEMaster[TERef],0)),"")</f>
        <v>Johnny Mundt</v>
      </c>
      <c r="AM55" s="59" t="str">
        <f>IFERROR(_xlfn.CONCAT(TableWRTECalcPts[[#This Row],[POS]],INDEX(TableTERanks[RK],MATCH(TableWRTECalcPts[[#This Row],[PLAYER]],TableTERanks[Player],0))),"")</f>
        <v>TE61</v>
      </c>
      <c r="AN55" s="59" t="str">
        <f>IFERROR(INDEX(TableTEMaster[TM],MATCH(TableWRTECalcPts[[#This Row],[POSRef]],TableTEMaster[TERef],0)),"")</f>
        <v>MIN</v>
      </c>
      <c r="AO55" s="59">
        <f>IFERROR(INDEX(TableTEMaster[BYE],MATCH(TableWRTECalcPts[[#This Row],[POSRef]],TableTEMaster[TERef],0)),"")</f>
        <v>13</v>
      </c>
      <c r="AP55" s="60">
        <f>IFERROR(INDEX(TableTEMaster[Custom],MATCH(TableWRTECalcPts[[#This Row],[POSRef]],TableTEMaster[TERef],0)),"")</f>
        <v>19.988201519999997</v>
      </c>
    </row>
    <row r="56" spans="1:42" x14ac:dyDescent="0.2">
      <c r="A56" s="61">
        <f>IFERROR(RANK(TableQBCalcPts[[#This Row],[Custom]],TableQBCalcPts[Custom])+COUNTIF($F$3:F56,F56)-1,"")</f>
        <v>33</v>
      </c>
      <c r="B56" s="59">
        <v>54</v>
      </c>
      <c r="C56" s="59" t="str">
        <f>IFERROR(INDEX(TableQBMaster[Player],MATCH(TableQBCalcPts[[#This Row],[QBRef]],TableQBMaster[QBRef],0)),"")</f>
        <v>Justin Fields</v>
      </c>
      <c r="D56" s="59" t="str">
        <f>IFERROR(INDEX(TableQBMaster[TM],MATCH(TableQBCalcPts[[#This Row],[QBRef]],TableQBMaster[QBRef],0)),"")</f>
        <v>PIT</v>
      </c>
      <c r="E56" s="59">
        <f>IFERROR(INDEX(TableQBMaster[BYE],MATCH(TableQBCalcPts[[#This Row],[QBRef]],TableQBMaster[QBRef],0)),"")</f>
        <v>6</v>
      </c>
      <c r="F56" s="60">
        <f>IFERROR(INDEX(TableQBMaster[Custom],MATCH(TableQBCalcPts[[#This Row],[QBRef]],TableQBMaster[QBRef],0)),"")</f>
        <v>100.70848563300001</v>
      </c>
      <c r="H56" s="59">
        <f>IFERROR(RANK(TableRBCalcPts[[#This Row],[Custom]],TableRBCalcPts[Custom])+COUNTIF($M$3:M56,M56)-1,"")</f>
        <v>63</v>
      </c>
      <c r="I56" s="59">
        <v>54</v>
      </c>
      <c r="J56" s="59" t="str">
        <f>IFERROR(INDEX(TableRBMaster[Player],MATCH(TableRBCalcPts[[#This Row],[RBRef]],TableRBMaster[RBRef],0)),"")</f>
        <v>Clyde Edwards-Helaire</v>
      </c>
      <c r="K56" s="59" t="str">
        <f>IFERROR(INDEX(TableRBMaster[TM],MATCH(TableRBCalcPts[[#This Row],[RBRef]],TableRBMaster[RBRef],0)),"")</f>
        <v>KC</v>
      </c>
      <c r="L56" s="59">
        <f>IFERROR(INDEX(TableRBMaster[BYE],MATCH(TableRBCalcPts[[#This Row],[RBRef]],TableRBMaster[RBRef],0)),"")</f>
        <v>10</v>
      </c>
      <c r="M56" s="60">
        <f>IFERROR(INDEX(TableRBMaster[Custom],MATCH(TableRBCalcPts[[#This Row],[RBRef]],TableRBMaster[RBRef],0)),"")</f>
        <v>70.102759408639983</v>
      </c>
      <c r="O56" s="59">
        <f>IFERROR(RANK(TableWRCalcPts[[#This Row],[Custom]],TableWRCalcPts[Custom])+COUNTIF($T$3:T56,T56)-1,"")</f>
        <v>82</v>
      </c>
      <c r="P56" s="59">
        <v>54</v>
      </c>
      <c r="Q56" s="59" t="str">
        <f>IFERROR(INDEX(TableWRMaster[Player],MATCH(TableWRCalcPts[[#This Row],[WRRef]],TableWRMaster[WRRef],0)),"")</f>
        <v>Troy Franklin</v>
      </c>
      <c r="R56" s="59" t="str">
        <f>IFERROR(INDEX(TableWRMaster[TM],MATCH(TableWRCalcPts[[#This Row],[WRRef]],TableWRMaster[WRRef],0)),"")</f>
        <v>DEN</v>
      </c>
      <c r="S56" s="59">
        <f>IFERROR(INDEX(TableWRMaster[BYE],MATCH(TableWRCalcPts[[#This Row],[WRRef]],TableWRMaster[WRRef],0)),"")</f>
        <v>9</v>
      </c>
      <c r="T56" s="60">
        <f>IFERROR(INDEX(TableWRMaster[Custom],MATCH(TableWRCalcPts[[#This Row],[WRRef]],TableWRMaster[WRRef],0)),"")</f>
        <v>90.119784211379994</v>
      </c>
      <c r="V56" s="59">
        <f>IFERROR(RANK(TableTECalcPts[[#This Row],[Custom]],TableTECalcPts[Custom])+COUNTIF($AA$3:AA56,AA56)-1,"")</f>
        <v>44</v>
      </c>
      <c r="W56" s="59">
        <v>54</v>
      </c>
      <c r="X56" s="59" t="str">
        <f>IFERROR(INDEX(TableTEMaster[Player],MATCH(TableTECalcPts[[#This Row],[TERef]],TableTEMaster[TERef],0)),"")</f>
        <v>Josh Oliver</v>
      </c>
      <c r="Y56" s="59" t="str">
        <f>IFERROR(INDEX(TableTEMaster[TM],MATCH(TableTECalcPts[[#This Row],[TERef]],TableTEMaster[TERef],0)),"")</f>
        <v>MIN</v>
      </c>
      <c r="Z56" s="59">
        <f>IFERROR(INDEX(TableTEMaster[BYE],MATCH(TableTECalcPts[[#This Row],[TERef]],TableTEMaster[TERef],0)),"")</f>
        <v>13</v>
      </c>
      <c r="AA56" s="60">
        <f>IFERROR(INDEX(TableTEMaster[Custom],MATCH(TableTECalcPts[[#This Row],[TERef]],TableTEMaster[TERef],0)),"")</f>
        <v>46.24948826064</v>
      </c>
      <c r="AI56" s="59" t="s">
        <v>10</v>
      </c>
      <c r="AJ56" s="59">
        <f>IFERROR(RANK(TableWRTECalcPts[[#This Row],[Custom]],TableWRTECalcPts[Custom])+COUNTIF($AP$3:AP56,AP56)-1,"")</f>
        <v>146</v>
      </c>
      <c r="AK56" s="59">
        <v>54</v>
      </c>
      <c r="AL56" s="59" t="str">
        <f>IFERROR(INDEX(TableTEMaster[Player],MATCH(TableWRTECalcPts[[#This Row],[POSRef]],TableTEMaster[TERef],0)),"")</f>
        <v>Josh Oliver</v>
      </c>
      <c r="AM56" s="59" t="str">
        <f>IFERROR(_xlfn.CONCAT(TableWRTECalcPts[[#This Row],[POS]],INDEX(TableTERanks[RK],MATCH(TableWRTECalcPts[[#This Row],[PLAYER]],TableTERanks[Player],0))),"")</f>
        <v>TE44</v>
      </c>
      <c r="AN56" s="59" t="str">
        <f>IFERROR(INDEX(TableTEMaster[TM],MATCH(TableWRTECalcPts[[#This Row],[POSRef]],TableTEMaster[TERef],0)),"")</f>
        <v>MIN</v>
      </c>
      <c r="AO56" s="59">
        <f>IFERROR(INDEX(TableTEMaster[BYE],MATCH(TableWRTECalcPts[[#This Row],[POSRef]],TableTEMaster[TERef],0)),"")</f>
        <v>13</v>
      </c>
      <c r="AP56" s="60">
        <f>IFERROR(INDEX(TableTEMaster[Custom],MATCH(TableWRTECalcPts[[#This Row],[POSRef]],TableTEMaster[TERef],0)),"")</f>
        <v>46.24948826064</v>
      </c>
    </row>
    <row r="57" spans="1:42" x14ac:dyDescent="0.2">
      <c r="A57" s="61">
        <f>IFERROR(RANK(TableQBCalcPts[[#This Row],[Custom]],TableQBCalcPts[Custom])+COUNTIF($F$3:F57,F57)-1,"")</f>
        <v>24</v>
      </c>
      <c r="B57" s="59">
        <v>55</v>
      </c>
      <c r="C57" s="59" t="str">
        <f>IFERROR(INDEX(TableQBMaster[Player],MATCH(TableQBCalcPts[[#This Row],[QBRef]],TableQBMaster[QBRef],0)),"")</f>
        <v>Geno Smith</v>
      </c>
      <c r="D57" s="59" t="str">
        <f>IFERROR(INDEX(TableQBMaster[TM],MATCH(TableQBCalcPts[[#This Row],[QBRef]],TableQBMaster[QBRef],0)),"")</f>
        <v>SEA</v>
      </c>
      <c r="E57" s="59">
        <f>IFERROR(INDEX(TableQBMaster[BYE],MATCH(TableQBCalcPts[[#This Row],[QBRef]],TableQBMaster[QBRef],0)),"")</f>
        <v>5</v>
      </c>
      <c r="F57" s="60">
        <f>IFERROR(INDEX(TableQBMaster[Custom],MATCH(TableQBCalcPts[[#This Row],[QBRef]],TableQBMaster[QBRef],0)),"")</f>
        <v>278.21474601614403</v>
      </c>
      <c r="H57" s="59">
        <f>IFERROR(RANK(TableRBCalcPts[[#This Row],[Custom]],TableRBCalcPts[Custom])+COUNTIF($M$3:M57,M57)-1,"")</f>
        <v>91</v>
      </c>
      <c r="I57" s="59">
        <v>55</v>
      </c>
      <c r="J57" s="59" t="str">
        <f>IFERROR(INDEX(TableRBMaster[Player],MATCH(TableRBCalcPts[[#This Row],[RBRef]],TableRBMaster[RBRef],0)),"")</f>
        <v>Keaontay Ingram</v>
      </c>
      <c r="K57" s="59" t="str">
        <f>IFERROR(INDEX(TableRBMaster[TM],MATCH(TableRBCalcPts[[#This Row],[RBRef]],TableRBMaster[RBRef],0)),"")</f>
        <v>KC</v>
      </c>
      <c r="L57" s="59">
        <f>IFERROR(INDEX(TableRBMaster[BYE],MATCH(TableRBCalcPts[[#This Row],[RBRef]],TableRBMaster[RBRef],0)),"")</f>
        <v>10</v>
      </c>
      <c r="M57" s="60">
        <f>IFERROR(INDEX(TableRBMaster[Custom],MATCH(TableRBCalcPts[[#This Row],[RBRef]],TableRBMaster[RBRef],0)),"")</f>
        <v>23.444296960000003</v>
      </c>
      <c r="O57" s="59">
        <f>IFERROR(RANK(TableWRCalcPts[[#This Row],[Custom]],TableWRCalcPts[Custom])+COUNTIF($T$3:T57,T57)-1,"")</f>
        <v>132</v>
      </c>
      <c r="P57" s="59">
        <v>55</v>
      </c>
      <c r="Q57" s="59" t="str">
        <f>IFERROR(INDEX(TableWRMaster[Player],MATCH(TableWRCalcPts[[#This Row],[WRRef]],TableWRMaster[WRRef],0)),"")</f>
        <v>Tim Patrick</v>
      </c>
      <c r="R57" s="59" t="str">
        <f>IFERROR(INDEX(TableWRMaster[TM],MATCH(TableWRCalcPts[[#This Row],[WRRef]],TableWRMaster[WRRef],0)),"")</f>
        <v>DEN</v>
      </c>
      <c r="S57" s="59">
        <f>IFERROR(INDEX(TableWRMaster[BYE],MATCH(TableWRCalcPts[[#This Row],[WRRef]],TableWRMaster[WRRef],0)),"")</f>
        <v>9</v>
      </c>
      <c r="T57" s="60">
        <f>IFERROR(INDEX(TableWRMaster[Custom],MATCH(TableWRCalcPts[[#This Row],[WRRef]],TableWRMaster[WRRef],0)),"")</f>
        <v>27.941771952079996</v>
      </c>
      <c r="V57" s="59">
        <f>IFERROR(RANK(TableTECalcPts[[#This Row],[Custom]],TableTECalcPts[Custom])+COUNTIF($AA$3:AA57,AA57)-1,"")</f>
        <v>19</v>
      </c>
      <c r="W57" s="59">
        <v>55</v>
      </c>
      <c r="X57" s="59" t="str">
        <f>IFERROR(INDEX(TableTEMaster[Player],MATCH(TableTECalcPts[[#This Row],[TERef]],TableTEMaster[TERef],0)),"")</f>
        <v>Hunter Henry</v>
      </c>
      <c r="Y57" s="59" t="str">
        <f>IFERROR(INDEX(TableTEMaster[TM],MATCH(TableTECalcPts[[#This Row],[TERef]],TableTEMaster[TERef],0)),"")</f>
        <v>NE</v>
      </c>
      <c r="Z57" s="59">
        <f>IFERROR(INDEX(TableTEMaster[BYE],MATCH(TableTECalcPts[[#This Row],[TERef]],TableTEMaster[TERef],0)),"")</f>
        <v>11</v>
      </c>
      <c r="AA57" s="60">
        <f>IFERROR(INDEX(TableTEMaster[Custom],MATCH(TableTECalcPts[[#This Row],[TERef]],TableTEMaster[TERef],0)),"")</f>
        <v>96.809080357735198</v>
      </c>
      <c r="AI57" s="59" t="s">
        <v>10</v>
      </c>
      <c r="AJ57" s="59">
        <f>IFERROR(RANK(TableWRTECalcPts[[#This Row],[Custom]],TableWRTECalcPts[Custom])+COUNTIF($AP$3:AP57,AP57)-1,"")</f>
        <v>98</v>
      </c>
      <c r="AK57" s="59">
        <v>55</v>
      </c>
      <c r="AL57" s="59" t="str">
        <f>IFERROR(INDEX(TableTEMaster[Player],MATCH(TableWRTECalcPts[[#This Row],[POSRef]],TableTEMaster[TERef],0)),"")</f>
        <v>Hunter Henry</v>
      </c>
      <c r="AM57" s="59" t="str">
        <f>IFERROR(_xlfn.CONCAT(TableWRTECalcPts[[#This Row],[POS]],INDEX(TableTERanks[RK],MATCH(TableWRTECalcPts[[#This Row],[PLAYER]],TableTERanks[Player],0))),"")</f>
        <v>TE19</v>
      </c>
      <c r="AN57" s="59" t="str">
        <f>IFERROR(INDEX(TableTEMaster[TM],MATCH(TableWRTECalcPts[[#This Row],[POSRef]],TableTEMaster[TERef],0)),"")</f>
        <v>NE</v>
      </c>
      <c r="AO57" s="59">
        <f>IFERROR(INDEX(TableTEMaster[BYE],MATCH(TableWRTECalcPts[[#This Row],[POSRef]],TableTEMaster[TERef],0)),"")</f>
        <v>11</v>
      </c>
      <c r="AP57" s="60">
        <f>IFERROR(INDEX(TableTEMaster[Custom],MATCH(TableWRTECalcPts[[#This Row],[POSRef]],TableTEMaster[TERef],0)),"")</f>
        <v>96.809080357735198</v>
      </c>
    </row>
    <row r="58" spans="1:42" x14ac:dyDescent="0.2">
      <c r="A58" s="61">
        <f>IFERROR(RANK(TableQBCalcPts[[#This Row],[Custom]],TableQBCalcPts[Custom])+COUNTIF($F$3:F58,F58)-1,"")</f>
        <v>38</v>
      </c>
      <c r="B58" s="59">
        <v>56</v>
      </c>
      <c r="C58" s="59" t="str">
        <f>IFERROR(INDEX(TableQBMaster[Player],MATCH(TableQBCalcPts[[#This Row],[QBRef]],TableQBMaster[QBRef],0)),"")</f>
        <v>Sam Howell</v>
      </c>
      <c r="D58" s="59" t="str">
        <f>IFERROR(INDEX(TableQBMaster[TM],MATCH(TableQBCalcPts[[#This Row],[QBRef]],TableQBMaster[QBRef],0)),"")</f>
        <v>SEA</v>
      </c>
      <c r="E58" s="59">
        <f>IFERROR(INDEX(TableQBMaster[BYE],MATCH(TableQBCalcPts[[#This Row],[QBRef]],TableQBMaster[QBRef],0)),"")</f>
        <v>5</v>
      </c>
      <c r="F58" s="60">
        <f>IFERROR(INDEX(TableQBMaster[Custom],MATCH(TableQBCalcPts[[#This Row],[QBRef]],TableQBMaster[QBRef],0)),"")</f>
        <v>27.710476903968001</v>
      </c>
      <c r="H58" s="59">
        <f>IFERROR(RANK(TableRBCalcPts[[#This Row],[Custom]],TableRBCalcPts[Custom])+COUNTIF($M$3:M58,M58)-1,"")</f>
        <v>28</v>
      </c>
      <c r="I58" s="59">
        <v>56</v>
      </c>
      <c r="J58" s="59" t="str">
        <f>IFERROR(INDEX(TableRBMaster[Player],MATCH(TableRBCalcPts[[#This Row],[RBRef]],TableRBMaster[RBRef],0)),"")</f>
        <v>Gus Edwards</v>
      </c>
      <c r="K58" s="59" t="str">
        <f>IFERROR(INDEX(TableRBMaster[TM],MATCH(TableRBCalcPts[[#This Row],[RBRef]],TableRBMaster[RBRef],0)),"")</f>
        <v>LAC</v>
      </c>
      <c r="L58" s="59">
        <f>IFERROR(INDEX(TableRBMaster[BYE],MATCH(TableRBCalcPts[[#This Row],[RBRef]],TableRBMaster[RBRef],0)),"")</f>
        <v>5</v>
      </c>
      <c r="M58" s="60">
        <f>IFERROR(INDEX(TableRBMaster[Custom],MATCH(TableRBCalcPts[[#This Row],[RBRef]],TableRBMaster[RBRef],0)),"")</f>
        <v>164.41601479424801</v>
      </c>
      <c r="O58" s="59">
        <f>IFERROR(RANK(TableWRCalcPts[[#This Row],[Custom]],TableWRCalcPts[Custom])+COUNTIF($T$3:T58,T58)-1,"")</f>
        <v>166</v>
      </c>
      <c r="P58" s="59">
        <v>56</v>
      </c>
      <c r="Q58" s="59" t="str">
        <f>IFERROR(INDEX(TableWRMaster[Player],MATCH(TableWRCalcPts[[#This Row],[WRRef]],TableWRMaster[WRRef],0)),"")</f>
        <v>Brandon Johnson</v>
      </c>
      <c r="R58" s="59" t="str">
        <f>IFERROR(INDEX(TableWRMaster[TM],MATCH(TableWRCalcPts[[#This Row],[WRRef]],TableWRMaster[WRRef],0)),"")</f>
        <v>DEN</v>
      </c>
      <c r="S58" s="59">
        <f>IFERROR(INDEX(TableWRMaster[BYE],MATCH(TableWRCalcPts[[#This Row],[WRRef]],TableWRMaster[WRRef],0)),"")</f>
        <v>9</v>
      </c>
      <c r="T58" s="60">
        <f>IFERROR(INDEX(TableWRMaster[Custom],MATCH(TableWRCalcPts[[#This Row],[WRRef]],TableWRMaster[WRRef],0)),"")</f>
        <v>13.243490175300002</v>
      </c>
      <c r="V58" s="59">
        <f>IFERROR(RANK(TableTECalcPts[[#This Row],[Custom]],TableTECalcPts[Custom])+COUNTIF($AA$3:AA58,AA58)-1,"")</f>
        <v>38</v>
      </c>
      <c r="W58" s="59">
        <v>56</v>
      </c>
      <c r="X58" s="59" t="str">
        <f>IFERROR(INDEX(TableTEMaster[Player],MATCH(TableTECalcPts[[#This Row],[TERef]],TableTEMaster[TERef],0)),"")</f>
        <v>Austin Hooper</v>
      </c>
      <c r="Y58" s="59" t="str">
        <f>IFERROR(INDEX(TableTEMaster[TM],MATCH(TableTECalcPts[[#This Row],[TERef]],TableTEMaster[TERef],0)),"")</f>
        <v>NE</v>
      </c>
      <c r="Z58" s="59">
        <f>IFERROR(INDEX(TableTEMaster[BYE],MATCH(TableTECalcPts[[#This Row],[TERef]],TableTEMaster[TERef],0)),"")</f>
        <v>11</v>
      </c>
      <c r="AA58" s="60">
        <f>IFERROR(INDEX(TableTEMaster[Custom],MATCH(TableTECalcPts[[#This Row],[TERef]],TableTEMaster[TERef],0)),"")</f>
        <v>55.186056155999992</v>
      </c>
      <c r="AI58" s="59" t="s">
        <v>10</v>
      </c>
      <c r="AJ58" s="59">
        <f>IFERROR(RANK(TableWRTECalcPts[[#This Row],[Custom]],TableWRTECalcPts[Custom])+COUNTIF($AP$3:AP58,AP58)-1,"")</f>
        <v>138</v>
      </c>
      <c r="AK58" s="59">
        <v>56</v>
      </c>
      <c r="AL58" s="59" t="str">
        <f>IFERROR(INDEX(TableTEMaster[Player],MATCH(TableWRTECalcPts[[#This Row],[POSRef]],TableTEMaster[TERef],0)),"")</f>
        <v>Austin Hooper</v>
      </c>
      <c r="AM58" s="59" t="str">
        <f>IFERROR(_xlfn.CONCAT(TableWRTECalcPts[[#This Row],[POS]],INDEX(TableTERanks[RK],MATCH(TableWRTECalcPts[[#This Row],[PLAYER]],TableTERanks[Player],0))),"")</f>
        <v>TE38</v>
      </c>
      <c r="AN58" s="59" t="str">
        <f>IFERROR(INDEX(TableTEMaster[TM],MATCH(TableWRTECalcPts[[#This Row],[POSRef]],TableTEMaster[TERef],0)),"")</f>
        <v>NE</v>
      </c>
      <c r="AO58" s="59">
        <f>IFERROR(INDEX(TableTEMaster[BYE],MATCH(TableWRTECalcPts[[#This Row],[POSRef]],TableTEMaster[TERef],0)),"")</f>
        <v>11</v>
      </c>
      <c r="AP58" s="60">
        <f>IFERROR(INDEX(TableTEMaster[Custom],MATCH(TableWRTECalcPts[[#This Row],[POSRef]],TableTEMaster[TERef],0)),"")</f>
        <v>55.186056155999992</v>
      </c>
    </row>
    <row r="59" spans="1:42" x14ac:dyDescent="0.2">
      <c r="A59" s="61">
        <f>IFERROR(RANK(TableQBCalcPts[[#This Row],[Custom]],TableQBCalcPts[Custom])+COUNTIF($F$3:F59,F59)-1,"")</f>
        <v>13</v>
      </c>
      <c r="B59" s="59">
        <v>57</v>
      </c>
      <c r="C59" s="59" t="str">
        <f>IFERROR(INDEX(TableQBMaster[Player],MATCH(TableQBCalcPts[[#This Row],[QBRef]],TableQBMaster[QBRef],0)),"")</f>
        <v>Brock Purdy</v>
      </c>
      <c r="D59" s="59" t="str">
        <f>IFERROR(INDEX(TableQBMaster[TM],MATCH(TableQBCalcPts[[#This Row],[QBRef]],TableQBMaster[QBRef],0)),"")</f>
        <v>SF</v>
      </c>
      <c r="E59" s="59">
        <f>IFERROR(INDEX(TableQBMaster[BYE],MATCH(TableQBCalcPts[[#This Row],[QBRef]],TableQBMaster[QBRef],0)),"")</f>
        <v>9</v>
      </c>
      <c r="F59" s="60">
        <f>IFERROR(INDEX(TableQBMaster[Custom],MATCH(TableQBCalcPts[[#This Row],[QBRef]],TableQBMaster[QBRef],0)),"")</f>
        <v>311.34483384782396</v>
      </c>
      <c r="H59" s="59">
        <f>IFERROR(RANK(TableRBCalcPts[[#This Row],[Custom]],TableRBCalcPts[Custom])+COUNTIF($M$3:M59,M59)-1,"")</f>
        <v>47</v>
      </c>
      <c r="I59" s="59">
        <v>57</v>
      </c>
      <c r="J59" s="59" t="str">
        <f>IFERROR(INDEX(TableRBMaster[Player],MATCH(TableRBCalcPts[[#This Row],[RBRef]],TableRBMaster[RBRef],0)),"")</f>
        <v>J.K. Dobbins</v>
      </c>
      <c r="K59" s="59" t="str">
        <f>IFERROR(INDEX(TableRBMaster[TM],MATCH(TableRBCalcPts[[#This Row],[RBRef]],TableRBMaster[RBRef],0)),"")</f>
        <v>LAC</v>
      </c>
      <c r="L59" s="59">
        <f>IFERROR(INDEX(TableRBMaster[BYE],MATCH(TableRBCalcPts[[#This Row],[RBRef]],TableRBMaster[RBRef],0)),"")</f>
        <v>5</v>
      </c>
      <c r="M59" s="60">
        <f>IFERROR(INDEX(TableRBMaster[Custom],MATCH(TableRBCalcPts[[#This Row],[RBRef]],TableRBMaster[RBRef],0)),"")</f>
        <v>110.24050291947</v>
      </c>
      <c r="O59" s="59">
        <f>IFERROR(RANK(TableWRCalcPts[[#This Row],[Custom]],TableWRCalcPts[Custom])+COUNTIF($T$3:T59,T59)-1,"")</f>
        <v>38</v>
      </c>
      <c r="P59" s="59">
        <v>57</v>
      </c>
      <c r="Q59" s="59" t="str">
        <f>IFERROR(INDEX(TableWRMaster[Player],MATCH(TableWRCalcPts[[#This Row],[WRRef]],TableWRMaster[WRRef],0)),"")</f>
        <v>Jameson Williams</v>
      </c>
      <c r="R59" s="59" t="str">
        <f>IFERROR(INDEX(TableWRMaster[TM],MATCH(TableWRCalcPts[[#This Row],[WRRef]],TableWRMaster[WRRef],0)),"")</f>
        <v>DET</v>
      </c>
      <c r="S59" s="59">
        <f>IFERROR(INDEX(TableWRMaster[BYE],MATCH(TableWRCalcPts[[#This Row],[WRRef]],TableWRMaster[WRRef],0)),"")</f>
        <v>9</v>
      </c>
      <c r="T59" s="60">
        <f>IFERROR(INDEX(TableWRMaster[Custom],MATCH(TableWRCalcPts[[#This Row],[WRRef]],TableWRMaster[WRRef],0)),"")</f>
        <v>170.67243936779397</v>
      </c>
      <c r="V59" s="59">
        <f>IFERROR(RANK(TableTECalcPts[[#This Row],[Custom]],TableTECalcPts[Custom])+COUNTIF($AA$3:AA59,AA59)-1,"")</f>
        <v>22</v>
      </c>
      <c r="W59" s="59">
        <v>57</v>
      </c>
      <c r="X59" s="59" t="str">
        <f>IFERROR(INDEX(TableTEMaster[Player],MATCH(TableTECalcPts[[#This Row],[TERef]],TableTEMaster[TERef],0)),"")</f>
        <v>Juwan Johnson</v>
      </c>
      <c r="Y59" s="59" t="str">
        <f>IFERROR(INDEX(TableTEMaster[TM],MATCH(TableTECalcPts[[#This Row],[TERef]],TableTEMaster[TERef],0)),"")</f>
        <v>NO</v>
      </c>
      <c r="Z59" s="59">
        <f>IFERROR(INDEX(TableTEMaster[BYE],MATCH(TableTECalcPts[[#This Row],[TERef]],TableTEMaster[TERef],0)),"")</f>
        <v>11</v>
      </c>
      <c r="AA59" s="60">
        <f>IFERROR(INDEX(TableTEMaster[Custom],MATCH(TableTECalcPts[[#This Row],[TERef]],TableTEMaster[TERef],0)),"")</f>
        <v>88.505673243704607</v>
      </c>
      <c r="AI59" s="59" t="s">
        <v>10</v>
      </c>
      <c r="AJ59" s="59">
        <f>IFERROR(RANK(TableWRTECalcPts[[#This Row],[Custom]],TableWRTECalcPts[Custom])+COUNTIF($AP$3:AP59,AP59)-1,"")</f>
        <v>104</v>
      </c>
      <c r="AK59" s="59">
        <v>57</v>
      </c>
      <c r="AL59" s="59" t="str">
        <f>IFERROR(INDEX(TableTEMaster[Player],MATCH(TableWRTECalcPts[[#This Row],[POSRef]],TableTEMaster[TERef],0)),"")</f>
        <v>Juwan Johnson</v>
      </c>
      <c r="AM59" s="59" t="str">
        <f>IFERROR(_xlfn.CONCAT(TableWRTECalcPts[[#This Row],[POS]],INDEX(TableTERanks[RK],MATCH(TableWRTECalcPts[[#This Row],[PLAYER]],TableTERanks[Player],0))),"")</f>
        <v>TE22</v>
      </c>
      <c r="AN59" s="59" t="str">
        <f>IFERROR(INDEX(TableTEMaster[TM],MATCH(TableWRTECalcPts[[#This Row],[POSRef]],TableTEMaster[TERef],0)),"")</f>
        <v>NO</v>
      </c>
      <c r="AO59" s="59">
        <f>IFERROR(INDEX(TableTEMaster[BYE],MATCH(TableWRTECalcPts[[#This Row],[POSRef]],TableTEMaster[TERef],0)),"")</f>
        <v>11</v>
      </c>
      <c r="AP59" s="60">
        <f>IFERROR(INDEX(TableTEMaster[Custom],MATCH(TableWRTECalcPts[[#This Row],[POSRef]],TableTEMaster[TERef],0)),"")</f>
        <v>88.505673243704607</v>
      </c>
    </row>
    <row r="60" spans="1:42" x14ac:dyDescent="0.2">
      <c r="A60" s="61">
        <f>IFERROR(RANK(TableQBCalcPts[[#This Row],[Custom]],TableQBCalcPts[Custom])+COUNTIF($F$3:F60,F60)-1,"")</f>
        <v>58</v>
      </c>
      <c r="B60" s="59">
        <v>58</v>
      </c>
      <c r="C60" s="59" t="str">
        <f>IFERROR(INDEX(TableQBMaster[Player],MATCH(TableQBCalcPts[[#This Row],[QBRef]],TableQBMaster[QBRef],0)),"")</f>
        <v>Josh Dobbs</v>
      </c>
      <c r="D60" s="59" t="str">
        <f>IFERROR(INDEX(TableQBMaster[TM],MATCH(TableQBCalcPts[[#This Row],[QBRef]],TableQBMaster[QBRef],0)),"")</f>
        <v>SF</v>
      </c>
      <c r="E60" s="59">
        <f>IFERROR(INDEX(TableQBMaster[BYE],MATCH(TableQBCalcPts[[#This Row],[QBRef]],TableQBMaster[QBRef],0)),"")</f>
        <v>9</v>
      </c>
      <c r="F60" s="60">
        <f>IFERROR(INDEX(TableQBMaster[Custom],MATCH(TableQBCalcPts[[#This Row],[QBRef]],TableQBMaster[QBRef],0)),"")</f>
        <v>4.2144476761439993</v>
      </c>
      <c r="H60" s="59">
        <f>IFERROR(RANK(TableRBCalcPts[[#This Row],[Custom]],TableRBCalcPts[Custom])+COUNTIF($M$3:M60,M60)-1,"")</f>
        <v>71</v>
      </c>
      <c r="I60" s="59">
        <v>58</v>
      </c>
      <c r="J60" s="59" t="str">
        <f>IFERROR(INDEX(TableRBMaster[Player],MATCH(TableRBCalcPts[[#This Row],[RBRef]],TableRBMaster[RBRef],0)),"")</f>
        <v>Kimani Vidal</v>
      </c>
      <c r="K60" s="59" t="str">
        <f>IFERROR(INDEX(TableRBMaster[TM],MATCH(TableRBCalcPts[[#This Row],[RBRef]],TableRBMaster[RBRef],0)),"")</f>
        <v>LAC</v>
      </c>
      <c r="L60" s="59">
        <f>IFERROR(INDEX(TableRBMaster[BYE],MATCH(TableRBCalcPts[[#This Row],[RBRef]],TableRBMaster[RBRef],0)),"")</f>
        <v>5</v>
      </c>
      <c r="M60" s="60">
        <f>IFERROR(INDEX(TableRBMaster[Custom],MATCH(TableRBCalcPts[[#This Row],[RBRef]],TableRBMaster[RBRef],0)),"")</f>
        <v>57.720941137439993</v>
      </c>
      <c r="O60" s="59">
        <f>IFERROR(RANK(TableWRCalcPts[[#This Row],[Custom]],TableWRCalcPts[Custom])+COUNTIF($T$3:T60,T60)-1,"")</f>
        <v>3</v>
      </c>
      <c r="P60" s="59">
        <v>58</v>
      </c>
      <c r="Q60" s="59" t="str">
        <f>IFERROR(INDEX(TableWRMaster[Player],MATCH(TableWRCalcPts[[#This Row],[WRRef]],TableWRMaster[WRRef],0)),"")</f>
        <v>Amon-Ra St. Brown</v>
      </c>
      <c r="R60" s="59" t="str">
        <f>IFERROR(INDEX(TableWRMaster[TM],MATCH(TableWRCalcPts[[#This Row],[WRRef]],TableWRMaster[WRRef],0)),"")</f>
        <v>DET</v>
      </c>
      <c r="S60" s="59">
        <f>IFERROR(INDEX(TableWRMaster[BYE],MATCH(TableWRCalcPts[[#This Row],[WRRef]],TableWRMaster[WRRef],0)),"")</f>
        <v>9</v>
      </c>
      <c r="T60" s="60">
        <f>IFERROR(INDEX(TableWRMaster[Custom],MATCH(TableWRCalcPts[[#This Row],[WRRef]],TableWRMaster[WRRef],0)),"")</f>
        <v>250.73054050100694</v>
      </c>
      <c r="V60" s="59">
        <f>IFERROR(RANK(TableTECalcPts[[#This Row],[Custom]],TableTECalcPts[Custom])+COUNTIF($AA$3:AA60,AA60)-1,"")</f>
        <v>78</v>
      </c>
      <c r="W60" s="59">
        <v>58</v>
      </c>
      <c r="X60" s="59" t="str">
        <f>IFERROR(INDEX(TableTEMaster[Player],MATCH(TableTECalcPts[[#This Row],[TERef]],TableTEMaster[TERef],0)),"")</f>
        <v>Foster Moreau</v>
      </c>
      <c r="Y60" s="59" t="str">
        <f>IFERROR(INDEX(TableTEMaster[TM],MATCH(TableTECalcPts[[#This Row],[TERef]],TableTEMaster[TERef],0)),"")</f>
        <v>NO</v>
      </c>
      <c r="Z60" s="59">
        <f>IFERROR(INDEX(TableTEMaster[BYE],MATCH(TableTECalcPts[[#This Row],[TERef]],TableTEMaster[TERef],0)),"")</f>
        <v>11</v>
      </c>
      <c r="AA60" s="60">
        <f>IFERROR(INDEX(TableTEMaster[Custom],MATCH(TableTECalcPts[[#This Row],[TERef]],TableTEMaster[TERef],0)),"")</f>
        <v>11.647049984397826</v>
      </c>
      <c r="AI60" s="59" t="s">
        <v>10</v>
      </c>
      <c r="AJ60" s="59">
        <f>IFERROR(RANK(TableWRTECalcPts[[#This Row],[Custom]],TableWRTECalcPts[Custom])+COUNTIF($AP$3:AP60,AP60)-1,"")</f>
        <v>248</v>
      </c>
      <c r="AK60" s="59">
        <v>58</v>
      </c>
      <c r="AL60" s="59" t="str">
        <f>IFERROR(INDEX(TableTEMaster[Player],MATCH(TableWRTECalcPts[[#This Row],[POSRef]],TableTEMaster[TERef],0)),"")</f>
        <v>Foster Moreau</v>
      </c>
      <c r="AM60" s="59" t="str">
        <f>IFERROR(_xlfn.CONCAT(TableWRTECalcPts[[#This Row],[POS]],INDEX(TableTERanks[RK],MATCH(TableWRTECalcPts[[#This Row],[PLAYER]],TableTERanks[Player],0))),"")</f>
        <v>TE78</v>
      </c>
      <c r="AN60" s="59" t="str">
        <f>IFERROR(INDEX(TableTEMaster[TM],MATCH(TableWRTECalcPts[[#This Row],[POSRef]],TableTEMaster[TERef],0)),"")</f>
        <v>NO</v>
      </c>
      <c r="AO60" s="59">
        <f>IFERROR(INDEX(TableTEMaster[BYE],MATCH(TableWRTECalcPts[[#This Row],[POSRef]],TableTEMaster[TERef],0)),"")</f>
        <v>11</v>
      </c>
      <c r="AP60" s="60">
        <f>IFERROR(INDEX(TableTEMaster[Custom],MATCH(TableWRTECalcPts[[#This Row],[POSRef]],TableTEMaster[TERef],0)),"")</f>
        <v>11.647049984397826</v>
      </c>
    </row>
    <row r="61" spans="1:42" x14ac:dyDescent="0.2">
      <c r="A61" s="61">
        <f>IFERROR(RANK(TableQBCalcPts[[#This Row],[Custom]],TableQBCalcPts[Custom])+COUNTIF($F$3:F61,F61)-1,"")</f>
        <v>22</v>
      </c>
      <c r="B61" s="59">
        <v>59</v>
      </c>
      <c r="C61" s="59" t="str">
        <f>IFERROR(INDEX(TableQBMaster[Player],MATCH(TableQBCalcPts[[#This Row],[QBRef]],TableQBMaster[QBRef],0)),"")</f>
        <v>Baker Mayfield</v>
      </c>
      <c r="D61" s="59" t="str">
        <f>IFERROR(INDEX(TableQBMaster[TM],MATCH(TableQBCalcPts[[#This Row],[QBRef]],TableQBMaster[QBRef],0)),"")</f>
        <v>TB</v>
      </c>
      <c r="E61" s="59">
        <f>IFERROR(INDEX(TableQBMaster[BYE],MATCH(TableQBCalcPts[[#This Row],[QBRef]],TableQBMaster[QBRef],0)),"")</f>
        <v>5</v>
      </c>
      <c r="F61" s="60">
        <f>IFERROR(INDEX(TableQBMaster[Custom],MATCH(TableQBCalcPts[[#This Row],[QBRef]],TableQBMaster[QBRef],0)),"")</f>
        <v>284.69249361643199</v>
      </c>
      <c r="H61" s="59">
        <f>IFERROR(RANK(TableRBCalcPts[[#This Row],[Custom]],TableRBCalcPts[Custom])+COUNTIF($M$3:M61,M61)-1,"")</f>
        <v>88</v>
      </c>
      <c r="I61" s="59">
        <v>59</v>
      </c>
      <c r="J61" s="59" t="str">
        <f>IFERROR(INDEX(TableRBMaster[Player],MATCH(TableRBCalcPts[[#This Row],[RBRef]],TableRBMaster[RBRef],0)),"")</f>
        <v>Isaiah Spiller</v>
      </c>
      <c r="K61" s="59" t="str">
        <f>IFERROR(INDEX(TableRBMaster[TM],MATCH(TableRBCalcPts[[#This Row],[RBRef]],TableRBMaster[RBRef],0)),"")</f>
        <v>LAC</v>
      </c>
      <c r="L61" s="59">
        <f>IFERROR(INDEX(TableRBMaster[BYE],MATCH(TableRBCalcPts[[#This Row],[RBRef]],TableRBMaster[RBRef],0)),"")</f>
        <v>5</v>
      </c>
      <c r="M61" s="60">
        <f>IFERROR(INDEX(TableRBMaster[Custom],MATCH(TableRBCalcPts[[#This Row],[RBRef]],TableRBMaster[RBRef],0)),"")</f>
        <v>23.872239645878398</v>
      </c>
      <c r="O61" s="59">
        <f>IFERROR(RANK(TableWRCalcPts[[#This Row],[Custom]],TableWRCalcPts[Custom])+COUNTIF($T$3:T61,T61)-1,"")</f>
        <v>124</v>
      </c>
      <c r="P61" s="59">
        <v>59</v>
      </c>
      <c r="Q61" s="59" t="str">
        <f>IFERROR(INDEX(TableWRMaster[Player],MATCH(TableWRCalcPts[[#This Row],[WRRef]],TableWRMaster[WRRef],0)),"")</f>
        <v>Donovan Peoples-Jones</v>
      </c>
      <c r="R61" s="59" t="str">
        <f>IFERROR(INDEX(TableWRMaster[TM],MATCH(TableWRCalcPts[[#This Row],[WRRef]],TableWRMaster[WRRef],0)),"")</f>
        <v>DET</v>
      </c>
      <c r="S61" s="59">
        <f>IFERROR(INDEX(TableWRMaster[BYE],MATCH(TableWRCalcPts[[#This Row],[WRRef]],TableWRMaster[WRRef],0)),"")</f>
        <v>9</v>
      </c>
      <c r="T61" s="60">
        <f>IFERROR(INDEX(TableWRMaster[Custom],MATCH(TableWRCalcPts[[#This Row],[WRRef]],TableWRMaster[WRRef],0)),"")</f>
        <v>30.736910793455994</v>
      </c>
      <c r="V61" s="59">
        <f>IFERROR(RANK(TableTECalcPts[[#This Row],[Custom]],TableTECalcPts[Custom])+COUNTIF($AA$3:AA61,AA61)-1,"")</f>
        <v>16</v>
      </c>
      <c r="W61" s="59">
        <v>59</v>
      </c>
      <c r="X61" s="59" t="str">
        <f>IFERROR(INDEX(TableTEMaster[Player],MATCH(TableTECalcPts[[#This Row],[TERef]],TableTEMaster[TERef],0)),"")</f>
        <v>Taysom Hill</v>
      </c>
      <c r="Y61" s="59" t="str">
        <f>IFERROR(INDEX(TableTEMaster[TM],MATCH(TableTECalcPts[[#This Row],[TERef]],TableTEMaster[TERef],0)),"")</f>
        <v>NO</v>
      </c>
      <c r="Z61" s="59">
        <f>IFERROR(INDEX(TableTEMaster[BYE],MATCH(TableTECalcPts[[#This Row],[TERef]],TableTEMaster[TERef],0)),"")</f>
        <v>11</v>
      </c>
      <c r="AA61" s="60">
        <f>IFERROR(INDEX(TableTEMaster[Custom],MATCH(TableTECalcPts[[#This Row],[TERef]],TableTEMaster[TERef],0)),"")</f>
        <v>109.30098272834891</v>
      </c>
      <c r="AI61" s="59" t="s">
        <v>10</v>
      </c>
      <c r="AJ61" s="59">
        <f>IFERROR(RANK(TableWRTECalcPts[[#This Row],[Custom]],TableWRTECalcPts[Custom])+COUNTIF($AP$3:AP61,AP61)-1,"")</f>
        <v>89</v>
      </c>
      <c r="AK61" s="59">
        <v>59</v>
      </c>
      <c r="AL61" s="59" t="str">
        <f>IFERROR(INDEX(TableTEMaster[Player],MATCH(TableWRTECalcPts[[#This Row],[POSRef]],TableTEMaster[TERef],0)),"")</f>
        <v>Taysom Hill</v>
      </c>
      <c r="AM61" s="59" t="str">
        <f>IFERROR(_xlfn.CONCAT(TableWRTECalcPts[[#This Row],[POS]],INDEX(TableTERanks[RK],MATCH(TableWRTECalcPts[[#This Row],[PLAYER]],TableTERanks[Player],0))),"")</f>
        <v>TE16</v>
      </c>
      <c r="AN61" s="59" t="str">
        <f>IFERROR(INDEX(TableTEMaster[TM],MATCH(TableWRTECalcPts[[#This Row],[POSRef]],TableTEMaster[TERef],0)),"")</f>
        <v>NO</v>
      </c>
      <c r="AO61" s="59">
        <f>IFERROR(INDEX(TableTEMaster[BYE],MATCH(TableWRTECalcPts[[#This Row],[POSRef]],TableTEMaster[TERef],0)),"")</f>
        <v>11</v>
      </c>
      <c r="AP61" s="60">
        <f>IFERROR(INDEX(TableTEMaster[Custom],MATCH(TableWRTECalcPts[[#This Row],[POSRef]],TableTEMaster[TERef],0)),"")</f>
        <v>109.30098272834891</v>
      </c>
    </row>
    <row r="62" spans="1:42" x14ac:dyDescent="0.2">
      <c r="A62" s="61">
        <f>IFERROR(RANK(TableQBCalcPts[[#This Row],[Custom]],TableQBCalcPts[Custom])+COUNTIF($F$3:F62,F62)-1,"")</f>
        <v>45</v>
      </c>
      <c r="B62" s="59">
        <v>60</v>
      </c>
      <c r="C62" s="59" t="str">
        <f>IFERROR(INDEX(TableQBMaster[Player],MATCH(TableQBCalcPts[[#This Row],[QBRef]],TableQBMaster[QBRef],0)),"")</f>
        <v>Kyle Trask</v>
      </c>
      <c r="D62" s="59" t="str">
        <f>IFERROR(INDEX(TableQBMaster[TM],MATCH(TableQBCalcPts[[#This Row],[QBRef]],TableQBMaster[QBRef],0)),"")</f>
        <v>TB</v>
      </c>
      <c r="E62" s="59">
        <f>IFERROR(INDEX(TableQBMaster[BYE],MATCH(TableQBCalcPts[[#This Row],[QBRef]],TableQBMaster[QBRef],0)),"")</f>
        <v>5</v>
      </c>
      <c r="F62" s="60">
        <f>IFERROR(INDEX(TableQBMaster[Custom],MATCH(TableQBCalcPts[[#This Row],[QBRef]],TableQBMaster[QBRef],0)),"")</f>
        <v>11.746668500160002</v>
      </c>
      <c r="H62" s="59">
        <f>IFERROR(RANK(TableRBCalcPts[[#This Row],[Custom]],TableRBCalcPts[Custom])+COUNTIF($M$3:M62,M62)-1,"")</f>
        <v>7</v>
      </c>
      <c r="I62" s="59">
        <v>60</v>
      </c>
      <c r="J62" s="59" t="str">
        <f>IFERROR(INDEX(TableRBMaster[Player],MATCH(TableRBCalcPts[[#This Row],[RBRef]],TableRBMaster[RBRef],0)),"")</f>
        <v>Kyren Williams</v>
      </c>
      <c r="K62" s="59" t="str">
        <f>IFERROR(INDEX(TableRBMaster[TM],MATCH(TableRBCalcPts[[#This Row],[RBRef]],TableRBMaster[RBRef],0)),"")</f>
        <v>LAR</v>
      </c>
      <c r="L62" s="59">
        <f>IFERROR(INDEX(TableRBMaster[BYE],MATCH(TableRBCalcPts[[#This Row],[RBRef]],TableRBMaster[RBRef],0)),"")</f>
        <v>10</v>
      </c>
      <c r="M62" s="60">
        <f>IFERROR(INDEX(TableRBMaster[Custom],MATCH(TableRBCalcPts[[#This Row],[RBRef]],TableRBMaster[RBRef],0)),"")</f>
        <v>228.99287845407679</v>
      </c>
      <c r="O62" s="59">
        <f>IFERROR(RANK(TableWRCalcPts[[#This Row],[Custom]],TableWRCalcPts[Custom])+COUNTIF($T$3:T62,T62)-1,"")</f>
        <v>97</v>
      </c>
      <c r="P62" s="59">
        <v>60</v>
      </c>
      <c r="Q62" s="59" t="str">
        <f>IFERROR(INDEX(TableWRMaster[Player],MATCH(TableWRCalcPts[[#This Row],[WRRef]],TableWRMaster[WRRef],0)),"")</f>
        <v>Kalif Raymond</v>
      </c>
      <c r="R62" s="59" t="str">
        <f>IFERROR(INDEX(TableWRMaster[TM],MATCH(TableWRCalcPts[[#This Row],[WRRef]],TableWRMaster[WRRef],0)),"")</f>
        <v>DET</v>
      </c>
      <c r="S62" s="59">
        <f>IFERROR(INDEX(TableWRMaster[BYE],MATCH(TableWRCalcPts[[#This Row],[WRRef]],TableWRMaster[WRRef],0)),"")</f>
        <v>9</v>
      </c>
      <c r="T62" s="60">
        <f>IFERROR(INDEX(TableWRMaster[Custom],MATCH(TableWRCalcPts[[#This Row],[WRRef]],TableWRMaster[WRRef],0)),"")</f>
        <v>60.254049846143992</v>
      </c>
      <c r="V62" s="59">
        <f>IFERROR(RANK(TableTECalcPts[[#This Row],[Custom]],TableTECalcPts[Custom])+COUNTIF($AA$3:AA62,AA62)-1,"")</f>
        <v>23</v>
      </c>
      <c r="W62" s="59">
        <v>60</v>
      </c>
      <c r="X62" s="59" t="str">
        <f>IFERROR(INDEX(TableTEMaster[Player],MATCH(TableTECalcPts[[#This Row],[TERef]],TableTEMaster[TERef],0)),"")</f>
        <v>Daniel Bellinger</v>
      </c>
      <c r="Y62" s="59" t="str">
        <f>IFERROR(INDEX(TableTEMaster[TM],MATCH(TableTECalcPts[[#This Row],[TERef]],TableTEMaster[TERef],0)),"")</f>
        <v>NYG</v>
      </c>
      <c r="Z62" s="59">
        <f>IFERROR(INDEX(TableTEMaster[BYE],MATCH(TableTECalcPts[[#This Row],[TERef]],TableTEMaster[TERef],0)),"")</f>
        <v>13</v>
      </c>
      <c r="AA62" s="60">
        <f>IFERROR(INDEX(TableTEMaster[Custom],MATCH(TableTECalcPts[[#This Row],[TERef]],TableTEMaster[TERef],0)),"")</f>
        <v>87.870440020271985</v>
      </c>
      <c r="AI62" s="59" t="s">
        <v>10</v>
      </c>
      <c r="AJ62" s="59">
        <f>IFERROR(RANK(TableWRTECalcPts[[#This Row],[Custom]],TableWRTECalcPts[Custom])+COUNTIF($AP$3:AP62,AP62)-1,"")</f>
        <v>105</v>
      </c>
      <c r="AK62" s="59">
        <v>60</v>
      </c>
      <c r="AL62" s="59" t="str">
        <f>IFERROR(INDEX(TableTEMaster[Player],MATCH(TableWRTECalcPts[[#This Row],[POSRef]],TableTEMaster[TERef],0)),"")</f>
        <v>Daniel Bellinger</v>
      </c>
      <c r="AM62" s="59" t="str">
        <f>IFERROR(_xlfn.CONCAT(TableWRTECalcPts[[#This Row],[POS]],INDEX(TableTERanks[RK],MATCH(TableWRTECalcPts[[#This Row],[PLAYER]],TableTERanks[Player],0))),"")</f>
        <v>TE23</v>
      </c>
      <c r="AN62" s="59" t="str">
        <f>IFERROR(INDEX(TableTEMaster[TM],MATCH(TableWRTECalcPts[[#This Row],[POSRef]],TableTEMaster[TERef],0)),"")</f>
        <v>NYG</v>
      </c>
      <c r="AO62" s="59">
        <f>IFERROR(INDEX(TableTEMaster[BYE],MATCH(TableWRTECalcPts[[#This Row],[POSRef]],TableTEMaster[TERef],0)),"")</f>
        <v>13</v>
      </c>
      <c r="AP62" s="60">
        <f>IFERROR(INDEX(TableTEMaster[Custom],MATCH(TableWRTECalcPts[[#This Row],[POSRef]],TableTEMaster[TERef],0)),"")</f>
        <v>87.870440020271985</v>
      </c>
    </row>
    <row r="63" spans="1:42" x14ac:dyDescent="0.2">
      <c r="A63" s="61">
        <f>IFERROR(RANK(TableQBCalcPts[[#This Row],[Custom]],TableQBCalcPts[Custom])+COUNTIF($F$3:F63,F63)-1,"")</f>
        <v>26</v>
      </c>
      <c r="B63" s="59">
        <v>61</v>
      </c>
      <c r="C63" s="59" t="str">
        <f>IFERROR(INDEX(TableQBMaster[Player],MATCH(TableQBCalcPts[[#This Row],[QBRef]],TableQBMaster[QBRef],0)),"")</f>
        <v>Will Levis</v>
      </c>
      <c r="D63" s="59" t="str">
        <f>IFERROR(INDEX(TableQBMaster[TM],MATCH(TableQBCalcPts[[#This Row],[QBRef]],TableQBMaster[QBRef],0)),"")</f>
        <v>TEN</v>
      </c>
      <c r="E63" s="59">
        <f>IFERROR(INDEX(TableQBMaster[BYE],MATCH(TableQBCalcPts[[#This Row],[QBRef]],TableQBMaster[QBRef],0)),"")</f>
        <v>7</v>
      </c>
      <c r="F63" s="60">
        <f>IFERROR(INDEX(TableQBMaster[Custom],MATCH(TableQBCalcPts[[#This Row],[QBRef]],TableQBMaster[QBRef],0)),"")</f>
        <v>272.57225312459991</v>
      </c>
      <c r="H63" s="59">
        <f>IFERROR(RANK(TableRBCalcPts[[#This Row],[Custom]],TableRBCalcPts[Custom])+COUNTIF($M$3:M63,M63)-1,"")</f>
        <v>48</v>
      </c>
      <c r="I63" s="59">
        <v>61</v>
      </c>
      <c r="J63" s="59" t="str">
        <f>IFERROR(INDEX(TableRBMaster[Player],MATCH(TableRBCalcPts[[#This Row],[RBRef]],TableRBMaster[RBRef],0)),"")</f>
        <v>Blake Corum</v>
      </c>
      <c r="K63" s="59" t="str">
        <f>IFERROR(INDEX(TableRBMaster[TM],MATCH(TableRBCalcPts[[#This Row],[RBRef]],TableRBMaster[RBRef],0)),"")</f>
        <v>LAR</v>
      </c>
      <c r="L63" s="59">
        <f>IFERROR(INDEX(TableRBMaster[BYE],MATCH(TableRBCalcPts[[#This Row],[RBRef]],TableRBMaster[RBRef],0)),"")</f>
        <v>10</v>
      </c>
      <c r="M63" s="60">
        <f>IFERROR(INDEX(TableRBMaster[Custom],MATCH(TableRBCalcPts[[#This Row],[RBRef]],TableRBMaster[RBRef],0)),"")</f>
        <v>107.8874054752704</v>
      </c>
      <c r="O63" s="59">
        <f>IFERROR(RANK(TableWRCalcPts[[#This Row],[Custom]],TableWRCalcPts[Custom])+COUNTIF($T$3:T63,T63)-1,"")</f>
        <v>144</v>
      </c>
      <c r="P63" s="59">
        <v>61</v>
      </c>
      <c r="Q63" s="59" t="str">
        <f>IFERROR(INDEX(TableWRMaster[Player],MATCH(TableWRCalcPts[[#This Row],[WRRef]],TableWRMaster[WRRef],0)),"")</f>
        <v>Antoine Green</v>
      </c>
      <c r="R63" s="59" t="str">
        <f>IFERROR(INDEX(TableWRMaster[TM],MATCH(TableWRCalcPts[[#This Row],[WRRef]],TableWRMaster[WRRef],0)),"")</f>
        <v>DET</v>
      </c>
      <c r="S63" s="59">
        <f>IFERROR(INDEX(TableWRMaster[BYE],MATCH(TableWRCalcPts[[#This Row],[WRRef]],TableWRMaster[WRRef],0)),"")</f>
        <v>9</v>
      </c>
      <c r="T63" s="60">
        <f>IFERROR(INDEX(TableWRMaster[Custom],MATCH(TableWRCalcPts[[#This Row],[WRRef]],TableWRMaster[WRRef],0)),"")</f>
        <v>21.58698695579999</v>
      </c>
      <c r="V63" s="59">
        <f>IFERROR(RANK(TableTECalcPts[[#This Row],[Custom]],TableTECalcPts[Custom])+COUNTIF($AA$3:AA63,AA63)-1,"")</f>
        <v>51</v>
      </c>
      <c r="W63" s="59">
        <v>61</v>
      </c>
      <c r="X63" s="59" t="str">
        <f>IFERROR(INDEX(TableTEMaster[Player],MATCH(TableTECalcPts[[#This Row],[TERef]],TableTEMaster[TERef],0)),"")</f>
        <v>Chris Manhertz</v>
      </c>
      <c r="Y63" s="59" t="str">
        <f>IFERROR(INDEX(TableTEMaster[TM],MATCH(TableTECalcPts[[#This Row],[TERef]],TableTEMaster[TERef],0)),"")</f>
        <v>NYG</v>
      </c>
      <c r="Z63" s="59">
        <f>IFERROR(INDEX(TableTEMaster[BYE],MATCH(TableTECalcPts[[#This Row],[TERef]],TableTEMaster[TERef],0)),"")</f>
        <v>13</v>
      </c>
      <c r="AA63" s="60">
        <f>IFERROR(INDEX(TableTEMaster[Custom],MATCH(TableTECalcPts[[#This Row],[TERef]],TableTEMaster[TERef],0)),"")</f>
        <v>26.011431263999992</v>
      </c>
      <c r="AI63" s="59" t="s">
        <v>10</v>
      </c>
      <c r="AJ63" s="59">
        <f>IFERROR(RANK(TableWRTECalcPts[[#This Row],[Custom]],TableWRTECalcPts[Custom])+COUNTIF($AP$3:AP63,AP63)-1,"")</f>
        <v>183</v>
      </c>
      <c r="AK63" s="59">
        <v>61</v>
      </c>
      <c r="AL63" s="59" t="str">
        <f>IFERROR(INDEX(TableTEMaster[Player],MATCH(TableWRTECalcPts[[#This Row],[POSRef]],TableTEMaster[TERef],0)),"")</f>
        <v>Chris Manhertz</v>
      </c>
      <c r="AM63" s="59" t="str">
        <f>IFERROR(_xlfn.CONCAT(TableWRTECalcPts[[#This Row],[POS]],INDEX(TableTERanks[RK],MATCH(TableWRTECalcPts[[#This Row],[PLAYER]],TableTERanks[Player],0))),"")</f>
        <v>TE51</v>
      </c>
      <c r="AN63" s="59" t="str">
        <f>IFERROR(INDEX(TableTEMaster[TM],MATCH(TableWRTECalcPts[[#This Row],[POSRef]],TableTEMaster[TERef],0)),"")</f>
        <v>NYG</v>
      </c>
      <c r="AO63" s="59">
        <f>IFERROR(INDEX(TableTEMaster[BYE],MATCH(TableWRTECalcPts[[#This Row],[POSRef]],TableTEMaster[TERef],0)),"")</f>
        <v>13</v>
      </c>
      <c r="AP63" s="60">
        <f>IFERROR(INDEX(TableTEMaster[Custom],MATCH(TableWRTECalcPts[[#This Row],[POSRef]],TableTEMaster[TERef],0)),"")</f>
        <v>26.011431263999992</v>
      </c>
    </row>
    <row r="64" spans="1:42" x14ac:dyDescent="0.2">
      <c r="A64" s="61">
        <f>IFERROR(RANK(TableQBCalcPts[[#This Row],[Custom]],TableQBCalcPts[Custom])+COUNTIF($F$3:F64,F64)-1,"")</f>
        <v>49</v>
      </c>
      <c r="B64" s="59">
        <v>62</v>
      </c>
      <c r="C64" s="59" t="str">
        <f>IFERROR(INDEX(TableQBMaster[Player],MATCH(TableQBCalcPts[[#This Row],[QBRef]],TableQBMaster[QBRef],0)),"")</f>
        <v>Mason Rudolph</v>
      </c>
      <c r="D64" s="59" t="str">
        <f>IFERROR(INDEX(TableQBMaster[TM],MATCH(TableQBCalcPts[[#This Row],[QBRef]],TableQBMaster[QBRef],0)),"")</f>
        <v>TEN</v>
      </c>
      <c r="E64" s="59">
        <f>IFERROR(INDEX(TableQBMaster[BYE],MATCH(TableQBCalcPts[[#This Row],[QBRef]],TableQBMaster[QBRef],0)),"")</f>
        <v>7</v>
      </c>
      <c r="F64" s="60">
        <f>IFERROR(INDEX(TableQBMaster[Custom],MATCH(TableQBCalcPts[[#This Row],[QBRef]],TableQBMaster[QBRef],0)),"")</f>
        <v>6.6373866058499988</v>
      </c>
      <c r="H64" s="59">
        <f>IFERROR(RANK(TableRBCalcPts[[#This Row],[Custom]],TableRBCalcPts[Custom])+COUNTIF($M$3:M64,M64)-1,"")</f>
        <v>101</v>
      </c>
      <c r="I64" s="59">
        <v>62</v>
      </c>
      <c r="J64" s="59" t="str">
        <f>IFERROR(INDEX(TableRBMaster[Player],MATCH(TableRBCalcPts[[#This Row],[RBRef]],TableRBMaster[RBRef],0)),"")</f>
        <v>Zach Evans</v>
      </c>
      <c r="K64" s="59" t="str">
        <f>IFERROR(INDEX(TableRBMaster[TM],MATCH(TableRBCalcPts[[#This Row],[RBRef]],TableRBMaster[RBRef],0)),"")</f>
        <v>LAR</v>
      </c>
      <c r="L64" s="59">
        <f>IFERROR(INDEX(TableRBMaster[BYE],MATCH(TableRBCalcPts[[#This Row],[RBRef]],TableRBMaster[RBRef],0)),"")</f>
        <v>10</v>
      </c>
      <c r="M64" s="60">
        <f>IFERROR(INDEX(TableRBMaster[Custom],MATCH(TableRBCalcPts[[#This Row],[RBRef]],TableRBMaster[RBRef],0)),"")</f>
        <v>16.630721401223997</v>
      </c>
      <c r="O64" s="59">
        <f>IFERROR(RANK(TableWRCalcPts[[#This Row],[Custom]],TableWRCalcPts[Custom])+COUNTIF($T$3:T64,T64)-1,"")</f>
        <v>42</v>
      </c>
      <c r="P64" s="59">
        <v>62</v>
      </c>
      <c r="Q64" s="59" t="str">
        <f>IFERROR(INDEX(TableWRMaster[Player],MATCH(TableWRCalcPts[[#This Row],[WRRef]],TableWRMaster[WRRef],0)),"")</f>
        <v>Christian Watson</v>
      </c>
      <c r="R64" s="59" t="str">
        <f>IFERROR(INDEX(TableWRMaster[TM],MATCH(TableWRCalcPts[[#This Row],[WRRef]],TableWRMaster[WRRef],0)),"")</f>
        <v>GB</v>
      </c>
      <c r="S64" s="59">
        <f>IFERROR(INDEX(TableWRMaster[BYE],MATCH(TableWRCalcPts[[#This Row],[WRRef]],TableWRMaster[WRRef],0)),"")</f>
        <v>6</v>
      </c>
      <c r="T64" s="60">
        <f>IFERROR(INDEX(TableWRMaster[Custom],MATCH(TableWRCalcPts[[#This Row],[WRRef]],TableWRMaster[WRRef],0)),"")</f>
        <v>165.95201752729599</v>
      </c>
      <c r="V64" s="59">
        <f>IFERROR(RANK(TableTECalcPts[[#This Row],[Custom]],TableTECalcPts[Custom])+COUNTIF($AA$3:AA64,AA64)-1,"")</f>
        <v>45</v>
      </c>
      <c r="W64" s="59">
        <v>62</v>
      </c>
      <c r="X64" s="59" t="str">
        <f>IFERROR(INDEX(TableTEMaster[Player],MATCH(TableTECalcPts[[#This Row],[TERef]],TableTEMaster[TERef],0)),"")</f>
        <v>Theo Johnson</v>
      </c>
      <c r="Y64" s="59" t="str">
        <f>IFERROR(INDEX(TableTEMaster[TM],MATCH(TableTECalcPts[[#This Row],[TERef]],TableTEMaster[TERef],0)),"")</f>
        <v>NYG</v>
      </c>
      <c r="Z64" s="59">
        <f>IFERROR(INDEX(TableTEMaster[BYE],MATCH(TableTECalcPts[[#This Row],[TERef]],TableTEMaster[TERef],0)),"")</f>
        <v>13</v>
      </c>
      <c r="AA64" s="60">
        <f>IFERROR(INDEX(TableTEMaster[Custom],MATCH(TableTECalcPts[[#This Row],[TERef]],TableTEMaster[TERef],0)),"")</f>
        <v>43.712904661977589</v>
      </c>
      <c r="AI64" s="59" t="s">
        <v>10</v>
      </c>
      <c r="AJ64" s="59">
        <f>IFERROR(RANK(TableWRTECalcPts[[#This Row],[Custom]],TableWRTECalcPts[Custom])+COUNTIF($AP$3:AP64,AP64)-1,"")</f>
        <v>149</v>
      </c>
      <c r="AK64" s="59">
        <v>62</v>
      </c>
      <c r="AL64" s="59" t="str">
        <f>IFERROR(INDEX(TableTEMaster[Player],MATCH(TableWRTECalcPts[[#This Row],[POSRef]],TableTEMaster[TERef],0)),"")</f>
        <v>Theo Johnson</v>
      </c>
      <c r="AM64" s="59" t="str">
        <f>IFERROR(_xlfn.CONCAT(TableWRTECalcPts[[#This Row],[POS]],INDEX(TableTERanks[RK],MATCH(TableWRTECalcPts[[#This Row],[PLAYER]],TableTERanks[Player],0))),"")</f>
        <v>TE45</v>
      </c>
      <c r="AN64" s="59" t="str">
        <f>IFERROR(INDEX(TableTEMaster[TM],MATCH(TableWRTECalcPts[[#This Row],[POSRef]],TableTEMaster[TERef],0)),"")</f>
        <v>NYG</v>
      </c>
      <c r="AO64" s="59">
        <f>IFERROR(INDEX(TableTEMaster[BYE],MATCH(TableWRTECalcPts[[#This Row],[POSRef]],TableTEMaster[TERef],0)),"")</f>
        <v>13</v>
      </c>
      <c r="AP64" s="60">
        <f>IFERROR(INDEX(TableTEMaster[Custom],MATCH(TableWRTECalcPts[[#This Row],[POSRef]],TableTEMaster[TERef],0)),"")</f>
        <v>43.712904661977589</v>
      </c>
    </row>
    <row r="65" spans="1:42" x14ac:dyDescent="0.2">
      <c r="A65" s="61">
        <f>IFERROR(RANK(TableQBCalcPts[[#This Row],[Custom]],TableQBCalcPts[Custom])+COUNTIF($F$3:F65,F65)-1,"")</f>
        <v>8</v>
      </c>
      <c r="B65" s="59">
        <v>63</v>
      </c>
      <c r="C65" s="59" t="str">
        <f>IFERROR(INDEX(TableQBMaster[Player],MATCH(TableQBCalcPts[[#This Row],[QBRef]],TableQBMaster[QBRef],0)),"")</f>
        <v>Jayden Daniels</v>
      </c>
      <c r="D65" s="59" t="str">
        <f>IFERROR(INDEX(TableQBMaster[TM],MATCH(TableQBCalcPts[[#This Row],[QBRef]],TableQBMaster[QBRef],0)),"")</f>
        <v>WSH</v>
      </c>
      <c r="E65" s="59">
        <f>IFERROR(INDEX(TableQBMaster[BYE],MATCH(TableQBCalcPts[[#This Row],[QBRef]],TableQBMaster[QBRef],0)),"")</f>
        <v>14</v>
      </c>
      <c r="F65" s="60">
        <f>IFERROR(INDEX(TableQBMaster[Custom],MATCH(TableQBCalcPts[[#This Row],[QBRef]],TableQBMaster[QBRef],0)),"")</f>
        <v>331.08857873538</v>
      </c>
      <c r="H65" s="59">
        <f>IFERROR(RANK(TableRBCalcPts[[#This Row],[Custom]],TableRBCalcPts[Custom])+COUNTIF($M$3:M65,M65)-1,"")</f>
        <v>18</v>
      </c>
      <c r="I65" s="59">
        <v>63</v>
      </c>
      <c r="J65" s="59" t="str">
        <f>IFERROR(INDEX(TableRBMaster[Player],MATCH(TableRBCalcPts[[#This Row],[RBRef]],TableRBMaster[RBRef],0)),"")</f>
        <v>Zamir White</v>
      </c>
      <c r="K65" s="59" t="str">
        <f>IFERROR(INDEX(TableRBMaster[TM],MATCH(TableRBCalcPts[[#This Row],[RBRef]],TableRBMaster[RBRef],0)),"")</f>
        <v>LV</v>
      </c>
      <c r="L65" s="59">
        <f>IFERROR(INDEX(TableRBMaster[BYE],MATCH(TableRBCalcPts[[#This Row],[RBRef]],TableRBMaster[RBRef],0)),"")</f>
        <v>13</v>
      </c>
      <c r="M65" s="60">
        <f>IFERROR(INDEX(TableRBMaster[Custom],MATCH(TableRBCalcPts[[#This Row],[RBRef]],TableRBMaster[RBRef],0)),"")</f>
        <v>189.99861955200001</v>
      </c>
      <c r="O65" s="59">
        <f>IFERROR(RANK(TableWRCalcPts[[#This Row],[Custom]],TableWRCalcPts[Custom])+COUNTIF($T$3:T65,T65)-1,"")</f>
        <v>62</v>
      </c>
      <c r="P65" s="59">
        <v>63</v>
      </c>
      <c r="Q65" s="59" t="str">
        <f>IFERROR(INDEX(TableWRMaster[Player],MATCH(TableWRCalcPts[[#This Row],[WRRef]],TableWRMaster[WRRef],0)),"")</f>
        <v>Romeo Doubs</v>
      </c>
      <c r="R65" s="59" t="str">
        <f>IFERROR(INDEX(TableWRMaster[TM],MATCH(TableWRCalcPts[[#This Row],[WRRef]],TableWRMaster[WRRef],0)),"")</f>
        <v>GB</v>
      </c>
      <c r="S65" s="59">
        <f>IFERROR(INDEX(TableWRMaster[BYE],MATCH(TableWRCalcPts[[#This Row],[WRRef]],TableWRMaster[WRRef],0)),"")</f>
        <v>6</v>
      </c>
      <c r="T65" s="60">
        <f>IFERROR(INDEX(TableWRMaster[Custom],MATCH(TableWRCalcPts[[#This Row],[WRRef]],TableWRMaster[WRRef],0)),"")</f>
        <v>136.87196386617603</v>
      </c>
      <c r="V65" s="59">
        <f>IFERROR(RANK(TableTECalcPts[[#This Row],[Custom]],TableTECalcPts[Custom])+COUNTIF($AA$3:AA65,AA65)-1,"")</f>
        <v>26</v>
      </c>
      <c r="W65" s="59">
        <v>63</v>
      </c>
      <c r="X65" s="59" t="str">
        <f>IFERROR(INDEX(TableTEMaster[Player],MATCH(TableTECalcPts[[#This Row],[TERef]],TableTEMaster[TERef],0)),"")</f>
        <v>Tyler Conklin</v>
      </c>
      <c r="Y65" s="59" t="str">
        <f>IFERROR(INDEX(TableTEMaster[TM],MATCH(TableTECalcPts[[#This Row],[TERef]],TableTEMaster[TERef],0)),"")</f>
        <v>NYJ</v>
      </c>
      <c r="Z65" s="59">
        <f>IFERROR(INDEX(TableTEMaster[BYE],MATCH(TableTECalcPts[[#This Row],[TERef]],TableTEMaster[TERef],0)),"")</f>
        <v>7</v>
      </c>
      <c r="AA65" s="60">
        <f>IFERROR(INDEX(TableTEMaster[Custom],MATCH(TableTECalcPts[[#This Row],[TERef]],TableTEMaster[TERef],0)),"")</f>
        <v>82.599242709983983</v>
      </c>
      <c r="AI65" s="59" t="s">
        <v>10</v>
      </c>
      <c r="AJ65" s="59">
        <f>IFERROR(RANK(TableWRTECalcPts[[#This Row],[Custom]],TableWRTECalcPts[Custom])+COUNTIF($AP$3:AP65,AP65)-1,"")</f>
        <v>114</v>
      </c>
      <c r="AK65" s="59">
        <v>63</v>
      </c>
      <c r="AL65" s="59" t="str">
        <f>IFERROR(INDEX(TableTEMaster[Player],MATCH(TableWRTECalcPts[[#This Row],[POSRef]],TableTEMaster[TERef],0)),"")</f>
        <v>Tyler Conklin</v>
      </c>
      <c r="AM65" s="59" t="str">
        <f>IFERROR(_xlfn.CONCAT(TableWRTECalcPts[[#This Row],[POS]],INDEX(TableTERanks[RK],MATCH(TableWRTECalcPts[[#This Row],[PLAYER]],TableTERanks[Player],0))),"")</f>
        <v>TE26</v>
      </c>
      <c r="AN65" s="59" t="str">
        <f>IFERROR(INDEX(TableTEMaster[TM],MATCH(TableWRTECalcPts[[#This Row],[POSRef]],TableTEMaster[TERef],0)),"")</f>
        <v>NYJ</v>
      </c>
      <c r="AO65" s="59">
        <f>IFERROR(INDEX(TableTEMaster[BYE],MATCH(TableWRTECalcPts[[#This Row],[POSRef]],TableTEMaster[TERef],0)),"")</f>
        <v>7</v>
      </c>
      <c r="AP65" s="60">
        <f>IFERROR(INDEX(TableTEMaster[Custom],MATCH(TableWRTECalcPts[[#This Row],[POSRef]],TableTEMaster[TERef],0)),"")</f>
        <v>82.599242709983983</v>
      </c>
    </row>
    <row r="66" spans="1:42" x14ac:dyDescent="0.2">
      <c r="A66" s="61">
        <f>IFERROR(RANK(TableQBCalcPts[[#This Row],[Custom]],TableQBCalcPts[Custom])+COUNTIF($F$3:F66,F66)-1,"")</f>
        <v>41</v>
      </c>
      <c r="B66" s="59">
        <v>64</v>
      </c>
      <c r="C66" s="59" t="str">
        <f>IFERROR(INDEX(TableQBMaster[Player],MATCH(TableQBCalcPts[[#This Row],[QBRef]],TableQBMaster[QBRef],0)),"")</f>
        <v>Marcus Mariota</v>
      </c>
      <c r="D66" s="59" t="str">
        <f>IFERROR(INDEX(TableQBMaster[TM],MATCH(TableQBCalcPts[[#This Row],[QBRef]],TableQBMaster[QBRef],0)),"")</f>
        <v>WSH</v>
      </c>
      <c r="E66" s="59">
        <f>IFERROR(INDEX(TableQBMaster[BYE],MATCH(TableQBCalcPts[[#This Row],[QBRef]],TableQBMaster[QBRef],0)),"")</f>
        <v>14</v>
      </c>
      <c r="F66" s="60">
        <f>IFERROR(INDEX(TableQBMaster[Custom],MATCH(TableQBCalcPts[[#This Row],[QBRef]],TableQBMaster[QBRef],0)),"")</f>
        <v>13.192682096700002</v>
      </c>
      <c r="H66" s="59">
        <f>IFERROR(RANK(TableRBCalcPts[[#This Row],[Custom]],TableRBCalcPts[Custom])+COUNTIF($M$3:M66,M66)-1,"")</f>
        <v>60</v>
      </c>
      <c r="I66" s="59">
        <v>64</v>
      </c>
      <c r="J66" s="59" t="str">
        <f>IFERROR(INDEX(TableRBMaster[Player],MATCH(TableRBCalcPts[[#This Row],[RBRef]],TableRBMaster[RBRef],0)),"")</f>
        <v>Alexander Mattison</v>
      </c>
      <c r="K66" s="59" t="str">
        <f>IFERROR(INDEX(TableRBMaster[TM],MATCH(TableRBCalcPts[[#This Row],[RBRef]],TableRBMaster[RBRef],0)),"")</f>
        <v>LV</v>
      </c>
      <c r="L66" s="59">
        <f>IFERROR(INDEX(TableRBMaster[BYE],MATCH(TableRBCalcPts[[#This Row],[RBRef]],TableRBMaster[RBRef],0)),"")</f>
        <v>13</v>
      </c>
      <c r="M66" s="60">
        <f>IFERROR(INDEX(TableRBMaster[Custom],MATCH(TableRBCalcPts[[#This Row],[RBRef]],TableRBMaster[RBRef],0)),"")</f>
        <v>73.474373489999991</v>
      </c>
      <c r="O66" s="59">
        <f>IFERROR(RANK(TableWRCalcPts[[#This Row],[Custom]],TableWRCalcPts[Custom])+COUNTIF($T$3:T66,T66)-1,"")</f>
        <v>18</v>
      </c>
      <c r="P66" s="59">
        <v>64</v>
      </c>
      <c r="Q66" s="59" t="str">
        <f>IFERROR(INDEX(TableWRMaster[Player],MATCH(TableWRCalcPts[[#This Row],[WRRef]],TableWRMaster[WRRef],0)),"")</f>
        <v>Jayden Reed</v>
      </c>
      <c r="R66" s="59" t="str">
        <f>IFERROR(INDEX(TableWRMaster[TM],MATCH(TableWRCalcPts[[#This Row],[WRRef]],TableWRMaster[WRRef],0)),"")</f>
        <v>GB</v>
      </c>
      <c r="S66" s="59">
        <f>IFERROR(INDEX(TableWRMaster[BYE],MATCH(TableWRCalcPts[[#This Row],[WRRef]],TableWRMaster[WRRef],0)),"")</f>
        <v>6</v>
      </c>
      <c r="T66" s="60">
        <f>IFERROR(INDEX(TableWRMaster[Custom],MATCH(TableWRCalcPts[[#This Row],[WRRef]],TableWRMaster[WRRef],0)),"")</f>
        <v>191.81540749896001</v>
      </c>
      <c r="V66" s="59">
        <f>IFERROR(RANK(TableTECalcPts[[#This Row],[Custom]],TableTECalcPts[Custom])+COUNTIF($AA$3:AA66,AA66)-1,"")</f>
        <v>42</v>
      </c>
      <c r="W66" s="59">
        <v>64</v>
      </c>
      <c r="X66" s="59" t="str">
        <f>IFERROR(INDEX(TableTEMaster[Player],MATCH(TableTECalcPts[[#This Row],[TERef]],TableTEMaster[TERef],0)),"")</f>
        <v>Jeremy Ruckert</v>
      </c>
      <c r="Y66" s="59" t="str">
        <f>IFERROR(INDEX(TableTEMaster[TM],MATCH(TableTECalcPts[[#This Row],[TERef]],TableTEMaster[TERef],0)),"")</f>
        <v>NYJ</v>
      </c>
      <c r="Z66" s="59">
        <f>IFERROR(INDEX(TableTEMaster[BYE],MATCH(TableTECalcPts[[#This Row],[TERef]],TableTEMaster[TERef],0)),"")</f>
        <v>7</v>
      </c>
      <c r="AA66" s="60">
        <f>IFERROR(INDEX(TableTEMaster[Custom],MATCH(TableTECalcPts[[#This Row],[TERef]],TableTEMaster[TERef],0)),"")</f>
        <v>47.942912402985584</v>
      </c>
      <c r="AI66" s="59" t="s">
        <v>10</v>
      </c>
      <c r="AJ66" s="59">
        <f>IFERROR(RANK(TableWRTECalcPts[[#This Row],[Custom]],TableWRTECalcPts[Custom])+COUNTIF($AP$3:AP66,AP66)-1,"")</f>
        <v>144</v>
      </c>
      <c r="AK66" s="59">
        <v>64</v>
      </c>
      <c r="AL66" s="59" t="str">
        <f>IFERROR(INDEX(TableTEMaster[Player],MATCH(TableWRTECalcPts[[#This Row],[POSRef]],TableTEMaster[TERef],0)),"")</f>
        <v>Jeremy Ruckert</v>
      </c>
      <c r="AM66" s="59" t="str">
        <f>IFERROR(_xlfn.CONCAT(TableWRTECalcPts[[#This Row],[POS]],INDEX(TableTERanks[RK],MATCH(TableWRTECalcPts[[#This Row],[PLAYER]],TableTERanks[Player],0))),"")</f>
        <v>TE42</v>
      </c>
      <c r="AN66" s="59" t="str">
        <f>IFERROR(INDEX(TableTEMaster[TM],MATCH(TableWRTECalcPts[[#This Row],[POSRef]],TableTEMaster[TERef],0)),"")</f>
        <v>NYJ</v>
      </c>
      <c r="AO66" s="59">
        <f>IFERROR(INDEX(TableTEMaster[BYE],MATCH(TableWRTECalcPts[[#This Row],[POSRef]],TableTEMaster[TERef],0)),"")</f>
        <v>7</v>
      </c>
      <c r="AP66" s="60">
        <f>IFERROR(INDEX(TableTEMaster[Custom],MATCH(TableWRTECalcPts[[#This Row],[POSRef]],TableTEMaster[TERef],0)),"")</f>
        <v>47.942912402985584</v>
      </c>
    </row>
    <row r="67" spans="1:42" x14ac:dyDescent="0.2">
      <c r="A67" s="61" t="str">
        <f>IFERROR(RANK(TableQBCalcPts[[#This Row],[Custom]],TableQBCalcPts[Custom])+COUNTIF($F$3:F67,F67)-1,"")</f>
        <v/>
      </c>
      <c r="B67" s="59">
        <v>65</v>
      </c>
      <c r="C67" s="59" t="str">
        <f>IFERROR(INDEX(TableQBMaster[Player],MATCH(TableQBCalcPts[[#This Row],[QBRef]],TableQBMaster[QBRef],0)),"")</f>
        <v/>
      </c>
      <c r="D67" s="59" t="str">
        <f>IFERROR(INDEX(TableQBMaster[TM],MATCH(TableQBCalcPts[[#This Row],[QBRef]],TableQBMaster[QBRef],0)),"")</f>
        <v/>
      </c>
      <c r="E67" s="59" t="str">
        <f>IFERROR(INDEX(TableQBMaster[BYE],MATCH(TableQBCalcPts[[#This Row],[QBRef]],TableQBMaster[QBRef],0)),"")</f>
        <v/>
      </c>
      <c r="F67" s="60" t="str">
        <f>IFERROR(INDEX(TableQBMaster[Custom],MATCH(TableQBCalcPts[[#This Row],[QBRef]],TableQBMaster[QBRef],0)),"")</f>
        <v/>
      </c>
      <c r="H67" s="59">
        <f>IFERROR(RANK(TableRBCalcPts[[#This Row],[Custom]],TableRBCalcPts[Custom])+COUNTIF($M$3:M67,M67)-1,"")</f>
        <v>67</v>
      </c>
      <c r="I67" s="59">
        <v>65</v>
      </c>
      <c r="J67" s="59" t="str">
        <f>IFERROR(INDEX(TableRBMaster[Player],MATCH(TableRBCalcPts[[#This Row],[RBRef]],TableRBMaster[RBRef],0)),"")</f>
        <v>Dylan Laube</v>
      </c>
      <c r="K67" s="59" t="str">
        <f>IFERROR(INDEX(TableRBMaster[TM],MATCH(TableRBCalcPts[[#This Row],[RBRef]],TableRBMaster[RBRef],0)),"")</f>
        <v>LV</v>
      </c>
      <c r="L67" s="59">
        <f>IFERROR(INDEX(TableRBMaster[BYE],MATCH(TableRBCalcPts[[#This Row],[RBRef]],TableRBMaster[RBRef],0)),"")</f>
        <v>13</v>
      </c>
      <c r="M67" s="60">
        <f>IFERROR(INDEX(TableRBMaster[Custom],MATCH(TableRBCalcPts[[#This Row],[RBRef]],TableRBMaster[RBRef],0)),"")</f>
        <v>65.827752244799996</v>
      </c>
      <c r="O67" s="59">
        <f>IFERROR(RANK(TableWRCalcPts[[#This Row],[Custom]],TableWRCalcPts[Custom])+COUNTIF($T$3:T67,T67)-1,"")</f>
        <v>98</v>
      </c>
      <c r="P67" s="59">
        <v>65</v>
      </c>
      <c r="Q67" s="59" t="str">
        <f>IFERROR(INDEX(TableWRMaster[Player],MATCH(TableWRCalcPts[[#This Row],[WRRef]],TableWRMaster[WRRef],0)),"")</f>
        <v>Dontayvion Wicks</v>
      </c>
      <c r="R67" s="59" t="str">
        <f>IFERROR(INDEX(TableWRMaster[TM],MATCH(TableWRCalcPts[[#This Row],[WRRef]],TableWRMaster[WRRef],0)),"")</f>
        <v>GB</v>
      </c>
      <c r="S67" s="59">
        <f>IFERROR(INDEX(TableWRMaster[BYE],MATCH(TableWRCalcPts[[#This Row],[WRRef]],TableWRMaster[WRRef],0)),"")</f>
        <v>6</v>
      </c>
      <c r="T67" s="60">
        <f>IFERROR(INDEX(TableWRMaster[Custom],MATCH(TableWRCalcPts[[#This Row],[WRRef]],TableWRMaster[WRRef],0)),"")</f>
        <v>59.706570083328018</v>
      </c>
      <c r="V67" s="59">
        <f>IFERROR(RANK(TableTECalcPts[[#This Row],[Custom]],TableTECalcPts[Custom])+COUNTIF($AA$3:AA67,AA67)-1,"")</f>
        <v>12</v>
      </c>
      <c r="W67" s="59">
        <v>65</v>
      </c>
      <c r="X67" s="59" t="str">
        <f>IFERROR(INDEX(TableTEMaster[Player],MATCH(TableTECalcPts[[#This Row],[TERef]],TableTEMaster[TERef],0)),"")</f>
        <v>Brock Bowers</v>
      </c>
      <c r="Y67" s="59" t="str">
        <f>IFERROR(INDEX(TableTEMaster[TM],MATCH(TableTECalcPts[[#This Row],[TERef]],TableTEMaster[TERef],0)),"")</f>
        <v>LV</v>
      </c>
      <c r="Z67" s="59">
        <f>IFERROR(INDEX(TableTEMaster[BYE],MATCH(TableTECalcPts[[#This Row],[TERef]],TableTEMaster[TERef],0)),"")</f>
        <v>13</v>
      </c>
      <c r="AA67" s="60">
        <f>IFERROR(INDEX(TableTEMaster[Custom],MATCH(TableTECalcPts[[#This Row],[TERef]],TableTEMaster[TERef],0)),"")</f>
        <v>131.34257300639999</v>
      </c>
      <c r="AI67" s="59" t="s">
        <v>10</v>
      </c>
      <c r="AJ67" s="59">
        <f>IFERROR(RANK(TableWRTECalcPts[[#This Row],[Custom]],TableWRTECalcPts[Custom])+COUNTIF($AP$3:AP67,AP67)-1,"")</f>
        <v>77</v>
      </c>
      <c r="AK67" s="59">
        <v>65</v>
      </c>
      <c r="AL67" s="59" t="str">
        <f>IFERROR(INDEX(TableTEMaster[Player],MATCH(TableWRTECalcPts[[#This Row],[POSRef]],TableTEMaster[TERef],0)),"")</f>
        <v>Brock Bowers</v>
      </c>
      <c r="AM67" s="59" t="str">
        <f>IFERROR(_xlfn.CONCAT(TableWRTECalcPts[[#This Row],[POS]],INDEX(TableTERanks[RK],MATCH(TableWRTECalcPts[[#This Row],[PLAYER]],TableTERanks[Player],0))),"")</f>
        <v>TE12</v>
      </c>
      <c r="AN67" s="59" t="str">
        <f>IFERROR(INDEX(TableTEMaster[TM],MATCH(TableWRTECalcPts[[#This Row],[POSRef]],TableTEMaster[TERef],0)),"")</f>
        <v>LV</v>
      </c>
      <c r="AO67" s="59">
        <f>IFERROR(INDEX(TableTEMaster[BYE],MATCH(TableWRTECalcPts[[#This Row],[POSRef]],TableTEMaster[TERef],0)),"")</f>
        <v>13</v>
      </c>
      <c r="AP67" s="60">
        <f>IFERROR(INDEX(TableTEMaster[Custom],MATCH(TableWRTECalcPts[[#This Row],[POSRef]],TableTEMaster[TERef],0)),"")</f>
        <v>131.34257300639999</v>
      </c>
    </row>
    <row r="68" spans="1:42" x14ac:dyDescent="0.2">
      <c r="A68" s="61" t="str">
        <f>IFERROR(RANK(TableQBCalcPts[[#This Row],[Custom]],TableQBCalcPts[Custom])+COUNTIF($F$3:F68,F68)-1,"")</f>
        <v/>
      </c>
      <c r="B68" s="59">
        <v>66</v>
      </c>
      <c r="C68" s="59" t="str">
        <f>IFERROR(INDEX(TableQBMaster[Player],MATCH(TableQBCalcPts[[#This Row],[QBRef]],TableQBMaster[QBRef],0)),"")</f>
        <v/>
      </c>
      <c r="D68" s="59" t="str">
        <f>IFERROR(INDEX(TableQBMaster[TM],MATCH(TableQBCalcPts[[#This Row],[QBRef]],TableQBMaster[QBRef],0)),"")</f>
        <v/>
      </c>
      <c r="E68" s="59" t="str">
        <f>IFERROR(INDEX(TableQBMaster[BYE],MATCH(TableQBCalcPts[[#This Row],[QBRef]],TableQBMaster[QBRef],0)),"")</f>
        <v/>
      </c>
      <c r="F68" s="60" t="str">
        <f>IFERROR(INDEX(TableQBMaster[Custom],MATCH(TableQBCalcPts[[#This Row],[QBRef]],TableQBMaster[QBRef],0)),"")</f>
        <v/>
      </c>
      <c r="H68" s="59">
        <f>IFERROR(RANK(TableRBCalcPts[[#This Row],[Custom]],TableRBCalcPts[Custom])+COUNTIF($M$3:M68,M68)-1,"")</f>
        <v>29</v>
      </c>
      <c r="I68" s="59">
        <v>66</v>
      </c>
      <c r="J68" s="59" t="str">
        <f>IFERROR(INDEX(TableRBMaster[Player],MATCH(TableRBCalcPts[[#This Row],[RBRef]],TableRBMaster[RBRef],0)),"")</f>
        <v>Raheem Mostert</v>
      </c>
      <c r="K68" s="59" t="str">
        <f>IFERROR(INDEX(TableRBMaster[TM],MATCH(TableRBCalcPts[[#This Row],[RBRef]],TableRBMaster[RBRef],0)),"")</f>
        <v>MIA</v>
      </c>
      <c r="L68" s="59">
        <f>IFERROR(INDEX(TableRBMaster[BYE],MATCH(TableRBCalcPts[[#This Row],[RBRef]],TableRBMaster[RBRef],0)),"")</f>
        <v>10</v>
      </c>
      <c r="M68" s="60">
        <f>IFERROR(INDEX(TableRBMaster[Custom],MATCH(TableRBCalcPts[[#This Row],[RBRef]],TableRBMaster[RBRef],0)),"")</f>
        <v>161.98180355896005</v>
      </c>
      <c r="O68" s="59">
        <f>IFERROR(RANK(TableWRCalcPts[[#This Row],[Custom]],TableWRCalcPts[Custom])+COUNTIF($T$3:T68,T68)-1,"")</f>
        <v>138</v>
      </c>
      <c r="P68" s="59">
        <v>66</v>
      </c>
      <c r="Q68" s="59" t="str">
        <f>IFERROR(INDEX(TableWRMaster[Player],MATCH(TableWRCalcPts[[#This Row],[WRRef]],TableWRMaster[WRRef],0)),"")</f>
        <v>Bo Melton</v>
      </c>
      <c r="R68" s="59" t="str">
        <f>IFERROR(INDEX(TableWRMaster[TM],MATCH(TableWRCalcPts[[#This Row],[WRRef]],TableWRMaster[WRRef],0)),"")</f>
        <v>GB</v>
      </c>
      <c r="S68" s="59">
        <f>IFERROR(INDEX(TableWRMaster[BYE],MATCH(TableWRCalcPts[[#This Row],[WRRef]],TableWRMaster[WRRef],0)),"")</f>
        <v>6</v>
      </c>
      <c r="T68" s="60">
        <f>IFERROR(INDEX(TableWRMaster[Custom],MATCH(TableWRCalcPts[[#This Row],[WRRef]],TableWRMaster[WRRef],0)),"")</f>
        <v>24.724347171887999</v>
      </c>
      <c r="V68" s="59">
        <f>IFERROR(RANK(TableTECalcPts[[#This Row],[Custom]],TableTECalcPts[Custom])+COUNTIF($AA$3:AA68,AA68)-1,"")</f>
        <v>32</v>
      </c>
      <c r="W68" s="59">
        <v>66</v>
      </c>
      <c r="X68" s="59" t="str">
        <f>IFERROR(INDEX(TableTEMaster[Player],MATCH(TableTECalcPts[[#This Row],[TERef]],TableTEMaster[TERef],0)),"")</f>
        <v>Michael Mayer</v>
      </c>
      <c r="Y68" s="59" t="str">
        <f>IFERROR(INDEX(TableTEMaster[TM],MATCH(TableTECalcPts[[#This Row],[TERef]],TableTEMaster[TERef],0)),"")</f>
        <v>LV</v>
      </c>
      <c r="Z68" s="59">
        <f>IFERROR(INDEX(TableTEMaster[BYE],MATCH(TableTECalcPts[[#This Row],[TERef]],TableTEMaster[TERef],0)),"")</f>
        <v>13</v>
      </c>
      <c r="AA68" s="60">
        <f>IFERROR(INDEX(TableTEMaster[Custom],MATCH(TableTECalcPts[[#This Row],[TERef]],TableTEMaster[TERef],0)),"")</f>
        <v>61.206676159999986</v>
      </c>
      <c r="AI68" s="59" t="s">
        <v>10</v>
      </c>
      <c r="AJ68" s="59">
        <f>IFERROR(RANK(TableWRTECalcPts[[#This Row],[Custom]],TableWRTECalcPts[Custom])+COUNTIF($AP$3:AP68,AP68)-1,"")</f>
        <v>127</v>
      </c>
      <c r="AK68" s="59">
        <v>66</v>
      </c>
      <c r="AL68" s="59" t="str">
        <f>IFERROR(INDEX(TableTEMaster[Player],MATCH(TableWRTECalcPts[[#This Row],[POSRef]],TableTEMaster[TERef],0)),"")</f>
        <v>Michael Mayer</v>
      </c>
      <c r="AM68" s="59" t="str">
        <f>IFERROR(_xlfn.CONCAT(TableWRTECalcPts[[#This Row],[POS]],INDEX(TableTERanks[RK],MATCH(TableWRTECalcPts[[#This Row],[PLAYER]],TableTERanks[Player],0))),"")</f>
        <v>TE32</v>
      </c>
      <c r="AN68" s="59" t="str">
        <f>IFERROR(INDEX(TableTEMaster[TM],MATCH(TableWRTECalcPts[[#This Row],[POSRef]],TableTEMaster[TERef],0)),"")</f>
        <v>LV</v>
      </c>
      <c r="AO68" s="59">
        <f>IFERROR(INDEX(TableTEMaster[BYE],MATCH(TableWRTECalcPts[[#This Row],[POSRef]],TableTEMaster[TERef],0)),"")</f>
        <v>13</v>
      </c>
      <c r="AP68" s="60">
        <f>IFERROR(INDEX(TableTEMaster[Custom],MATCH(TableWRTECalcPts[[#This Row],[POSRef]],TableTEMaster[TERef],0)),"")</f>
        <v>61.206676159999986</v>
      </c>
    </row>
    <row r="69" spans="1:42" x14ac:dyDescent="0.2">
      <c r="A69" s="61" t="str">
        <f>IFERROR(RANK(TableQBCalcPts[[#This Row],[Custom]],TableQBCalcPts[Custom])+COUNTIF($F$3:F69,F69)-1,"")</f>
        <v/>
      </c>
      <c r="B69" s="59">
        <v>67</v>
      </c>
      <c r="C69" s="59" t="str">
        <f>IFERROR(INDEX(TableQBMaster[Player],MATCH(TableQBCalcPts[[#This Row],[QBRef]],TableQBMaster[QBRef],0)),"")</f>
        <v/>
      </c>
      <c r="D69" s="59" t="str">
        <f>IFERROR(INDEX(TableQBMaster[TM],MATCH(TableQBCalcPts[[#This Row],[QBRef]],TableQBMaster[QBRef],0)),"")</f>
        <v/>
      </c>
      <c r="E69" s="59" t="str">
        <f>IFERROR(INDEX(TableQBMaster[BYE],MATCH(TableQBCalcPts[[#This Row],[QBRef]],TableQBMaster[QBRef],0)),"")</f>
        <v/>
      </c>
      <c r="F69" s="60" t="str">
        <f>IFERROR(INDEX(TableQBMaster[Custom],MATCH(TableQBCalcPts[[#This Row],[QBRef]],TableQBMaster[QBRef],0)),"")</f>
        <v/>
      </c>
      <c r="H69" s="59">
        <f>IFERROR(RANK(TableRBCalcPts[[#This Row],[Custom]],TableRBCalcPts[Custom])+COUNTIF($M$3:M69,M69)-1,"")</f>
        <v>11</v>
      </c>
      <c r="I69" s="59">
        <v>67</v>
      </c>
      <c r="J69" s="59" t="str">
        <f>IFERROR(INDEX(TableRBMaster[Player],MATCH(TableRBCalcPts[[#This Row],[RBRef]],TableRBMaster[RBRef],0)),"")</f>
        <v>De'Von Achane</v>
      </c>
      <c r="K69" s="59" t="str">
        <f>IFERROR(INDEX(TableRBMaster[TM],MATCH(TableRBCalcPts[[#This Row],[RBRef]],TableRBMaster[RBRef],0)),"")</f>
        <v>MIA</v>
      </c>
      <c r="L69" s="59">
        <f>IFERROR(INDEX(TableRBMaster[BYE],MATCH(TableRBCalcPts[[#This Row],[RBRef]],TableRBMaster[RBRef],0)),"")</f>
        <v>10</v>
      </c>
      <c r="M69" s="60">
        <f>IFERROR(INDEX(TableRBMaster[Custom],MATCH(TableRBCalcPts[[#This Row],[RBRef]],TableRBMaster[RBRef],0)),"")</f>
        <v>209.1741526616</v>
      </c>
      <c r="O69" s="59">
        <f>IFERROR(RANK(TableWRCalcPts[[#This Row],[Custom]],TableWRCalcPts[Custom])+COUNTIF($T$3:T69,T69)-1,"")</f>
        <v>25</v>
      </c>
      <c r="P69" s="59">
        <v>67</v>
      </c>
      <c r="Q69" s="59" t="str">
        <f>IFERROR(INDEX(TableWRMaster[Player],MATCH(TableWRCalcPts[[#This Row],[WRRef]],TableWRMaster[WRRef],0)),"")</f>
        <v>Stefon Diggs</v>
      </c>
      <c r="R69" s="59" t="str">
        <f>IFERROR(INDEX(TableWRMaster[TM],MATCH(TableWRCalcPts[[#This Row],[WRRef]],TableWRMaster[WRRef],0)),"")</f>
        <v>HOU</v>
      </c>
      <c r="S69" s="59">
        <f>IFERROR(INDEX(TableWRMaster[BYE],MATCH(TableWRCalcPts[[#This Row],[WRRef]],TableWRMaster[WRRef],0)),"")</f>
        <v>7</v>
      </c>
      <c r="T69" s="60">
        <f>IFERROR(INDEX(TableWRMaster[Custom],MATCH(TableWRCalcPts[[#This Row],[WRRef]],TableWRMaster[WRRef],0)),"")</f>
        <v>181.51740331712003</v>
      </c>
      <c r="V69" s="59">
        <f>IFERROR(RANK(TableTECalcPts[[#This Row],[Custom]],TableTECalcPts[Custom])+COUNTIF($AA$3:AA69,AA69)-1,"")</f>
        <v>52</v>
      </c>
      <c r="W69" s="59">
        <v>67</v>
      </c>
      <c r="X69" s="59" t="str">
        <f>IFERROR(INDEX(TableTEMaster[Player],MATCH(TableTECalcPts[[#This Row],[TERef]],TableTEMaster[TERef],0)),"")</f>
        <v>Harrison Bryant</v>
      </c>
      <c r="Y69" s="59" t="str">
        <f>IFERROR(INDEX(TableTEMaster[TM],MATCH(TableTECalcPts[[#This Row],[TERef]],TableTEMaster[TERef],0)),"")</f>
        <v>LV</v>
      </c>
      <c r="Z69" s="59">
        <f>IFERROR(INDEX(TableTEMaster[BYE],MATCH(TableTECalcPts[[#This Row],[TERef]],TableTEMaster[TERef],0)),"")</f>
        <v>13</v>
      </c>
      <c r="AA69" s="60">
        <f>IFERROR(INDEX(TableTEMaster[Custom],MATCH(TableTECalcPts[[#This Row],[TERef]],TableTEMaster[TERef],0)),"")</f>
        <v>25.738369796999997</v>
      </c>
      <c r="AI69" s="59" t="s">
        <v>10</v>
      </c>
      <c r="AJ69" s="59">
        <f>IFERROR(RANK(TableWRTECalcPts[[#This Row],[Custom]],TableWRTECalcPts[Custom])+COUNTIF($AP$3:AP69,AP69)-1,"")</f>
        <v>185</v>
      </c>
      <c r="AK69" s="59">
        <v>67</v>
      </c>
      <c r="AL69" s="59" t="str">
        <f>IFERROR(INDEX(TableTEMaster[Player],MATCH(TableWRTECalcPts[[#This Row],[POSRef]],TableTEMaster[TERef],0)),"")</f>
        <v>Harrison Bryant</v>
      </c>
      <c r="AM69" s="59" t="str">
        <f>IFERROR(_xlfn.CONCAT(TableWRTECalcPts[[#This Row],[POS]],INDEX(TableTERanks[RK],MATCH(TableWRTECalcPts[[#This Row],[PLAYER]],TableTERanks[Player],0))),"")</f>
        <v>TE52</v>
      </c>
      <c r="AN69" s="59" t="str">
        <f>IFERROR(INDEX(TableTEMaster[TM],MATCH(TableWRTECalcPts[[#This Row],[POSRef]],TableTEMaster[TERef],0)),"")</f>
        <v>LV</v>
      </c>
      <c r="AO69" s="59">
        <f>IFERROR(INDEX(TableTEMaster[BYE],MATCH(TableWRTECalcPts[[#This Row],[POSRef]],TableTEMaster[TERef],0)),"")</f>
        <v>13</v>
      </c>
      <c r="AP69" s="60">
        <f>IFERROR(INDEX(TableTEMaster[Custom],MATCH(TableWRTECalcPts[[#This Row],[POSRef]],TableTEMaster[TERef],0)),"")</f>
        <v>25.738369796999997</v>
      </c>
    </row>
    <row r="70" spans="1:42" x14ac:dyDescent="0.2">
      <c r="A70" s="61" t="str">
        <f>IFERROR(RANK(TableQBCalcPts[[#This Row],[Custom]],TableQBCalcPts[Custom])+COUNTIF($F$3:F70,F70)-1,"")</f>
        <v/>
      </c>
      <c r="B70" s="59">
        <v>68</v>
      </c>
      <c r="C70" s="59" t="str">
        <f>IFERROR(INDEX(TableQBMaster[Player],MATCH(TableQBCalcPts[[#This Row],[QBRef]],TableQBMaster[QBRef],0)),"")</f>
        <v/>
      </c>
      <c r="D70" s="59" t="str">
        <f>IFERROR(INDEX(TableQBMaster[TM],MATCH(TableQBCalcPts[[#This Row],[QBRef]],TableQBMaster[QBRef],0)),"")</f>
        <v/>
      </c>
      <c r="E70" s="59" t="str">
        <f>IFERROR(INDEX(TableQBMaster[BYE],MATCH(TableQBCalcPts[[#This Row],[QBRef]],TableQBMaster[QBRef],0)),"")</f>
        <v/>
      </c>
      <c r="F70" s="60" t="str">
        <f>IFERROR(INDEX(TableQBMaster[Custom],MATCH(TableQBCalcPts[[#This Row],[QBRef]],TableQBMaster[QBRef],0)),"")</f>
        <v/>
      </c>
      <c r="H70" s="59">
        <f>IFERROR(RANK(TableRBCalcPts[[#This Row],[Custom]],TableRBCalcPts[Custom])+COUNTIF($M$3:M70,M70)-1,"")</f>
        <v>53</v>
      </c>
      <c r="I70" s="59">
        <v>68</v>
      </c>
      <c r="J70" s="59" t="str">
        <f>IFERROR(INDEX(TableRBMaster[Player],MATCH(TableRBCalcPts[[#This Row],[RBRef]],TableRBMaster[RBRef],0)),"")</f>
        <v>Jaylen Wright</v>
      </c>
      <c r="K70" s="59" t="str">
        <f>IFERROR(INDEX(TableRBMaster[TM],MATCH(TableRBCalcPts[[#This Row],[RBRef]],TableRBMaster[RBRef],0)),"")</f>
        <v>MIA</v>
      </c>
      <c r="L70" s="59">
        <f>IFERROR(INDEX(TableRBMaster[BYE],MATCH(TableRBCalcPts[[#This Row],[RBRef]],TableRBMaster[RBRef],0)),"")</f>
        <v>10</v>
      </c>
      <c r="M70" s="60">
        <f>IFERROR(INDEX(TableRBMaster[Custom],MATCH(TableRBCalcPts[[#This Row],[RBRef]],TableRBMaster[RBRef],0)),"")</f>
        <v>91.322713680576001</v>
      </c>
      <c r="O70" s="59">
        <f>IFERROR(RANK(TableWRCalcPts[[#This Row],[Custom]],TableWRCalcPts[Custom])+COUNTIF($T$3:T70,T70)-1,"")</f>
        <v>11</v>
      </c>
      <c r="P70" s="59">
        <v>68</v>
      </c>
      <c r="Q70" s="59" t="str">
        <f>IFERROR(INDEX(TableWRMaster[Player],MATCH(TableWRCalcPts[[#This Row],[WRRef]],TableWRMaster[WRRef],0)),"")</f>
        <v>Nico Collins</v>
      </c>
      <c r="R70" s="59" t="str">
        <f>IFERROR(INDEX(TableWRMaster[TM],MATCH(TableWRCalcPts[[#This Row],[WRRef]],TableWRMaster[WRRef],0)),"")</f>
        <v>HOU</v>
      </c>
      <c r="S70" s="59">
        <f>IFERROR(INDEX(TableWRMaster[BYE],MATCH(TableWRCalcPts[[#This Row],[WRRef]],TableWRMaster[WRRef],0)),"")</f>
        <v>7</v>
      </c>
      <c r="T70" s="60">
        <f>IFERROR(INDEX(TableWRMaster[Custom],MATCH(TableWRCalcPts[[#This Row],[WRRef]],TableWRMaster[WRRef],0)),"")</f>
        <v>205.18742284185601</v>
      </c>
      <c r="V70" s="59">
        <f>IFERROR(RANK(TableTECalcPts[[#This Row],[Custom]],TableTECalcPts[Custom])+COUNTIF($AA$3:AA70,AA70)-1,"")</f>
        <v>11</v>
      </c>
      <c r="W70" s="59">
        <v>68</v>
      </c>
      <c r="X70" s="59" t="str">
        <f>IFERROR(INDEX(TableTEMaster[Player],MATCH(TableTECalcPts[[#This Row],[TERef]],TableTEMaster[TERef],0)),"")</f>
        <v>Dallas Goedert</v>
      </c>
      <c r="Y70" s="59" t="str">
        <f>IFERROR(INDEX(TableTEMaster[TM],MATCH(TableTECalcPts[[#This Row],[TERef]],TableTEMaster[TERef],0)),"")</f>
        <v>PHI</v>
      </c>
      <c r="Z70" s="59">
        <f>IFERROR(INDEX(TableTEMaster[BYE],MATCH(TableTECalcPts[[#This Row],[TERef]],TableTEMaster[TERef],0)),"")</f>
        <v>10</v>
      </c>
      <c r="AA70" s="60">
        <f>IFERROR(INDEX(TableTEMaster[Custom],MATCH(TableTECalcPts[[#This Row],[TERef]],TableTEMaster[TERef],0)),"")</f>
        <v>131.42193465491999</v>
      </c>
      <c r="AI70" s="59" t="s">
        <v>10</v>
      </c>
      <c r="AJ70" s="59">
        <f>IFERROR(RANK(TableWRTECalcPts[[#This Row],[Custom]],TableWRTECalcPts[Custom])+COUNTIF($AP$3:AP70,AP70)-1,"")</f>
        <v>76</v>
      </c>
      <c r="AK70" s="59">
        <v>68</v>
      </c>
      <c r="AL70" s="59" t="str">
        <f>IFERROR(INDEX(TableTEMaster[Player],MATCH(TableWRTECalcPts[[#This Row],[POSRef]],TableTEMaster[TERef],0)),"")</f>
        <v>Dallas Goedert</v>
      </c>
      <c r="AM70" s="59" t="str">
        <f>IFERROR(_xlfn.CONCAT(TableWRTECalcPts[[#This Row],[POS]],INDEX(TableTERanks[RK],MATCH(TableWRTECalcPts[[#This Row],[PLAYER]],TableTERanks[Player],0))),"")</f>
        <v>TE11</v>
      </c>
      <c r="AN70" s="59" t="str">
        <f>IFERROR(INDEX(TableTEMaster[TM],MATCH(TableWRTECalcPts[[#This Row],[POSRef]],TableTEMaster[TERef],0)),"")</f>
        <v>PHI</v>
      </c>
      <c r="AO70" s="59">
        <f>IFERROR(INDEX(TableTEMaster[BYE],MATCH(TableWRTECalcPts[[#This Row],[POSRef]],TableTEMaster[TERef],0)),"")</f>
        <v>10</v>
      </c>
      <c r="AP70" s="60">
        <f>IFERROR(INDEX(TableTEMaster[Custom],MATCH(TableWRTECalcPts[[#This Row],[POSRef]],TableTEMaster[TERef],0)),"")</f>
        <v>131.42193465491999</v>
      </c>
    </row>
    <row r="71" spans="1:42" x14ac:dyDescent="0.2">
      <c r="A71" s="61" t="str">
        <f>IFERROR(RANK(TableQBCalcPts[[#This Row],[Custom]],TableQBCalcPts[Custom])+COUNTIF($F$3:F71,F71)-1,"")</f>
        <v/>
      </c>
      <c r="B71" s="59">
        <v>69</v>
      </c>
      <c r="C71" s="59" t="str">
        <f>IFERROR(INDEX(TableQBMaster[Player],MATCH(TableQBCalcPts[[#This Row],[QBRef]],TableQBMaster[QBRef],0)),"")</f>
        <v/>
      </c>
      <c r="D71" s="59" t="str">
        <f>IFERROR(INDEX(TableQBMaster[TM],MATCH(TableQBCalcPts[[#This Row],[QBRef]],TableQBMaster[QBRef],0)),"")</f>
        <v/>
      </c>
      <c r="E71" s="59" t="str">
        <f>IFERROR(INDEX(TableQBMaster[BYE],MATCH(TableQBCalcPts[[#This Row],[QBRef]],TableQBMaster[QBRef],0)),"")</f>
        <v/>
      </c>
      <c r="F71" s="60" t="str">
        <f>IFERROR(INDEX(TableQBMaster[Custom],MATCH(TableQBCalcPts[[#This Row],[QBRef]],TableQBMaster[QBRef],0)),"")</f>
        <v/>
      </c>
      <c r="H71" s="59">
        <f>IFERROR(RANK(TableRBCalcPts[[#This Row],[Custom]],TableRBCalcPts[Custom])+COUNTIF($M$3:M71,M71)-1,"")</f>
        <v>107</v>
      </c>
      <c r="I71" s="59">
        <v>69</v>
      </c>
      <c r="J71" s="59" t="str">
        <f>IFERROR(INDEX(TableRBMaster[Player],MATCH(TableRBCalcPts[[#This Row],[RBRef]],TableRBMaster[RBRef],0)),"")</f>
        <v>Jeff Wilson</v>
      </c>
      <c r="K71" s="59" t="str">
        <f>IFERROR(INDEX(TableRBMaster[TM],MATCH(TableRBCalcPts[[#This Row],[RBRef]],TableRBMaster[RBRef],0)),"")</f>
        <v>MIA</v>
      </c>
      <c r="L71" s="59">
        <f>IFERROR(INDEX(TableRBMaster[BYE],MATCH(TableRBCalcPts[[#This Row],[RBRef]],TableRBMaster[RBRef],0)),"")</f>
        <v>10</v>
      </c>
      <c r="M71" s="60">
        <f>IFERROR(INDEX(TableRBMaster[Custom],MATCH(TableRBCalcPts[[#This Row],[RBRef]],TableRBMaster[RBRef],0)),"")</f>
        <v>12.085693513600001</v>
      </c>
      <c r="O71" s="59">
        <f>IFERROR(RANK(TableWRCalcPts[[#This Row],[Custom]],TableWRCalcPts[Custom])+COUNTIF($T$3:T71,T71)-1,"")</f>
        <v>31</v>
      </c>
      <c r="P71" s="59">
        <v>69</v>
      </c>
      <c r="Q71" s="59" t="str">
        <f>IFERROR(INDEX(TableWRMaster[Player],MATCH(TableWRCalcPts[[#This Row],[WRRef]],TableWRMaster[WRRef],0)),"")</f>
        <v>Tank Dell</v>
      </c>
      <c r="R71" s="59" t="str">
        <f>IFERROR(INDEX(TableWRMaster[TM],MATCH(TableWRCalcPts[[#This Row],[WRRef]],TableWRMaster[WRRef],0)),"")</f>
        <v>HOU</v>
      </c>
      <c r="S71" s="59">
        <f>IFERROR(INDEX(TableWRMaster[BYE],MATCH(TableWRCalcPts[[#This Row],[WRRef]],TableWRMaster[WRRef],0)),"")</f>
        <v>7</v>
      </c>
      <c r="T71" s="60">
        <f>IFERROR(INDEX(TableWRMaster[Custom],MATCH(TableWRCalcPts[[#This Row],[WRRef]],TableWRMaster[WRRef],0)),"")</f>
        <v>177.76265426399999</v>
      </c>
      <c r="V71" s="59">
        <f>IFERROR(RANK(TableTECalcPts[[#This Row],[Custom]],TableTECalcPts[Custom])+COUNTIF($AA$3:AA71,AA71)-1,"")</f>
        <v>75</v>
      </c>
      <c r="W71" s="59">
        <v>69</v>
      </c>
      <c r="X71" s="59" t="str">
        <f>IFERROR(INDEX(TableTEMaster[Player],MATCH(TableTECalcPts[[#This Row],[TERef]],TableTEMaster[TERef],0)),"")</f>
        <v>C.J. Uzomah</v>
      </c>
      <c r="Y71" s="59" t="str">
        <f>IFERROR(INDEX(TableTEMaster[TM],MATCH(TableTECalcPts[[#This Row],[TERef]],TableTEMaster[TERef],0)),"")</f>
        <v>PHI</v>
      </c>
      <c r="Z71" s="59">
        <f>IFERROR(INDEX(TableTEMaster[BYE],MATCH(TableTECalcPts[[#This Row],[TERef]],TableTEMaster[TERef],0)),"")</f>
        <v>10</v>
      </c>
      <c r="AA71" s="60">
        <f>IFERROR(INDEX(TableTEMaster[Custom],MATCH(TableTECalcPts[[#This Row],[TERef]],TableTEMaster[TERef],0)),"")</f>
        <v>13.372270636032002</v>
      </c>
      <c r="AI71" s="59" t="s">
        <v>10</v>
      </c>
      <c r="AJ71" s="59">
        <f>IFERROR(RANK(TableWRTECalcPts[[#This Row],[Custom]],TableWRTECalcPts[Custom])+COUNTIF($AP$3:AP71,AP71)-1,"")</f>
        <v>240</v>
      </c>
      <c r="AK71" s="59">
        <v>69</v>
      </c>
      <c r="AL71" s="59" t="str">
        <f>IFERROR(INDEX(TableTEMaster[Player],MATCH(TableWRTECalcPts[[#This Row],[POSRef]],TableTEMaster[TERef],0)),"")</f>
        <v>C.J. Uzomah</v>
      </c>
      <c r="AM71" s="59" t="str">
        <f>IFERROR(_xlfn.CONCAT(TableWRTECalcPts[[#This Row],[POS]],INDEX(TableTERanks[RK],MATCH(TableWRTECalcPts[[#This Row],[PLAYER]],TableTERanks[Player],0))),"")</f>
        <v>TE75</v>
      </c>
      <c r="AN71" s="59" t="str">
        <f>IFERROR(INDEX(TableTEMaster[TM],MATCH(TableWRTECalcPts[[#This Row],[POSRef]],TableTEMaster[TERef],0)),"")</f>
        <v>PHI</v>
      </c>
      <c r="AO71" s="59">
        <f>IFERROR(INDEX(TableTEMaster[BYE],MATCH(TableWRTECalcPts[[#This Row],[POSRef]],TableTEMaster[TERef],0)),"")</f>
        <v>10</v>
      </c>
      <c r="AP71" s="60">
        <f>IFERROR(INDEX(TableTEMaster[Custom],MATCH(TableWRTECalcPts[[#This Row],[POSRef]],TableTEMaster[TERef],0)),"")</f>
        <v>13.372270636032002</v>
      </c>
    </row>
    <row r="72" spans="1:42" x14ac:dyDescent="0.2">
      <c r="A72" s="61" t="str">
        <f>IFERROR(RANK(TableQBCalcPts[[#This Row],[Custom]],TableQBCalcPts[Custom])+COUNTIF($F$3:F72,F72)-1,"")</f>
        <v/>
      </c>
      <c r="B72" s="59">
        <v>70</v>
      </c>
      <c r="C72" s="59" t="str">
        <f>IFERROR(INDEX(TableQBMaster[Player],MATCH(TableQBCalcPts[[#This Row],[QBRef]],TableQBMaster[QBRef],0)),"")</f>
        <v/>
      </c>
      <c r="D72" s="59" t="str">
        <f>IFERROR(INDEX(TableQBMaster[TM],MATCH(TableQBCalcPts[[#This Row],[QBRef]],TableQBMaster[QBRef],0)),"")</f>
        <v/>
      </c>
      <c r="E72" s="59" t="str">
        <f>IFERROR(INDEX(TableQBMaster[BYE],MATCH(TableQBCalcPts[[#This Row],[QBRef]],TableQBMaster[QBRef],0)),"")</f>
        <v/>
      </c>
      <c r="F72" s="60" t="str">
        <f>IFERROR(INDEX(TableQBMaster[Custom],MATCH(TableQBCalcPts[[#This Row],[QBRef]],TableQBMaster[QBRef],0)),"")</f>
        <v/>
      </c>
      <c r="H72" s="59">
        <f>IFERROR(RANK(TableRBCalcPts[[#This Row],[Custom]],TableRBCalcPts[Custom])+COUNTIF($M$3:M72,M72)-1,"")</f>
        <v>12</v>
      </c>
      <c r="I72" s="59">
        <v>70</v>
      </c>
      <c r="J72" s="59" t="str">
        <f>IFERROR(INDEX(TableRBMaster[Player],MATCH(TableRBCalcPts[[#This Row],[RBRef]],TableRBMaster[RBRef],0)),"")</f>
        <v>Aaron Jones</v>
      </c>
      <c r="K72" s="59" t="str">
        <f>IFERROR(INDEX(TableRBMaster[TM],MATCH(TableRBCalcPts[[#This Row],[RBRef]],TableRBMaster[RBRef],0)),"")</f>
        <v>MIN</v>
      </c>
      <c r="L72" s="59">
        <f>IFERROR(INDEX(TableRBMaster[BYE],MATCH(TableRBCalcPts[[#This Row],[RBRef]],TableRBMaster[RBRef],0)),"")</f>
        <v>13</v>
      </c>
      <c r="M72" s="60">
        <f>IFERROR(INDEX(TableRBMaster[Custom],MATCH(TableRBCalcPts[[#This Row],[RBRef]],TableRBMaster[RBRef],0)),"")</f>
        <v>209.09487775680006</v>
      </c>
      <c r="O72" s="59">
        <f>IFERROR(RANK(TableWRCalcPts[[#This Row],[Custom]],TableWRCalcPts[Custom])+COUNTIF($T$3:T72,T72)-1,"")</f>
        <v>129</v>
      </c>
      <c r="P72" s="59">
        <v>70</v>
      </c>
      <c r="Q72" s="59" t="str">
        <f>IFERROR(INDEX(TableWRMaster[Player],MATCH(TableWRCalcPts[[#This Row],[WRRef]],TableWRMaster[WRRef],0)),"")</f>
        <v>Robert Woods</v>
      </c>
      <c r="R72" s="59" t="str">
        <f>IFERROR(INDEX(TableWRMaster[TM],MATCH(TableWRCalcPts[[#This Row],[WRRef]],TableWRMaster[WRRef],0)),"")</f>
        <v>HOU</v>
      </c>
      <c r="S72" s="59">
        <f>IFERROR(INDEX(TableWRMaster[BYE],MATCH(TableWRCalcPts[[#This Row],[WRRef]],TableWRMaster[WRRef],0)),"")</f>
        <v>7</v>
      </c>
      <c r="T72" s="60">
        <f>IFERROR(INDEX(TableWRMaster[Custom],MATCH(TableWRCalcPts[[#This Row],[WRRef]],TableWRMaster[WRRef],0)),"")</f>
        <v>28.276131659775999</v>
      </c>
      <c r="V72" s="59">
        <f>IFERROR(RANK(TableTECalcPts[[#This Row],[Custom]],TableTECalcPts[Custom])+COUNTIF($AA$3:AA72,AA72)-1,"")</f>
        <v>82</v>
      </c>
      <c r="W72" s="59">
        <v>70</v>
      </c>
      <c r="X72" s="59" t="str">
        <f>IFERROR(INDEX(TableTEMaster[Player],MATCH(TableTECalcPts[[#This Row],[TERef]],TableTEMaster[TERef],0)),"")</f>
        <v>Albert Okwuegbunam</v>
      </c>
      <c r="Y72" s="59" t="str">
        <f>IFERROR(INDEX(TableTEMaster[TM],MATCH(TableTECalcPts[[#This Row],[TERef]],TableTEMaster[TERef],0)),"")</f>
        <v>PHI</v>
      </c>
      <c r="Z72" s="59">
        <f>IFERROR(INDEX(TableTEMaster[BYE],MATCH(TableTECalcPts[[#This Row],[TERef]],TableTEMaster[TERef],0)),"")</f>
        <v>10</v>
      </c>
      <c r="AA72" s="60">
        <f>IFERROR(INDEX(TableTEMaster[Custom],MATCH(TableTECalcPts[[#This Row],[TERef]],TableTEMaster[TERef],0)),"")</f>
        <v>7.1468614526400014</v>
      </c>
      <c r="AI72" s="59" t="s">
        <v>10</v>
      </c>
      <c r="AJ72" s="59">
        <f>IFERROR(RANK(TableWRTECalcPts[[#This Row],[Custom]],TableWRTECalcPts[Custom])+COUNTIF($AP$3:AP72,AP72)-1,"")</f>
        <v>262</v>
      </c>
      <c r="AK72" s="59">
        <v>70</v>
      </c>
      <c r="AL72" s="59" t="str">
        <f>IFERROR(INDEX(TableTEMaster[Player],MATCH(TableWRTECalcPts[[#This Row],[POSRef]],TableTEMaster[TERef],0)),"")</f>
        <v>Albert Okwuegbunam</v>
      </c>
      <c r="AM72" s="59" t="str">
        <f>IFERROR(_xlfn.CONCAT(TableWRTECalcPts[[#This Row],[POS]],INDEX(TableTERanks[RK],MATCH(TableWRTECalcPts[[#This Row],[PLAYER]],TableTERanks[Player],0))),"")</f>
        <v>TE82</v>
      </c>
      <c r="AN72" s="59" t="str">
        <f>IFERROR(INDEX(TableTEMaster[TM],MATCH(TableWRTECalcPts[[#This Row],[POSRef]],TableTEMaster[TERef],0)),"")</f>
        <v>PHI</v>
      </c>
      <c r="AO72" s="59">
        <f>IFERROR(INDEX(TableTEMaster[BYE],MATCH(TableWRTECalcPts[[#This Row],[POSRef]],TableTEMaster[TERef],0)),"")</f>
        <v>10</v>
      </c>
      <c r="AP72" s="60">
        <f>IFERROR(INDEX(TableTEMaster[Custom],MATCH(TableWRTECalcPts[[#This Row],[POSRef]],TableTEMaster[TERef],0)),"")</f>
        <v>7.1468614526400014</v>
      </c>
    </row>
    <row r="73" spans="1:42" x14ac:dyDescent="0.2">
      <c r="A73" s="61" t="str">
        <f>IFERROR(RANK(TableQBCalcPts[[#This Row],[Custom]],TableQBCalcPts[Custom])+COUNTIF($F$3:F73,F73)-1,"")</f>
        <v/>
      </c>
      <c r="B73" s="59">
        <v>71</v>
      </c>
      <c r="C73" s="59" t="str">
        <f>IFERROR(INDEX(TableQBMaster[Player],MATCH(TableQBCalcPts[[#This Row],[QBRef]],TableQBMaster[QBRef],0)),"")</f>
        <v/>
      </c>
      <c r="D73" s="59" t="str">
        <f>IFERROR(INDEX(TableQBMaster[TM],MATCH(TableQBCalcPts[[#This Row],[QBRef]],TableQBMaster[QBRef],0)),"")</f>
        <v/>
      </c>
      <c r="E73" s="59" t="str">
        <f>IFERROR(INDEX(TableQBMaster[BYE],MATCH(TableQBCalcPts[[#This Row],[QBRef]],TableQBMaster[QBRef],0)),"")</f>
        <v/>
      </c>
      <c r="F73" s="60" t="str">
        <f>IFERROR(INDEX(TableQBMaster[Custom],MATCH(TableQBCalcPts[[#This Row],[QBRef]],TableQBMaster[QBRef],0)),"")</f>
        <v/>
      </c>
      <c r="H73" s="59">
        <f>IFERROR(RANK(TableRBCalcPts[[#This Row],[Custom]],TableRBCalcPts[Custom])+COUNTIF($M$3:M73,M73)-1,"")</f>
        <v>41</v>
      </c>
      <c r="I73" s="59">
        <v>71</v>
      </c>
      <c r="J73" s="59" t="str">
        <f>IFERROR(INDEX(TableRBMaster[Player],MATCH(TableRBCalcPts[[#This Row],[RBRef]],TableRBMaster[RBRef],0)),"")</f>
        <v>Ty Chandler</v>
      </c>
      <c r="K73" s="59" t="str">
        <f>IFERROR(INDEX(TableRBMaster[TM],MATCH(TableRBCalcPts[[#This Row],[RBRef]],TableRBMaster[RBRef],0)),"")</f>
        <v>MIN</v>
      </c>
      <c r="L73" s="59">
        <f>IFERROR(INDEX(TableRBMaster[BYE],MATCH(TableRBCalcPts[[#This Row],[RBRef]],TableRBMaster[RBRef],0)),"")</f>
        <v>13</v>
      </c>
      <c r="M73" s="60">
        <f>IFERROR(INDEX(TableRBMaster[Custom],MATCH(TableRBCalcPts[[#This Row],[RBRef]],TableRBMaster[RBRef],0)),"")</f>
        <v>116.83272378624001</v>
      </c>
      <c r="O73" s="59">
        <f>IFERROR(RANK(TableWRCalcPts[[#This Row],[Custom]],TableWRCalcPts[Custom])+COUNTIF($T$3:T73,T73)-1,"")</f>
        <v>123</v>
      </c>
      <c r="P73" s="59">
        <v>71</v>
      </c>
      <c r="Q73" s="59" t="str">
        <f>IFERROR(INDEX(TableWRMaster[Player],MATCH(TableWRCalcPts[[#This Row],[WRRef]],TableWRMaster[WRRef],0)),"")</f>
        <v>Noah Brown</v>
      </c>
      <c r="R73" s="59" t="str">
        <f>IFERROR(INDEX(TableWRMaster[TM],MATCH(TableWRCalcPts[[#This Row],[WRRef]],TableWRMaster[WRRef],0)),"")</f>
        <v>HOU</v>
      </c>
      <c r="S73" s="59">
        <f>IFERROR(INDEX(TableWRMaster[BYE],MATCH(TableWRCalcPts[[#This Row],[WRRef]],TableWRMaster[WRRef],0)),"")</f>
        <v>7</v>
      </c>
      <c r="T73" s="60">
        <f>IFERROR(INDEX(TableWRMaster[Custom],MATCH(TableWRCalcPts[[#This Row],[WRRef]],TableWRMaster[WRRef],0)),"")</f>
        <v>30.799941070080006</v>
      </c>
      <c r="V73" s="59">
        <f>IFERROR(RANK(TableTECalcPts[[#This Row],[Custom]],TableTECalcPts[Custom])+COUNTIF($AA$3:AA73,AA73)-1,"")</f>
        <v>15</v>
      </c>
      <c r="W73" s="59">
        <v>71</v>
      </c>
      <c r="X73" s="59" t="str">
        <f>IFERROR(INDEX(TableTEMaster[Player],MATCH(TableTECalcPts[[#This Row],[TERef]],TableTEMaster[TERef],0)),"")</f>
        <v>Pat Freiermuth</v>
      </c>
      <c r="Y73" s="59" t="str">
        <f>IFERROR(INDEX(TableTEMaster[TM],MATCH(TableTECalcPts[[#This Row],[TERef]],TableTEMaster[TERef],0)),"")</f>
        <v>PIT</v>
      </c>
      <c r="Z73" s="59">
        <f>IFERROR(INDEX(TableTEMaster[BYE],MATCH(TableTECalcPts[[#This Row],[TERef]],TableTEMaster[TERef],0)),"")</f>
        <v>6</v>
      </c>
      <c r="AA73" s="60">
        <f>IFERROR(INDEX(TableTEMaster[Custom],MATCH(TableTECalcPts[[#This Row],[TERef]],TableTEMaster[TERef],0)),"")</f>
        <v>111.11222832065999</v>
      </c>
      <c r="AI73" s="59" t="s">
        <v>10</v>
      </c>
      <c r="AJ73" s="59">
        <f>IFERROR(RANK(TableWRTECalcPts[[#This Row],[Custom]],TableWRTECalcPts[Custom])+COUNTIF($AP$3:AP73,AP73)-1,"")</f>
        <v>88</v>
      </c>
      <c r="AK73" s="59">
        <v>71</v>
      </c>
      <c r="AL73" s="59" t="str">
        <f>IFERROR(INDEX(TableTEMaster[Player],MATCH(TableWRTECalcPts[[#This Row],[POSRef]],TableTEMaster[TERef],0)),"")</f>
        <v>Pat Freiermuth</v>
      </c>
      <c r="AM73" s="59" t="str">
        <f>IFERROR(_xlfn.CONCAT(TableWRTECalcPts[[#This Row],[POS]],INDEX(TableTERanks[RK],MATCH(TableWRTECalcPts[[#This Row],[PLAYER]],TableTERanks[Player],0))),"")</f>
        <v>TE15</v>
      </c>
      <c r="AN73" s="59" t="str">
        <f>IFERROR(INDEX(TableTEMaster[TM],MATCH(TableWRTECalcPts[[#This Row],[POSRef]],TableTEMaster[TERef],0)),"")</f>
        <v>PIT</v>
      </c>
      <c r="AO73" s="59">
        <f>IFERROR(INDEX(TableTEMaster[BYE],MATCH(TableWRTECalcPts[[#This Row],[POSRef]],TableTEMaster[TERef],0)),"")</f>
        <v>6</v>
      </c>
      <c r="AP73" s="60">
        <f>IFERROR(INDEX(TableTEMaster[Custom],MATCH(TableWRTECalcPts[[#This Row],[POSRef]],TableTEMaster[TERef],0)),"")</f>
        <v>111.11222832065999</v>
      </c>
    </row>
    <row r="74" spans="1:42" x14ac:dyDescent="0.2">
      <c r="A74" s="61" t="str">
        <f>IFERROR(RANK(TableQBCalcPts[[#This Row],[Custom]],TableQBCalcPts[Custom])+COUNTIF($F$3:F74,F74)-1,"")</f>
        <v/>
      </c>
      <c r="B74" s="59">
        <v>72</v>
      </c>
      <c r="C74" s="59" t="str">
        <f>IFERROR(INDEX(TableQBMaster[Player],MATCH(TableQBCalcPts[[#This Row],[QBRef]],TableQBMaster[QBRef],0)),"")</f>
        <v/>
      </c>
      <c r="D74" s="59" t="str">
        <f>IFERROR(INDEX(TableQBMaster[TM],MATCH(TableQBCalcPts[[#This Row],[QBRef]],TableQBMaster[QBRef],0)),"")</f>
        <v/>
      </c>
      <c r="E74" s="59" t="str">
        <f>IFERROR(INDEX(TableQBMaster[BYE],MATCH(TableQBCalcPts[[#This Row],[QBRef]],TableQBMaster[QBRef],0)),"")</f>
        <v/>
      </c>
      <c r="F74" s="60" t="str">
        <f>IFERROR(INDEX(TableQBMaster[Custom],MATCH(TableQBCalcPts[[#This Row],[QBRef]],TableQBMaster[QBRef],0)),"")</f>
        <v/>
      </c>
      <c r="H74" s="59">
        <f>IFERROR(RANK(TableRBCalcPts[[#This Row],[Custom]],TableRBCalcPts[Custom])+COUNTIF($M$3:M74,M74)-1,"")</f>
        <v>106</v>
      </c>
      <c r="I74" s="59">
        <v>72</v>
      </c>
      <c r="J74" s="59" t="str">
        <f>IFERROR(INDEX(TableRBMaster[Player],MATCH(TableRBCalcPts[[#This Row],[RBRef]],TableRBMaster[RBRef],0)),"")</f>
        <v>Kene Nwangwu</v>
      </c>
      <c r="K74" s="59" t="str">
        <f>IFERROR(INDEX(TableRBMaster[TM],MATCH(TableRBCalcPts[[#This Row],[RBRef]],TableRBMaster[RBRef],0)),"")</f>
        <v>MIN</v>
      </c>
      <c r="L74" s="59">
        <f>IFERROR(INDEX(TableRBMaster[BYE],MATCH(TableRBCalcPts[[#This Row],[RBRef]],TableRBMaster[RBRef],0)),"")</f>
        <v>13</v>
      </c>
      <c r="M74" s="60">
        <f>IFERROR(INDEX(TableRBMaster[Custom],MATCH(TableRBCalcPts[[#This Row],[RBRef]],TableRBMaster[RBRef],0)),"")</f>
        <v>12.987665208000001</v>
      </c>
      <c r="O74" s="59">
        <f>IFERROR(RANK(TableWRCalcPts[[#This Row],[Custom]],TableWRCalcPts[Custom])+COUNTIF($T$3:T74,T74)-1,"")</f>
        <v>162</v>
      </c>
      <c r="P74" s="59">
        <v>72</v>
      </c>
      <c r="Q74" s="59" t="str">
        <f>IFERROR(INDEX(TableWRMaster[Player],MATCH(TableWRCalcPts[[#This Row],[WRRef]],TableWRMaster[WRRef],0)),"")</f>
        <v>Xavier Hutchinson</v>
      </c>
      <c r="R74" s="59" t="str">
        <f>IFERROR(INDEX(TableWRMaster[TM],MATCH(TableWRCalcPts[[#This Row],[WRRef]],TableWRMaster[WRRef],0)),"")</f>
        <v>HOU</v>
      </c>
      <c r="S74" s="59">
        <f>IFERROR(INDEX(TableWRMaster[BYE],MATCH(TableWRCalcPts[[#This Row],[WRRef]],TableWRMaster[WRRef],0)),"")</f>
        <v>7</v>
      </c>
      <c r="T74" s="60">
        <f>IFERROR(INDEX(TableWRMaster[Custom],MATCH(TableWRCalcPts[[#This Row],[WRRef]],TableWRMaster[WRRef],0)),"")</f>
        <v>14.164159959040003</v>
      </c>
      <c r="V74" s="59">
        <f>IFERROR(RANK(TableTECalcPts[[#This Row],[Custom]],TableTECalcPts[Custom])+COUNTIF($AA$3:AA74,AA74)-1,"")</f>
        <v>60</v>
      </c>
      <c r="W74" s="59">
        <v>72</v>
      </c>
      <c r="X74" s="59" t="str">
        <f>IFERROR(INDEX(TableTEMaster[Player],MATCH(TableTECalcPts[[#This Row],[TERef]],TableTEMaster[TERef],0)),"")</f>
        <v>Darnell Washington</v>
      </c>
      <c r="Y74" s="59" t="str">
        <f>IFERROR(INDEX(TableTEMaster[TM],MATCH(TableTECalcPts[[#This Row],[TERef]],TableTEMaster[TERef],0)),"")</f>
        <v>PIT</v>
      </c>
      <c r="Z74" s="59">
        <f>IFERROR(INDEX(TableTEMaster[BYE],MATCH(TableTECalcPts[[#This Row],[TERef]],TableTEMaster[TERef],0)),"")</f>
        <v>6</v>
      </c>
      <c r="AA74" s="60">
        <f>IFERROR(INDEX(TableTEMaster[Custom],MATCH(TableTECalcPts[[#This Row],[TERef]],TableTEMaster[TERef],0)),"")</f>
        <v>20.924662263749997</v>
      </c>
      <c r="AI74" s="59" t="s">
        <v>10</v>
      </c>
      <c r="AJ74" s="59">
        <f>IFERROR(RANK(TableWRTECalcPts[[#This Row],[Custom]],TableWRTECalcPts[Custom])+COUNTIF($AP$3:AP74,AP74)-1,"")</f>
        <v>206</v>
      </c>
      <c r="AK74" s="59">
        <v>72</v>
      </c>
      <c r="AL74" s="59" t="str">
        <f>IFERROR(INDEX(TableTEMaster[Player],MATCH(TableWRTECalcPts[[#This Row],[POSRef]],TableTEMaster[TERef],0)),"")</f>
        <v>Darnell Washington</v>
      </c>
      <c r="AM74" s="59" t="str">
        <f>IFERROR(_xlfn.CONCAT(TableWRTECalcPts[[#This Row],[POS]],INDEX(TableTERanks[RK],MATCH(TableWRTECalcPts[[#This Row],[PLAYER]],TableTERanks[Player],0))),"")</f>
        <v>TE60</v>
      </c>
      <c r="AN74" s="59" t="str">
        <f>IFERROR(INDEX(TableTEMaster[TM],MATCH(TableWRTECalcPts[[#This Row],[POSRef]],TableTEMaster[TERef],0)),"")</f>
        <v>PIT</v>
      </c>
      <c r="AO74" s="59">
        <f>IFERROR(INDEX(TableTEMaster[BYE],MATCH(TableWRTECalcPts[[#This Row],[POSRef]],TableTEMaster[TERef],0)),"")</f>
        <v>6</v>
      </c>
      <c r="AP74" s="60">
        <f>IFERROR(INDEX(TableTEMaster[Custom],MATCH(TableWRTECalcPts[[#This Row],[POSRef]],TableTEMaster[TERef],0)),"")</f>
        <v>20.924662263749997</v>
      </c>
    </row>
    <row r="75" spans="1:42" x14ac:dyDescent="0.2">
      <c r="A75" s="61" t="str">
        <f>IFERROR(RANK(TableQBCalcPts[[#This Row],[Custom]],TableQBCalcPts[Custom])+COUNTIF($F$3:F75,F75)-1,"")</f>
        <v/>
      </c>
      <c r="B75" s="59">
        <v>73</v>
      </c>
      <c r="C75" s="59" t="str">
        <f>IFERROR(INDEX(TableQBMaster[Player],MATCH(TableQBCalcPts[[#This Row],[QBRef]],TableQBMaster[QBRef],0)),"")</f>
        <v/>
      </c>
      <c r="D75" s="59" t="str">
        <f>IFERROR(INDEX(TableQBMaster[TM],MATCH(TableQBCalcPts[[#This Row],[QBRef]],TableQBMaster[QBRef],0)),"")</f>
        <v/>
      </c>
      <c r="E75" s="59" t="str">
        <f>IFERROR(INDEX(TableQBMaster[BYE],MATCH(TableQBCalcPts[[#This Row],[QBRef]],TableQBMaster[QBRef],0)),"")</f>
        <v/>
      </c>
      <c r="F75" s="60" t="str">
        <f>IFERROR(INDEX(TableQBMaster[Custom],MATCH(TableQBCalcPts[[#This Row],[QBRef]],TableQBMaster[QBRef],0)),"")</f>
        <v/>
      </c>
      <c r="H75" s="59">
        <f>IFERROR(RANK(TableRBCalcPts[[#This Row],[Custom]],TableRBCalcPts[Custom])+COUNTIF($M$3:M75,M75)-1,"")</f>
        <v>14</v>
      </c>
      <c r="I75" s="59">
        <v>73</v>
      </c>
      <c r="J75" s="59" t="str">
        <f>IFERROR(INDEX(TableRBMaster[Player],MATCH(TableRBCalcPts[[#This Row],[RBRef]],TableRBMaster[RBRef],0)),"")</f>
        <v>Rhamondre Stevenson</v>
      </c>
      <c r="K75" s="59" t="str">
        <f>IFERROR(INDEX(TableRBMaster[TM],MATCH(TableRBCalcPts[[#This Row],[RBRef]],TableRBMaster[RBRef],0)),"")</f>
        <v>NE</v>
      </c>
      <c r="L75" s="59">
        <f>IFERROR(INDEX(TableRBMaster[BYE],MATCH(TableRBCalcPts[[#This Row],[RBRef]],TableRBMaster[RBRef],0)),"")</f>
        <v>11</v>
      </c>
      <c r="M75" s="60">
        <f>IFERROR(INDEX(TableRBMaster[Custom],MATCH(TableRBCalcPts[[#This Row],[RBRef]],TableRBMaster[RBRef],0)),"")</f>
        <v>198.29344996664003</v>
      </c>
      <c r="O75" s="59">
        <f>IFERROR(RANK(TableWRCalcPts[[#This Row],[Custom]],TableWRCalcPts[Custom])+COUNTIF($T$3:T75,T75)-1,"")</f>
        <v>180</v>
      </c>
      <c r="P75" s="59">
        <v>73</v>
      </c>
      <c r="Q75" s="59" t="str">
        <f>IFERROR(INDEX(TableWRMaster[Player],MATCH(TableWRCalcPts[[#This Row],[WRRef]],TableWRMaster[WRRef],0)),"")</f>
        <v>John Metchie</v>
      </c>
      <c r="R75" s="59" t="str">
        <f>IFERROR(INDEX(TableWRMaster[TM],MATCH(TableWRCalcPts[[#This Row],[WRRef]],TableWRMaster[WRRef],0)),"")</f>
        <v>HOU</v>
      </c>
      <c r="S75" s="59">
        <f>IFERROR(INDEX(TableWRMaster[BYE],MATCH(TableWRCalcPts[[#This Row],[WRRef]],TableWRMaster[WRRef],0)),"")</f>
        <v>7</v>
      </c>
      <c r="T75" s="60">
        <f>IFERROR(INDEX(TableWRMaster[Custom],MATCH(TableWRCalcPts[[#This Row],[WRRef]],TableWRMaster[WRRef],0)),"")</f>
        <v>7.2790656556800002</v>
      </c>
      <c r="V75" s="59">
        <f>IFERROR(RANK(TableTECalcPts[[#This Row],[Custom]],TableTECalcPts[Custom])+COUNTIF($AA$3:AA75,AA75)-1,"")</f>
        <v>27</v>
      </c>
      <c r="W75" s="59">
        <v>73</v>
      </c>
      <c r="X75" s="59" t="str">
        <f>IFERROR(INDEX(TableTEMaster[Player],MATCH(TableTECalcPts[[#This Row],[TERef]],TableTEMaster[TERef],0)),"")</f>
        <v>Noah Fant</v>
      </c>
      <c r="Y75" s="59" t="str">
        <f>IFERROR(INDEX(TableTEMaster[TM],MATCH(TableTECalcPts[[#This Row],[TERef]],TableTEMaster[TERef],0)),"")</f>
        <v>SEA</v>
      </c>
      <c r="Z75" s="59">
        <f>IFERROR(INDEX(TableTEMaster[BYE],MATCH(TableTECalcPts[[#This Row],[TERef]],TableTEMaster[TERef],0)),"")</f>
        <v>5</v>
      </c>
      <c r="AA75" s="60">
        <f>IFERROR(INDEX(TableTEMaster[Custom],MATCH(TableTECalcPts[[#This Row],[TERef]],TableTEMaster[TERef],0)),"")</f>
        <v>77.518260897461985</v>
      </c>
      <c r="AI75" s="59" t="s">
        <v>10</v>
      </c>
      <c r="AJ75" s="59">
        <f>IFERROR(RANK(TableWRTECalcPts[[#This Row],[Custom]],TableWRTECalcPts[Custom])+COUNTIF($AP$3:AP75,AP75)-1,"")</f>
        <v>116</v>
      </c>
      <c r="AK75" s="59">
        <v>73</v>
      </c>
      <c r="AL75" s="59" t="str">
        <f>IFERROR(INDEX(TableTEMaster[Player],MATCH(TableWRTECalcPts[[#This Row],[POSRef]],TableTEMaster[TERef],0)),"")</f>
        <v>Noah Fant</v>
      </c>
      <c r="AM75" s="59" t="str">
        <f>IFERROR(_xlfn.CONCAT(TableWRTECalcPts[[#This Row],[POS]],INDEX(TableTERanks[RK],MATCH(TableWRTECalcPts[[#This Row],[PLAYER]],TableTERanks[Player],0))),"")</f>
        <v>TE27</v>
      </c>
      <c r="AN75" s="59" t="str">
        <f>IFERROR(INDEX(TableTEMaster[TM],MATCH(TableWRTECalcPts[[#This Row],[POSRef]],TableTEMaster[TERef],0)),"")</f>
        <v>SEA</v>
      </c>
      <c r="AO75" s="59">
        <f>IFERROR(INDEX(TableTEMaster[BYE],MATCH(TableWRTECalcPts[[#This Row],[POSRef]],TableTEMaster[TERef],0)),"")</f>
        <v>5</v>
      </c>
      <c r="AP75" s="60">
        <f>IFERROR(INDEX(TableTEMaster[Custom],MATCH(TableWRTECalcPts[[#This Row],[POSRef]],TableTEMaster[TERef],0)),"")</f>
        <v>77.518260897461985</v>
      </c>
    </row>
    <row r="76" spans="1:42" x14ac:dyDescent="0.2">
      <c r="A76" s="61" t="str">
        <f>IFERROR(RANK(TableQBCalcPts[[#This Row],[Custom]],TableQBCalcPts[Custom])+COUNTIF($F$3:F76,F76)-1,"")</f>
        <v/>
      </c>
      <c r="B76" s="59">
        <v>74</v>
      </c>
      <c r="C76" s="59" t="str">
        <f>IFERROR(INDEX(TableQBMaster[Player],MATCH(TableQBCalcPts[[#This Row],[QBRef]],TableQBMaster[QBRef],0)),"")</f>
        <v/>
      </c>
      <c r="D76" s="59" t="str">
        <f>IFERROR(INDEX(TableQBMaster[TM],MATCH(TableQBCalcPts[[#This Row],[QBRef]],TableQBMaster[QBRef],0)),"")</f>
        <v/>
      </c>
      <c r="E76" s="59" t="str">
        <f>IFERROR(INDEX(TableQBMaster[BYE],MATCH(TableQBCalcPts[[#This Row],[QBRef]],TableQBMaster[QBRef],0)),"")</f>
        <v/>
      </c>
      <c r="F76" s="60" t="str">
        <f>IFERROR(INDEX(TableQBMaster[Custom],MATCH(TableQBCalcPts[[#This Row],[QBRef]],TableQBMaster[QBRef],0)),"")</f>
        <v/>
      </c>
      <c r="H76" s="59">
        <f>IFERROR(RANK(TableRBCalcPts[[#This Row],[Custom]],TableRBCalcPts[Custom])+COUNTIF($M$3:M76,M76)-1,"")</f>
        <v>45</v>
      </c>
      <c r="I76" s="59">
        <v>74</v>
      </c>
      <c r="J76" s="59" t="str">
        <f>IFERROR(INDEX(TableRBMaster[Player],MATCH(TableRBCalcPts[[#This Row],[RBRef]],TableRBMaster[RBRef],0)),"")</f>
        <v>Antonio Gibson</v>
      </c>
      <c r="K76" s="59" t="str">
        <f>IFERROR(INDEX(TableRBMaster[TM],MATCH(TableRBCalcPts[[#This Row],[RBRef]],TableRBMaster[RBRef],0)),"")</f>
        <v>NE</v>
      </c>
      <c r="L76" s="59">
        <f>IFERROR(INDEX(TableRBMaster[BYE],MATCH(TableRBCalcPts[[#This Row],[RBRef]],TableRBMaster[RBRef],0)),"")</f>
        <v>11</v>
      </c>
      <c r="M76" s="60">
        <f>IFERROR(INDEX(TableRBMaster[Custom],MATCH(TableRBCalcPts[[#This Row],[RBRef]],TableRBMaster[RBRef],0)),"")</f>
        <v>112.358046343648</v>
      </c>
      <c r="O76" s="59">
        <f>IFERROR(RANK(TableWRCalcPts[[#This Row],[Custom]],TableWRCalcPts[Custom])+COUNTIF($T$3:T76,T76)-1,"")</f>
        <v>44</v>
      </c>
      <c r="P76" s="59">
        <v>74</v>
      </c>
      <c r="Q76" s="59" t="str">
        <f>IFERROR(INDEX(TableWRMaster[Player],MATCH(TableWRCalcPts[[#This Row],[WRRef]],TableWRMaster[WRRef],0)),"")</f>
        <v>Michael Pittman</v>
      </c>
      <c r="R76" s="59" t="str">
        <f>IFERROR(INDEX(TableWRMaster[TM],MATCH(TableWRCalcPts[[#This Row],[WRRef]],TableWRMaster[WRRef],0)),"")</f>
        <v>IND</v>
      </c>
      <c r="S76" s="59">
        <f>IFERROR(INDEX(TableWRMaster[BYE],MATCH(TableWRCalcPts[[#This Row],[WRRef]],TableWRMaster[WRRef],0)),"")</f>
        <v>11</v>
      </c>
      <c r="T76" s="60">
        <f>IFERROR(INDEX(TableWRMaster[Custom],MATCH(TableWRCalcPts[[#This Row],[WRRef]],TableWRMaster[WRRef],0)),"")</f>
        <v>161.37858230487842</v>
      </c>
      <c r="V76" s="59">
        <f>IFERROR(RANK(TableTECalcPts[[#This Row],[Custom]],TableTECalcPts[Custom])+COUNTIF($AA$3:AA76,AA76)-1,"")</f>
        <v>50</v>
      </c>
      <c r="W76" s="59">
        <v>74</v>
      </c>
      <c r="X76" s="59" t="str">
        <f>IFERROR(INDEX(TableTEMaster[Player],MATCH(TableTECalcPts[[#This Row],[TERef]],TableTEMaster[TERef],0)),"")</f>
        <v>Pharoah Brown</v>
      </c>
      <c r="Y76" s="59" t="str">
        <f>IFERROR(INDEX(TableTEMaster[TM],MATCH(TableTECalcPts[[#This Row],[TERef]],TableTEMaster[TERef],0)),"")</f>
        <v>SEA</v>
      </c>
      <c r="Z76" s="59">
        <f>IFERROR(INDEX(TableTEMaster[BYE],MATCH(TableTECalcPts[[#This Row],[TERef]],TableTEMaster[TERef],0)),"")</f>
        <v>5</v>
      </c>
      <c r="AA76" s="60">
        <f>IFERROR(INDEX(TableTEMaster[Custom],MATCH(TableTECalcPts[[#This Row],[TERef]],TableTEMaster[TERef],0)),"")</f>
        <v>26.411950109999999</v>
      </c>
      <c r="AI76" s="59" t="s">
        <v>10</v>
      </c>
      <c r="AJ76" s="59">
        <f>IFERROR(RANK(TableWRTECalcPts[[#This Row],[Custom]],TableWRTECalcPts[Custom])+COUNTIF($AP$3:AP76,AP76)-1,"")</f>
        <v>182</v>
      </c>
      <c r="AK76" s="59">
        <v>74</v>
      </c>
      <c r="AL76" s="59" t="str">
        <f>IFERROR(INDEX(TableTEMaster[Player],MATCH(TableWRTECalcPts[[#This Row],[POSRef]],TableTEMaster[TERef],0)),"")</f>
        <v>Pharoah Brown</v>
      </c>
      <c r="AM76" s="59" t="str">
        <f>IFERROR(_xlfn.CONCAT(TableWRTECalcPts[[#This Row],[POS]],INDEX(TableTERanks[RK],MATCH(TableWRTECalcPts[[#This Row],[PLAYER]],TableTERanks[Player],0))),"")</f>
        <v>TE50</v>
      </c>
      <c r="AN76" s="59" t="str">
        <f>IFERROR(INDEX(TableTEMaster[TM],MATCH(TableWRTECalcPts[[#This Row],[POSRef]],TableTEMaster[TERef],0)),"")</f>
        <v>SEA</v>
      </c>
      <c r="AO76" s="59">
        <f>IFERROR(INDEX(TableTEMaster[BYE],MATCH(TableWRTECalcPts[[#This Row],[POSRef]],TableTEMaster[TERef],0)),"")</f>
        <v>5</v>
      </c>
      <c r="AP76" s="60">
        <f>IFERROR(INDEX(TableTEMaster[Custom],MATCH(TableWRTECalcPts[[#This Row],[POSRef]],TableTEMaster[TERef],0)),"")</f>
        <v>26.411950109999999</v>
      </c>
    </row>
    <row r="77" spans="1:42" x14ac:dyDescent="0.2">
      <c r="A77" s="61" t="str">
        <f>IFERROR(RANK(TableQBCalcPts[[#This Row],[Custom]],TableQBCalcPts[Custom])+COUNTIF($F$3:F77,F77)-1,"")</f>
        <v/>
      </c>
      <c r="B77" s="59">
        <v>75</v>
      </c>
      <c r="C77" s="59" t="str">
        <f>IFERROR(INDEX(TableQBMaster[Player],MATCH(TableQBCalcPts[[#This Row],[QBRef]],TableQBMaster[QBRef],0)),"")</f>
        <v/>
      </c>
      <c r="D77" s="59" t="str">
        <f>IFERROR(INDEX(TableQBMaster[TM],MATCH(TableQBCalcPts[[#This Row],[QBRef]],TableQBMaster[QBRef],0)),"")</f>
        <v/>
      </c>
      <c r="E77" s="59" t="str">
        <f>IFERROR(INDEX(TableQBMaster[BYE],MATCH(TableQBCalcPts[[#This Row],[QBRef]],TableQBMaster[QBRef],0)),"")</f>
        <v/>
      </c>
      <c r="F77" s="60" t="str">
        <f>IFERROR(INDEX(TableQBMaster[Custom],MATCH(TableQBCalcPts[[#This Row],[QBRef]],TableQBMaster[QBRef],0)),"")</f>
        <v/>
      </c>
      <c r="H77" s="59">
        <f>IFERROR(RANK(TableRBCalcPts[[#This Row],[Custom]],TableRBCalcPts[Custom])+COUNTIF($M$3:M77,M77)-1,"")</f>
        <v>89</v>
      </c>
      <c r="I77" s="59">
        <v>75</v>
      </c>
      <c r="J77" s="59" t="str">
        <f>IFERROR(INDEX(TableRBMaster[Player],MATCH(TableRBCalcPts[[#This Row],[RBRef]],TableRBMaster[RBRef],0)),"")</f>
        <v>Kevin Harris</v>
      </c>
      <c r="K77" s="59" t="str">
        <f>IFERROR(INDEX(TableRBMaster[TM],MATCH(TableRBCalcPts[[#This Row],[RBRef]],TableRBMaster[RBRef],0)),"")</f>
        <v>NE</v>
      </c>
      <c r="L77" s="59">
        <f>IFERROR(INDEX(TableRBMaster[BYE],MATCH(TableRBCalcPts[[#This Row],[RBRef]],TableRBMaster[RBRef],0)),"")</f>
        <v>11</v>
      </c>
      <c r="M77" s="60">
        <f>IFERROR(INDEX(TableRBMaster[Custom],MATCH(TableRBCalcPts[[#This Row],[RBRef]],TableRBMaster[RBRef],0)),"")</f>
        <v>23.675142996988001</v>
      </c>
      <c r="O77" s="59">
        <f>IFERROR(RANK(TableWRCalcPts[[#This Row],[Custom]],TableWRCalcPts[Custom])+COUNTIF($T$3:T77,T77)-1,"")</f>
        <v>73</v>
      </c>
      <c r="P77" s="59">
        <v>75</v>
      </c>
      <c r="Q77" s="59" t="str">
        <f>IFERROR(INDEX(TableWRMaster[Player],MATCH(TableWRCalcPts[[#This Row],[WRRef]],TableWRMaster[WRRef],0)),"")</f>
        <v>Adonai Mitchell</v>
      </c>
      <c r="R77" s="59" t="str">
        <f>IFERROR(INDEX(TableWRMaster[TM],MATCH(TableWRCalcPts[[#This Row],[WRRef]],TableWRMaster[WRRef],0)),"")</f>
        <v>IND</v>
      </c>
      <c r="S77" s="59">
        <f>IFERROR(INDEX(TableWRMaster[BYE],MATCH(TableWRCalcPts[[#This Row],[WRRef]],TableWRMaster[WRRef],0)),"")</f>
        <v>11</v>
      </c>
      <c r="T77" s="60">
        <f>IFERROR(INDEX(TableWRMaster[Custom],MATCH(TableWRCalcPts[[#This Row],[WRRef]],TableWRMaster[WRRef],0)),"")</f>
        <v>114.04083314624</v>
      </c>
      <c r="V77" s="59">
        <f>IFERROR(RANK(TableTECalcPts[[#This Row],[Custom]],TableTECalcPts[Custom])+COUNTIF($AA$3:AA77,AA77)-1,"")</f>
        <v>81</v>
      </c>
      <c r="W77" s="59">
        <v>75</v>
      </c>
      <c r="X77" s="59" t="str">
        <f>IFERROR(INDEX(TableTEMaster[Player],MATCH(TableTECalcPts[[#This Row],[TERef]],TableTEMaster[TERef],0)),"")</f>
        <v>AJ Barner</v>
      </c>
      <c r="Y77" s="59" t="str">
        <f>IFERROR(INDEX(TableTEMaster[TM],MATCH(TableTECalcPts[[#This Row],[TERef]],TableTEMaster[TERef],0)),"")</f>
        <v>SEA</v>
      </c>
      <c r="Z77" s="59">
        <f>IFERROR(INDEX(TableTEMaster[BYE],MATCH(TableTECalcPts[[#This Row],[TERef]],TableTEMaster[TERef],0)),"")</f>
        <v>5</v>
      </c>
      <c r="AA77" s="60">
        <f>IFERROR(INDEX(TableTEMaster[Custom],MATCH(TableTECalcPts[[#This Row],[TERef]],TableTEMaster[TERef],0)),"")</f>
        <v>7.3655150392362003</v>
      </c>
      <c r="AI77" s="59" t="s">
        <v>10</v>
      </c>
      <c r="AJ77" s="59">
        <f>IFERROR(RANK(TableWRTECalcPts[[#This Row],[Custom]],TableWRTECalcPts[Custom])+COUNTIF($AP$3:AP77,AP77)-1,"")</f>
        <v>260</v>
      </c>
      <c r="AK77" s="59">
        <v>75</v>
      </c>
      <c r="AL77" s="59" t="str">
        <f>IFERROR(INDEX(TableTEMaster[Player],MATCH(TableWRTECalcPts[[#This Row],[POSRef]],TableTEMaster[TERef],0)),"")</f>
        <v>AJ Barner</v>
      </c>
      <c r="AM77" s="59" t="str">
        <f>IFERROR(_xlfn.CONCAT(TableWRTECalcPts[[#This Row],[POS]],INDEX(TableTERanks[RK],MATCH(TableWRTECalcPts[[#This Row],[PLAYER]],TableTERanks[Player],0))),"")</f>
        <v>TE81</v>
      </c>
      <c r="AN77" s="59" t="str">
        <f>IFERROR(INDEX(TableTEMaster[TM],MATCH(TableWRTECalcPts[[#This Row],[POSRef]],TableTEMaster[TERef],0)),"")</f>
        <v>SEA</v>
      </c>
      <c r="AO77" s="59">
        <f>IFERROR(INDEX(TableTEMaster[BYE],MATCH(TableWRTECalcPts[[#This Row],[POSRef]],TableTEMaster[TERef],0)),"")</f>
        <v>5</v>
      </c>
      <c r="AP77" s="60">
        <f>IFERROR(INDEX(TableTEMaster[Custom],MATCH(TableWRTECalcPts[[#This Row],[POSRef]],TableTEMaster[TERef],0)),"")</f>
        <v>7.3655150392362003</v>
      </c>
    </row>
    <row r="78" spans="1:42" x14ac:dyDescent="0.2">
      <c r="A78" s="61" t="str">
        <f>IFERROR(RANK(TableQBCalcPts[[#This Row],[Custom]],TableQBCalcPts[Custom])+COUNTIF($F$3:F78,F78)-1,"")</f>
        <v/>
      </c>
      <c r="B78" s="59">
        <v>76</v>
      </c>
      <c r="C78" s="59" t="str">
        <f>IFERROR(INDEX(TableQBMaster[Player],MATCH(TableQBCalcPts[[#This Row],[QBRef]],TableQBMaster[QBRef],0)),"")</f>
        <v/>
      </c>
      <c r="D78" s="59" t="str">
        <f>IFERROR(INDEX(TableQBMaster[TM],MATCH(TableQBCalcPts[[#This Row],[QBRef]],TableQBMaster[QBRef],0)),"")</f>
        <v/>
      </c>
      <c r="E78" s="59" t="str">
        <f>IFERROR(INDEX(TableQBMaster[BYE],MATCH(TableQBCalcPts[[#This Row],[QBRef]],TableQBMaster[QBRef],0)),"")</f>
        <v/>
      </c>
      <c r="F78" s="60" t="str">
        <f>IFERROR(INDEX(TableQBMaster[Custom],MATCH(TableQBCalcPts[[#This Row],[QBRef]],TableQBMaster[QBRef],0)),"")</f>
        <v/>
      </c>
      <c r="H78" s="59">
        <f>IFERROR(RANK(TableRBCalcPts[[#This Row],[Custom]],TableRBCalcPts[Custom])+COUNTIF($M$3:M78,M78)-1,"")</f>
        <v>20</v>
      </c>
      <c r="I78" s="59">
        <v>76</v>
      </c>
      <c r="J78" s="59" t="str">
        <f>IFERROR(INDEX(TableRBMaster[Player],MATCH(TableRBCalcPts[[#This Row],[RBRef]],TableRBMaster[RBRef],0)),"")</f>
        <v>Alvin Kamara</v>
      </c>
      <c r="K78" s="59" t="str">
        <f>IFERROR(INDEX(TableRBMaster[TM],MATCH(TableRBCalcPts[[#This Row],[RBRef]],TableRBMaster[RBRef],0)),"")</f>
        <v>NO</v>
      </c>
      <c r="L78" s="59">
        <f>IFERROR(INDEX(TableRBMaster[BYE],MATCH(TableRBCalcPts[[#This Row],[RBRef]],TableRBMaster[RBRef],0)),"")</f>
        <v>11</v>
      </c>
      <c r="M78" s="60">
        <f>IFERROR(INDEX(TableRBMaster[Custom],MATCH(TableRBCalcPts[[#This Row],[RBRef]],TableRBMaster[RBRef],0)),"")</f>
        <v>186.30770878732321</v>
      </c>
      <c r="O78" s="59">
        <f>IFERROR(RANK(TableWRCalcPts[[#This Row],[Custom]],TableWRCalcPts[Custom])+COUNTIF($T$3:T78,T78)-1,"")</f>
        <v>67</v>
      </c>
      <c r="P78" s="59">
        <v>76</v>
      </c>
      <c r="Q78" s="59" t="str">
        <f>IFERROR(INDEX(TableWRMaster[Player],MATCH(TableWRCalcPts[[#This Row],[WRRef]],TableWRMaster[WRRef],0)),"")</f>
        <v>Josh Downs</v>
      </c>
      <c r="R78" s="59" t="str">
        <f>IFERROR(INDEX(TableWRMaster[TM],MATCH(TableWRCalcPts[[#This Row],[WRRef]],TableWRMaster[WRRef],0)),"")</f>
        <v>IND</v>
      </c>
      <c r="S78" s="59">
        <f>IFERROR(INDEX(TableWRMaster[BYE],MATCH(TableWRCalcPts[[#This Row],[WRRef]],TableWRMaster[WRRef],0)),"")</f>
        <v>11</v>
      </c>
      <c r="T78" s="60">
        <f>IFERROR(INDEX(TableWRMaster[Custom],MATCH(TableWRCalcPts[[#This Row],[WRRef]],TableWRMaster[WRRef],0)),"")</f>
        <v>127.45963412582404</v>
      </c>
      <c r="V78" s="59">
        <f>IFERROR(RANK(TableTECalcPts[[#This Row],[Custom]],TableTECalcPts[Custom])+COUNTIF($AA$3:AA78,AA78)-1,"")</f>
        <v>7</v>
      </c>
      <c r="W78" s="59">
        <v>76</v>
      </c>
      <c r="X78" s="59" t="str">
        <f>IFERROR(INDEX(TableTEMaster[Player],MATCH(TableTECalcPts[[#This Row],[TERef]],TableTEMaster[TERef],0)),"")</f>
        <v>George Kittle</v>
      </c>
      <c r="Y78" s="59" t="str">
        <f>IFERROR(INDEX(TableTEMaster[TM],MATCH(TableTECalcPts[[#This Row],[TERef]],TableTEMaster[TERef],0)),"")</f>
        <v>SF</v>
      </c>
      <c r="Z78" s="59">
        <f>IFERROR(INDEX(TableTEMaster[BYE],MATCH(TableTECalcPts[[#This Row],[TERef]],TableTEMaster[TERef],0)),"")</f>
        <v>9</v>
      </c>
      <c r="AA78" s="60">
        <f>IFERROR(INDEX(TableTEMaster[Custom],MATCH(TableTECalcPts[[#This Row],[TERef]],TableTEMaster[TERef],0)),"")</f>
        <v>155.07776599922877</v>
      </c>
      <c r="AI78" s="59" t="s">
        <v>10</v>
      </c>
      <c r="AJ78" s="59">
        <f>IFERROR(RANK(TableWRTECalcPts[[#This Row],[Custom]],TableWRTECalcPts[Custom])+COUNTIF($AP$3:AP78,AP78)-1,"")</f>
        <v>55</v>
      </c>
      <c r="AK78" s="59">
        <v>76</v>
      </c>
      <c r="AL78" s="59" t="str">
        <f>IFERROR(INDEX(TableTEMaster[Player],MATCH(TableWRTECalcPts[[#This Row],[POSRef]],TableTEMaster[TERef],0)),"")</f>
        <v>George Kittle</v>
      </c>
      <c r="AM78" s="59" t="str">
        <f>IFERROR(_xlfn.CONCAT(TableWRTECalcPts[[#This Row],[POS]],INDEX(TableTERanks[RK],MATCH(TableWRTECalcPts[[#This Row],[PLAYER]],TableTERanks[Player],0))),"")</f>
        <v>TE7</v>
      </c>
      <c r="AN78" s="59" t="str">
        <f>IFERROR(INDEX(TableTEMaster[TM],MATCH(TableWRTECalcPts[[#This Row],[POSRef]],TableTEMaster[TERef],0)),"")</f>
        <v>SF</v>
      </c>
      <c r="AO78" s="59">
        <f>IFERROR(INDEX(TableTEMaster[BYE],MATCH(TableWRTECalcPts[[#This Row],[POSRef]],TableTEMaster[TERef],0)),"")</f>
        <v>9</v>
      </c>
      <c r="AP78" s="60">
        <f>IFERROR(INDEX(TableTEMaster[Custom],MATCH(TableWRTECalcPts[[#This Row],[POSRef]],TableTEMaster[TERef],0)),"")</f>
        <v>155.07776599922877</v>
      </c>
    </row>
    <row r="79" spans="1:42" x14ac:dyDescent="0.2">
      <c r="A79" s="61" t="str">
        <f>IFERROR(RANK(TableQBCalcPts[[#This Row],[Custom]],TableQBCalcPts[Custom])+COUNTIF($F$3:F79,F79)-1,"")</f>
        <v/>
      </c>
      <c r="B79" s="59">
        <v>77</v>
      </c>
      <c r="C79" s="59" t="str">
        <f>IFERROR(INDEX(TableQBMaster[Player],MATCH(TableQBCalcPts[[#This Row],[QBRef]],TableQBMaster[QBRef],0)),"")</f>
        <v/>
      </c>
      <c r="D79" s="59" t="str">
        <f>IFERROR(INDEX(TableQBMaster[TM],MATCH(TableQBCalcPts[[#This Row],[QBRef]],TableQBMaster[QBRef],0)),"")</f>
        <v/>
      </c>
      <c r="E79" s="59" t="str">
        <f>IFERROR(INDEX(TableQBMaster[BYE],MATCH(TableQBCalcPts[[#This Row],[QBRef]],TableQBMaster[QBRef],0)),"")</f>
        <v/>
      </c>
      <c r="F79" s="60" t="str">
        <f>IFERROR(INDEX(TableQBMaster[Custom],MATCH(TableQBCalcPts[[#This Row],[QBRef]],TableQBMaster[QBRef],0)),"")</f>
        <v/>
      </c>
      <c r="H79" s="59">
        <f>IFERROR(RANK(TableRBCalcPts[[#This Row],[Custom]],TableRBCalcPts[Custom])+COUNTIF($M$3:M79,M79)-1,"")</f>
        <v>74</v>
      </c>
      <c r="I79" s="59">
        <v>77</v>
      </c>
      <c r="J79" s="59" t="str">
        <f>IFERROR(INDEX(TableRBMaster[Player],MATCH(TableRBCalcPts[[#This Row],[RBRef]],TableRBMaster[RBRef],0)),"")</f>
        <v>Jamaal Williams</v>
      </c>
      <c r="K79" s="59" t="str">
        <f>IFERROR(INDEX(TableRBMaster[TM],MATCH(TableRBCalcPts[[#This Row],[RBRef]],TableRBMaster[RBRef],0)),"")</f>
        <v>NO</v>
      </c>
      <c r="L79" s="59">
        <f>IFERROR(INDEX(TableRBMaster[BYE],MATCH(TableRBCalcPts[[#This Row],[RBRef]],TableRBMaster[RBRef],0)),"")</f>
        <v>11</v>
      </c>
      <c r="M79" s="60">
        <f>IFERROR(INDEX(TableRBMaster[Custom],MATCH(TableRBCalcPts[[#This Row],[RBRef]],TableRBMaster[RBRef],0)),"")</f>
        <v>47.008275267918272</v>
      </c>
      <c r="O79" s="59">
        <f>IFERROR(RANK(TableWRCalcPts[[#This Row],[Custom]],TableWRCalcPts[Custom])+COUNTIF($T$3:T79,T79)-1,"")</f>
        <v>119</v>
      </c>
      <c r="P79" s="59">
        <v>77</v>
      </c>
      <c r="Q79" s="59" t="str">
        <f>IFERROR(INDEX(TableWRMaster[Player],MATCH(TableWRCalcPts[[#This Row],[WRRef]],TableWRMaster[WRRef],0)),"")</f>
        <v>Alec Pierce</v>
      </c>
      <c r="R79" s="59" t="str">
        <f>IFERROR(INDEX(TableWRMaster[TM],MATCH(TableWRCalcPts[[#This Row],[WRRef]],TableWRMaster[WRRef],0)),"")</f>
        <v>IND</v>
      </c>
      <c r="S79" s="59">
        <f>IFERROR(INDEX(TableWRMaster[BYE],MATCH(TableWRCalcPts[[#This Row],[WRRef]],TableWRMaster[WRRef],0)),"")</f>
        <v>11</v>
      </c>
      <c r="T79" s="60">
        <f>IFERROR(INDEX(TableWRMaster[Custom],MATCH(TableWRCalcPts[[#This Row],[WRRef]],TableWRMaster[WRRef],0)),"")</f>
        <v>32.196362429000004</v>
      </c>
      <c r="V79" s="59">
        <f>IFERROR(RANK(TableTECalcPts[[#This Row],[Custom]],TableTECalcPts[Custom])+COUNTIF($AA$3:AA79,AA79)-1,"")</f>
        <v>77</v>
      </c>
      <c r="W79" s="59">
        <v>77</v>
      </c>
      <c r="X79" s="59" t="str">
        <f>IFERROR(INDEX(TableTEMaster[Player],MATCH(TableTECalcPts[[#This Row],[TERef]],TableTEMaster[TERef],0)),"")</f>
        <v>Cameron Latu</v>
      </c>
      <c r="Y79" s="59" t="str">
        <f>IFERROR(INDEX(TableTEMaster[TM],MATCH(TableTECalcPts[[#This Row],[TERef]],TableTEMaster[TERef],0)),"")</f>
        <v>SF</v>
      </c>
      <c r="Z79" s="59">
        <f>IFERROR(INDEX(TableTEMaster[BYE],MATCH(TableTECalcPts[[#This Row],[TERef]],TableTEMaster[TERef],0)),"")</f>
        <v>9</v>
      </c>
      <c r="AA79" s="60">
        <f>IFERROR(INDEX(TableTEMaster[Custom],MATCH(TableTECalcPts[[#This Row],[TERef]],TableTEMaster[TERef],0)),"")</f>
        <v>12.40591113216</v>
      </c>
      <c r="AI79" s="59" t="s">
        <v>10</v>
      </c>
      <c r="AJ79" s="59">
        <f>IFERROR(RANK(TableWRTECalcPts[[#This Row],[Custom]],TableWRTECalcPts[Custom])+COUNTIF($AP$3:AP79,AP79)-1,"")</f>
        <v>246</v>
      </c>
      <c r="AK79" s="59">
        <v>77</v>
      </c>
      <c r="AL79" s="59" t="str">
        <f>IFERROR(INDEX(TableTEMaster[Player],MATCH(TableWRTECalcPts[[#This Row],[POSRef]],TableTEMaster[TERef],0)),"")</f>
        <v>Cameron Latu</v>
      </c>
      <c r="AM79" s="59" t="str">
        <f>IFERROR(_xlfn.CONCAT(TableWRTECalcPts[[#This Row],[POS]],INDEX(TableTERanks[RK],MATCH(TableWRTECalcPts[[#This Row],[PLAYER]],TableTERanks[Player],0))),"")</f>
        <v>TE77</v>
      </c>
      <c r="AN79" s="59" t="str">
        <f>IFERROR(INDEX(TableTEMaster[TM],MATCH(TableWRTECalcPts[[#This Row],[POSRef]],TableTEMaster[TERef],0)),"")</f>
        <v>SF</v>
      </c>
      <c r="AO79" s="59">
        <f>IFERROR(INDEX(TableTEMaster[BYE],MATCH(TableWRTECalcPts[[#This Row],[POSRef]],TableTEMaster[TERef],0)),"")</f>
        <v>9</v>
      </c>
      <c r="AP79" s="60">
        <f>IFERROR(INDEX(TableTEMaster[Custom],MATCH(TableWRTECalcPts[[#This Row],[POSRef]],TableTEMaster[TERef],0)),"")</f>
        <v>12.40591113216</v>
      </c>
    </row>
    <row r="80" spans="1:42" x14ac:dyDescent="0.2">
      <c r="A80" s="61" t="str">
        <f>IFERROR(RANK(TableQBCalcPts[[#This Row],[Custom]],TableQBCalcPts[Custom])+COUNTIF($F$3:F80,F80)-1,"")</f>
        <v/>
      </c>
      <c r="B80" s="59">
        <v>78</v>
      </c>
      <c r="C80" s="59" t="str">
        <f>IFERROR(INDEX(TableQBMaster[Player],MATCH(TableQBCalcPts[[#This Row],[QBRef]],TableQBMaster[QBRef],0)),"")</f>
        <v/>
      </c>
      <c r="D80" s="59" t="str">
        <f>IFERROR(INDEX(TableQBMaster[TM],MATCH(TableQBCalcPts[[#This Row],[QBRef]],TableQBMaster[QBRef],0)),"")</f>
        <v/>
      </c>
      <c r="E80" s="59" t="str">
        <f>IFERROR(INDEX(TableQBMaster[BYE],MATCH(TableQBCalcPts[[#This Row],[QBRef]],TableQBMaster[QBRef],0)),"")</f>
        <v/>
      </c>
      <c r="F80" s="60" t="str">
        <f>IFERROR(INDEX(TableQBMaster[Custom],MATCH(TableQBCalcPts[[#This Row],[QBRef]],TableQBMaster[QBRef],0)),"")</f>
        <v/>
      </c>
      <c r="H80" s="59">
        <f>IFERROR(RANK(TableRBCalcPts[[#This Row],[Custom]],TableRBCalcPts[Custom])+COUNTIF($M$3:M80,M80)-1,"")</f>
        <v>49</v>
      </c>
      <c r="I80" s="59">
        <v>78</v>
      </c>
      <c r="J80" s="59" t="str">
        <f>IFERROR(INDEX(TableRBMaster[Player],MATCH(TableRBCalcPts[[#This Row],[RBRef]],TableRBMaster[RBRef],0)),"")</f>
        <v>Kendre Miller</v>
      </c>
      <c r="K80" s="59" t="str">
        <f>IFERROR(INDEX(TableRBMaster[TM],MATCH(TableRBCalcPts[[#This Row],[RBRef]],TableRBMaster[RBRef],0)),"")</f>
        <v>NO</v>
      </c>
      <c r="L80" s="59">
        <f>IFERROR(INDEX(TableRBMaster[BYE],MATCH(TableRBCalcPts[[#This Row],[RBRef]],TableRBMaster[RBRef],0)),"")</f>
        <v>11</v>
      </c>
      <c r="M80" s="60">
        <f>IFERROR(INDEX(TableRBMaster[Custom],MATCH(TableRBCalcPts[[#This Row],[RBRef]],TableRBMaster[RBRef],0)),"")</f>
        <v>106.29797474510063</v>
      </c>
      <c r="O80" s="59">
        <f>IFERROR(RANK(TableWRCalcPts[[#This Row],[Custom]],TableWRCalcPts[Custom])+COUNTIF($T$3:T80,T80)-1,"")</f>
        <v>135</v>
      </c>
      <c r="P80" s="59">
        <v>78</v>
      </c>
      <c r="Q80" s="59" t="str">
        <f>IFERROR(INDEX(TableWRMaster[Player],MATCH(TableWRCalcPts[[#This Row],[WRRef]],TableWRMaster[WRRef],0)),"")</f>
        <v>Anthony Gould</v>
      </c>
      <c r="R80" s="59" t="str">
        <f>IFERROR(INDEX(TableWRMaster[TM],MATCH(TableWRCalcPts[[#This Row],[WRRef]],TableWRMaster[WRRef],0)),"")</f>
        <v>IND</v>
      </c>
      <c r="S80" s="59">
        <f>IFERROR(INDEX(TableWRMaster[BYE],MATCH(TableWRCalcPts[[#This Row],[WRRef]],TableWRMaster[WRRef],0)),"")</f>
        <v>11</v>
      </c>
      <c r="T80" s="60">
        <f>IFERROR(INDEX(TableWRMaster[Custom],MATCH(TableWRCalcPts[[#This Row],[WRRef]],TableWRMaster[WRRef],0)),"")</f>
        <v>25.634266435008001</v>
      </c>
      <c r="V80" s="59">
        <f>IFERROR(RANK(TableTECalcPts[[#This Row],[Custom]],TableTECalcPts[Custom])+COUNTIF($AA$3:AA80,AA80)-1,"")</f>
        <v>24</v>
      </c>
      <c r="W80" s="59">
        <v>78</v>
      </c>
      <c r="X80" s="59" t="str">
        <f>IFERROR(INDEX(TableTEMaster[Player],MATCH(TableTECalcPts[[#This Row],[TERef]],TableTEMaster[TERef],0)),"")</f>
        <v>Cade Otton</v>
      </c>
      <c r="Y80" s="59" t="str">
        <f>IFERROR(INDEX(TableTEMaster[TM],MATCH(TableTECalcPts[[#This Row],[TERef]],TableTEMaster[TERef],0)),"")</f>
        <v>TB</v>
      </c>
      <c r="Z80" s="59">
        <f>IFERROR(INDEX(TableTEMaster[BYE],MATCH(TableTECalcPts[[#This Row],[TERef]],TableTEMaster[TERef],0)),"")</f>
        <v>5</v>
      </c>
      <c r="AA80" s="60">
        <f>IFERROR(INDEX(TableTEMaster[Custom],MATCH(TableTECalcPts[[#This Row],[TERef]],TableTEMaster[TERef],0)),"")</f>
        <v>87.511587115490997</v>
      </c>
      <c r="AI80" s="59" t="s">
        <v>10</v>
      </c>
      <c r="AJ80" s="59">
        <f>IFERROR(RANK(TableWRTECalcPts[[#This Row],[Custom]],TableWRTECalcPts[Custom])+COUNTIF($AP$3:AP80,AP80)-1,"")</f>
        <v>106</v>
      </c>
      <c r="AK80" s="59">
        <v>78</v>
      </c>
      <c r="AL80" s="59" t="str">
        <f>IFERROR(INDEX(TableTEMaster[Player],MATCH(TableWRTECalcPts[[#This Row],[POSRef]],TableTEMaster[TERef],0)),"")</f>
        <v>Cade Otton</v>
      </c>
      <c r="AM80" s="59" t="str">
        <f>IFERROR(_xlfn.CONCAT(TableWRTECalcPts[[#This Row],[POS]],INDEX(TableTERanks[RK],MATCH(TableWRTECalcPts[[#This Row],[PLAYER]],TableTERanks[Player],0))),"")</f>
        <v>TE24</v>
      </c>
      <c r="AN80" s="59" t="str">
        <f>IFERROR(INDEX(TableTEMaster[TM],MATCH(TableWRTECalcPts[[#This Row],[POSRef]],TableTEMaster[TERef],0)),"")</f>
        <v>TB</v>
      </c>
      <c r="AO80" s="59">
        <f>IFERROR(INDEX(TableTEMaster[BYE],MATCH(TableWRTECalcPts[[#This Row],[POSRef]],TableTEMaster[TERef],0)),"")</f>
        <v>5</v>
      </c>
      <c r="AP80" s="60">
        <f>IFERROR(INDEX(TableTEMaster[Custom],MATCH(TableWRTECalcPts[[#This Row],[POSRef]],TableTEMaster[TERef],0)),"")</f>
        <v>87.511587115490997</v>
      </c>
    </row>
    <row r="81" spans="1:42" x14ac:dyDescent="0.2">
      <c r="A81" s="61" t="str">
        <f>IFERROR(RANK(TableQBCalcPts[[#This Row],[Custom]],TableQBCalcPts[Custom])+COUNTIF($F$3:F81,F81)-1,"")</f>
        <v/>
      </c>
      <c r="B81" s="59">
        <v>79</v>
      </c>
      <c r="C81" s="59" t="str">
        <f>IFERROR(INDEX(TableQBMaster[Player],MATCH(TableQBCalcPts[[#This Row],[QBRef]],TableQBMaster[QBRef],0)),"")</f>
        <v/>
      </c>
      <c r="D81" s="59" t="str">
        <f>IFERROR(INDEX(TableQBMaster[TM],MATCH(TableQBCalcPts[[#This Row],[QBRef]],TableQBMaster[QBRef],0)),"")</f>
        <v/>
      </c>
      <c r="E81" s="59" t="str">
        <f>IFERROR(INDEX(TableQBMaster[BYE],MATCH(TableQBCalcPts[[#This Row],[QBRef]],TableQBMaster[QBRef],0)),"")</f>
        <v/>
      </c>
      <c r="F81" s="60" t="str">
        <f>IFERROR(INDEX(TableQBMaster[Custom],MATCH(TableQBCalcPts[[#This Row],[QBRef]],TableQBMaster[QBRef],0)),"")</f>
        <v/>
      </c>
      <c r="H81" s="59">
        <f>IFERROR(RANK(TableRBCalcPts[[#This Row],[Custom]],TableRBCalcPts[Custom])+COUNTIF($M$3:M81,M81)-1,"")</f>
        <v>31</v>
      </c>
      <c r="I81" s="59">
        <v>79</v>
      </c>
      <c r="J81" s="59" t="str">
        <f>IFERROR(INDEX(TableRBMaster[Player],MATCH(TableRBCalcPts[[#This Row],[RBRef]],TableRBMaster[RBRef],0)),"")</f>
        <v>Devin Singletary</v>
      </c>
      <c r="K81" s="59" t="str">
        <f>IFERROR(INDEX(TableRBMaster[TM],MATCH(TableRBCalcPts[[#This Row],[RBRef]],TableRBMaster[RBRef],0)),"")</f>
        <v>NYG</v>
      </c>
      <c r="L81" s="59">
        <f>IFERROR(INDEX(TableRBMaster[BYE],MATCH(TableRBCalcPts[[#This Row],[RBRef]],TableRBMaster[RBRef],0)),"")</f>
        <v>13</v>
      </c>
      <c r="M81" s="60">
        <f>IFERROR(INDEX(TableRBMaster[Custom],MATCH(TableRBCalcPts[[#This Row],[RBRef]],TableRBMaster[RBRef],0)),"")</f>
        <v>160.63613698890239</v>
      </c>
      <c r="O81" s="59">
        <f>IFERROR(RANK(TableWRCalcPts[[#This Row],[Custom]],TableWRCalcPts[Custom])+COUNTIF($T$3:T81,T81)-1,"")</f>
        <v>32</v>
      </c>
      <c r="P81" s="59">
        <v>79</v>
      </c>
      <c r="Q81" s="59" t="str">
        <f>IFERROR(INDEX(TableWRMaster[Player],MATCH(TableWRCalcPts[[#This Row],[WRRef]],TableWRMaster[WRRef],0)),"")</f>
        <v>Brian Thomas</v>
      </c>
      <c r="R81" s="59" t="str">
        <f>IFERROR(INDEX(TableWRMaster[TM],MATCH(TableWRCalcPts[[#This Row],[WRRef]],TableWRMaster[WRRef],0)),"")</f>
        <v>JAX</v>
      </c>
      <c r="S81" s="59">
        <f>IFERROR(INDEX(TableWRMaster[BYE],MATCH(TableWRCalcPts[[#This Row],[WRRef]],TableWRMaster[WRRef],0)),"")</f>
        <v>9</v>
      </c>
      <c r="T81" s="60">
        <f>IFERROR(INDEX(TableWRMaster[Custom],MATCH(TableWRCalcPts[[#This Row],[WRRef]],TableWRMaster[WRRef],0)),"")</f>
        <v>177.04765259999994</v>
      </c>
      <c r="V81" s="59">
        <f>IFERROR(RANK(TableTECalcPts[[#This Row],[Custom]],TableTECalcPts[Custom])+COUNTIF($AA$3:AA81,AA81)-1,"")</f>
        <v>59</v>
      </c>
      <c r="W81" s="59">
        <v>79</v>
      </c>
      <c r="X81" s="59" t="str">
        <f>IFERROR(INDEX(TableTEMaster[Player],MATCH(TableTECalcPts[[#This Row],[TERef]],TableTEMaster[TERef],0)),"")</f>
        <v>Ko Kieft</v>
      </c>
      <c r="Y81" s="59" t="str">
        <f>IFERROR(INDEX(TableTEMaster[TM],MATCH(TableTECalcPts[[#This Row],[TERef]],TableTEMaster[TERef],0)),"")</f>
        <v>TB</v>
      </c>
      <c r="Z81" s="59">
        <f>IFERROR(INDEX(TableTEMaster[BYE],MATCH(TableTECalcPts[[#This Row],[TERef]],TableTEMaster[TERef],0)),"")</f>
        <v>5</v>
      </c>
      <c r="AA81" s="60">
        <f>IFERROR(INDEX(TableTEMaster[Custom],MATCH(TableTECalcPts[[#This Row],[TERef]],TableTEMaster[TERef],0)),"")</f>
        <v>21.524783141400004</v>
      </c>
      <c r="AI81" s="59" t="s">
        <v>10</v>
      </c>
      <c r="AJ81" s="59">
        <f>IFERROR(RANK(TableWRTECalcPts[[#This Row],[Custom]],TableWRTECalcPts[Custom])+COUNTIF($AP$3:AP81,AP81)-1,"")</f>
        <v>203</v>
      </c>
      <c r="AK81" s="59">
        <v>79</v>
      </c>
      <c r="AL81" s="59" t="str">
        <f>IFERROR(INDEX(TableTEMaster[Player],MATCH(TableWRTECalcPts[[#This Row],[POSRef]],TableTEMaster[TERef],0)),"")</f>
        <v>Ko Kieft</v>
      </c>
      <c r="AM81" s="59" t="str">
        <f>IFERROR(_xlfn.CONCAT(TableWRTECalcPts[[#This Row],[POS]],INDEX(TableTERanks[RK],MATCH(TableWRTECalcPts[[#This Row],[PLAYER]],TableTERanks[Player],0))),"")</f>
        <v>TE59</v>
      </c>
      <c r="AN81" s="59" t="str">
        <f>IFERROR(INDEX(TableTEMaster[TM],MATCH(TableWRTECalcPts[[#This Row],[POSRef]],TableTEMaster[TERef],0)),"")</f>
        <v>TB</v>
      </c>
      <c r="AO81" s="59">
        <f>IFERROR(INDEX(TableTEMaster[BYE],MATCH(TableWRTECalcPts[[#This Row],[POSRef]],TableTEMaster[TERef],0)),"")</f>
        <v>5</v>
      </c>
      <c r="AP81" s="60">
        <f>IFERROR(INDEX(TableTEMaster[Custom],MATCH(TableWRTECalcPts[[#This Row],[POSRef]],TableTEMaster[TERef],0)),"")</f>
        <v>21.524783141400004</v>
      </c>
    </row>
    <row r="82" spans="1:42" x14ac:dyDescent="0.2">
      <c r="A82" s="61" t="str">
        <f>IFERROR(RANK(TableQBCalcPts[[#This Row],[Custom]],TableQBCalcPts[Custom])+COUNTIF($F$3:F82,F82)-1,"")</f>
        <v/>
      </c>
      <c r="B82" s="59">
        <v>80</v>
      </c>
      <c r="C82" s="59" t="str">
        <f>IFERROR(INDEX(TableQBMaster[Player],MATCH(TableQBCalcPts[[#This Row],[QBRef]],TableQBMaster[QBRef],0)),"")</f>
        <v/>
      </c>
      <c r="D82" s="59" t="str">
        <f>IFERROR(INDEX(TableQBMaster[TM],MATCH(TableQBCalcPts[[#This Row],[QBRef]],TableQBMaster[QBRef],0)),"")</f>
        <v/>
      </c>
      <c r="E82" s="59" t="str">
        <f>IFERROR(INDEX(TableQBMaster[BYE],MATCH(TableQBCalcPts[[#This Row],[QBRef]],TableQBMaster[QBRef],0)),"")</f>
        <v/>
      </c>
      <c r="F82" s="60" t="str">
        <f>IFERROR(INDEX(TableQBMaster[Custom],MATCH(TableQBCalcPts[[#This Row],[QBRef]],TableQBMaster[QBRef],0)),"")</f>
        <v/>
      </c>
      <c r="H82" s="59">
        <f>IFERROR(RANK(TableRBCalcPts[[#This Row],[Custom]],TableRBCalcPts[Custom])+COUNTIF($M$3:M82,M82)-1,"")</f>
        <v>68</v>
      </c>
      <c r="I82" s="59">
        <v>80</v>
      </c>
      <c r="J82" s="59" t="str">
        <f>IFERROR(INDEX(TableRBMaster[Player],MATCH(TableRBCalcPts[[#This Row],[RBRef]],TableRBMaster[RBRef],0)),"")</f>
        <v>Eric Gray</v>
      </c>
      <c r="K82" s="59" t="str">
        <f>IFERROR(INDEX(TableRBMaster[TM],MATCH(TableRBCalcPts[[#This Row],[RBRef]],TableRBMaster[RBRef],0)),"")</f>
        <v>NYG</v>
      </c>
      <c r="L82" s="59">
        <f>IFERROR(INDEX(TableRBMaster[BYE],MATCH(TableRBCalcPts[[#This Row],[RBRef]],TableRBMaster[RBRef],0)),"")</f>
        <v>13</v>
      </c>
      <c r="M82" s="60">
        <f>IFERROR(INDEX(TableRBMaster[Custom],MATCH(TableRBCalcPts[[#This Row],[RBRef]],TableRBMaster[RBRef],0)),"")</f>
        <v>62.589561267430412</v>
      </c>
      <c r="O82" s="59">
        <f>IFERROR(RANK(TableWRCalcPts[[#This Row],[Custom]],TableWRCalcPts[Custom])+COUNTIF($T$3:T82,T82)-1,"")</f>
        <v>30</v>
      </c>
      <c r="P82" s="59">
        <v>80</v>
      </c>
      <c r="Q82" s="59" t="str">
        <f>IFERROR(INDEX(TableWRMaster[Player],MATCH(TableWRCalcPts[[#This Row],[WRRef]],TableWRMaster[WRRef],0)),"")</f>
        <v>Christian Kirk</v>
      </c>
      <c r="R82" s="59" t="str">
        <f>IFERROR(INDEX(TableWRMaster[TM],MATCH(TableWRCalcPts[[#This Row],[WRRef]],TableWRMaster[WRRef],0)),"")</f>
        <v>JAX</v>
      </c>
      <c r="S82" s="59">
        <f>IFERROR(INDEX(TableWRMaster[BYE],MATCH(TableWRCalcPts[[#This Row],[WRRef]],TableWRMaster[WRRef],0)),"")</f>
        <v>9</v>
      </c>
      <c r="T82" s="60">
        <f>IFERROR(INDEX(TableWRMaster[Custom],MATCH(TableWRCalcPts[[#This Row],[WRRef]],TableWRMaster[WRRef],0)),"")</f>
        <v>178.08309643672794</v>
      </c>
      <c r="V82" s="59">
        <f>IFERROR(RANK(TableTECalcPts[[#This Row],[Custom]],TableTECalcPts[Custom])+COUNTIF($AA$3:AA82,AA82)-1,"")</f>
        <v>84</v>
      </c>
      <c r="W82" s="59">
        <v>80</v>
      </c>
      <c r="X82" s="59" t="str">
        <f>IFERROR(INDEX(TableTEMaster[Player],MATCH(TableTECalcPts[[#This Row],[TERef]],TableTEMaster[TERef],0)),"")</f>
        <v>Payne Durham</v>
      </c>
      <c r="Y82" s="59" t="str">
        <f>IFERROR(INDEX(TableTEMaster[TM],MATCH(TableTECalcPts[[#This Row],[TERef]],TableTEMaster[TERef],0)),"")</f>
        <v>TB</v>
      </c>
      <c r="Z82" s="59">
        <f>IFERROR(INDEX(TableTEMaster[BYE],MATCH(TableTECalcPts[[#This Row],[TERef]],TableTEMaster[TERef],0)),"")</f>
        <v>5</v>
      </c>
      <c r="AA82" s="60">
        <f>IFERROR(INDEX(TableTEMaster[Custom],MATCH(TableTECalcPts[[#This Row],[TERef]],TableTEMaster[TERef],0)),"")</f>
        <v>6.6706367481600006</v>
      </c>
      <c r="AI82" s="59" t="s">
        <v>10</v>
      </c>
      <c r="AJ82" s="59">
        <f>IFERROR(RANK(TableWRTECalcPts[[#This Row],[Custom]],TableWRTECalcPts[Custom])+COUNTIF($AP$3:AP82,AP82)-1,"")</f>
        <v>265</v>
      </c>
      <c r="AK82" s="59">
        <v>80</v>
      </c>
      <c r="AL82" s="59" t="str">
        <f>IFERROR(INDEX(TableTEMaster[Player],MATCH(TableWRTECalcPts[[#This Row],[POSRef]],TableTEMaster[TERef],0)),"")</f>
        <v>Payne Durham</v>
      </c>
      <c r="AM82" s="59" t="str">
        <f>IFERROR(_xlfn.CONCAT(TableWRTECalcPts[[#This Row],[POS]],INDEX(TableTERanks[RK],MATCH(TableWRTECalcPts[[#This Row],[PLAYER]],TableTERanks[Player],0))),"")</f>
        <v>TE84</v>
      </c>
      <c r="AN82" s="59" t="str">
        <f>IFERROR(INDEX(TableTEMaster[TM],MATCH(TableWRTECalcPts[[#This Row],[POSRef]],TableTEMaster[TERef],0)),"")</f>
        <v>TB</v>
      </c>
      <c r="AO82" s="59">
        <f>IFERROR(INDEX(TableTEMaster[BYE],MATCH(TableWRTECalcPts[[#This Row],[POSRef]],TableTEMaster[TERef],0)),"")</f>
        <v>5</v>
      </c>
      <c r="AP82" s="60">
        <f>IFERROR(INDEX(TableTEMaster[Custom],MATCH(TableWRTECalcPts[[#This Row],[POSRef]],TableTEMaster[TERef],0)),"")</f>
        <v>6.6706367481600006</v>
      </c>
    </row>
    <row r="83" spans="1:42" x14ac:dyDescent="0.2">
      <c r="A83" s="61" t="str">
        <f>IFERROR(RANK(TableQBCalcPts[[#This Row],[Custom]],TableQBCalcPts[Custom])+COUNTIF($F$3:F83,F83)-1,"")</f>
        <v/>
      </c>
      <c r="B83" s="59">
        <v>81</v>
      </c>
      <c r="C83" s="59" t="str">
        <f>IFERROR(INDEX(TableQBMaster[Player],MATCH(TableQBCalcPts[[#This Row],[QBRef]],TableQBMaster[QBRef],0)),"")</f>
        <v/>
      </c>
      <c r="D83" s="59" t="str">
        <f>IFERROR(INDEX(TableQBMaster[TM],MATCH(TableQBCalcPts[[#This Row],[QBRef]],TableQBMaster[QBRef],0)),"")</f>
        <v/>
      </c>
      <c r="E83" s="59" t="str">
        <f>IFERROR(INDEX(TableQBMaster[BYE],MATCH(TableQBCalcPts[[#This Row],[QBRef]],TableQBMaster[QBRef],0)),"")</f>
        <v/>
      </c>
      <c r="F83" s="60" t="str">
        <f>IFERROR(INDEX(TableQBMaster[Custom],MATCH(TableQBCalcPts[[#This Row],[QBRef]],TableQBMaster[QBRef],0)),"")</f>
        <v/>
      </c>
      <c r="H83" s="59">
        <f>IFERROR(RANK(TableRBCalcPts[[#This Row],[Custom]],TableRBCalcPts[Custom])+COUNTIF($M$3:M83,M83)-1,"")</f>
        <v>98</v>
      </c>
      <c r="I83" s="59">
        <v>81</v>
      </c>
      <c r="J83" s="59" t="str">
        <f>IFERROR(INDEX(TableRBMaster[Player],MATCH(TableRBCalcPts[[#This Row],[RBRef]],TableRBMaster[RBRef],0)),"")</f>
        <v>Deon Jackson</v>
      </c>
      <c r="K83" s="59" t="str">
        <f>IFERROR(INDEX(TableRBMaster[TM],MATCH(TableRBCalcPts[[#This Row],[RBRef]],TableRBMaster[RBRef],0)),"")</f>
        <v>NYG</v>
      </c>
      <c r="L83" s="59">
        <f>IFERROR(INDEX(TableRBMaster[BYE],MATCH(TableRBCalcPts[[#This Row],[RBRef]],TableRBMaster[RBRef],0)),"")</f>
        <v>13</v>
      </c>
      <c r="M83" s="60">
        <f>IFERROR(INDEX(TableRBMaster[Custom],MATCH(TableRBCalcPts[[#This Row],[RBRef]],TableRBMaster[RBRef],0)),"")</f>
        <v>19.134680254928</v>
      </c>
      <c r="O83" s="59">
        <f>IFERROR(RANK(TableWRCalcPts[[#This Row],[Custom]],TableWRCalcPts[Custom])+COUNTIF($T$3:T83,T83)-1,"")</f>
        <v>65</v>
      </c>
      <c r="P83" s="59">
        <v>81</v>
      </c>
      <c r="Q83" s="59" t="str">
        <f>IFERROR(INDEX(TableWRMaster[Player],MATCH(TableWRCalcPts[[#This Row],[WRRef]],TableWRMaster[WRRef],0)),"")</f>
        <v>Gabe Davis</v>
      </c>
      <c r="R83" s="59" t="str">
        <f>IFERROR(INDEX(TableWRMaster[TM],MATCH(TableWRCalcPts[[#This Row],[WRRef]],TableWRMaster[WRRef],0)),"")</f>
        <v>JAX</v>
      </c>
      <c r="S83" s="59">
        <f>IFERROR(INDEX(TableWRMaster[BYE],MATCH(TableWRCalcPts[[#This Row],[WRRef]],TableWRMaster[WRRef],0)),"")</f>
        <v>9</v>
      </c>
      <c r="T83" s="60">
        <f>IFERROR(INDEX(TableWRMaster[Custom],MATCH(TableWRCalcPts[[#This Row],[WRRef]],TableWRMaster[WRRef],0)),"")</f>
        <v>134.01963469439997</v>
      </c>
      <c r="V83" s="59">
        <f>IFERROR(RANK(TableTECalcPts[[#This Row],[Custom]],TableTECalcPts[Custom])+COUNTIF($AA$3:AA83,AA83)-1,"")</f>
        <v>17</v>
      </c>
      <c r="W83" s="59">
        <v>81</v>
      </c>
      <c r="X83" s="59" t="str">
        <f>IFERROR(INDEX(TableTEMaster[Player],MATCH(TableTECalcPts[[#This Row],[TERef]],TableTEMaster[TERef],0)),"")</f>
        <v>Chigoziem Okonkwo</v>
      </c>
      <c r="Y83" s="59" t="str">
        <f>IFERROR(INDEX(TableTEMaster[TM],MATCH(TableTECalcPts[[#This Row],[TERef]],TableTEMaster[TERef],0)),"")</f>
        <v>TEN</v>
      </c>
      <c r="Z83" s="59">
        <f>IFERROR(INDEX(TableTEMaster[BYE],MATCH(TableTECalcPts[[#This Row],[TERef]],TableTEMaster[TERef],0)),"")</f>
        <v>7</v>
      </c>
      <c r="AA83" s="60">
        <f>IFERROR(INDEX(TableTEMaster[Custom],MATCH(TableTECalcPts[[#This Row],[TERef]],TableTEMaster[TERef],0)),"")</f>
        <v>105.83006106172496</v>
      </c>
      <c r="AI83" s="59" t="s">
        <v>10</v>
      </c>
      <c r="AJ83" s="59">
        <f>IFERROR(RANK(TableWRTECalcPts[[#This Row],[Custom]],TableWRTECalcPts[Custom])+COUNTIF($AP$3:AP83,AP83)-1,"")</f>
        <v>91</v>
      </c>
      <c r="AK83" s="59">
        <v>81</v>
      </c>
      <c r="AL83" s="59" t="str">
        <f>IFERROR(INDEX(TableTEMaster[Player],MATCH(TableWRTECalcPts[[#This Row],[POSRef]],TableTEMaster[TERef],0)),"")</f>
        <v>Chigoziem Okonkwo</v>
      </c>
      <c r="AM83" s="59" t="str">
        <f>IFERROR(_xlfn.CONCAT(TableWRTECalcPts[[#This Row],[POS]],INDEX(TableTERanks[RK],MATCH(TableWRTECalcPts[[#This Row],[PLAYER]],TableTERanks[Player],0))),"")</f>
        <v>TE17</v>
      </c>
      <c r="AN83" s="59" t="str">
        <f>IFERROR(INDEX(TableTEMaster[TM],MATCH(TableWRTECalcPts[[#This Row],[POSRef]],TableTEMaster[TERef],0)),"")</f>
        <v>TEN</v>
      </c>
      <c r="AO83" s="59">
        <f>IFERROR(INDEX(TableTEMaster[BYE],MATCH(TableWRTECalcPts[[#This Row],[POSRef]],TableTEMaster[TERef],0)),"")</f>
        <v>7</v>
      </c>
      <c r="AP83" s="60">
        <f>IFERROR(INDEX(TableTEMaster[Custom],MATCH(TableWRTECalcPts[[#This Row],[POSRef]],TableTEMaster[TERef],0)),"")</f>
        <v>105.83006106172496</v>
      </c>
    </row>
    <row r="84" spans="1:42" x14ac:dyDescent="0.2">
      <c r="A84" s="61" t="str">
        <f>IFERROR(RANK(TableQBCalcPts[[#This Row],[Custom]],TableQBCalcPts[Custom])+COUNTIF($F$3:F84,F84)-1,"")</f>
        <v/>
      </c>
      <c r="B84" s="59">
        <v>82</v>
      </c>
      <c r="C84" s="59" t="str">
        <f>IFERROR(INDEX(TableQBMaster[Player],MATCH(TableQBCalcPts[[#This Row],[QBRef]],TableQBMaster[QBRef],0)),"")</f>
        <v/>
      </c>
      <c r="D84" s="59" t="str">
        <f>IFERROR(INDEX(TableQBMaster[TM],MATCH(TableQBCalcPts[[#This Row],[QBRef]],TableQBMaster[QBRef],0)),"")</f>
        <v/>
      </c>
      <c r="E84" s="59" t="str">
        <f>IFERROR(INDEX(TableQBMaster[BYE],MATCH(TableQBCalcPts[[#This Row],[QBRef]],TableQBMaster[QBRef],0)),"")</f>
        <v/>
      </c>
      <c r="F84" s="60" t="str">
        <f>IFERROR(INDEX(TableQBMaster[Custom],MATCH(TableQBCalcPts[[#This Row],[QBRef]],TableQBMaster[QBRef],0)),"")</f>
        <v/>
      </c>
      <c r="H84" s="59">
        <f>IFERROR(RANK(TableRBCalcPts[[#This Row],[Custom]],TableRBCalcPts[Custom])+COUNTIF($M$3:M84,M84)-1,"")</f>
        <v>69</v>
      </c>
      <c r="I84" s="59">
        <v>82</v>
      </c>
      <c r="J84" s="59" t="str">
        <f>IFERROR(INDEX(TableRBMaster[Player],MATCH(TableRBCalcPts[[#This Row],[RBRef]],TableRBMaster[RBRef],0)),"")</f>
        <v>Tyrone Tracy</v>
      </c>
      <c r="K84" s="59" t="str">
        <f>IFERROR(INDEX(TableRBMaster[TM],MATCH(TableRBCalcPts[[#This Row],[RBRef]],TableRBMaster[RBRef],0)),"")</f>
        <v>NYG</v>
      </c>
      <c r="L84" s="59">
        <f>IFERROR(INDEX(TableRBMaster[BYE],MATCH(TableRBCalcPts[[#This Row],[RBRef]],TableRBMaster[RBRef],0)),"")</f>
        <v>13</v>
      </c>
      <c r="M84" s="60">
        <f>IFERROR(INDEX(TableRBMaster[Custom],MATCH(TableRBCalcPts[[#This Row],[RBRef]],TableRBMaster[RBRef],0)),"")</f>
        <v>59.648622234331199</v>
      </c>
      <c r="O84" s="59">
        <f>IFERROR(RANK(TableWRCalcPts[[#This Row],[Custom]],TableWRCalcPts[Custom])+COUNTIF($T$3:T84,T84)-1,"")</f>
        <v>121</v>
      </c>
      <c r="P84" s="59">
        <v>82</v>
      </c>
      <c r="Q84" s="59" t="str">
        <f>IFERROR(INDEX(TableWRMaster[Player],MATCH(TableWRCalcPts[[#This Row],[WRRef]],TableWRMaster[WRRef],0)),"")</f>
        <v>Parker Washington</v>
      </c>
      <c r="R84" s="59" t="str">
        <f>IFERROR(INDEX(TableWRMaster[TM],MATCH(TableWRCalcPts[[#This Row],[WRRef]],TableWRMaster[WRRef],0)),"")</f>
        <v>JAX</v>
      </c>
      <c r="S84" s="59">
        <f>IFERROR(INDEX(TableWRMaster[BYE],MATCH(TableWRCalcPts[[#This Row],[WRRef]],TableWRMaster[WRRef],0)),"")</f>
        <v>9</v>
      </c>
      <c r="T84" s="60">
        <f>IFERROR(INDEX(TableWRMaster[Custom],MATCH(TableWRCalcPts[[#This Row],[WRRef]],TableWRMaster[WRRef],0)),"")</f>
        <v>30.994095000959987</v>
      </c>
      <c r="V84" s="59">
        <f>IFERROR(RANK(TableTECalcPts[[#This Row],[Custom]],TableTECalcPts[Custom])+COUNTIF($AA$3:AA84,AA84)-1,"")</f>
        <v>58</v>
      </c>
      <c r="W84" s="59">
        <v>82</v>
      </c>
      <c r="X84" s="59" t="str">
        <f>IFERROR(INDEX(TableTEMaster[Player],MATCH(TableTECalcPts[[#This Row],[TERef]],TableTEMaster[TERef],0)),"")</f>
        <v>Josh Whyle</v>
      </c>
      <c r="Y84" s="59" t="str">
        <f>IFERROR(INDEX(TableTEMaster[TM],MATCH(TableTECalcPts[[#This Row],[TERef]],TableTEMaster[TERef],0)),"")</f>
        <v>TEN</v>
      </c>
      <c r="Z84" s="59">
        <f>IFERROR(INDEX(TableTEMaster[BYE],MATCH(TableTECalcPts[[#This Row],[TERef]],TableTEMaster[TERef],0)),"")</f>
        <v>7</v>
      </c>
      <c r="AA84" s="60">
        <f>IFERROR(INDEX(TableTEMaster[Custom],MATCH(TableTECalcPts[[#This Row],[TERef]],TableTEMaster[TERef],0)),"")</f>
        <v>21.713238746198993</v>
      </c>
      <c r="AI84" s="59" t="s">
        <v>10</v>
      </c>
      <c r="AJ84" s="59">
        <f>IFERROR(RANK(TableWRTECalcPts[[#This Row],[Custom]],TableWRTECalcPts[Custom])+COUNTIF($AP$3:AP84,AP84)-1,"")</f>
        <v>201</v>
      </c>
      <c r="AK84" s="59">
        <v>82</v>
      </c>
      <c r="AL84" s="59" t="str">
        <f>IFERROR(INDEX(TableTEMaster[Player],MATCH(TableWRTECalcPts[[#This Row],[POSRef]],TableTEMaster[TERef],0)),"")</f>
        <v>Josh Whyle</v>
      </c>
      <c r="AM84" s="59" t="str">
        <f>IFERROR(_xlfn.CONCAT(TableWRTECalcPts[[#This Row],[POS]],INDEX(TableTERanks[RK],MATCH(TableWRTECalcPts[[#This Row],[PLAYER]],TableTERanks[Player],0))),"")</f>
        <v>TE58</v>
      </c>
      <c r="AN84" s="59" t="str">
        <f>IFERROR(INDEX(TableTEMaster[TM],MATCH(TableWRTECalcPts[[#This Row],[POSRef]],TableTEMaster[TERef],0)),"")</f>
        <v>TEN</v>
      </c>
      <c r="AO84" s="59">
        <f>IFERROR(INDEX(TableTEMaster[BYE],MATCH(TableWRTECalcPts[[#This Row],[POSRef]],TableTEMaster[TERef],0)),"")</f>
        <v>7</v>
      </c>
      <c r="AP84" s="60">
        <f>IFERROR(INDEX(TableTEMaster[Custom],MATCH(TableWRTECalcPts[[#This Row],[POSRef]],TableTEMaster[TERef],0)),"")</f>
        <v>21.713238746198993</v>
      </c>
    </row>
    <row r="85" spans="1:42" x14ac:dyDescent="0.2">
      <c r="A85" s="61" t="str">
        <f>IFERROR(RANK(TableQBCalcPts[[#This Row],[Custom]],TableQBCalcPts[Custom])+COUNTIF($F$3:F85,F85)-1,"")</f>
        <v/>
      </c>
      <c r="B85" s="59">
        <v>83</v>
      </c>
      <c r="C85" s="59" t="str">
        <f>IFERROR(INDEX(TableQBMaster[Player],MATCH(TableQBCalcPts[[#This Row],[QBRef]],TableQBMaster[QBRef],0)),"")</f>
        <v/>
      </c>
      <c r="D85" s="59" t="str">
        <f>IFERROR(INDEX(TableQBMaster[TM],MATCH(TableQBCalcPts[[#This Row],[QBRef]],TableQBMaster[QBRef],0)),"")</f>
        <v/>
      </c>
      <c r="E85" s="59" t="str">
        <f>IFERROR(INDEX(TableQBMaster[BYE],MATCH(TableQBCalcPts[[#This Row],[QBRef]],TableQBMaster[QBRef],0)),"")</f>
        <v/>
      </c>
      <c r="F85" s="60" t="str">
        <f>IFERROR(INDEX(TableQBMaster[Custom],MATCH(TableQBCalcPts[[#This Row],[QBRef]],TableQBMaster[QBRef],0)),"")</f>
        <v/>
      </c>
      <c r="H85" s="59">
        <f>IFERROR(RANK(TableRBCalcPts[[#This Row],[Custom]],TableRBCalcPts[Custom])+COUNTIF($M$3:M85,M85)-1,"")</f>
        <v>3</v>
      </c>
      <c r="I85" s="59">
        <v>83</v>
      </c>
      <c r="J85" s="59" t="str">
        <f>IFERROR(INDEX(TableRBMaster[Player],MATCH(TableRBCalcPts[[#This Row],[RBRef]],TableRBMaster[RBRef],0)),"")</f>
        <v>Breece Hall</v>
      </c>
      <c r="K85" s="59" t="str">
        <f>IFERROR(INDEX(TableRBMaster[TM],MATCH(TableRBCalcPts[[#This Row],[RBRef]],TableRBMaster[RBRef],0)),"")</f>
        <v>NYJ</v>
      </c>
      <c r="L85" s="59">
        <f>IFERROR(INDEX(TableRBMaster[BYE],MATCH(TableRBCalcPts[[#This Row],[RBRef]],TableRBMaster[RBRef],0)),"")</f>
        <v>7</v>
      </c>
      <c r="M85" s="60">
        <f>IFERROR(INDEX(TableRBMaster[Custom],MATCH(TableRBCalcPts[[#This Row],[RBRef]],TableRBMaster[RBRef],0)),"")</f>
        <v>257.07200314096002</v>
      </c>
      <c r="O85" s="59">
        <f>IFERROR(RANK(TableWRCalcPts[[#This Row],[Custom]],TableWRCalcPts[Custom])+COUNTIF($T$3:T85,T85)-1,"")</f>
        <v>165</v>
      </c>
      <c r="P85" s="59">
        <v>83</v>
      </c>
      <c r="Q85" s="59" t="str">
        <f>IFERROR(INDEX(TableWRMaster[Player],MATCH(TableWRCalcPts[[#This Row],[WRRef]],TableWRMaster[WRRef],0)),"")</f>
        <v>Tim Jones</v>
      </c>
      <c r="R85" s="59" t="str">
        <f>IFERROR(INDEX(TableWRMaster[TM],MATCH(TableWRCalcPts[[#This Row],[WRRef]],TableWRMaster[WRRef],0)),"")</f>
        <v>JAX</v>
      </c>
      <c r="S85" s="59">
        <f>IFERROR(INDEX(TableWRMaster[BYE],MATCH(TableWRCalcPts[[#This Row],[WRRef]],TableWRMaster[WRRef],0)),"")</f>
        <v>9</v>
      </c>
      <c r="T85" s="60">
        <f>IFERROR(INDEX(TableWRMaster[Custom],MATCH(TableWRCalcPts[[#This Row],[WRRef]],TableWRMaster[WRRef],0)),"")</f>
        <v>13.501545220799994</v>
      </c>
      <c r="V85" s="59">
        <f>IFERROR(RANK(TableTECalcPts[[#This Row],[Custom]],TableTECalcPts[Custom])+COUNTIF($AA$3:AA85,AA85)-1,"")</f>
        <v>29</v>
      </c>
      <c r="W85" s="59">
        <v>83</v>
      </c>
      <c r="X85" s="59" t="str">
        <f>IFERROR(INDEX(TableTEMaster[Player],MATCH(TableTECalcPts[[#This Row],[TERef]],TableTEMaster[TERef],0)),"")</f>
        <v>Zach Ertz</v>
      </c>
      <c r="Y85" s="59" t="str">
        <f>IFERROR(INDEX(TableTEMaster[TM],MATCH(TableTECalcPts[[#This Row],[TERef]],TableTEMaster[TERef],0)),"")</f>
        <v>WSH</v>
      </c>
      <c r="Z85" s="59">
        <f>IFERROR(INDEX(TableTEMaster[BYE],MATCH(TableTECalcPts[[#This Row],[TERef]],TableTEMaster[TERef],0)),"")</f>
        <v>14</v>
      </c>
      <c r="AA85" s="60">
        <f>IFERROR(INDEX(TableTEMaster[Custom],MATCH(TableTECalcPts[[#This Row],[TERef]],TableTEMaster[TERef],0)),"")</f>
        <v>68.546385770939992</v>
      </c>
      <c r="AI85" s="59" t="s">
        <v>10</v>
      </c>
      <c r="AJ85" s="59">
        <f>IFERROR(RANK(TableWRTECalcPts[[#This Row],[Custom]],TableWRTECalcPts[Custom])+COUNTIF($AP$3:AP85,AP85)-1,"")</f>
        <v>121</v>
      </c>
      <c r="AK85" s="59">
        <v>83</v>
      </c>
      <c r="AL85" s="59" t="str">
        <f>IFERROR(INDEX(TableTEMaster[Player],MATCH(TableWRTECalcPts[[#This Row],[POSRef]],TableTEMaster[TERef],0)),"")</f>
        <v>Zach Ertz</v>
      </c>
      <c r="AM85" s="59" t="str">
        <f>IFERROR(_xlfn.CONCAT(TableWRTECalcPts[[#This Row],[POS]],INDEX(TableTERanks[RK],MATCH(TableWRTECalcPts[[#This Row],[PLAYER]],TableTERanks[Player],0))),"")</f>
        <v>TE29</v>
      </c>
      <c r="AN85" s="59" t="str">
        <f>IFERROR(INDEX(TableTEMaster[TM],MATCH(TableWRTECalcPts[[#This Row],[POSRef]],TableTEMaster[TERef],0)),"")</f>
        <v>WSH</v>
      </c>
      <c r="AO85" s="59">
        <f>IFERROR(INDEX(TableTEMaster[BYE],MATCH(TableWRTECalcPts[[#This Row],[POSRef]],TableTEMaster[TERef],0)),"")</f>
        <v>14</v>
      </c>
      <c r="AP85" s="60">
        <f>IFERROR(INDEX(TableTEMaster[Custom],MATCH(TableWRTECalcPts[[#This Row],[POSRef]],TableTEMaster[TERef],0)),"")</f>
        <v>68.546385770939992</v>
      </c>
    </row>
    <row r="86" spans="1:42" x14ac:dyDescent="0.2">
      <c r="A86" s="61" t="str">
        <f>IFERROR(RANK(TableQBCalcPts[[#This Row],[Custom]],TableQBCalcPts[Custom])+COUNTIF($F$3:F86,F86)-1,"")</f>
        <v/>
      </c>
      <c r="B86" s="59">
        <v>84</v>
      </c>
      <c r="C86" s="59" t="str">
        <f>IFERROR(INDEX(TableQBMaster[Player],MATCH(TableQBCalcPts[[#This Row],[QBRef]],TableQBMaster[QBRef],0)),"")</f>
        <v/>
      </c>
      <c r="D86" s="59" t="str">
        <f>IFERROR(INDEX(TableQBMaster[TM],MATCH(TableQBCalcPts[[#This Row],[QBRef]],TableQBMaster[QBRef],0)),"")</f>
        <v/>
      </c>
      <c r="E86" s="59" t="str">
        <f>IFERROR(INDEX(TableQBMaster[BYE],MATCH(TableQBCalcPts[[#This Row],[QBRef]],TableQBMaster[QBRef],0)),"")</f>
        <v/>
      </c>
      <c r="F86" s="60" t="str">
        <f>IFERROR(INDEX(TableQBMaster[Custom],MATCH(TableQBCalcPts[[#This Row],[QBRef]],TableQBMaster[QBRef],0)),"")</f>
        <v/>
      </c>
      <c r="H86" s="59">
        <f>IFERROR(RANK(TableRBCalcPts[[#This Row],[Custom]],TableRBCalcPts[Custom])+COUNTIF($M$3:M86,M86)-1,"")</f>
        <v>84</v>
      </c>
      <c r="I86" s="59">
        <v>84</v>
      </c>
      <c r="J86" s="59" t="str">
        <f>IFERROR(INDEX(TableRBMaster[Player],MATCH(TableRBCalcPts[[#This Row],[RBRef]],TableRBMaster[RBRef],0)),"")</f>
        <v>Israel Abanikanda</v>
      </c>
      <c r="K86" s="59" t="str">
        <f>IFERROR(INDEX(TableRBMaster[TM],MATCH(TableRBCalcPts[[#This Row],[RBRef]],TableRBMaster[RBRef],0)),"")</f>
        <v>NYJ</v>
      </c>
      <c r="L86" s="59">
        <f>IFERROR(INDEX(TableRBMaster[BYE],MATCH(TableRBCalcPts[[#This Row],[RBRef]],TableRBMaster[RBRef],0)),"")</f>
        <v>7</v>
      </c>
      <c r="M86" s="60">
        <f>IFERROR(INDEX(TableRBMaster[Custom],MATCH(TableRBCalcPts[[#This Row],[RBRef]],TableRBMaster[RBRef],0)),"")</f>
        <v>33.195925074849605</v>
      </c>
      <c r="O86" s="59">
        <f>IFERROR(RANK(TableWRCalcPts[[#This Row],[Custom]],TableWRCalcPts[Custom])+COUNTIF($T$3:T86,T86)-1,"")</f>
        <v>179</v>
      </c>
      <c r="P86" s="59">
        <v>84</v>
      </c>
      <c r="Q86" s="59" t="str">
        <f>IFERROR(INDEX(TableWRMaster[Player],MATCH(TableWRCalcPts[[#This Row],[WRRef]],TableWRMaster[WRRef],0)),"")</f>
        <v>Devin Duvernay</v>
      </c>
      <c r="R86" s="59" t="str">
        <f>IFERROR(INDEX(TableWRMaster[TM],MATCH(TableWRCalcPts[[#This Row],[WRRef]],TableWRMaster[WRRef],0)),"")</f>
        <v>JAX</v>
      </c>
      <c r="S86" s="59">
        <f>IFERROR(INDEX(TableWRMaster[BYE],MATCH(TableWRCalcPts[[#This Row],[WRRef]],TableWRMaster[WRRef],0)),"")</f>
        <v>9</v>
      </c>
      <c r="T86" s="60">
        <f>IFERROR(INDEX(TableWRMaster[Custom],MATCH(TableWRCalcPts[[#This Row],[WRRef]],TableWRMaster[WRRef],0)),"")</f>
        <v>7.4510595235439983</v>
      </c>
      <c r="V86" s="59">
        <f>IFERROR(RANK(TableTECalcPts[[#This Row],[Custom]],TableTECalcPts[Custom])+COUNTIF($AA$3:AA86,AA86)-1,"")</f>
        <v>41</v>
      </c>
      <c r="W86" s="59">
        <v>84</v>
      </c>
      <c r="X86" s="59" t="str">
        <f>IFERROR(INDEX(TableTEMaster[Player],MATCH(TableTECalcPts[[#This Row],[TERef]],TableTEMaster[TERef],0)),"")</f>
        <v>Ben Sinnott</v>
      </c>
      <c r="Y86" s="59" t="str">
        <f>IFERROR(INDEX(TableTEMaster[TM],MATCH(TableTECalcPts[[#This Row],[TERef]],TableTEMaster[TERef],0)),"")</f>
        <v>WSH</v>
      </c>
      <c r="Z86" s="59">
        <f>IFERROR(INDEX(TableTEMaster[BYE],MATCH(TableTECalcPts[[#This Row],[TERef]],TableTEMaster[TERef],0)),"")</f>
        <v>14</v>
      </c>
      <c r="AA86" s="60">
        <f>IFERROR(INDEX(TableTEMaster[Custom],MATCH(TableTECalcPts[[#This Row],[TERef]],TableTEMaster[TERef],0)),"")</f>
        <v>48.575699465383998</v>
      </c>
      <c r="AI86" s="59" t="s">
        <v>10</v>
      </c>
      <c r="AJ86" s="59">
        <f>IFERROR(RANK(TableWRTECalcPts[[#This Row],[Custom]],TableWRTECalcPts[Custom])+COUNTIF($AP$3:AP86,AP86)-1,"")</f>
        <v>142</v>
      </c>
      <c r="AK86" s="59">
        <v>84</v>
      </c>
      <c r="AL86" s="59" t="str">
        <f>IFERROR(INDEX(TableTEMaster[Player],MATCH(TableWRTECalcPts[[#This Row],[POSRef]],TableTEMaster[TERef],0)),"")</f>
        <v>Ben Sinnott</v>
      </c>
      <c r="AM86" s="59" t="str">
        <f>IFERROR(_xlfn.CONCAT(TableWRTECalcPts[[#This Row],[POS]],INDEX(TableTERanks[RK],MATCH(TableWRTECalcPts[[#This Row],[PLAYER]],TableTERanks[Player],0))),"")</f>
        <v>TE41</v>
      </c>
      <c r="AN86" s="59" t="str">
        <f>IFERROR(INDEX(TableTEMaster[TM],MATCH(TableWRTECalcPts[[#This Row],[POSRef]],TableTEMaster[TERef],0)),"")</f>
        <v>WSH</v>
      </c>
      <c r="AO86" s="59">
        <f>IFERROR(INDEX(TableTEMaster[BYE],MATCH(TableWRTECalcPts[[#This Row],[POSRef]],TableTEMaster[TERef],0)),"")</f>
        <v>14</v>
      </c>
      <c r="AP86" s="60">
        <f>IFERROR(INDEX(TableTEMaster[Custom],MATCH(TableWRTECalcPts[[#This Row],[POSRef]],TableTEMaster[TERef],0)),"")</f>
        <v>48.575699465383998</v>
      </c>
    </row>
    <row r="87" spans="1:42" x14ac:dyDescent="0.2">
      <c r="A87" s="61" t="str">
        <f>IFERROR(RANK(TableQBCalcPts[[#This Row],[Custom]],TableQBCalcPts[Custom])+COUNTIF($F$3:F87,F87)-1,"")</f>
        <v/>
      </c>
      <c r="B87" s="59">
        <v>85</v>
      </c>
      <c r="C87" s="59" t="str">
        <f>IFERROR(INDEX(TableQBMaster[Player],MATCH(TableQBCalcPts[[#This Row],[QBRef]],TableQBMaster[QBRef],0)),"")</f>
        <v/>
      </c>
      <c r="D87" s="59" t="str">
        <f>IFERROR(INDEX(TableQBMaster[TM],MATCH(TableQBCalcPts[[#This Row],[QBRef]],TableQBMaster[QBRef],0)),"")</f>
        <v/>
      </c>
      <c r="E87" s="59" t="str">
        <f>IFERROR(INDEX(TableQBMaster[BYE],MATCH(TableQBCalcPts[[#This Row],[QBRef]],TableQBMaster[QBRef],0)),"")</f>
        <v/>
      </c>
      <c r="F87" s="60" t="str">
        <f>IFERROR(INDEX(TableQBMaster[Custom],MATCH(TableQBCalcPts[[#This Row],[QBRef]],TableQBMaster[QBRef],0)),"")</f>
        <v/>
      </c>
      <c r="H87" s="59">
        <f>IFERROR(RANK(TableRBCalcPts[[#This Row],[Custom]],TableRBCalcPts[Custom])+COUNTIF($M$3:M87,M87)-1,"")</f>
        <v>61</v>
      </c>
      <c r="I87" s="59">
        <v>85</v>
      </c>
      <c r="J87" s="59" t="str">
        <f>IFERROR(INDEX(TableRBMaster[Player],MATCH(TableRBCalcPts[[#This Row],[RBRef]],TableRBMaster[RBRef],0)),"")</f>
        <v>Braelon Allen</v>
      </c>
      <c r="K87" s="59" t="str">
        <f>IFERROR(INDEX(TableRBMaster[TM],MATCH(TableRBCalcPts[[#This Row],[RBRef]],TableRBMaster[RBRef],0)),"")</f>
        <v>NYJ</v>
      </c>
      <c r="L87" s="59">
        <f>IFERROR(INDEX(TableRBMaster[BYE],MATCH(TableRBCalcPts[[#This Row],[RBRef]],TableRBMaster[RBRef],0)),"")</f>
        <v>7</v>
      </c>
      <c r="M87" s="60">
        <f>IFERROR(INDEX(TableRBMaster[Custom],MATCH(TableRBCalcPts[[#This Row],[RBRef]],TableRBMaster[RBRef],0)),"")</f>
        <v>72.605119912371222</v>
      </c>
      <c r="O87" s="59">
        <f>IFERROR(RANK(TableWRCalcPts[[#This Row],[Custom]],TableWRCalcPts[Custom])+COUNTIF($T$3:T87,T87)-1,"")</f>
        <v>34</v>
      </c>
      <c r="P87" s="59">
        <v>85</v>
      </c>
      <c r="Q87" s="59" t="str">
        <f>IFERROR(INDEX(TableWRMaster[Player],MATCH(TableWRCalcPts[[#This Row],[WRRef]],TableWRMaster[WRRef],0)),"")</f>
        <v>Rashee Rice</v>
      </c>
      <c r="R87" s="59" t="str">
        <f>IFERROR(INDEX(TableWRMaster[TM],MATCH(TableWRCalcPts[[#This Row],[WRRef]],TableWRMaster[WRRef],0)),"")</f>
        <v>KC</v>
      </c>
      <c r="S87" s="59">
        <f>IFERROR(INDEX(TableWRMaster[BYE],MATCH(TableWRCalcPts[[#This Row],[WRRef]],TableWRMaster[WRRef],0)),"")</f>
        <v>10</v>
      </c>
      <c r="T87" s="60">
        <f>IFERROR(INDEX(TableWRMaster[Custom],MATCH(TableWRCalcPts[[#This Row],[WRRef]],TableWRMaster[WRRef],0)),"")</f>
        <v>174.33131313919995</v>
      </c>
      <c r="V87" s="59">
        <f>IFERROR(RANK(TableTECalcPts[[#This Row],[Custom]],TableTECalcPts[Custom])+COUNTIF($AA$3:AA87,AA87)-1,"")</f>
        <v>83</v>
      </c>
      <c r="W87" s="59">
        <v>85</v>
      </c>
      <c r="X87" s="59" t="str">
        <f>IFERROR(INDEX(TableTEMaster[Player],MATCH(TableTECalcPts[[#This Row],[TERef]],TableTEMaster[TERef],0)),"")</f>
        <v>Cole Turner</v>
      </c>
      <c r="Y87" s="59" t="str">
        <f>IFERROR(INDEX(TableTEMaster[TM],MATCH(TableTECalcPts[[#This Row],[TERef]],TableTEMaster[TERef],0)),"")</f>
        <v>WSH</v>
      </c>
      <c r="Z87" s="59">
        <f>IFERROR(INDEX(TableTEMaster[BYE],MATCH(TableTECalcPts[[#This Row],[TERef]],TableTEMaster[TERef],0)),"")</f>
        <v>14</v>
      </c>
      <c r="AA87" s="60">
        <f>IFERROR(INDEX(TableTEMaster[Custom],MATCH(TableTECalcPts[[#This Row],[TERef]],TableTEMaster[TERef],0)),"")</f>
        <v>7.0733155196480002</v>
      </c>
      <c r="AI87" s="59" t="s">
        <v>10</v>
      </c>
      <c r="AJ87" s="59">
        <f>IFERROR(RANK(TableWRTECalcPts[[#This Row],[Custom]],TableWRTECalcPts[Custom])+COUNTIF($AP$3:AP87,AP87)-1,"")</f>
        <v>263</v>
      </c>
      <c r="AK87" s="59">
        <v>85</v>
      </c>
      <c r="AL87" s="59" t="str">
        <f>IFERROR(INDEX(TableTEMaster[Player],MATCH(TableWRTECalcPts[[#This Row],[POSRef]],TableTEMaster[TERef],0)),"")</f>
        <v>Cole Turner</v>
      </c>
      <c r="AM87" s="59" t="str">
        <f>IFERROR(_xlfn.CONCAT(TableWRTECalcPts[[#This Row],[POS]],INDEX(TableTERanks[RK],MATCH(TableWRTECalcPts[[#This Row],[PLAYER]],TableTERanks[Player],0))),"")</f>
        <v>TE83</v>
      </c>
      <c r="AN87" s="59" t="str">
        <f>IFERROR(INDEX(TableTEMaster[TM],MATCH(TableWRTECalcPts[[#This Row],[POSRef]],TableTEMaster[TERef],0)),"")</f>
        <v>WSH</v>
      </c>
      <c r="AO87" s="59">
        <f>IFERROR(INDEX(TableTEMaster[BYE],MATCH(TableWRTECalcPts[[#This Row],[POSRef]],TableTEMaster[TERef],0)),"")</f>
        <v>14</v>
      </c>
      <c r="AP87" s="60">
        <f>IFERROR(INDEX(TableTEMaster[Custom],MATCH(TableWRTECalcPts[[#This Row],[POSRef]],TableTEMaster[TERef],0)),"")</f>
        <v>7.0733155196480002</v>
      </c>
    </row>
    <row r="88" spans="1:42" x14ac:dyDescent="0.2">
      <c r="A88" s="61" t="str">
        <f>IFERROR(RANK(TableQBCalcPts[[#This Row],[Custom]],TableQBCalcPts[Custom])+COUNTIF($F$3:F88,F88)-1,"")</f>
        <v/>
      </c>
      <c r="B88" s="59">
        <v>86</v>
      </c>
      <c r="C88" s="59" t="str">
        <f>IFERROR(INDEX(TableQBMaster[Player],MATCH(TableQBCalcPts[[#This Row],[QBRef]],TableQBMaster[QBRef],0)),"")</f>
        <v/>
      </c>
      <c r="D88" s="59" t="str">
        <f>IFERROR(INDEX(TableQBMaster[TM],MATCH(TableQBCalcPts[[#This Row],[QBRef]],TableQBMaster[QBRef],0)),"")</f>
        <v/>
      </c>
      <c r="E88" s="59" t="str">
        <f>IFERROR(INDEX(TableQBMaster[BYE],MATCH(TableQBCalcPts[[#This Row],[QBRef]],TableQBMaster[QBRef],0)),"")</f>
        <v/>
      </c>
      <c r="F88" s="60" t="str">
        <f>IFERROR(INDEX(TableQBMaster[Custom],MATCH(TableQBCalcPts[[#This Row],[QBRef]],TableQBMaster[QBRef],0)),"")</f>
        <v/>
      </c>
      <c r="H88" s="59">
        <f>IFERROR(RANK(TableRBCalcPts[[#This Row],[Custom]],TableRBCalcPts[Custom])+COUNTIF($M$3:M88,M88)-1,"")</f>
        <v>76</v>
      </c>
      <c r="I88" s="59">
        <v>86</v>
      </c>
      <c r="J88" s="59" t="str">
        <f>IFERROR(INDEX(TableRBMaster[Player],MATCH(TableRBCalcPts[[#This Row],[RBRef]],TableRBMaster[RBRef],0)),"")</f>
        <v>Isaiah Davis</v>
      </c>
      <c r="K88" s="59" t="str">
        <f>IFERROR(INDEX(TableRBMaster[TM],MATCH(TableRBCalcPts[[#This Row],[RBRef]],TableRBMaster[RBRef],0)),"")</f>
        <v>NYJ</v>
      </c>
      <c r="L88" s="59">
        <f>IFERROR(INDEX(TableRBMaster[BYE],MATCH(TableRBCalcPts[[#This Row],[RBRef]],TableRBMaster[RBRef],0)),"")</f>
        <v>7</v>
      </c>
      <c r="M88" s="60">
        <f>IFERROR(INDEX(TableRBMaster[Custom],MATCH(TableRBCalcPts[[#This Row],[RBRef]],TableRBMaster[RBRef],0)),"")</f>
        <v>46.256093781296009</v>
      </c>
      <c r="O88" s="59">
        <f>IFERROR(RANK(TableWRCalcPts[[#This Row],[Custom]],TableWRCalcPts[Custom])+COUNTIF($T$3:T88,T88)-1,"")</f>
        <v>47</v>
      </c>
      <c r="P88" s="59">
        <v>86</v>
      </c>
      <c r="Q88" s="59" t="str">
        <f>IFERROR(INDEX(TableWRMaster[Player],MATCH(TableWRCalcPts[[#This Row],[WRRef]],TableWRMaster[WRRef],0)),"")</f>
        <v>Xavier Worthy</v>
      </c>
      <c r="R88" s="59" t="str">
        <f>IFERROR(INDEX(TableWRMaster[TM],MATCH(TableWRCalcPts[[#This Row],[WRRef]],TableWRMaster[WRRef],0)),"")</f>
        <v>KC</v>
      </c>
      <c r="S88" s="59">
        <f>IFERROR(INDEX(TableWRMaster[BYE],MATCH(TableWRCalcPts[[#This Row],[WRRef]],TableWRMaster[WRRef],0)),"")</f>
        <v>10</v>
      </c>
      <c r="T88" s="60">
        <f>IFERROR(INDEX(TableWRMaster[Custom],MATCH(TableWRCalcPts[[#This Row],[WRRef]],TableWRMaster[WRRef],0)),"")</f>
        <v>159.24169963519995</v>
      </c>
      <c r="V88" s="59" t="str">
        <f>IFERROR(RANK(TableTECalcPts[[#This Row],[Custom]],TableTECalcPts[Custom])+COUNTIF($AA$3:AA88,AA88)-1,"")</f>
        <v/>
      </c>
      <c r="W88" s="59">
        <v>86</v>
      </c>
      <c r="X88" s="59" t="str">
        <f>IFERROR(INDEX(TableTEMaster[Player],MATCH(TableTECalcPts[[#This Row],[TERef]],TableTEMaster[TERef],0)),"")</f>
        <v/>
      </c>
      <c r="Y88" s="59" t="str">
        <f>IFERROR(INDEX(TableTEMaster[TM],MATCH(TableTECalcPts[[#This Row],[TERef]],TableTEMaster[TERef],0)),"")</f>
        <v/>
      </c>
      <c r="Z88" s="59" t="str">
        <f>IFERROR(INDEX(TableTEMaster[BYE],MATCH(TableTECalcPts[[#This Row],[TERef]],TableTEMaster[TERef],0)),"")</f>
        <v/>
      </c>
      <c r="AA88" s="60" t="str">
        <f>IFERROR(INDEX(TableTEMaster[Custom],MATCH(TableTECalcPts[[#This Row],[TERef]],TableTEMaster[TERef],0)),"")</f>
        <v/>
      </c>
      <c r="AI88" s="59" t="s">
        <v>10</v>
      </c>
      <c r="AJ88" s="59" t="str">
        <f>IFERROR(RANK(TableWRTECalcPts[[#This Row],[Custom]],TableWRTECalcPts[Custom])+COUNTIF($AP$3:AP88,AP88)-1,"")</f>
        <v/>
      </c>
      <c r="AK88" s="59">
        <v>86</v>
      </c>
      <c r="AL88" s="59" t="str">
        <f>IFERROR(INDEX(TableTEMaster[Player],MATCH(TableWRTECalcPts[[#This Row],[POSRef]],TableTEMaster[TERef],0)),"")</f>
        <v/>
      </c>
      <c r="AM88" s="59" t="str">
        <f>IFERROR(_xlfn.CONCAT(TableWRTECalcPts[[#This Row],[POS]],INDEX(TableTERanks[RK],MATCH(TableWRTECalcPts[[#This Row],[PLAYER]],TableTERanks[Player],0))),"")</f>
        <v>TE86</v>
      </c>
      <c r="AN88" s="59" t="str">
        <f>IFERROR(INDEX(TableTEMaster[TM],MATCH(TableWRTECalcPts[[#This Row],[POSRef]],TableTEMaster[TERef],0)),"")</f>
        <v/>
      </c>
      <c r="AO88" s="59" t="str">
        <f>IFERROR(INDEX(TableTEMaster[BYE],MATCH(TableWRTECalcPts[[#This Row],[POSRef]],TableTEMaster[TERef],0)),"")</f>
        <v/>
      </c>
      <c r="AP88" s="60" t="str">
        <f>IFERROR(INDEX(TableTEMaster[Custom],MATCH(TableWRTECalcPts[[#This Row],[POSRef]],TableTEMaster[TERef],0)),"")</f>
        <v/>
      </c>
    </row>
    <row r="89" spans="1:42" x14ac:dyDescent="0.2">
      <c r="A89" s="61" t="str">
        <f>IFERROR(RANK(TableQBCalcPts[[#This Row],[Custom]],TableQBCalcPts[Custom])+COUNTIF($F$3:F89,F89)-1,"")</f>
        <v/>
      </c>
      <c r="B89" s="59">
        <v>87</v>
      </c>
      <c r="C89" s="59" t="str">
        <f>IFERROR(INDEX(TableQBMaster[Player],MATCH(TableQBCalcPts[[#This Row],[QBRef]],TableQBMaster[QBRef],0)),"")</f>
        <v/>
      </c>
      <c r="D89" s="59" t="str">
        <f>IFERROR(INDEX(TableQBMaster[TM],MATCH(TableQBCalcPts[[#This Row],[QBRef]],TableQBMaster[QBRef],0)),"")</f>
        <v/>
      </c>
      <c r="E89" s="59" t="str">
        <f>IFERROR(INDEX(TableQBMaster[BYE],MATCH(TableQBCalcPts[[#This Row],[QBRef]],TableQBMaster[QBRef],0)),"")</f>
        <v/>
      </c>
      <c r="F89" s="60" t="str">
        <f>IFERROR(INDEX(TableQBMaster[Custom],MATCH(TableQBCalcPts[[#This Row],[QBRef]],TableQBMaster[QBRef],0)),"")</f>
        <v/>
      </c>
      <c r="H89" s="59">
        <f>IFERROR(RANK(TableRBCalcPts[[#This Row],[Custom]],TableRBCalcPts[Custom])+COUNTIF($M$3:M89,M89)-1,"")</f>
        <v>5</v>
      </c>
      <c r="I89" s="59">
        <v>87</v>
      </c>
      <c r="J89" s="59" t="str">
        <f>IFERROR(INDEX(TableRBMaster[Player],MATCH(TableRBCalcPts[[#This Row],[RBRef]],TableRBMaster[RBRef],0)),"")</f>
        <v>Saquon Barkley</v>
      </c>
      <c r="K89" s="59" t="str">
        <f>IFERROR(INDEX(TableRBMaster[TM],MATCH(TableRBCalcPts[[#This Row],[RBRef]],TableRBMaster[RBRef],0)),"")</f>
        <v>PHI</v>
      </c>
      <c r="L89" s="59">
        <f>IFERROR(INDEX(TableRBMaster[BYE],MATCH(TableRBCalcPts[[#This Row],[RBRef]],TableRBMaster[RBRef],0)),"")</f>
        <v>10</v>
      </c>
      <c r="M89" s="60">
        <f>IFERROR(INDEX(TableRBMaster[Custom],MATCH(TableRBCalcPts[[#This Row],[RBRef]],TableRBMaster[RBRef],0)),"")</f>
        <v>236.38640270031365</v>
      </c>
      <c r="O89" s="59">
        <f>IFERROR(RANK(TableWRCalcPts[[#This Row],[Custom]],TableWRCalcPts[Custom])+COUNTIF($T$3:T89,T89)-1,"")</f>
        <v>54</v>
      </c>
      <c r="P89" s="59">
        <v>87</v>
      </c>
      <c r="Q89" s="59" t="str">
        <f>IFERROR(INDEX(TableWRMaster[Player],MATCH(TableWRCalcPts[[#This Row],[WRRef]],TableWRMaster[WRRef],0)),"")</f>
        <v>Marquise Brown</v>
      </c>
      <c r="R89" s="59" t="str">
        <f>IFERROR(INDEX(TableWRMaster[TM],MATCH(TableWRCalcPts[[#This Row],[WRRef]],TableWRMaster[WRRef],0)),"")</f>
        <v>KC</v>
      </c>
      <c r="S89" s="59">
        <f>IFERROR(INDEX(TableWRMaster[BYE],MATCH(TableWRCalcPts[[#This Row],[WRRef]],TableWRMaster[WRRef],0)),"")</f>
        <v>10</v>
      </c>
      <c r="T89" s="60">
        <f>IFERROR(INDEX(TableWRMaster[Custom],MATCH(TableWRCalcPts[[#This Row],[WRRef]],TableWRMaster[WRRef],0)),"")</f>
        <v>147.63615491071997</v>
      </c>
      <c r="V89" s="59" t="str">
        <f>IFERROR(RANK(TableTECalcPts[[#This Row],[Custom]],TableTECalcPts[Custom])+COUNTIF($AA$3:AA89,AA89)-1,"")</f>
        <v/>
      </c>
      <c r="W89" s="59">
        <v>87</v>
      </c>
      <c r="X89" s="59" t="str">
        <f>IFERROR(INDEX(TableTEMaster[Player],MATCH(TableTECalcPts[[#This Row],[TERef]],TableTEMaster[TERef],0)),"")</f>
        <v/>
      </c>
      <c r="Y89" s="59" t="str">
        <f>IFERROR(INDEX(TableTEMaster[TM],MATCH(TableTECalcPts[[#This Row],[TERef]],TableTEMaster[TERef],0)),"")</f>
        <v/>
      </c>
      <c r="Z89" s="59" t="str">
        <f>IFERROR(INDEX(TableTEMaster[BYE],MATCH(TableTECalcPts[[#This Row],[TERef]],TableTEMaster[TERef],0)),"")</f>
        <v/>
      </c>
      <c r="AA89" s="60" t="str">
        <f>IFERROR(INDEX(TableTEMaster[Custom],MATCH(TableTECalcPts[[#This Row],[TERef]],TableTEMaster[TERef],0)),"")</f>
        <v/>
      </c>
      <c r="AI89" s="59" t="s">
        <v>10</v>
      </c>
      <c r="AJ89" s="59" t="str">
        <f>IFERROR(RANK(TableWRTECalcPts[[#This Row],[Custom]],TableWRTECalcPts[Custom])+COUNTIF($AP$3:AP89,AP89)-1,"")</f>
        <v/>
      </c>
      <c r="AK89" s="59">
        <v>87</v>
      </c>
      <c r="AL89" s="59" t="str">
        <f>IFERROR(INDEX(TableTEMaster[Player],MATCH(TableWRTECalcPts[[#This Row],[POSRef]],TableTEMaster[TERef],0)),"")</f>
        <v/>
      </c>
      <c r="AM89" s="59" t="str">
        <f>IFERROR(_xlfn.CONCAT(TableWRTECalcPts[[#This Row],[POS]],INDEX(TableTERanks[RK],MATCH(TableWRTECalcPts[[#This Row],[PLAYER]],TableTERanks[Player],0))),"")</f>
        <v>TE86</v>
      </c>
      <c r="AN89" s="59" t="str">
        <f>IFERROR(INDEX(TableTEMaster[TM],MATCH(TableWRTECalcPts[[#This Row],[POSRef]],TableTEMaster[TERef],0)),"")</f>
        <v/>
      </c>
      <c r="AO89" s="59" t="str">
        <f>IFERROR(INDEX(TableTEMaster[BYE],MATCH(TableWRTECalcPts[[#This Row],[POSRef]],TableTEMaster[TERef],0)),"")</f>
        <v/>
      </c>
      <c r="AP89" s="60" t="str">
        <f>IFERROR(INDEX(TableTEMaster[Custom],MATCH(TableWRTECalcPts[[#This Row],[POSRef]],TableTEMaster[TERef],0)),"")</f>
        <v/>
      </c>
    </row>
    <row r="90" spans="1:42" x14ac:dyDescent="0.2">
      <c r="A90" s="61" t="str">
        <f>IFERROR(RANK(TableQBCalcPts[[#This Row],[Custom]],TableQBCalcPts[Custom])+COUNTIF($F$3:F90,F90)-1,"")</f>
        <v/>
      </c>
      <c r="B90" s="59">
        <v>88</v>
      </c>
      <c r="C90" s="59" t="str">
        <f>IFERROR(INDEX(TableQBMaster[Player],MATCH(TableQBCalcPts[[#This Row],[QBRef]],TableQBMaster[QBRef],0)),"")</f>
        <v/>
      </c>
      <c r="D90" s="59" t="str">
        <f>IFERROR(INDEX(TableQBMaster[TM],MATCH(TableQBCalcPts[[#This Row],[QBRef]],TableQBMaster[QBRef],0)),"")</f>
        <v/>
      </c>
      <c r="E90" s="59" t="str">
        <f>IFERROR(INDEX(TableQBMaster[BYE],MATCH(TableQBCalcPts[[#This Row],[QBRef]],TableQBMaster[QBRef],0)),"")</f>
        <v/>
      </c>
      <c r="F90" s="60" t="str">
        <f>IFERROR(INDEX(TableQBMaster[Custom],MATCH(TableQBCalcPts[[#This Row],[QBRef]],TableQBMaster[QBRef],0)),"")</f>
        <v/>
      </c>
      <c r="H90" s="59">
        <f>IFERROR(RANK(TableRBCalcPts[[#This Row],[Custom]],TableRBCalcPts[Custom])+COUNTIF($M$3:M90,M90)-1,"")</f>
        <v>62</v>
      </c>
      <c r="I90" s="59">
        <v>88</v>
      </c>
      <c r="J90" s="59" t="str">
        <f>IFERROR(INDEX(TableRBMaster[Player],MATCH(TableRBCalcPts[[#This Row],[RBRef]],TableRBMaster[RBRef],0)),"")</f>
        <v>Kenneth Gainwell</v>
      </c>
      <c r="K90" s="59" t="str">
        <f>IFERROR(INDEX(TableRBMaster[TM],MATCH(TableRBCalcPts[[#This Row],[RBRef]],TableRBMaster[RBRef],0)),"")</f>
        <v>PHI</v>
      </c>
      <c r="L90" s="59">
        <f>IFERROR(INDEX(TableRBMaster[BYE],MATCH(TableRBCalcPts[[#This Row],[RBRef]],TableRBMaster[RBRef],0)),"")</f>
        <v>10</v>
      </c>
      <c r="M90" s="60">
        <f>IFERROR(INDEX(TableRBMaster[Custom],MATCH(TableRBCalcPts[[#This Row],[RBRef]],TableRBMaster[RBRef],0)),"")</f>
        <v>70.970163755904011</v>
      </c>
      <c r="O90" s="59">
        <f>IFERROR(RANK(TableWRCalcPts[[#This Row],[Custom]],TableWRCalcPts[Custom])+COUNTIF($T$3:T90,T90)-1,"")</f>
        <v>101</v>
      </c>
      <c r="P90" s="59">
        <v>88</v>
      </c>
      <c r="Q90" s="59" t="str">
        <f>IFERROR(INDEX(TableWRMaster[Player],MATCH(TableWRCalcPts[[#This Row],[WRRef]],TableWRMaster[WRRef],0)),"")</f>
        <v>Kadarius Toney</v>
      </c>
      <c r="R90" s="59" t="str">
        <f>IFERROR(INDEX(TableWRMaster[TM],MATCH(TableWRCalcPts[[#This Row],[WRRef]],TableWRMaster[WRRef],0)),"")</f>
        <v>KC</v>
      </c>
      <c r="S90" s="59">
        <f>IFERROR(INDEX(TableWRMaster[BYE],MATCH(TableWRCalcPts[[#This Row],[WRRef]],TableWRMaster[WRRef],0)),"")</f>
        <v>10</v>
      </c>
      <c r="T90" s="60">
        <f>IFERROR(INDEX(TableWRMaster[Custom],MATCH(TableWRCalcPts[[#This Row],[WRRef]],TableWRMaster[WRRef],0)),"")</f>
        <v>54.303811994879979</v>
      </c>
      <c r="V90" s="59" t="str">
        <f>IFERROR(RANK(TableTECalcPts[[#This Row],[Custom]],TableTECalcPts[Custom])+COUNTIF($AA$3:AA90,AA90)-1,"")</f>
        <v/>
      </c>
      <c r="W90" s="59">
        <v>88</v>
      </c>
      <c r="X90" s="59" t="str">
        <f>IFERROR(INDEX(TableTEMaster[Player],MATCH(TableTECalcPts[[#This Row],[TERef]],TableTEMaster[TERef],0)),"")</f>
        <v/>
      </c>
      <c r="Y90" s="59" t="str">
        <f>IFERROR(INDEX(TableTEMaster[TM],MATCH(TableTECalcPts[[#This Row],[TERef]],TableTEMaster[TERef],0)),"")</f>
        <v/>
      </c>
      <c r="Z90" s="59" t="str">
        <f>IFERROR(INDEX(TableTEMaster[BYE],MATCH(TableTECalcPts[[#This Row],[TERef]],TableTEMaster[TERef],0)),"")</f>
        <v/>
      </c>
      <c r="AA90" s="60" t="str">
        <f>IFERROR(INDEX(TableTEMaster[Custom],MATCH(TableTECalcPts[[#This Row],[TERef]],TableTEMaster[TERef],0)),"")</f>
        <v/>
      </c>
      <c r="AI90" s="59" t="s">
        <v>10</v>
      </c>
      <c r="AJ90" s="59" t="str">
        <f>IFERROR(RANK(TableWRTECalcPts[[#This Row],[Custom]],TableWRTECalcPts[Custom])+COUNTIF($AP$3:AP90,AP90)-1,"")</f>
        <v/>
      </c>
      <c r="AK90" s="59">
        <v>88</v>
      </c>
      <c r="AL90" s="59" t="str">
        <f>IFERROR(INDEX(TableTEMaster[Player],MATCH(TableWRTECalcPts[[#This Row],[POSRef]],TableTEMaster[TERef],0)),"")</f>
        <v/>
      </c>
      <c r="AM90" s="59" t="str">
        <f>IFERROR(_xlfn.CONCAT(TableWRTECalcPts[[#This Row],[POS]],INDEX(TableTERanks[RK],MATCH(TableWRTECalcPts[[#This Row],[PLAYER]],TableTERanks[Player],0))),"")</f>
        <v>TE86</v>
      </c>
      <c r="AN90" s="59" t="str">
        <f>IFERROR(INDEX(TableTEMaster[TM],MATCH(TableWRTECalcPts[[#This Row],[POSRef]],TableTEMaster[TERef],0)),"")</f>
        <v/>
      </c>
      <c r="AO90" s="59" t="str">
        <f>IFERROR(INDEX(TableTEMaster[BYE],MATCH(TableWRTECalcPts[[#This Row],[POSRef]],TableTEMaster[TERef],0)),"")</f>
        <v/>
      </c>
      <c r="AP90" s="60" t="str">
        <f>IFERROR(INDEX(TableTEMaster[Custom],MATCH(TableWRTECalcPts[[#This Row],[POSRef]],TableTEMaster[TERef],0)),"")</f>
        <v/>
      </c>
    </row>
    <row r="91" spans="1:42" x14ac:dyDescent="0.2">
      <c r="A91" s="61" t="str">
        <f>IFERROR(RANK(TableQBCalcPts[[#This Row],[Custom]],TableQBCalcPts[Custom])+COUNTIF($F$3:F91,F91)-1,"")</f>
        <v/>
      </c>
      <c r="B91" s="59">
        <v>89</v>
      </c>
      <c r="C91" s="59" t="str">
        <f>IFERROR(INDEX(TableQBMaster[Player],MATCH(TableQBCalcPts[[#This Row],[QBRef]],TableQBMaster[QBRef],0)),"")</f>
        <v/>
      </c>
      <c r="D91" s="59" t="str">
        <f>IFERROR(INDEX(TableQBMaster[TM],MATCH(TableQBCalcPts[[#This Row],[QBRef]],TableQBMaster[QBRef],0)),"")</f>
        <v/>
      </c>
      <c r="E91" s="59" t="str">
        <f>IFERROR(INDEX(TableQBMaster[BYE],MATCH(TableQBCalcPts[[#This Row],[QBRef]],TableQBMaster[QBRef],0)),"")</f>
        <v/>
      </c>
      <c r="F91" s="60" t="str">
        <f>IFERROR(INDEX(TableQBMaster[Custom],MATCH(TableQBCalcPts[[#This Row],[QBRef]],TableQBMaster[QBRef],0)),"")</f>
        <v/>
      </c>
      <c r="H91" s="59">
        <f>IFERROR(RANK(TableRBCalcPts[[#This Row],[Custom]],TableRBCalcPts[Custom])+COUNTIF($M$3:M91,M91)-1,"")</f>
        <v>77</v>
      </c>
      <c r="I91" s="59">
        <v>89</v>
      </c>
      <c r="J91" s="59" t="str">
        <f>IFERROR(INDEX(TableRBMaster[Player],MATCH(TableRBCalcPts[[#This Row],[RBRef]],TableRBMaster[RBRef],0)),"")</f>
        <v>Will Shipley</v>
      </c>
      <c r="K91" s="59" t="str">
        <f>IFERROR(INDEX(TableRBMaster[TM],MATCH(TableRBCalcPts[[#This Row],[RBRef]],TableRBMaster[RBRef],0)),"")</f>
        <v>PHI</v>
      </c>
      <c r="L91" s="59">
        <f>IFERROR(INDEX(TableRBMaster[BYE],MATCH(TableRBCalcPts[[#This Row],[RBRef]],TableRBMaster[RBRef],0)),"")</f>
        <v>10</v>
      </c>
      <c r="M91" s="60">
        <f>IFERROR(INDEX(TableRBMaster[Custom],MATCH(TableRBCalcPts[[#This Row],[RBRef]],TableRBMaster[RBRef],0)),"")</f>
        <v>46.071657628416006</v>
      </c>
      <c r="O91" s="59">
        <f>IFERROR(RANK(TableWRCalcPts[[#This Row],[Custom]],TableWRCalcPts[Custom])+COUNTIF($T$3:T91,T91)-1,"")</f>
        <v>110</v>
      </c>
      <c r="P91" s="59">
        <v>89</v>
      </c>
      <c r="Q91" s="59" t="str">
        <f>IFERROR(INDEX(TableWRMaster[Player],MATCH(TableWRCalcPts[[#This Row],[WRRef]],TableWRMaster[WRRef],0)),"")</f>
        <v>Justin Watson</v>
      </c>
      <c r="R91" s="59" t="str">
        <f>IFERROR(INDEX(TableWRMaster[TM],MATCH(TableWRCalcPts[[#This Row],[WRRef]],TableWRMaster[WRRef],0)),"")</f>
        <v>KC</v>
      </c>
      <c r="S91" s="59">
        <f>IFERROR(INDEX(TableWRMaster[BYE],MATCH(TableWRCalcPts[[#This Row],[WRRef]],TableWRMaster[WRRef],0)),"")</f>
        <v>10</v>
      </c>
      <c r="T91" s="60">
        <f>IFERROR(INDEX(TableWRMaster[Custom],MATCH(TableWRCalcPts[[#This Row],[WRRef]],TableWRMaster[WRRef],0)),"")</f>
        <v>37.446326628479994</v>
      </c>
      <c r="V91" s="59" t="str">
        <f>IFERROR(RANK(TableTECalcPts[[#This Row],[Custom]],TableTECalcPts[Custom])+COUNTIF($AA$3:AA91,AA91)-1,"")</f>
        <v/>
      </c>
      <c r="W91" s="59">
        <v>89</v>
      </c>
      <c r="X91" s="59" t="str">
        <f>IFERROR(INDEX(TableTEMaster[Player],MATCH(TableTECalcPts[[#This Row],[TERef]],TableTEMaster[TERef],0)),"")</f>
        <v/>
      </c>
      <c r="Y91" s="59" t="str">
        <f>IFERROR(INDEX(TableTEMaster[TM],MATCH(TableTECalcPts[[#This Row],[TERef]],TableTEMaster[TERef],0)),"")</f>
        <v/>
      </c>
      <c r="Z91" s="59" t="str">
        <f>IFERROR(INDEX(TableTEMaster[BYE],MATCH(TableTECalcPts[[#This Row],[TERef]],TableTEMaster[TERef],0)),"")</f>
        <v/>
      </c>
      <c r="AA91" s="60" t="str">
        <f>IFERROR(INDEX(TableTEMaster[Custom],MATCH(TableTECalcPts[[#This Row],[TERef]],TableTEMaster[TERef],0)),"")</f>
        <v/>
      </c>
      <c r="AI91" s="59" t="s">
        <v>10</v>
      </c>
      <c r="AJ91" s="59" t="str">
        <f>IFERROR(RANK(TableWRTECalcPts[[#This Row],[Custom]],TableWRTECalcPts[Custom])+COUNTIF($AP$3:AP91,AP91)-1,"")</f>
        <v/>
      </c>
      <c r="AK91" s="59">
        <v>89</v>
      </c>
      <c r="AL91" s="59" t="str">
        <f>IFERROR(INDEX(TableTEMaster[Player],MATCH(TableWRTECalcPts[[#This Row],[POSRef]],TableTEMaster[TERef],0)),"")</f>
        <v/>
      </c>
      <c r="AM91" s="59" t="str">
        <f>IFERROR(_xlfn.CONCAT(TableWRTECalcPts[[#This Row],[POS]],INDEX(TableTERanks[RK],MATCH(TableWRTECalcPts[[#This Row],[PLAYER]],TableTERanks[Player],0))),"")</f>
        <v>TE86</v>
      </c>
      <c r="AN91" s="59" t="str">
        <f>IFERROR(INDEX(TableTEMaster[TM],MATCH(TableWRTECalcPts[[#This Row],[POSRef]],TableTEMaster[TERef],0)),"")</f>
        <v/>
      </c>
      <c r="AO91" s="59" t="str">
        <f>IFERROR(INDEX(TableTEMaster[BYE],MATCH(TableWRTECalcPts[[#This Row],[POSRef]],TableTEMaster[TERef],0)),"")</f>
        <v/>
      </c>
      <c r="AP91" s="60" t="str">
        <f>IFERROR(INDEX(TableTEMaster[Custom],MATCH(TableWRTECalcPts[[#This Row],[POSRef]],TableTEMaster[TERef],0)),"")</f>
        <v/>
      </c>
    </row>
    <row r="92" spans="1:42" x14ac:dyDescent="0.2">
      <c r="A92" s="61" t="str">
        <f>IFERROR(RANK(TableQBCalcPts[[#This Row],[Custom]],TableQBCalcPts[Custom])+COUNTIF($F$3:F92,F92)-1,"")</f>
        <v/>
      </c>
      <c r="B92" s="59">
        <v>90</v>
      </c>
      <c r="C92" s="59" t="str">
        <f>IFERROR(INDEX(TableQBMaster[Player],MATCH(TableQBCalcPts[[#This Row],[QBRef]],TableQBMaster[QBRef],0)),"")</f>
        <v/>
      </c>
      <c r="D92" s="59" t="str">
        <f>IFERROR(INDEX(TableQBMaster[TM],MATCH(TableQBCalcPts[[#This Row],[QBRef]],TableQBMaster[QBRef],0)),"")</f>
        <v/>
      </c>
      <c r="E92" s="59" t="str">
        <f>IFERROR(INDEX(TableQBMaster[BYE],MATCH(TableQBCalcPts[[#This Row],[QBRef]],TableQBMaster[QBRef],0)),"")</f>
        <v/>
      </c>
      <c r="F92" s="60" t="str">
        <f>IFERROR(INDEX(TableQBMaster[Custom],MATCH(TableQBCalcPts[[#This Row],[QBRef]],TableQBMaster[QBRef],0)),"")</f>
        <v/>
      </c>
      <c r="H92" s="59">
        <f>IFERROR(RANK(TableRBCalcPts[[#This Row],[Custom]],TableRBCalcPts[Custom])+COUNTIF($M$3:M92,M92)-1,"")</f>
        <v>34</v>
      </c>
      <c r="I92" s="59">
        <v>90</v>
      </c>
      <c r="J92" s="59" t="str">
        <f>IFERROR(INDEX(TableRBMaster[Player],MATCH(TableRBCalcPts[[#This Row],[RBRef]],TableRBMaster[RBRef],0)),"")</f>
        <v>Najee Harris</v>
      </c>
      <c r="K92" s="59" t="str">
        <f>IFERROR(INDEX(TableRBMaster[TM],MATCH(TableRBCalcPts[[#This Row],[RBRef]],TableRBMaster[RBRef],0)),"")</f>
        <v>PIT</v>
      </c>
      <c r="L92" s="59">
        <f>IFERROR(INDEX(TableRBMaster[BYE],MATCH(TableRBCalcPts[[#This Row],[RBRef]],TableRBMaster[RBRef],0)),"")</f>
        <v>6</v>
      </c>
      <c r="M92" s="60">
        <f>IFERROR(INDEX(TableRBMaster[Custom],MATCH(TableRBCalcPts[[#This Row],[RBRef]],TableRBMaster[RBRef],0)),"")</f>
        <v>152.23876476732002</v>
      </c>
      <c r="O92" s="59">
        <f>IFERROR(RANK(TableWRCalcPts[[#This Row],[Custom]],TableWRCalcPts[Custom])+COUNTIF($T$3:T92,T92)-1,"")</f>
        <v>127</v>
      </c>
      <c r="P92" s="59">
        <v>90</v>
      </c>
      <c r="Q92" s="59" t="str">
        <f>IFERROR(INDEX(TableWRMaster[Player],MATCH(TableWRCalcPts[[#This Row],[WRRef]],TableWRMaster[WRRef],0)),"")</f>
        <v>Skyy Moore</v>
      </c>
      <c r="R92" s="59" t="str">
        <f>IFERROR(INDEX(TableWRMaster[TM],MATCH(TableWRCalcPts[[#This Row],[WRRef]],TableWRMaster[WRRef],0)),"")</f>
        <v>KC</v>
      </c>
      <c r="S92" s="59">
        <f>IFERROR(INDEX(TableWRMaster[BYE],MATCH(TableWRCalcPts[[#This Row],[WRRef]],TableWRMaster[WRRef],0)),"")</f>
        <v>10</v>
      </c>
      <c r="T92" s="60">
        <f>IFERROR(INDEX(TableWRMaster[Custom],MATCH(TableWRCalcPts[[#This Row],[WRRef]],TableWRMaster[WRRef],0)),"")</f>
        <v>29.163992088000001</v>
      </c>
      <c r="V92" s="59" t="str">
        <f>IFERROR(RANK(TableTECalcPts[[#This Row],[Custom]],TableTECalcPts[Custom])+COUNTIF($AA$3:AA92,AA92)-1,"")</f>
        <v/>
      </c>
      <c r="W92" s="59">
        <v>90</v>
      </c>
      <c r="X92" s="59" t="str">
        <f>IFERROR(INDEX(TableTEMaster[Player],MATCH(TableTECalcPts[[#This Row],[TERef]],TableTEMaster[TERef],0)),"")</f>
        <v/>
      </c>
      <c r="Y92" s="59" t="str">
        <f>IFERROR(INDEX(TableTEMaster[TM],MATCH(TableTECalcPts[[#This Row],[TERef]],TableTEMaster[TERef],0)),"")</f>
        <v/>
      </c>
      <c r="Z92" s="59" t="str">
        <f>IFERROR(INDEX(TableTEMaster[BYE],MATCH(TableTECalcPts[[#This Row],[TERef]],TableTEMaster[TERef],0)),"")</f>
        <v/>
      </c>
      <c r="AA92" s="60" t="str">
        <f>IFERROR(INDEX(TableTEMaster[Custom],MATCH(TableTECalcPts[[#This Row],[TERef]],TableTEMaster[TERef],0)),"")</f>
        <v/>
      </c>
      <c r="AI92" s="59" t="s">
        <v>10</v>
      </c>
      <c r="AJ92" s="59" t="str">
        <f>IFERROR(RANK(TableWRTECalcPts[[#This Row],[Custom]],TableWRTECalcPts[Custom])+COUNTIF($AP$3:AP92,AP92)-1,"")</f>
        <v/>
      </c>
      <c r="AK92" s="59">
        <v>90</v>
      </c>
      <c r="AL92" s="59" t="str">
        <f>IFERROR(INDEX(TableTEMaster[Player],MATCH(TableWRTECalcPts[[#This Row],[POSRef]],TableTEMaster[TERef],0)),"")</f>
        <v/>
      </c>
      <c r="AM92" s="59" t="str">
        <f>IFERROR(_xlfn.CONCAT(TableWRTECalcPts[[#This Row],[POS]],INDEX(TableTERanks[RK],MATCH(TableWRTECalcPts[[#This Row],[PLAYER]],TableTERanks[Player],0))),"")</f>
        <v>TE86</v>
      </c>
      <c r="AN92" s="59" t="str">
        <f>IFERROR(INDEX(TableTEMaster[TM],MATCH(TableWRTECalcPts[[#This Row],[POSRef]],TableTEMaster[TERef],0)),"")</f>
        <v/>
      </c>
      <c r="AO92" s="59" t="str">
        <f>IFERROR(INDEX(TableTEMaster[BYE],MATCH(TableWRTECalcPts[[#This Row],[POSRef]],TableTEMaster[TERef],0)),"")</f>
        <v/>
      </c>
      <c r="AP92" s="60" t="str">
        <f>IFERROR(INDEX(TableTEMaster[Custom],MATCH(TableWRTECalcPts[[#This Row],[POSRef]],TableTEMaster[TERef],0)),"")</f>
        <v/>
      </c>
    </row>
    <row r="93" spans="1:42" x14ac:dyDescent="0.2">
      <c r="A93" s="61" t="str">
        <f>IFERROR(RANK(TableQBCalcPts[[#This Row],[Custom]],TableQBCalcPts[Custom])+COUNTIF($F$3:F93,F93)-1,"")</f>
        <v/>
      </c>
      <c r="B93" s="59">
        <v>91</v>
      </c>
      <c r="C93" s="59" t="str">
        <f>IFERROR(INDEX(TableQBMaster[Player],MATCH(TableQBCalcPts[[#This Row],[QBRef]],TableQBMaster[QBRef],0)),"")</f>
        <v/>
      </c>
      <c r="D93" s="59" t="str">
        <f>IFERROR(INDEX(TableQBMaster[TM],MATCH(TableQBCalcPts[[#This Row],[QBRef]],TableQBMaster[QBRef],0)),"")</f>
        <v/>
      </c>
      <c r="E93" s="59" t="str">
        <f>IFERROR(INDEX(TableQBMaster[BYE],MATCH(TableQBCalcPts[[#This Row],[QBRef]],TableQBMaster[QBRef],0)),"")</f>
        <v/>
      </c>
      <c r="F93" s="60" t="str">
        <f>IFERROR(INDEX(TableQBMaster[Custom],MATCH(TableQBCalcPts[[#This Row],[QBRef]],TableQBMaster[QBRef],0)),"")</f>
        <v/>
      </c>
      <c r="H93" s="59">
        <f>IFERROR(RANK(TableRBCalcPts[[#This Row],[Custom]],TableRBCalcPts[Custom])+COUNTIF($M$3:M93,M93)-1,"")</f>
        <v>38</v>
      </c>
      <c r="I93" s="59">
        <v>91</v>
      </c>
      <c r="J93" s="59" t="str">
        <f>IFERROR(INDEX(TableRBMaster[Player],MATCH(TableRBCalcPts[[#This Row],[RBRef]],TableRBMaster[RBRef],0)),"")</f>
        <v>Jaylen Warren</v>
      </c>
      <c r="K93" s="59" t="str">
        <f>IFERROR(INDEX(TableRBMaster[TM],MATCH(TableRBCalcPts[[#This Row],[RBRef]],TableRBMaster[RBRef],0)),"")</f>
        <v>PIT</v>
      </c>
      <c r="L93" s="59">
        <f>IFERROR(INDEX(TableRBMaster[BYE],MATCH(TableRBCalcPts[[#This Row],[RBRef]],TableRBMaster[RBRef],0)),"")</f>
        <v>6</v>
      </c>
      <c r="M93" s="60">
        <f>IFERROR(INDEX(TableRBMaster[Custom],MATCH(TableRBCalcPts[[#This Row],[RBRef]],TableRBMaster[RBRef],0)),"")</f>
        <v>139.57479769148998</v>
      </c>
      <c r="O93" s="59">
        <f>IFERROR(RANK(TableWRCalcPts[[#This Row],[Custom]],TableWRCalcPts[Custom])+COUNTIF($T$3:T93,T93)-1,"")</f>
        <v>41</v>
      </c>
      <c r="P93" s="59">
        <v>91</v>
      </c>
      <c r="Q93" s="59" t="str">
        <f>IFERROR(INDEX(TableWRMaster[Player],MATCH(TableWRCalcPts[[#This Row],[WRRef]],TableWRMaster[WRRef],0)),"")</f>
        <v>Ladd McConkey</v>
      </c>
      <c r="R93" s="59" t="str">
        <f>IFERROR(INDEX(TableWRMaster[TM],MATCH(TableWRCalcPts[[#This Row],[WRRef]],TableWRMaster[WRRef],0)),"")</f>
        <v>LAC</v>
      </c>
      <c r="S93" s="59">
        <f>IFERROR(INDEX(TableWRMaster[BYE],MATCH(TableWRCalcPts[[#This Row],[WRRef]],TableWRMaster[WRRef],0)),"")</f>
        <v>5</v>
      </c>
      <c r="T93" s="60">
        <f>IFERROR(INDEX(TableWRMaster[Custom],MATCH(TableWRCalcPts[[#This Row],[WRRef]],TableWRMaster[WRRef],0)),"")</f>
        <v>166.25112709127995</v>
      </c>
      <c r="V93" s="59" t="str">
        <f>IFERROR(RANK(TableTECalcPts[[#This Row],[Custom]],TableTECalcPts[Custom])+COUNTIF($AA$3:AA93,AA93)-1,"")</f>
        <v/>
      </c>
      <c r="W93" s="59">
        <v>91</v>
      </c>
      <c r="X93" s="59" t="str">
        <f>IFERROR(INDEX(TableTEMaster[Player],MATCH(TableTECalcPts[[#This Row],[TERef]],TableTEMaster[TERef],0)),"")</f>
        <v/>
      </c>
      <c r="Y93" s="59" t="str">
        <f>IFERROR(INDEX(TableTEMaster[TM],MATCH(TableTECalcPts[[#This Row],[TERef]],TableTEMaster[TERef],0)),"")</f>
        <v/>
      </c>
      <c r="Z93" s="59" t="str">
        <f>IFERROR(INDEX(TableTEMaster[BYE],MATCH(TableTECalcPts[[#This Row],[TERef]],TableTEMaster[TERef],0)),"")</f>
        <v/>
      </c>
      <c r="AA93" s="60" t="str">
        <f>IFERROR(INDEX(TableTEMaster[Custom],MATCH(TableTECalcPts[[#This Row],[TERef]],TableTEMaster[TERef],0)),"")</f>
        <v/>
      </c>
      <c r="AI93" s="59" t="s">
        <v>10</v>
      </c>
      <c r="AJ93" s="59" t="str">
        <f>IFERROR(RANK(TableWRTECalcPts[[#This Row],[Custom]],TableWRTECalcPts[Custom])+COUNTIF($AP$3:AP93,AP93)-1,"")</f>
        <v/>
      </c>
      <c r="AK93" s="59">
        <v>91</v>
      </c>
      <c r="AL93" s="59" t="str">
        <f>IFERROR(INDEX(TableTEMaster[Player],MATCH(TableWRTECalcPts[[#This Row],[POSRef]],TableTEMaster[TERef],0)),"")</f>
        <v/>
      </c>
      <c r="AM93" s="59" t="str">
        <f>IFERROR(_xlfn.CONCAT(TableWRTECalcPts[[#This Row],[POS]],INDEX(TableTERanks[RK],MATCH(TableWRTECalcPts[[#This Row],[PLAYER]],TableTERanks[Player],0))),"")</f>
        <v>TE86</v>
      </c>
      <c r="AN93" s="59" t="str">
        <f>IFERROR(INDEX(TableTEMaster[TM],MATCH(TableWRTECalcPts[[#This Row],[POSRef]],TableTEMaster[TERef],0)),"")</f>
        <v/>
      </c>
      <c r="AO93" s="59" t="str">
        <f>IFERROR(INDEX(TableTEMaster[BYE],MATCH(TableWRTECalcPts[[#This Row],[POSRef]],TableTEMaster[TERef],0)),"")</f>
        <v/>
      </c>
      <c r="AP93" s="60" t="str">
        <f>IFERROR(INDEX(TableTEMaster[Custom],MATCH(TableWRTECalcPts[[#This Row],[POSRef]],TableTEMaster[TERef],0)),"")</f>
        <v/>
      </c>
    </row>
    <row r="94" spans="1:42" x14ac:dyDescent="0.2">
      <c r="A94" s="61" t="str">
        <f>IFERROR(RANK(TableQBCalcPts[[#This Row],[Custom]],TableQBCalcPts[Custom])+COUNTIF($F$3:F94,F94)-1,"")</f>
        <v/>
      </c>
      <c r="B94" s="59">
        <v>92</v>
      </c>
      <c r="C94" s="59" t="str">
        <f>IFERROR(INDEX(TableQBMaster[Player],MATCH(TableQBCalcPts[[#This Row],[QBRef]],TableQBMaster[QBRef],0)),"")</f>
        <v/>
      </c>
      <c r="D94" s="59" t="str">
        <f>IFERROR(INDEX(TableQBMaster[TM],MATCH(TableQBCalcPts[[#This Row],[QBRef]],TableQBMaster[QBRef],0)),"")</f>
        <v/>
      </c>
      <c r="E94" s="59" t="str">
        <f>IFERROR(INDEX(TableQBMaster[BYE],MATCH(TableQBCalcPts[[#This Row],[QBRef]],TableQBMaster[QBRef],0)),"")</f>
        <v/>
      </c>
      <c r="F94" s="60" t="str">
        <f>IFERROR(INDEX(TableQBMaster[Custom],MATCH(TableQBCalcPts[[#This Row],[QBRef]],TableQBMaster[QBRef],0)),"")</f>
        <v/>
      </c>
      <c r="H94" s="59">
        <f>IFERROR(RANK(TableRBCalcPts[[#This Row],[Custom]],TableRBCalcPts[Custom])+COUNTIF($M$3:M94,M94)-1,"")</f>
        <v>56</v>
      </c>
      <c r="I94" s="59">
        <v>92</v>
      </c>
      <c r="J94" s="59" t="str">
        <f>IFERROR(INDEX(TableRBMaster[Player],MATCH(TableRBCalcPts[[#This Row],[RBRef]],TableRBMaster[RBRef],0)),"")</f>
        <v>Cordarrelle Patterson</v>
      </c>
      <c r="K94" s="59" t="str">
        <f>IFERROR(INDEX(TableRBMaster[TM],MATCH(TableRBCalcPts[[#This Row],[RBRef]],TableRBMaster[RBRef],0)),"")</f>
        <v>PIT</v>
      </c>
      <c r="L94" s="59">
        <f>IFERROR(INDEX(TableRBMaster[BYE],MATCH(TableRBCalcPts[[#This Row],[RBRef]],TableRBMaster[RBRef],0)),"")</f>
        <v>6</v>
      </c>
      <c r="M94" s="60">
        <f>IFERROR(INDEX(TableRBMaster[Custom],MATCH(TableRBCalcPts[[#This Row],[RBRef]],TableRBMaster[RBRef],0)),"")</f>
        <v>80.717055472620004</v>
      </c>
      <c r="O94" s="59">
        <f>IFERROR(RANK(TableWRCalcPts[[#This Row],[Custom]],TableWRCalcPts[Custom])+COUNTIF($T$3:T94,T94)-1,"")</f>
        <v>68</v>
      </c>
      <c r="P94" s="59">
        <v>92</v>
      </c>
      <c r="Q94" s="59" t="str">
        <f>IFERROR(INDEX(TableWRMaster[Player],MATCH(TableWRCalcPts[[#This Row],[WRRef]],TableWRMaster[WRRef],0)),"")</f>
        <v>Quentin Johnston</v>
      </c>
      <c r="R94" s="59" t="str">
        <f>IFERROR(INDEX(TableWRMaster[TM],MATCH(TableWRCalcPts[[#This Row],[WRRef]],TableWRMaster[WRRef],0)),"")</f>
        <v>LAC</v>
      </c>
      <c r="S94" s="59">
        <f>IFERROR(INDEX(TableWRMaster[BYE],MATCH(TableWRCalcPts[[#This Row],[WRRef]],TableWRMaster[WRRef],0)),"")</f>
        <v>5</v>
      </c>
      <c r="T94" s="60">
        <f>IFERROR(INDEX(TableWRMaster[Custom],MATCH(TableWRCalcPts[[#This Row],[WRRef]],TableWRMaster[WRRef],0)),"")</f>
        <v>126.53990116431299</v>
      </c>
      <c r="V94" s="59" t="str">
        <f>IFERROR(RANK(TableTECalcPts[[#This Row],[Custom]],TableTECalcPts[Custom])+COUNTIF($AA$3:AA94,AA94)-1,"")</f>
        <v/>
      </c>
      <c r="W94" s="59">
        <v>92</v>
      </c>
      <c r="X94" s="59" t="str">
        <f>IFERROR(INDEX(TableTEMaster[Player],MATCH(TableTECalcPts[[#This Row],[TERef]],TableTEMaster[TERef],0)),"")</f>
        <v/>
      </c>
      <c r="Y94" s="59" t="str">
        <f>IFERROR(INDEX(TableTEMaster[TM],MATCH(TableTECalcPts[[#This Row],[TERef]],TableTEMaster[TERef],0)),"")</f>
        <v/>
      </c>
      <c r="Z94" s="59" t="str">
        <f>IFERROR(INDEX(TableTEMaster[BYE],MATCH(TableTECalcPts[[#This Row],[TERef]],TableTEMaster[TERef],0)),"")</f>
        <v/>
      </c>
      <c r="AA94" s="60" t="str">
        <f>IFERROR(INDEX(TableTEMaster[Custom],MATCH(TableTECalcPts[[#This Row],[TERef]],TableTEMaster[TERef],0)),"")</f>
        <v/>
      </c>
      <c r="AI94" s="59" t="s">
        <v>10</v>
      </c>
      <c r="AJ94" s="59" t="str">
        <f>IFERROR(RANK(TableWRTECalcPts[[#This Row],[Custom]],TableWRTECalcPts[Custom])+COUNTIF($AP$3:AP94,AP94)-1,"")</f>
        <v/>
      </c>
      <c r="AK94" s="59">
        <v>92</v>
      </c>
      <c r="AL94" s="59" t="str">
        <f>IFERROR(INDEX(TableTEMaster[Player],MATCH(TableWRTECalcPts[[#This Row],[POSRef]],TableTEMaster[TERef],0)),"")</f>
        <v/>
      </c>
      <c r="AM94" s="59" t="str">
        <f>IFERROR(_xlfn.CONCAT(TableWRTECalcPts[[#This Row],[POS]],INDEX(TableTERanks[RK],MATCH(TableWRTECalcPts[[#This Row],[PLAYER]],TableTERanks[Player],0))),"")</f>
        <v>TE86</v>
      </c>
      <c r="AN94" s="59" t="str">
        <f>IFERROR(INDEX(TableTEMaster[TM],MATCH(TableWRTECalcPts[[#This Row],[POSRef]],TableTEMaster[TERef],0)),"")</f>
        <v/>
      </c>
      <c r="AO94" s="59" t="str">
        <f>IFERROR(INDEX(TableTEMaster[BYE],MATCH(TableWRTECalcPts[[#This Row],[POSRef]],TableTEMaster[TERef],0)),"")</f>
        <v/>
      </c>
      <c r="AP94" s="60" t="str">
        <f>IFERROR(INDEX(TableTEMaster[Custom],MATCH(TableWRTECalcPts[[#This Row],[POSRef]],TableTEMaster[TERef],0)),"")</f>
        <v/>
      </c>
    </row>
    <row r="95" spans="1:42" x14ac:dyDescent="0.2">
      <c r="A95" s="61" t="str">
        <f>IFERROR(RANK(TableQBCalcPts[[#This Row],[Custom]],TableQBCalcPts[Custom])+COUNTIF($F$3:F95,F95)-1,"")</f>
        <v/>
      </c>
      <c r="B95" s="59">
        <v>93</v>
      </c>
      <c r="C95" s="59" t="str">
        <f>IFERROR(INDEX(TableQBMaster[Player],MATCH(TableQBCalcPts[[#This Row],[QBRef]],TableQBMaster[QBRef],0)),"")</f>
        <v/>
      </c>
      <c r="D95" s="59" t="str">
        <f>IFERROR(INDEX(TableQBMaster[TM],MATCH(TableQBCalcPts[[#This Row],[QBRef]],TableQBMaster[QBRef],0)),"")</f>
        <v/>
      </c>
      <c r="E95" s="59" t="str">
        <f>IFERROR(INDEX(TableQBMaster[BYE],MATCH(TableQBCalcPts[[#This Row],[QBRef]],TableQBMaster[QBRef],0)),"")</f>
        <v/>
      </c>
      <c r="F95" s="60" t="str">
        <f>IFERROR(INDEX(TableQBMaster[Custom],MATCH(TableQBCalcPts[[#This Row],[QBRef]],TableQBMaster[QBRef],0)),"")</f>
        <v/>
      </c>
      <c r="H95" s="59">
        <f>IFERROR(RANK(TableRBCalcPts[[#This Row],[Custom]],TableRBCalcPts[Custom])+COUNTIF($M$3:M95,M95)-1,"")</f>
        <v>17</v>
      </c>
      <c r="I95" s="59">
        <v>93</v>
      </c>
      <c r="J95" s="59" t="str">
        <f>IFERROR(INDEX(TableRBMaster[Player],MATCH(TableRBCalcPts[[#This Row],[RBRef]],TableRBMaster[RBRef],0)),"")</f>
        <v>Kenneth Walker</v>
      </c>
      <c r="K95" s="59" t="str">
        <f>IFERROR(INDEX(TableRBMaster[TM],MATCH(TableRBCalcPts[[#This Row],[RBRef]],TableRBMaster[RBRef],0)),"")</f>
        <v>SEA</v>
      </c>
      <c r="L95" s="59">
        <f>IFERROR(INDEX(TableRBMaster[BYE],MATCH(TableRBCalcPts[[#This Row],[RBRef]],TableRBMaster[RBRef],0)),"")</f>
        <v>5</v>
      </c>
      <c r="M95" s="60">
        <f>IFERROR(INDEX(TableRBMaster[Custom],MATCH(TableRBCalcPts[[#This Row],[RBRef]],TableRBMaster[RBRef],0)),"")</f>
        <v>190.67445786002884</v>
      </c>
      <c r="O95" s="59">
        <f>IFERROR(RANK(TableWRCalcPts[[#This Row],[Custom]],TableWRCalcPts[Custom])+COUNTIF($T$3:T95,T95)-1,"")</f>
        <v>64</v>
      </c>
      <c r="P95" s="59">
        <v>93</v>
      </c>
      <c r="Q95" s="59" t="str">
        <f>IFERROR(INDEX(TableWRMaster[Player],MATCH(TableWRCalcPts[[#This Row],[WRRef]],TableWRMaster[WRRef],0)),"")</f>
        <v>Joshua Palmer</v>
      </c>
      <c r="R95" s="59" t="str">
        <f>IFERROR(INDEX(TableWRMaster[TM],MATCH(TableWRCalcPts[[#This Row],[WRRef]],TableWRMaster[WRRef],0)),"")</f>
        <v>LAC</v>
      </c>
      <c r="S95" s="59">
        <f>IFERROR(INDEX(TableWRMaster[BYE],MATCH(TableWRCalcPts[[#This Row],[WRRef]],TableWRMaster[WRRef],0)),"")</f>
        <v>5</v>
      </c>
      <c r="T95" s="60">
        <f>IFERROR(INDEX(TableWRMaster[Custom],MATCH(TableWRCalcPts[[#This Row],[WRRef]],TableWRMaster[WRRef],0)),"")</f>
        <v>135.15931644627722</v>
      </c>
      <c r="V95" s="59" t="str">
        <f>IFERROR(RANK(TableTECalcPts[[#This Row],[Custom]],TableTECalcPts[Custom])+COUNTIF($AA$3:AA95,AA95)-1,"")</f>
        <v/>
      </c>
      <c r="W95" s="59">
        <v>93</v>
      </c>
      <c r="X95" s="59" t="str">
        <f>IFERROR(INDEX(TableTEMaster[Player],MATCH(TableTECalcPts[[#This Row],[TERef]],TableTEMaster[TERef],0)),"")</f>
        <v/>
      </c>
      <c r="Y95" s="59" t="str">
        <f>IFERROR(INDEX(TableTEMaster[TM],MATCH(TableTECalcPts[[#This Row],[TERef]],TableTEMaster[TERef],0)),"")</f>
        <v/>
      </c>
      <c r="Z95" s="59" t="str">
        <f>IFERROR(INDEX(TableTEMaster[BYE],MATCH(TableTECalcPts[[#This Row],[TERef]],TableTEMaster[TERef],0)),"")</f>
        <v/>
      </c>
      <c r="AA95" s="60" t="str">
        <f>IFERROR(INDEX(TableTEMaster[Custom],MATCH(TableTECalcPts[[#This Row],[TERef]],TableTEMaster[TERef],0)),"")</f>
        <v/>
      </c>
      <c r="AI95" s="59" t="s">
        <v>10</v>
      </c>
      <c r="AJ95" s="59" t="str">
        <f>IFERROR(RANK(TableWRTECalcPts[[#This Row],[Custom]],TableWRTECalcPts[Custom])+COUNTIF($AP$3:AP95,AP95)-1,"")</f>
        <v/>
      </c>
      <c r="AK95" s="59">
        <v>93</v>
      </c>
      <c r="AL95" s="59" t="str">
        <f>IFERROR(INDEX(TableTEMaster[Player],MATCH(TableWRTECalcPts[[#This Row],[POSRef]],TableTEMaster[TERef],0)),"")</f>
        <v/>
      </c>
      <c r="AM95" s="59" t="str">
        <f>IFERROR(_xlfn.CONCAT(TableWRTECalcPts[[#This Row],[POS]],INDEX(TableTERanks[RK],MATCH(TableWRTECalcPts[[#This Row],[PLAYER]],TableTERanks[Player],0))),"")</f>
        <v>TE86</v>
      </c>
      <c r="AN95" s="59" t="str">
        <f>IFERROR(INDEX(TableTEMaster[TM],MATCH(TableWRTECalcPts[[#This Row],[POSRef]],TableTEMaster[TERef],0)),"")</f>
        <v/>
      </c>
      <c r="AO95" s="59" t="str">
        <f>IFERROR(INDEX(TableTEMaster[BYE],MATCH(TableWRTECalcPts[[#This Row],[POSRef]],TableTEMaster[TERef],0)),"")</f>
        <v/>
      </c>
      <c r="AP95" s="60" t="str">
        <f>IFERROR(INDEX(TableTEMaster[Custom],MATCH(TableWRTECalcPts[[#This Row],[POSRef]],TableTEMaster[TERef],0)),"")</f>
        <v/>
      </c>
    </row>
    <row r="96" spans="1:42" x14ac:dyDescent="0.2">
      <c r="A96" s="61" t="str">
        <f>IFERROR(RANK(TableQBCalcPts[[#This Row],[Custom]],TableQBCalcPts[Custom])+COUNTIF($F$3:F96,F96)-1,"")</f>
        <v/>
      </c>
      <c r="B96" s="59">
        <v>94</v>
      </c>
      <c r="C96" s="59" t="str">
        <f>IFERROR(INDEX(TableQBMaster[Player],MATCH(TableQBCalcPts[[#This Row],[QBRef]],TableQBMaster[QBRef],0)),"")</f>
        <v/>
      </c>
      <c r="D96" s="59" t="str">
        <f>IFERROR(INDEX(TableQBMaster[TM],MATCH(TableQBCalcPts[[#This Row],[QBRef]],TableQBMaster[QBRef],0)),"")</f>
        <v/>
      </c>
      <c r="E96" s="59" t="str">
        <f>IFERROR(INDEX(TableQBMaster[BYE],MATCH(TableQBCalcPts[[#This Row],[QBRef]],TableQBMaster[QBRef],0)),"")</f>
        <v/>
      </c>
      <c r="F96" s="60" t="str">
        <f>IFERROR(INDEX(TableQBMaster[Custom],MATCH(TableQBCalcPts[[#This Row],[QBRef]],TableQBMaster[QBRef],0)),"")</f>
        <v/>
      </c>
      <c r="H96" s="59">
        <f>IFERROR(RANK(TableRBCalcPts[[#This Row],[Custom]],TableRBCalcPts[Custom])+COUNTIF($M$3:M96,M96)-1,"")</f>
        <v>37</v>
      </c>
      <c r="I96" s="59">
        <v>94</v>
      </c>
      <c r="J96" s="59" t="str">
        <f>IFERROR(INDEX(TableRBMaster[Player],MATCH(TableRBCalcPts[[#This Row],[RBRef]],TableRBMaster[RBRef],0)),"")</f>
        <v>Zach Charbonnet</v>
      </c>
      <c r="K96" s="59" t="str">
        <f>IFERROR(INDEX(TableRBMaster[TM],MATCH(TableRBCalcPts[[#This Row],[RBRef]],TableRBMaster[RBRef],0)),"")</f>
        <v>SEA</v>
      </c>
      <c r="L96" s="59">
        <f>IFERROR(INDEX(TableRBMaster[BYE],MATCH(TableRBCalcPts[[#This Row],[RBRef]],TableRBMaster[RBRef],0)),"")</f>
        <v>5</v>
      </c>
      <c r="M96" s="60">
        <f>IFERROR(INDEX(TableRBMaster[Custom],MATCH(TableRBCalcPts[[#This Row],[RBRef]],TableRBMaster[RBRef],0)),"")</f>
        <v>141.12839053736855</v>
      </c>
      <c r="O96" s="59">
        <f>IFERROR(RANK(TableWRCalcPts[[#This Row],[Custom]],TableWRCalcPts[Custom])+COUNTIF($T$3:T96,T96)-1,"")</f>
        <v>111</v>
      </c>
      <c r="P96" s="59">
        <v>94</v>
      </c>
      <c r="Q96" s="59" t="str">
        <f>IFERROR(INDEX(TableWRMaster[Player],MATCH(TableWRCalcPts[[#This Row],[WRRef]],TableWRMaster[WRRef],0)),"")</f>
        <v>Derius Davis</v>
      </c>
      <c r="R96" s="59" t="str">
        <f>IFERROR(INDEX(TableWRMaster[TM],MATCH(TableWRCalcPts[[#This Row],[WRRef]],TableWRMaster[WRRef],0)),"")</f>
        <v>LAC</v>
      </c>
      <c r="S96" s="59">
        <f>IFERROR(INDEX(TableWRMaster[BYE],MATCH(TableWRCalcPts[[#This Row],[WRRef]],TableWRMaster[WRRef],0)),"")</f>
        <v>5</v>
      </c>
      <c r="T96" s="60">
        <f>IFERROR(INDEX(TableWRMaster[Custom],MATCH(TableWRCalcPts[[#This Row],[WRRef]],TableWRMaster[WRRef],0)),"")</f>
        <v>37.035053368172989</v>
      </c>
      <c r="V96" s="59" t="str">
        <f>IFERROR(RANK(TableTECalcPts[[#This Row],[Custom]],TableTECalcPts[Custom])+COUNTIF($AA$3:AA96,AA96)-1,"")</f>
        <v/>
      </c>
      <c r="W96" s="59">
        <v>94</v>
      </c>
      <c r="X96" s="59" t="str">
        <f>IFERROR(INDEX(TableTEMaster[Player],MATCH(TableTECalcPts[[#This Row],[TERef]],TableTEMaster[TERef],0)),"")</f>
        <v/>
      </c>
      <c r="Y96" s="59" t="str">
        <f>IFERROR(INDEX(TableTEMaster[TM],MATCH(TableTECalcPts[[#This Row],[TERef]],TableTEMaster[TERef],0)),"")</f>
        <v/>
      </c>
      <c r="Z96" s="59" t="str">
        <f>IFERROR(INDEX(TableTEMaster[BYE],MATCH(TableTECalcPts[[#This Row],[TERef]],TableTEMaster[TERef],0)),"")</f>
        <v/>
      </c>
      <c r="AA96" s="60" t="str">
        <f>IFERROR(INDEX(TableTEMaster[Custom],MATCH(TableTECalcPts[[#This Row],[TERef]],TableTEMaster[TERef],0)),"")</f>
        <v/>
      </c>
      <c r="AI96" s="59" t="s">
        <v>10</v>
      </c>
      <c r="AJ96" s="59" t="str">
        <f>IFERROR(RANK(TableWRTECalcPts[[#This Row],[Custom]],TableWRTECalcPts[Custom])+COUNTIF($AP$3:AP96,AP96)-1,"")</f>
        <v/>
      </c>
      <c r="AK96" s="59">
        <v>94</v>
      </c>
      <c r="AL96" s="59" t="str">
        <f>IFERROR(INDEX(TableTEMaster[Player],MATCH(TableWRTECalcPts[[#This Row],[POSRef]],TableTEMaster[TERef],0)),"")</f>
        <v/>
      </c>
      <c r="AM96" s="59" t="str">
        <f>IFERROR(_xlfn.CONCAT(TableWRTECalcPts[[#This Row],[POS]],INDEX(TableTERanks[RK],MATCH(TableWRTECalcPts[[#This Row],[PLAYER]],TableTERanks[Player],0))),"")</f>
        <v>TE86</v>
      </c>
      <c r="AN96" s="59" t="str">
        <f>IFERROR(INDEX(TableTEMaster[TM],MATCH(TableWRTECalcPts[[#This Row],[POSRef]],TableTEMaster[TERef],0)),"")</f>
        <v/>
      </c>
      <c r="AO96" s="59" t="str">
        <f>IFERROR(INDEX(TableTEMaster[BYE],MATCH(TableWRTECalcPts[[#This Row],[POSRef]],TableTEMaster[TERef],0)),"")</f>
        <v/>
      </c>
      <c r="AP96" s="60" t="str">
        <f>IFERROR(INDEX(TableTEMaster[Custom],MATCH(TableWRTECalcPts[[#This Row],[POSRef]],TableTEMaster[TERef],0)),"")</f>
        <v/>
      </c>
    </row>
    <row r="97" spans="1:42" x14ac:dyDescent="0.2">
      <c r="A97" s="61" t="str">
        <f>IFERROR(RANK(TableQBCalcPts[[#This Row],[Custom]],TableQBCalcPts[Custom])+COUNTIF($F$3:F97,F97)-1,"")</f>
        <v/>
      </c>
      <c r="B97" s="59">
        <v>95</v>
      </c>
      <c r="C97" s="59" t="str">
        <f>IFERROR(INDEX(TableQBMaster[Player],MATCH(TableQBCalcPts[[#This Row],[QBRef]],TableQBMaster[QBRef],0)),"")</f>
        <v/>
      </c>
      <c r="D97" s="59" t="str">
        <f>IFERROR(INDEX(TableQBMaster[TM],MATCH(TableQBCalcPts[[#This Row],[QBRef]],TableQBMaster[QBRef],0)),"")</f>
        <v/>
      </c>
      <c r="E97" s="59" t="str">
        <f>IFERROR(INDEX(TableQBMaster[BYE],MATCH(TableQBCalcPts[[#This Row],[QBRef]],TableQBMaster[QBRef],0)),"")</f>
        <v/>
      </c>
      <c r="F97" s="60" t="str">
        <f>IFERROR(INDEX(TableQBMaster[Custom],MATCH(TableQBCalcPts[[#This Row],[QBRef]],TableQBMaster[QBRef],0)),"")</f>
        <v/>
      </c>
      <c r="H97" s="59">
        <f>IFERROR(RANK(TableRBCalcPts[[#This Row],[Custom]],TableRBCalcPts[Custom])+COUNTIF($M$3:M97,M97)-1,"")</f>
        <v>86</v>
      </c>
      <c r="I97" s="59">
        <v>95</v>
      </c>
      <c r="J97" s="59" t="str">
        <f>IFERROR(INDEX(TableRBMaster[Player],MATCH(TableRBCalcPts[[#This Row],[RBRef]],TableRBMaster[RBRef],0)),"")</f>
        <v>Kenny McIntosh</v>
      </c>
      <c r="K97" s="59" t="str">
        <f>IFERROR(INDEX(TableRBMaster[TM],MATCH(TableRBCalcPts[[#This Row],[RBRef]],TableRBMaster[RBRef],0)),"")</f>
        <v>SEA</v>
      </c>
      <c r="L97" s="59">
        <f>IFERROR(INDEX(TableRBMaster[BYE],MATCH(TableRBCalcPts[[#This Row],[RBRef]],TableRBMaster[RBRef],0)),"")</f>
        <v>5</v>
      </c>
      <c r="M97" s="60">
        <f>IFERROR(INDEX(TableRBMaster[Custom],MATCH(TableRBCalcPts[[#This Row],[RBRef]],TableRBMaster[RBRef],0)),"")</f>
        <v>28.830867027374996</v>
      </c>
      <c r="O97" s="59">
        <f>IFERROR(RANK(TableWRCalcPts[[#This Row],[Custom]],TableWRCalcPts[Custom])+COUNTIF($T$3:T97,T97)-1,"")</f>
        <v>117</v>
      </c>
      <c r="P97" s="59">
        <v>95</v>
      </c>
      <c r="Q97" s="59" t="str">
        <f>IFERROR(INDEX(TableWRMaster[Player],MATCH(TableWRCalcPts[[#This Row],[WRRef]],TableWRMaster[WRRef],0)),"")</f>
        <v>Brenden Rice</v>
      </c>
      <c r="R97" s="59" t="str">
        <f>IFERROR(INDEX(TableWRMaster[TM],MATCH(TableWRCalcPts[[#This Row],[WRRef]],TableWRMaster[WRRef],0)),"")</f>
        <v>LAC</v>
      </c>
      <c r="S97" s="59">
        <f>IFERROR(INDEX(TableWRMaster[BYE],MATCH(TableWRCalcPts[[#This Row],[WRRef]],TableWRMaster[WRRef],0)),"")</f>
        <v>5</v>
      </c>
      <c r="T97" s="60">
        <f>IFERROR(INDEX(TableWRMaster[Custom],MATCH(TableWRCalcPts[[#This Row],[WRRef]],TableWRMaster[WRRef],0)),"")</f>
        <v>33.838571310137993</v>
      </c>
      <c r="V97" s="59" t="str">
        <f>IFERROR(RANK(TableTECalcPts[[#This Row],[Custom]],TableTECalcPts[Custom])+COUNTIF($AA$3:AA97,AA97)-1,"")</f>
        <v/>
      </c>
      <c r="W97" s="59">
        <v>95</v>
      </c>
      <c r="X97" s="59" t="str">
        <f>IFERROR(INDEX(TableTEMaster[Player],MATCH(TableTECalcPts[[#This Row],[TERef]],TableTEMaster[TERef],0)),"")</f>
        <v/>
      </c>
      <c r="Y97" s="59" t="str">
        <f>IFERROR(INDEX(TableTEMaster[TM],MATCH(TableTECalcPts[[#This Row],[TERef]],TableTEMaster[TERef],0)),"")</f>
        <v/>
      </c>
      <c r="Z97" s="59" t="str">
        <f>IFERROR(INDEX(TableTEMaster[BYE],MATCH(TableTECalcPts[[#This Row],[TERef]],TableTEMaster[TERef],0)),"")</f>
        <v/>
      </c>
      <c r="AA97" s="60" t="str">
        <f>IFERROR(INDEX(TableTEMaster[Custom],MATCH(TableTECalcPts[[#This Row],[TERef]],TableTEMaster[TERef],0)),"")</f>
        <v/>
      </c>
      <c r="AI97" s="59" t="s">
        <v>10</v>
      </c>
      <c r="AJ97" s="59" t="str">
        <f>IFERROR(RANK(TableWRTECalcPts[[#This Row],[Custom]],TableWRTECalcPts[Custom])+COUNTIF($AP$3:AP97,AP97)-1,"")</f>
        <v/>
      </c>
      <c r="AK97" s="59">
        <v>95</v>
      </c>
      <c r="AL97" s="59" t="str">
        <f>IFERROR(INDEX(TableTEMaster[Player],MATCH(TableWRTECalcPts[[#This Row],[POSRef]],TableTEMaster[TERef],0)),"")</f>
        <v/>
      </c>
      <c r="AM97" s="59" t="str">
        <f>IFERROR(_xlfn.CONCAT(TableWRTECalcPts[[#This Row],[POS]],INDEX(TableTERanks[RK],MATCH(TableWRTECalcPts[[#This Row],[PLAYER]],TableTERanks[Player],0))),"")</f>
        <v>TE86</v>
      </c>
      <c r="AN97" s="59" t="str">
        <f>IFERROR(INDEX(TableTEMaster[TM],MATCH(TableWRTECalcPts[[#This Row],[POSRef]],TableTEMaster[TERef],0)),"")</f>
        <v/>
      </c>
      <c r="AO97" s="59" t="str">
        <f>IFERROR(INDEX(TableTEMaster[BYE],MATCH(TableWRTECalcPts[[#This Row],[POSRef]],TableTEMaster[TERef],0)),"")</f>
        <v/>
      </c>
      <c r="AP97" s="60" t="str">
        <f>IFERROR(INDEX(TableTEMaster[Custom],MATCH(TableWRTECalcPts[[#This Row],[POSRef]],TableTEMaster[TERef],0)),"")</f>
        <v/>
      </c>
    </row>
    <row r="98" spans="1:42" x14ac:dyDescent="0.2">
      <c r="A98" s="61" t="str">
        <f>IFERROR(RANK(TableQBCalcPts[[#This Row],[Custom]],TableQBCalcPts[Custom])+COUNTIF($F$3:F98,F98)-1,"")</f>
        <v/>
      </c>
      <c r="B98" s="59">
        <v>96</v>
      </c>
      <c r="C98" s="59" t="str">
        <f>IFERROR(INDEX(TableQBMaster[Player],MATCH(TableQBCalcPts[[#This Row],[QBRef]],TableQBMaster[QBRef],0)),"")</f>
        <v/>
      </c>
      <c r="D98" s="59" t="str">
        <f>IFERROR(INDEX(TableQBMaster[TM],MATCH(TableQBCalcPts[[#This Row],[QBRef]],TableQBMaster[QBRef],0)),"")</f>
        <v/>
      </c>
      <c r="E98" s="59" t="str">
        <f>IFERROR(INDEX(TableQBMaster[BYE],MATCH(TableQBCalcPts[[#This Row],[QBRef]],TableQBMaster[QBRef],0)),"")</f>
        <v/>
      </c>
      <c r="F98" s="60" t="str">
        <f>IFERROR(INDEX(TableQBMaster[Custom],MATCH(TableQBCalcPts[[#This Row],[QBRef]],TableQBMaster[QBRef],0)),"")</f>
        <v/>
      </c>
      <c r="H98" s="59">
        <f>IFERROR(RANK(TableRBCalcPts[[#This Row],[Custom]],TableRBCalcPts[Custom])+COUNTIF($M$3:M98,M98)-1,"")</f>
        <v>1</v>
      </c>
      <c r="I98" s="59">
        <v>96</v>
      </c>
      <c r="J98" s="59" t="str">
        <f>IFERROR(INDEX(TableRBMaster[Player],MATCH(TableRBCalcPts[[#This Row],[RBRef]],TableRBMaster[RBRef],0)),"")</f>
        <v>Christian McCaffrey</v>
      </c>
      <c r="K98" s="59" t="str">
        <f>IFERROR(INDEX(TableRBMaster[TM],MATCH(TableRBCalcPts[[#This Row],[RBRef]],TableRBMaster[RBRef],0)),"")</f>
        <v>SF</v>
      </c>
      <c r="L98" s="59">
        <f>IFERROR(INDEX(TableRBMaster[BYE],MATCH(TableRBCalcPts[[#This Row],[RBRef]],TableRBMaster[RBRef],0)),"")</f>
        <v>9</v>
      </c>
      <c r="M98" s="60">
        <f>IFERROR(INDEX(TableRBMaster[Custom],MATCH(TableRBCalcPts[[#This Row],[RBRef]],TableRBMaster[RBRef],0)),"")</f>
        <v>302.45567415335995</v>
      </c>
      <c r="O98" s="59">
        <f>IFERROR(RANK(TableWRCalcPts[[#This Row],[Custom]],TableWRCalcPts[Custom])+COUNTIF($T$3:T98,T98)-1,"")</f>
        <v>113</v>
      </c>
      <c r="P98" s="59">
        <v>96</v>
      </c>
      <c r="Q98" s="59" t="str">
        <f>IFERROR(INDEX(TableWRMaster[Player],MATCH(TableWRCalcPts[[#This Row],[WRRef]],TableWRMaster[WRRef],0)),"")</f>
        <v>Cornelius Johnson</v>
      </c>
      <c r="R98" s="59" t="str">
        <f>IFERROR(INDEX(TableWRMaster[TM],MATCH(TableWRCalcPts[[#This Row],[WRRef]],TableWRMaster[WRRef],0)),"")</f>
        <v>LAC</v>
      </c>
      <c r="S98" s="59">
        <f>IFERROR(INDEX(TableWRMaster[BYE],MATCH(TableWRCalcPts[[#This Row],[WRRef]],TableWRMaster[WRRef],0)),"")</f>
        <v>5</v>
      </c>
      <c r="T98" s="60">
        <f>IFERROR(INDEX(TableWRMaster[Custom],MATCH(TableWRCalcPts[[#This Row],[WRRef]],TableWRMaster[WRRef],0)),"")</f>
        <v>36.689399458739992</v>
      </c>
      <c r="V98" s="59" t="str">
        <f>IFERROR(RANK(TableTECalcPts[[#This Row],[Custom]],TableTECalcPts[Custom])+COUNTIF($AA$3:AA98,AA98)-1,"")</f>
        <v/>
      </c>
      <c r="W98" s="59">
        <v>96</v>
      </c>
      <c r="X98" s="59" t="str">
        <f>IFERROR(INDEX(TableTEMaster[Player],MATCH(TableTECalcPts[[#This Row],[TERef]],TableTEMaster[TERef],0)),"")</f>
        <v/>
      </c>
      <c r="Y98" s="59" t="str">
        <f>IFERROR(INDEX(TableTEMaster[TM],MATCH(TableTECalcPts[[#This Row],[TERef]],TableTEMaster[TERef],0)),"")</f>
        <v/>
      </c>
      <c r="Z98" s="59" t="str">
        <f>IFERROR(INDEX(TableTEMaster[BYE],MATCH(TableTECalcPts[[#This Row],[TERef]],TableTEMaster[TERef],0)),"")</f>
        <v/>
      </c>
      <c r="AA98" s="60" t="str">
        <f>IFERROR(INDEX(TableTEMaster[Custom],MATCH(TableTECalcPts[[#This Row],[TERef]],TableTEMaster[TERef],0)),"")</f>
        <v/>
      </c>
      <c r="AI98" s="59" t="s">
        <v>10</v>
      </c>
      <c r="AJ98" s="59" t="str">
        <f>IFERROR(RANK(TableWRTECalcPts[[#This Row],[Custom]],TableWRTECalcPts[Custom])+COUNTIF($AP$3:AP98,AP98)-1,"")</f>
        <v/>
      </c>
      <c r="AK98" s="59">
        <v>96</v>
      </c>
      <c r="AL98" s="59" t="str">
        <f>IFERROR(INDEX(TableTEMaster[Player],MATCH(TableWRTECalcPts[[#This Row],[POSRef]],TableTEMaster[TERef],0)),"")</f>
        <v/>
      </c>
      <c r="AM98" s="59" t="str">
        <f>IFERROR(_xlfn.CONCAT(TableWRTECalcPts[[#This Row],[POS]],INDEX(TableTERanks[RK],MATCH(TableWRTECalcPts[[#This Row],[PLAYER]],TableTERanks[Player],0))),"")</f>
        <v>TE86</v>
      </c>
      <c r="AN98" s="59" t="str">
        <f>IFERROR(INDEX(TableTEMaster[TM],MATCH(TableWRTECalcPts[[#This Row],[POSRef]],TableTEMaster[TERef],0)),"")</f>
        <v/>
      </c>
      <c r="AO98" s="59" t="str">
        <f>IFERROR(INDEX(TableTEMaster[BYE],MATCH(TableWRTECalcPts[[#This Row],[POSRef]],TableTEMaster[TERef],0)),"")</f>
        <v/>
      </c>
      <c r="AP98" s="60" t="str">
        <f>IFERROR(INDEX(TableTEMaster[Custom],MATCH(TableWRTECalcPts[[#This Row],[POSRef]],TableTEMaster[TERef],0)),"")</f>
        <v/>
      </c>
    </row>
    <row r="99" spans="1:42" x14ac:dyDescent="0.2">
      <c r="A99" s="61" t="str">
        <f>IFERROR(RANK(TableQBCalcPts[[#This Row],[Custom]],TableQBCalcPts[Custom])+COUNTIF($F$3:F99,F99)-1,"")</f>
        <v/>
      </c>
      <c r="B99" s="59">
        <v>97</v>
      </c>
      <c r="C99" s="59" t="str">
        <f>IFERROR(INDEX(TableQBMaster[Player],MATCH(TableQBCalcPts[[#This Row],[QBRef]],TableQBMaster[QBRef],0)),"")</f>
        <v/>
      </c>
      <c r="D99" s="59" t="str">
        <f>IFERROR(INDEX(TableQBMaster[TM],MATCH(TableQBCalcPts[[#This Row],[QBRef]],TableQBMaster[QBRef],0)),"")</f>
        <v/>
      </c>
      <c r="E99" s="59" t="str">
        <f>IFERROR(INDEX(TableQBMaster[BYE],MATCH(TableQBCalcPts[[#This Row],[QBRef]],TableQBMaster[QBRef],0)),"")</f>
        <v/>
      </c>
      <c r="F99" s="60" t="str">
        <f>IFERROR(INDEX(TableQBMaster[Custom],MATCH(TableQBCalcPts[[#This Row],[QBRef]],TableQBMaster[QBRef],0)),"")</f>
        <v/>
      </c>
      <c r="H99" s="59">
        <f>IFERROR(RANK(TableRBCalcPts[[#This Row],[Custom]],TableRBCalcPts[Custom])+COUNTIF($M$3:M99,M99)-1,"")</f>
        <v>64</v>
      </c>
      <c r="I99" s="59">
        <v>97</v>
      </c>
      <c r="J99" s="59" t="str">
        <f>IFERROR(INDEX(TableRBMaster[Player],MATCH(TableRBCalcPts[[#This Row],[RBRef]],TableRBMaster[RBRef],0)),"")</f>
        <v>Elijah Mitchell</v>
      </c>
      <c r="K99" s="59" t="str">
        <f>IFERROR(INDEX(TableRBMaster[TM],MATCH(TableRBCalcPts[[#This Row],[RBRef]],TableRBMaster[RBRef],0)),"")</f>
        <v>SF</v>
      </c>
      <c r="L99" s="59">
        <f>IFERROR(INDEX(TableRBMaster[BYE],MATCH(TableRBCalcPts[[#This Row],[RBRef]],TableRBMaster[RBRef],0)),"")</f>
        <v>9</v>
      </c>
      <c r="M99" s="60">
        <f>IFERROR(INDEX(TableRBMaster[Custom],MATCH(TableRBCalcPts[[#This Row],[RBRef]],TableRBMaster[RBRef],0)),"")</f>
        <v>68.224312325870386</v>
      </c>
      <c r="O99" s="59">
        <f>IFERROR(RANK(TableWRCalcPts[[#This Row],[Custom]],TableWRCalcPts[Custom])+COUNTIF($T$3:T99,T99)-1,"")</f>
        <v>29</v>
      </c>
      <c r="P99" s="59">
        <v>97</v>
      </c>
      <c r="Q99" s="59" t="str">
        <f>IFERROR(INDEX(TableWRMaster[Player],MATCH(TableWRCalcPts[[#This Row],[WRRef]],TableWRMaster[WRRef],0)),"")</f>
        <v>Cooper Kupp</v>
      </c>
      <c r="R99" s="59" t="str">
        <f>IFERROR(INDEX(TableWRMaster[TM],MATCH(TableWRCalcPts[[#This Row],[WRRef]],TableWRMaster[WRRef],0)),"")</f>
        <v>LAR</v>
      </c>
      <c r="S99" s="59">
        <f>IFERROR(INDEX(TableWRMaster[BYE],MATCH(TableWRCalcPts[[#This Row],[WRRef]],TableWRMaster[WRRef],0)),"")</f>
        <v>10</v>
      </c>
      <c r="T99" s="60">
        <f>IFERROR(INDEX(TableWRMaster[Custom],MATCH(TableWRCalcPts[[#This Row],[WRRef]],TableWRMaster[WRRef],0)),"")</f>
        <v>178.52334044159994</v>
      </c>
      <c r="V99" s="59" t="str">
        <f>IFERROR(RANK(TableTECalcPts[[#This Row],[Custom]],TableTECalcPts[Custom])+COUNTIF($AA$3:AA99,AA99)-1,"")</f>
        <v/>
      </c>
      <c r="W99" s="59">
        <v>97</v>
      </c>
      <c r="X99" s="59" t="str">
        <f>IFERROR(INDEX(TableTEMaster[Player],MATCH(TableTECalcPts[[#This Row],[TERef]],TableTEMaster[TERef],0)),"")</f>
        <v/>
      </c>
      <c r="Y99" s="59" t="str">
        <f>IFERROR(INDEX(TableTEMaster[TM],MATCH(TableTECalcPts[[#This Row],[TERef]],TableTEMaster[TERef],0)),"")</f>
        <v/>
      </c>
      <c r="Z99" s="59" t="str">
        <f>IFERROR(INDEX(TableTEMaster[BYE],MATCH(TableTECalcPts[[#This Row],[TERef]],TableTEMaster[TERef],0)),"")</f>
        <v/>
      </c>
      <c r="AA99" s="60" t="str">
        <f>IFERROR(INDEX(TableTEMaster[Custom],MATCH(TableTECalcPts[[#This Row],[TERef]],TableTEMaster[TERef],0)),"")</f>
        <v/>
      </c>
      <c r="AI99" s="59" t="s">
        <v>10</v>
      </c>
      <c r="AJ99" s="59" t="str">
        <f>IFERROR(RANK(TableWRTECalcPts[[#This Row],[Custom]],TableWRTECalcPts[Custom])+COUNTIF($AP$3:AP99,AP99)-1,"")</f>
        <v/>
      </c>
      <c r="AK99" s="59">
        <v>97</v>
      </c>
      <c r="AL99" s="59" t="str">
        <f>IFERROR(INDEX(TableTEMaster[Player],MATCH(TableWRTECalcPts[[#This Row],[POSRef]],TableTEMaster[TERef],0)),"")</f>
        <v/>
      </c>
      <c r="AM99" s="59" t="str">
        <f>IFERROR(_xlfn.CONCAT(TableWRTECalcPts[[#This Row],[POS]],INDEX(TableTERanks[RK],MATCH(TableWRTECalcPts[[#This Row],[PLAYER]],TableTERanks[Player],0))),"")</f>
        <v>TE86</v>
      </c>
      <c r="AN99" s="59" t="str">
        <f>IFERROR(INDEX(TableTEMaster[TM],MATCH(TableWRTECalcPts[[#This Row],[POSRef]],TableTEMaster[TERef],0)),"")</f>
        <v/>
      </c>
      <c r="AO99" s="59" t="str">
        <f>IFERROR(INDEX(TableTEMaster[BYE],MATCH(TableWRTECalcPts[[#This Row],[POSRef]],TableTEMaster[TERef],0)),"")</f>
        <v/>
      </c>
      <c r="AP99" s="60" t="str">
        <f>IFERROR(INDEX(TableTEMaster[Custom],MATCH(TableWRTECalcPts[[#This Row],[POSRef]],TableTEMaster[TERef],0)),"")</f>
        <v/>
      </c>
    </row>
    <row r="100" spans="1:42" x14ac:dyDescent="0.2">
      <c r="A100" s="61" t="str">
        <f>IFERROR(RANK(TableQBCalcPts[[#This Row],[Custom]],TableQBCalcPts[Custom])+COUNTIF($F$3:F100,F100)-1,"")</f>
        <v/>
      </c>
      <c r="B100" s="59">
        <v>98</v>
      </c>
      <c r="C100" s="59" t="str">
        <f>IFERROR(INDEX(TableQBMaster[Player],MATCH(TableQBCalcPts[[#This Row],[QBRef]],TableQBMaster[QBRef],0)),"")</f>
        <v/>
      </c>
      <c r="D100" s="59" t="str">
        <f>IFERROR(INDEX(TableQBMaster[TM],MATCH(TableQBCalcPts[[#This Row],[QBRef]],TableQBMaster[QBRef],0)),"")</f>
        <v/>
      </c>
      <c r="E100" s="59" t="str">
        <f>IFERROR(INDEX(TableQBMaster[BYE],MATCH(TableQBCalcPts[[#This Row],[QBRef]],TableQBMaster[QBRef],0)),"")</f>
        <v/>
      </c>
      <c r="F100" s="60" t="str">
        <f>IFERROR(INDEX(TableQBMaster[Custom],MATCH(TableQBCalcPts[[#This Row],[QBRef]],TableQBMaster[QBRef],0)),"")</f>
        <v/>
      </c>
      <c r="H100" s="59">
        <f>IFERROR(RANK(TableRBCalcPts[[#This Row],[Custom]],TableRBCalcPts[Custom])+COUNTIF($M$3:M100,M100)-1,"")</f>
        <v>104</v>
      </c>
      <c r="I100" s="59">
        <v>98</v>
      </c>
      <c r="J100" s="59" t="str">
        <f>IFERROR(INDEX(TableRBMaster[Player],MATCH(TableRBCalcPts[[#This Row],[RBRef]],TableRBMaster[RBRef],0)),"")</f>
        <v>Jordan Mason</v>
      </c>
      <c r="K100" s="59" t="str">
        <f>IFERROR(INDEX(TableRBMaster[TM],MATCH(TableRBCalcPts[[#This Row],[RBRef]],TableRBMaster[RBRef],0)),"")</f>
        <v>SF</v>
      </c>
      <c r="L100" s="59">
        <f>IFERROR(INDEX(TableRBMaster[BYE],MATCH(TableRBCalcPts[[#This Row],[RBRef]],TableRBMaster[RBRef],0)),"")</f>
        <v>9</v>
      </c>
      <c r="M100" s="60">
        <f>IFERROR(INDEX(TableRBMaster[Custom],MATCH(TableRBCalcPts[[#This Row],[RBRef]],TableRBMaster[RBRef],0)),"")</f>
        <v>14.324998254839997</v>
      </c>
      <c r="O100" s="59">
        <f>IFERROR(RANK(TableWRCalcPts[[#This Row],[Custom]],TableWRCalcPts[Custom])+COUNTIF($T$3:T100,T100)-1,"")</f>
        <v>6</v>
      </c>
      <c r="P100" s="59">
        <v>98</v>
      </c>
      <c r="Q100" s="59" t="str">
        <f>IFERROR(INDEX(TableWRMaster[Player],MATCH(TableWRCalcPts[[#This Row],[WRRef]],TableWRMaster[WRRef],0)),"")</f>
        <v>Puka Nacua</v>
      </c>
      <c r="R100" s="59" t="str">
        <f>IFERROR(INDEX(TableWRMaster[TM],MATCH(TableWRCalcPts[[#This Row],[WRRef]],TableWRMaster[WRRef],0)),"")</f>
        <v>LAR</v>
      </c>
      <c r="S100" s="59">
        <f>IFERROR(INDEX(TableWRMaster[BYE],MATCH(TableWRCalcPts[[#This Row],[WRRef]],TableWRMaster[WRRef],0)),"")</f>
        <v>10</v>
      </c>
      <c r="T100" s="60">
        <f>IFERROR(INDEX(TableWRMaster[Custom],MATCH(TableWRCalcPts[[#This Row],[WRRef]],TableWRMaster[WRRef],0)),"")</f>
        <v>229.36045052313952</v>
      </c>
      <c r="V100" s="59" t="str">
        <f>IFERROR(RANK(TableTECalcPts[[#This Row],[Custom]],TableTECalcPts[Custom])+COUNTIF($AA$3:AA100,AA100)-1,"")</f>
        <v/>
      </c>
      <c r="W100" s="59">
        <v>98</v>
      </c>
      <c r="X100" s="59" t="str">
        <f>IFERROR(INDEX(TableTEMaster[Player],MATCH(TableTECalcPts[[#This Row],[TERef]],TableTEMaster[TERef],0)),"")</f>
        <v/>
      </c>
      <c r="Y100" s="59" t="str">
        <f>IFERROR(INDEX(TableTEMaster[TM],MATCH(TableTECalcPts[[#This Row],[TERef]],TableTEMaster[TERef],0)),"")</f>
        <v/>
      </c>
      <c r="Z100" s="59" t="str">
        <f>IFERROR(INDEX(TableTEMaster[BYE],MATCH(TableTECalcPts[[#This Row],[TERef]],TableTEMaster[TERef],0)),"")</f>
        <v/>
      </c>
      <c r="AA100" s="60" t="str">
        <f>IFERROR(INDEX(TableTEMaster[Custom],MATCH(TableTECalcPts[[#This Row],[TERef]],TableTEMaster[TERef],0)),"")</f>
        <v/>
      </c>
      <c r="AI100" s="59" t="s">
        <v>10</v>
      </c>
      <c r="AJ100" s="59" t="str">
        <f>IFERROR(RANK(TableWRTECalcPts[[#This Row],[Custom]],TableWRTECalcPts[Custom])+COUNTIF($AP$3:AP100,AP100)-1,"")</f>
        <v/>
      </c>
      <c r="AK100" s="59">
        <v>98</v>
      </c>
      <c r="AL100" s="59" t="str">
        <f>IFERROR(INDEX(TableTEMaster[Player],MATCH(TableWRTECalcPts[[#This Row],[POSRef]],TableTEMaster[TERef],0)),"")</f>
        <v/>
      </c>
      <c r="AM100" s="59" t="str">
        <f>IFERROR(_xlfn.CONCAT(TableWRTECalcPts[[#This Row],[POS]],INDEX(TableTERanks[RK],MATCH(TableWRTECalcPts[[#This Row],[PLAYER]],TableTERanks[Player],0))),"")</f>
        <v>TE86</v>
      </c>
      <c r="AN100" s="59" t="str">
        <f>IFERROR(INDEX(TableTEMaster[TM],MATCH(TableWRTECalcPts[[#This Row],[POSRef]],TableTEMaster[TERef],0)),"")</f>
        <v/>
      </c>
      <c r="AO100" s="59" t="str">
        <f>IFERROR(INDEX(TableTEMaster[BYE],MATCH(TableWRTECalcPts[[#This Row],[POSRef]],TableTEMaster[TERef],0)),"")</f>
        <v/>
      </c>
      <c r="AP100" s="60" t="str">
        <f>IFERROR(INDEX(TableTEMaster[Custom],MATCH(TableWRTECalcPts[[#This Row],[POSRef]],TableTEMaster[TERef],0)),"")</f>
        <v/>
      </c>
    </row>
    <row r="101" spans="1:42" x14ac:dyDescent="0.2">
      <c r="A101" s="61" t="str">
        <f>IFERROR(RANK(TableQBCalcPts[[#This Row],[Custom]],TableQBCalcPts[Custom])+COUNTIF($F$3:F101,F101)-1,"")</f>
        <v/>
      </c>
      <c r="B101" s="59">
        <v>99</v>
      </c>
      <c r="C101" s="59" t="str">
        <f>IFERROR(INDEX(TableQBMaster[Player],MATCH(TableQBCalcPts[[#This Row],[QBRef]],TableQBMaster[QBRef],0)),"")</f>
        <v/>
      </c>
      <c r="D101" s="59" t="str">
        <f>IFERROR(INDEX(TableQBMaster[TM],MATCH(TableQBCalcPts[[#This Row],[QBRef]],TableQBMaster[QBRef],0)),"")</f>
        <v/>
      </c>
      <c r="E101" s="59" t="str">
        <f>IFERROR(INDEX(TableQBMaster[BYE],MATCH(TableQBCalcPts[[#This Row],[QBRef]],TableQBMaster[QBRef],0)),"")</f>
        <v/>
      </c>
      <c r="F101" s="60" t="str">
        <f>IFERROR(INDEX(TableQBMaster[Custom],MATCH(TableQBCalcPts[[#This Row],[QBRef]],TableQBMaster[QBRef],0)),"")</f>
        <v/>
      </c>
      <c r="H101" s="59">
        <f>IFERROR(RANK(TableRBCalcPts[[#This Row],[Custom]],TableRBCalcPts[Custom])+COUNTIF($M$3:M101,M101)-1,"")</f>
        <v>66</v>
      </c>
      <c r="I101" s="59">
        <v>99</v>
      </c>
      <c r="J101" s="59" t="str">
        <f>IFERROR(INDEX(TableRBMaster[Player],MATCH(TableRBCalcPts[[#This Row],[RBRef]],TableRBMaster[RBRef],0)),"")</f>
        <v>Isaac Guerendo</v>
      </c>
      <c r="K101" s="59" t="str">
        <f>IFERROR(INDEX(TableRBMaster[TM],MATCH(TableRBCalcPts[[#This Row],[RBRef]],TableRBMaster[RBRef],0)),"")</f>
        <v>SF</v>
      </c>
      <c r="L101" s="59">
        <f>IFERROR(INDEX(TableRBMaster[BYE],MATCH(TableRBCalcPts[[#This Row],[RBRef]],TableRBMaster[RBRef],0)),"")</f>
        <v>9</v>
      </c>
      <c r="M101" s="60">
        <f>IFERROR(INDEX(TableRBMaster[Custom],MATCH(TableRBCalcPts[[#This Row],[RBRef]],TableRBMaster[RBRef],0)),"")</f>
        <v>65.973710530123185</v>
      </c>
      <c r="O101" s="59">
        <f>IFERROR(RANK(TableWRCalcPts[[#This Row],[Custom]],TableWRCalcPts[Custom])+COUNTIF($T$3:T101,T101)-1,"")</f>
        <v>57</v>
      </c>
      <c r="P101" s="59">
        <v>99</v>
      </c>
      <c r="Q101" s="59" t="str">
        <f>IFERROR(INDEX(TableWRMaster[Player],MATCH(TableWRCalcPts[[#This Row],[WRRef]],TableWRMaster[WRRef],0)),"")</f>
        <v>Demarcus Robinson</v>
      </c>
      <c r="R101" s="59" t="str">
        <f>IFERROR(INDEX(TableWRMaster[TM],MATCH(TableWRCalcPts[[#This Row],[WRRef]],TableWRMaster[WRRef],0)),"")</f>
        <v>LAR</v>
      </c>
      <c r="S101" s="59">
        <f>IFERROR(INDEX(TableWRMaster[BYE],MATCH(TableWRCalcPts[[#This Row],[WRRef]],TableWRMaster[WRRef],0)),"")</f>
        <v>10</v>
      </c>
      <c r="T101" s="60">
        <f>IFERROR(INDEX(TableWRMaster[Custom],MATCH(TableWRCalcPts[[#This Row],[WRRef]],TableWRMaster[WRRef],0)),"")</f>
        <v>144.40266851009997</v>
      </c>
      <c r="V101" s="59" t="str">
        <f>IFERROR(RANK(TableTECalcPts[[#This Row],[Custom]],TableTECalcPts[Custom])+COUNTIF($AA$3:AA101,AA101)-1,"")</f>
        <v/>
      </c>
      <c r="W101" s="59">
        <v>99</v>
      </c>
      <c r="X101" s="59" t="str">
        <f>IFERROR(INDEX(TableTEMaster[Player],MATCH(TableTECalcPts[[#This Row],[TERef]],TableTEMaster[TERef],0)),"")</f>
        <v/>
      </c>
      <c r="Y101" s="59" t="str">
        <f>IFERROR(INDEX(TableTEMaster[TM],MATCH(TableTECalcPts[[#This Row],[TERef]],TableTEMaster[TERef],0)),"")</f>
        <v/>
      </c>
      <c r="Z101" s="59" t="str">
        <f>IFERROR(INDEX(TableTEMaster[BYE],MATCH(TableTECalcPts[[#This Row],[TERef]],TableTEMaster[TERef],0)),"")</f>
        <v/>
      </c>
      <c r="AA101" s="60" t="str">
        <f>IFERROR(INDEX(TableTEMaster[Custom],MATCH(TableTECalcPts[[#This Row],[TERef]],TableTEMaster[TERef],0)),"")</f>
        <v/>
      </c>
      <c r="AI101" s="59" t="s">
        <v>10</v>
      </c>
      <c r="AJ101" s="59" t="str">
        <f>IFERROR(RANK(TableWRTECalcPts[[#This Row],[Custom]],TableWRTECalcPts[Custom])+COUNTIF($AP$3:AP101,AP101)-1,"")</f>
        <v/>
      </c>
      <c r="AK101" s="59">
        <v>99</v>
      </c>
      <c r="AL101" s="59" t="str">
        <f>IFERROR(INDEX(TableTEMaster[Player],MATCH(TableWRTECalcPts[[#This Row],[POSRef]],TableTEMaster[TERef],0)),"")</f>
        <v/>
      </c>
      <c r="AM101" s="59" t="str">
        <f>IFERROR(_xlfn.CONCAT(TableWRTECalcPts[[#This Row],[POS]],INDEX(TableTERanks[RK],MATCH(TableWRTECalcPts[[#This Row],[PLAYER]],TableTERanks[Player],0))),"")</f>
        <v>TE86</v>
      </c>
      <c r="AN101" s="59" t="str">
        <f>IFERROR(INDEX(TableTEMaster[TM],MATCH(TableWRTECalcPts[[#This Row],[POSRef]],TableTEMaster[TERef],0)),"")</f>
        <v/>
      </c>
      <c r="AO101" s="59" t="str">
        <f>IFERROR(INDEX(TableTEMaster[BYE],MATCH(TableWRTECalcPts[[#This Row],[POSRef]],TableTEMaster[TERef],0)),"")</f>
        <v/>
      </c>
      <c r="AP101" s="60" t="str">
        <f>IFERROR(INDEX(TableTEMaster[Custom],MATCH(TableWRTECalcPts[[#This Row],[POSRef]],TableTEMaster[TERef],0)),"")</f>
        <v/>
      </c>
    </row>
    <row r="102" spans="1:42" x14ac:dyDescent="0.2">
      <c r="A102" s="61" t="str">
        <f>IFERROR(RANK(TableQBCalcPts[[#This Row],[Custom]],TableQBCalcPts[Custom])+COUNTIF($F$3:F102,F102)-1,"")</f>
        <v/>
      </c>
      <c r="B102" s="59">
        <v>100</v>
      </c>
      <c r="C102" s="59" t="str">
        <f>IFERROR(INDEX(TableQBMaster[Player],MATCH(TableQBCalcPts[[#This Row],[QBRef]],TableQBMaster[QBRef],0)),"")</f>
        <v/>
      </c>
      <c r="D102" s="59" t="str">
        <f>IFERROR(INDEX(TableQBMaster[TM],MATCH(TableQBCalcPts[[#This Row],[QBRef]],TableQBMaster[QBRef],0)),"")</f>
        <v/>
      </c>
      <c r="E102" s="59" t="str">
        <f>IFERROR(INDEX(TableQBMaster[BYE],MATCH(TableQBCalcPts[[#This Row],[QBRef]],TableQBMaster[QBRef],0)),"")</f>
        <v/>
      </c>
      <c r="F102" s="60" t="str">
        <f>IFERROR(INDEX(TableQBMaster[Custom],MATCH(TableQBCalcPts[[#This Row],[QBRef]],TableQBMaster[QBRef],0)),"")</f>
        <v/>
      </c>
      <c r="H102" s="59">
        <f>IFERROR(RANK(TableRBCalcPts[[#This Row],[Custom]],TableRBCalcPts[Custom])+COUNTIF($M$3:M102,M102)-1,"")</f>
        <v>13</v>
      </c>
      <c r="I102" s="59">
        <v>100</v>
      </c>
      <c r="J102" s="59" t="str">
        <f>IFERROR(INDEX(TableRBMaster[Player],MATCH(TableRBCalcPts[[#This Row],[RBRef]],TableRBMaster[RBRef],0)),"")</f>
        <v>Rachaad White</v>
      </c>
      <c r="K102" s="59" t="str">
        <f>IFERROR(INDEX(TableRBMaster[TM],MATCH(TableRBCalcPts[[#This Row],[RBRef]],TableRBMaster[RBRef],0)),"")</f>
        <v>TB</v>
      </c>
      <c r="L102" s="59">
        <f>IFERROR(INDEX(TableRBMaster[BYE],MATCH(TableRBCalcPts[[#This Row],[RBRef]],TableRBMaster[RBRef],0)),"")</f>
        <v>5</v>
      </c>
      <c r="M102" s="60">
        <f>IFERROR(INDEX(TableRBMaster[Custom],MATCH(TableRBCalcPts[[#This Row],[RBRef]],TableRBMaster[RBRef],0)),"")</f>
        <v>206.90615457993601</v>
      </c>
      <c r="O102" s="59">
        <f>IFERROR(RANK(TableWRCalcPts[[#This Row],[Custom]],TableWRCalcPts[Custom])+COUNTIF($T$3:T102,T102)-1,"")</f>
        <v>131</v>
      </c>
      <c r="P102" s="59">
        <v>100</v>
      </c>
      <c r="Q102" s="59" t="str">
        <f>IFERROR(INDEX(TableWRMaster[Player],MATCH(TableWRCalcPts[[#This Row],[WRRef]],TableWRMaster[WRRef],0)),"")</f>
        <v>Ben Skowronek</v>
      </c>
      <c r="R102" s="59" t="str">
        <f>IFERROR(INDEX(TableWRMaster[TM],MATCH(TableWRCalcPts[[#This Row],[WRRef]],TableWRMaster[WRRef],0)),"")</f>
        <v>LAR</v>
      </c>
      <c r="S102" s="59">
        <f>IFERROR(INDEX(TableWRMaster[BYE],MATCH(TableWRCalcPts[[#This Row],[WRRef]],TableWRMaster[WRRef],0)),"")</f>
        <v>10</v>
      </c>
      <c r="T102" s="60">
        <f>IFERROR(INDEX(TableWRMaster[Custom],MATCH(TableWRCalcPts[[#This Row],[WRRef]],TableWRMaster[WRRef],0)),"")</f>
        <v>28.195674986303992</v>
      </c>
      <c r="V102" s="59" t="str">
        <f>IFERROR(RANK(TableTECalcPts[[#This Row],[Custom]],TableTECalcPts[Custom])+COUNTIF($AA$3:AA102,AA102)-1,"")</f>
        <v/>
      </c>
      <c r="W102" s="59">
        <v>100</v>
      </c>
      <c r="X102" s="59" t="str">
        <f>IFERROR(INDEX(TableTEMaster[Player],MATCH(TableTECalcPts[[#This Row],[TERef]],TableTEMaster[TERef],0)),"")</f>
        <v/>
      </c>
      <c r="Y102" s="59" t="str">
        <f>IFERROR(INDEX(TableTEMaster[TM],MATCH(TableTECalcPts[[#This Row],[TERef]],TableTEMaster[TERef],0)),"")</f>
        <v/>
      </c>
      <c r="Z102" s="59" t="str">
        <f>IFERROR(INDEX(TableTEMaster[BYE],MATCH(TableTECalcPts[[#This Row],[TERef]],TableTEMaster[TERef],0)),"")</f>
        <v/>
      </c>
      <c r="AA102" s="60" t="str">
        <f>IFERROR(INDEX(TableTEMaster[Custom],MATCH(TableTECalcPts[[#This Row],[TERef]],TableTEMaster[TERef],0)),"")</f>
        <v/>
      </c>
      <c r="AI102" s="59" t="s">
        <v>10</v>
      </c>
      <c r="AJ102" s="59" t="str">
        <f>IFERROR(RANK(TableWRTECalcPts[[#This Row],[Custom]],TableWRTECalcPts[Custom])+COUNTIF($AP$3:AP102,AP102)-1,"")</f>
        <v/>
      </c>
      <c r="AK102" s="59">
        <v>100</v>
      </c>
      <c r="AL102" s="59" t="str">
        <f>IFERROR(INDEX(TableTEMaster[Player],MATCH(TableWRTECalcPts[[#This Row],[POSRef]],TableTEMaster[TERef],0)),"")</f>
        <v/>
      </c>
      <c r="AM102" s="59" t="str">
        <f>IFERROR(_xlfn.CONCAT(TableWRTECalcPts[[#This Row],[POS]],INDEX(TableTERanks[RK],MATCH(TableWRTECalcPts[[#This Row],[PLAYER]],TableTERanks[Player],0))),"")</f>
        <v>TE86</v>
      </c>
      <c r="AN102" s="59" t="str">
        <f>IFERROR(INDEX(TableTEMaster[TM],MATCH(TableWRTECalcPts[[#This Row],[POSRef]],TableTEMaster[TERef],0)),"")</f>
        <v/>
      </c>
      <c r="AO102" s="59" t="str">
        <f>IFERROR(INDEX(TableTEMaster[BYE],MATCH(TableWRTECalcPts[[#This Row],[POSRef]],TableTEMaster[TERef],0)),"")</f>
        <v/>
      </c>
      <c r="AP102" s="60" t="str">
        <f>IFERROR(INDEX(TableTEMaster[Custom],MATCH(TableWRTECalcPts[[#This Row],[POSRef]],TableTEMaster[TERef],0)),"")</f>
        <v/>
      </c>
    </row>
    <row r="103" spans="1:42" x14ac:dyDescent="0.2">
      <c r="H103" s="59">
        <f>IFERROR(RANK(TableRBCalcPts[[#This Row],[Custom]],TableRBCalcPts[Custom])+COUNTIF($M$3:M103,M103)-1,"")</f>
        <v>70</v>
      </c>
      <c r="I103" s="59">
        <v>101</v>
      </c>
      <c r="J103" s="59" t="str">
        <f>IFERROR(INDEX(TableRBMaster[Player],MATCH(TableRBCalcPts[[#This Row],[RBRef]],TableRBMaster[RBRef],0)),"")</f>
        <v>Chase Edmonds</v>
      </c>
      <c r="K103" s="59" t="str">
        <f>IFERROR(INDEX(TableRBMaster[TM],MATCH(TableRBCalcPts[[#This Row],[RBRef]],TableRBMaster[RBRef],0)),"")</f>
        <v>TB</v>
      </c>
      <c r="L103" s="59">
        <f>IFERROR(INDEX(TableRBMaster[BYE],MATCH(TableRBCalcPts[[#This Row],[RBRef]],TableRBMaster[RBRef],0)),"")</f>
        <v>5</v>
      </c>
      <c r="M103" s="60">
        <f>IFERROR(INDEX(TableRBMaster[Custom],MATCH(TableRBCalcPts[[#This Row],[RBRef]],TableRBMaster[RBRef],0)),"")</f>
        <v>58.608012904245008</v>
      </c>
      <c r="O103" s="59">
        <f>IFERROR(RANK(TableWRCalcPts[[#This Row],[Custom]],TableWRCalcPts[Custom])+COUNTIF($T$3:T103,T103)-1,"")</f>
        <v>136</v>
      </c>
      <c r="P103" s="59">
        <v>101</v>
      </c>
      <c r="Q103" s="59" t="str">
        <f>IFERROR(INDEX(TableWRMaster[Player],MATCH(TableWRCalcPts[[#This Row],[WRRef]],TableWRMaster[WRRef],0)),"")</f>
        <v>Tutu Atwell</v>
      </c>
      <c r="R103" s="59" t="str">
        <f>IFERROR(INDEX(TableWRMaster[TM],MATCH(TableWRCalcPts[[#This Row],[WRRef]],TableWRMaster[WRRef],0)),"")</f>
        <v>LAR</v>
      </c>
      <c r="S103" s="59">
        <f>IFERROR(INDEX(TableWRMaster[BYE],MATCH(TableWRCalcPts[[#This Row],[WRRef]],TableWRMaster[WRRef],0)),"")</f>
        <v>10</v>
      </c>
      <c r="T103" s="60">
        <f>IFERROR(INDEX(TableWRMaster[Custom],MATCH(TableWRCalcPts[[#This Row],[WRRef]],TableWRMaster[WRRef],0)),"")</f>
        <v>25.364281713758388</v>
      </c>
      <c r="AI103" s="59" t="s">
        <v>223</v>
      </c>
      <c r="AJ103" s="59">
        <f>IFERROR(RANK(TableWRTECalcPts[[#This Row],[Custom]],TableWRTECalcPts[Custom])+COUNTIF($AP$3:AP103,AP103)-1,"")</f>
        <v>12</v>
      </c>
      <c r="AK103" s="105">
        <v>1</v>
      </c>
      <c r="AL103" s="105" t="str">
        <f>IFERROR(INDEX(TableWRMaster[Player],MATCH(TableWRTECalcPts[[#This Row],[POSRef]],TableWRMaster[WRRef],0)),"")</f>
        <v>Marvin Harrison</v>
      </c>
      <c r="AM103" s="105" t="str">
        <f>IFERROR(_xlfn.CONCAT(TableWRTECalcPts[[#This Row],[POS]],INDEX(TableWRRanks[RK],MATCH(TableWRTECalcPts[[#This Row],[PLAYER]],TableWRRanks[Player],0))),"")</f>
        <v>WR12</v>
      </c>
      <c r="AN103" s="105" t="str">
        <f>IFERROR(INDEX(TableWRMaster[TM],MATCH(TableWRTECalcPts[[#This Row],[POSRef]],TableWRMaster[WRRef],0)),"")</f>
        <v>ARI</v>
      </c>
      <c r="AO103" s="105">
        <f>IFERROR(INDEX(TableWRMaster[BYE],MATCH(TableWRTECalcPts[[#This Row],[POSRef]],TableWRMaster[WRRef],0)),"")</f>
        <v>14</v>
      </c>
      <c r="AP103" s="103">
        <f>IFERROR(INDEX(TableWRMaster[Custom],MATCH(TableWRTECalcPts[[#This Row],[POSRef]],TableWRMaster[WRRef],0)),"")</f>
        <v>204.83187286464002</v>
      </c>
    </row>
    <row r="104" spans="1:42" x14ac:dyDescent="0.2">
      <c r="H104" s="59">
        <f>IFERROR(RANK(TableRBCalcPts[[#This Row],[Custom]],TableRBCalcPts[Custom])+COUNTIF($M$3:M104,M104)-1,"")</f>
        <v>102</v>
      </c>
      <c r="I104" s="59">
        <v>102</v>
      </c>
      <c r="J104" s="59" t="str">
        <f>IFERROR(INDEX(TableRBMaster[Player],MATCH(TableRBCalcPts[[#This Row],[RBRef]],TableRBMaster[RBRef],0)),"")</f>
        <v>Sean Tucker</v>
      </c>
      <c r="K104" s="59" t="str">
        <f>IFERROR(INDEX(TableRBMaster[TM],MATCH(TableRBCalcPts[[#This Row],[RBRef]],TableRBMaster[RBRef],0)),"")</f>
        <v>TB</v>
      </c>
      <c r="L104" s="59">
        <f>IFERROR(INDEX(TableRBMaster[BYE],MATCH(TableRBCalcPts[[#This Row],[RBRef]],TableRBMaster[RBRef],0)),"")</f>
        <v>5</v>
      </c>
      <c r="M104" s="60">
        <f>IFERROR(INDEX(TableRBMaster[Custom],MATCH(TableRBCalcPts[[#This Row],[RBRef]],TableRBMaster[RBRef],0)),"")</f>
        <v>15.938611166570402</v>
      </c>
      <c r="O104" s="59">
        <f>IFERROR(RANK(TableWRCalcPts[[#This Row],[Custom]],TableWRCalcPts[Custom])+COUNTIF($T$3:T104,T104)-1,"")</f>
        <v>155</v>
      </c>
      <c r="P104" s="59">
        <v>102</v>
      </c>
      <c r="Q104" s="59" t="str">
        <f>IFERROR(INDEX(TableWRMaster[Player],MATCH(TableWRCalcPts[[#This Row],[WRRef]],TableWRMaster[WRRef],0)),"")</f>
        <v>Jordan Whittington</v>
      </c>
      <c r="R104" s="59" t="str">
        <f>IFERROR(INDEX(TableWRMaster[TM],MATCH(TableWRCalcPts[[#This Row],[WRRef]],TableWRMaster[WRRef],0)),"")</f>
        <v>LAR</v>
      </c>
      <c r="S104" s="59">
        <f>IFERROR(INDEX(TableWRMaster[BYE],MATCH(TableWRCalcPts[[#This Row],[WRRef]],TableWRMaster[WRRef],0)),"")</f>
        <v>10</v>
      </c>
      <c r="T104" s="60">
        <f>IFERROR(INDEX(TableWRMaster[Custom],MATCH(TableWRCalcPts[[#This Row],[WRRef]],TableWRMaster[WRRef],0)),"")</f>
        <v>15.955668457276795</v>
      </c>
      <c r="AI104" s="59" t="s">
        <v>223</v>
      </c>
      <c r="AJ104" s="59">
        <f>IFERROR(RANK(TableWRTECalcPts[[#This Row],[Custom]],TableWRTECalcPts[Custom])+COUNTIF($AP$3:AP104,AP104)-1,"")</f>
        <v>64</v>
      </c>
      <c r="AK104" s="105">
        <v>2</v>
      </c>
      <c r="AL104" s="105" t="str">
        <f>IFERROR(INDEX(TableWRMaster[Player],MATCH(TableWRTECalcPts[[#This Row],[POSRef]],TableWRMaster[WRRef],0)),"")</f>
        <v>Michael Wilson</v>
      </c>
      <c r="AM104" s="105" t="str">
        <f>IFERROR(_xlfn.CONCAT(TableWRTECalcPts[[#This Row],[POS]],INDEX(TableWRRanks[RK],MATCH(TableWRTECalcPts[[#This Row],[PLAYER]],TableWRRanks[Player],0))),"")</f>
        <v>WR55</v>
      </c>
      <c r="AN104" s="105" t="str">
        <f>IFERROR(INDEX(TableWRMaster[TM],MATCH(TableWRTECalcPts[[#This Row],[POSRef]],TableWRMaster[WRRef],0)),"")</f>
        <v>ARI</v>
      </c>
      <c r="AO104" s="105">
        <f>IFERROR(INDEX(TableWRMaster[BYE],MATCH(TableWRTECalcPts[[#This Row],[POSRef]],TableWRMaster[WRRef],0)),"")</f>
        <v>14</v>
      </c>
      <c r="AP104" s="103">
        <f>IFERROR(INDEX(TableWRMaster[Custom],MATCH(TableWRTECalcPts[[#This Row],[POSRef]],TableWRMaster[WRRef],0)),"")</f>
        <v>144.59086635304499</v>
      </c>
    </row>
    <row r="105" spans="1:42" x14ac:dyDescent="0.2">
      <c r="H105" s="59">
        <f>IFERROR(RANK(TableRBCalcPts[[#This Row],[Custom]],TableRBCalcPts[Custom])+COUNTIF($M$3:M105,M105)-1,"")</f>
        <v>57</v>
      </c>
      <c r="I105" s="59">
        <v>103</v>
      </c>
      <c r="J105" s="59" t="str">
        <f>IFERROR(INDEX(TableRBMaster[Player],MATCH(TableRBCalcPts[[#This Row],[RBRef]],TableRBMaster[RBRef],0)),"")</f>
        <v>Bucky Irving</v>
      </c>
      <c r="K105" s="59" t="str">
        <f>IFERROR(INDEX(TableRBMaster[TM],MATCH(TableRBCalcPts[[#This Row],[RBRef]],TableRBMaster[RBRef],0)),"")</f>
        <v>TB</v>
      </c>
      <c r="L105" s="59">
        <f>IFERROR(INDEX(TableRBMaster[BYE],MATCH(TableRBCalcPts[[#This Row],[RBRef]],TableRBMaster[RBRef],0)),"")</f>
        <v>5</v>
      </c>
      <c r="M105" s="60">
        <f>IFERROR(INDEX(TableRBMaster[Custom],MATCH(TableRBCalcPts[[#This Row],[RBRef]],TableRBMaster[RBRef],0)),"")</f>
        <v>80.274500634451215</v>
      </c>
      <c r="O105" s="59">
        <f>IFERROR(RANK(TableWRCalcPts[[#This Row],[Custom]],TableWRCalcPts[Custom])+COUNTIF($T$3:T105,T105)-1,"")</f>
        <v>26</v>
      </c>
      <c r="P105" s="59">
        <v>103</v>
      </c>
      <c r="Q105" s="59" t="str">
        <f>IFERROR(INDEX(TableWRMaster[Player],MATCH(TableWRCalcPts[[#This Row],[WRRef]],TableWRMaster[WRRef],0)),"")</f>
        <v>Davante Adams</v>
      </c>
      <c r="R105" s="59" t="str">
        <f>IFERROR(INDEX(TableWRMaster[TM],MATCH(TableWRCalcPts[[#This Row],[WRRef]],TableWRMaster[WRRef],0)),"")</f>
        <v>LV</v>
      </c>
      <c r="S105" s="59">
        <f>IFERROR(INDEX(TableWRMaster[BYE],MATCH(TableWRCalcPts[[#This Row],[WRRef]],TableWRMaster[WRRef],0)),"")</f>
        <v>13</v>
      </c>
      <c r="T105" s="60">
        <f>IFERROR(INDEX(TableWRMaster[Custom],MATCH(TableWRCalcPts[[#This Row],[WRRef]],TableWRMaster[WRRef],0)),"")</f>
        <v>181.43058009999996</v>
      </c>
      <c r="AI105" s="59" t="s">
        <v>223</v>
      </c>
      <c r="AJ105" s="59">
        <f>IFERROR(RANK(TableWRTECalcPts[[#This Row],[Custom]],TableWRTECalcPts[Custom])+COUNTIF($AP$3:AP105,AP105)-1,"")</f>
        <v>109</v>
      </c>
      <c r="AK105" s="105">
        <v>3</v>
      </c>
      <c r="AL105" s="105" t="str">
        <f>IFERROR(INDEX(TableWRMaster[Player],MATCH(TableWRTECalcPts[[#This Row],[POSRef]],TableWRMaster[WRRef],0)),"")</f>
        <v>Greg Dortch</v>
      </c>
      <c r="AM105" s="105" t="str">
        <f>IFERROR(_xlfn.CONCAT(TableWRTECalcPts[[#This Row],[POS]],INDEX(TableWRRanks[RK],MATCH(TableWRTECalcPts[[#This Row],[PLAYER]],TableWRRanks[Player],0))),"")</f>
        <v>WR84</v>
      </c>
      <c r="AN105" s="105" t="str">
        <f>IFERROR(INDEX(TableWRMaster[TM],MATCH(TableWRTECalcPts[[#This Row],[POSRef]],TableWRMaster[WRRef],0)),"")</f>
        <v>ARI</v>
      </c>
      <c r="AO105" s="105">
        <f>IFERROR(INDEX(TableWRMaster[BYE],MATCH(TableWRTECalcPts[[#This Row],[POSRef]],TableWRMaster[WRRef],0)),"")</f>
        <v>14</v>
      </c>
      <c r="AP105" s="103">
        <f>IFERROR(INDEX(TableWRMaster[Custom],MATCH(TableWRTECalcPts[[#This Row],[POSRef]],TableWRMaster[WRRef],0)),"")</f>
        <v>85.462192509750011</v>
      </c>
    </row>
    <row r="106" spans="1:42" x14ac:dyDescent="0.2">
      <c r="H106" s="59">
        <f>IFERROR(RANK(TableRBCalcPts[[#This Row],[Custom]],TableRBCalcPts[Custom])+COUNTIF($M$3:M106,M106)-1,"")</f>
        <v>32</v>
      </c>
      <c r="I106" s="59">
        <v>104</v>
      </c>
      <c r="J106" s="59" t="str">
        <f>IFERROR(INDEX(TableRBMaster[Player],MATCH(TableRBCalcPts[[#This Row],[RBRef]],TableRBMaster[RBRef],0)),"")</f>
        <v>Tony Pollard</v>
      </c>
      <c r="K106" s="59" t="str">
        <f>IFERROR(INDEX(TableRBMaster[TM],MATCH(TableRBCalcPts[[#This Row],[RBRef]],TableRBMaster[RBRef],0)),"")</f>
        <v>TEN</v>
      </c>
      <c r="L106" s="59">
        <f>IFERROR(INDEX(TableRBMaster[BYE],MATCH(TableRBCalcPts[[#This Row],[RBRef]],TableRBMaster[RBRef],0)),"")</f>
        <v>7</v>
      </c>
      <c r="M106" s="60">
        <f>IFERROR(INDEX(TableRBMaster[Custom],MATCH(TableRBCalcPts[[#This Row],[RBRef]],TableRBMaster[RBRef],0)),"")</f>
        <v>158.11878126983396</v>
      </c>
      <c r="O106" s="59">
        <f>IFERROR(RANK(TableWRCalcPts[[#This Row],[Custom]],TableWRCalcPts[Custom])+COUNTIF($T$3:T106,T106)-1,"")</f>
        <v>51</v>
      </c>
      <c r="P106" s="59">
        <v>104</v>
      </c>
      <c r="Q106" s="59" t="str">
        <f>IFERROR(INDEX(TableWRMaster[Player],MATCH(TableWRCalcPts[[#This Row],[WRRef]],TableWRMaster[WRRef],0)),"")</f>
        <v>Jakobi Meyers</v>
      </c>
      <c r="R106" s="59" t="str">
        <f>IFERROR(INDEX(TableWRMaster[TM],MATCH(TableWRCalcPts[[#This Row],[WRRef]],TableWRMaster[WRRef],0)),"")</f>
        <v>LV</v>
      </c>
      <c r="S106" s="59">
        <f>IFERROR(INDEX(TableWRMaster[BYE],MATCH(TableWRCalcPts[[#This Row],[WRRef]],TableWRMaster[WRRef],0)),"")</f>
        <v>13</v>
      </c>
      <c r="T106" s="60">
        <f>IFERROR(INDEX(TableWRMaster[Custom],MATCH(TableWRCalcPts[[#This Row],[WRRef]],TableWRMaster[WRRef],0)),"")</f>
        <v>152.92230757999994</v>
      </c>
      <c r="AI106" s="59" t="s">
        <v>223</v>
      </c>
      <c r="AJ106" s="59">
        <f>IFERROR(RANK(TableWRTECalcPts[[#This Row],[Custom]],TableWRTECalcPts[Custom])+COUNTIF($AP$3:AP106,AP106)-1,"")</f>
        <v>195</v>
      </c>
      <c r="AK106" s="105">
        <v>4</v>
      </c>
      <c r="AL106" s="105" t="str">
        <f>IFERROR(INDEX(TableWRMaster[Player],MATCH(TableWRTECalcPts[[#This Row],[POSRef]],TableWRMaster[WRRef],0)),"")</f>
        <v>Chris Moore</v>
      </c>
      <c r="AM106" s="105" t="str">
        <f>IFERROR(_xlfn.CONCAT(TableWRTECalcPts[[#This Row],[POS]],INDEX(TableWRRanks[RK],MATCH(TableWRTECalcPts[[#This Row],[PLAYER]],TableWRRanks[Player],0))),"")</f>
        <v>WR140</v>
      </c>
      <c r="AN106" s="105" t="str">
        <f>IFERROR(INDEX(TableWRMaster[TM],MATCH(TableWRTECalcPts[[#This Row],[POSRef]],TableWRMaster[WRRef],0)),"")</f>
        <v>ARI</v>
      </c>
      <c r="AO106" s="105">
        <f>IFERROR(INDEX(TableWRMaster[BYE],MATCH(TableWRTECalcPts[[#This Row],[POSRef]],TableWRMaster[WRRef],0)),"")</f>
        <v>14</v>
      </c>
      <c r="AP106" s="103">
        <f>IFERROR(INDEX(TableWRMaster[Custom],MATCH(TableWRTECalcPts[[#This Row],[POSRef]],TableWRMaster[WRRef],0)),"")</f>
        <v>23.404815945000003</v>
      </c>
    </row>
    <row r="107" spans="1:42" x14ac:dyDescent="0.2">
      <c r="H107" s="59">
        <f>IFERROR(RANK(TableRBCalcPts[[#This Row],[Custom]],TableRBCalcPts[Custom])+COUNTIF($M$3:M107,M107)-1,"")</f>
        <v>25</v>
      </c>
      <c r="I107" s="59">
        <v>105</v>
      </c>
      <c r="J107" s="59" t="str">
        <f>IFERROR(INDEX(TableRBMaster[Player],MATCH(TableRBCalcPts[[#This Row],[RBRef]],TableRBMaster[RBRef],0)),"")</f>
        <v>Tyjae Spears</v>
      </c>
      <c r="K107" s="59" t="str">
        <f>IFERROR(INDEX(TableRBMaster[TM],MATCH(TableRBCalcPts[[#This Row],[RBRef]],TableRBMaster[RBRef],0)),"")</f>
        <v>TEN</v>
      </c>
      <c r="L107" s="59">
        <f>IFERROR(INDEX(TableRBMaster[BYE],MATCH(TableRBCalcPts[[#This Row],[RBRef]],TableRBMaster[RBRef],0)),"")</f>
        <v>7</v>
      </c>
      <c r="M107" s="60">
        <f>IFERROR(INDEX(TableRBMaster[Custom],MATCH(TableRBCalcPts[[#This Row],[RBRef]],TableRBMaster[RBRef],0)),"")</f>
        <v>179.74989474634501</v>
      </c>
      <c r="O107" s="59">
        <f>IFERROR(RANK(TableWRCalcPts[[#This Row],[Custom]],TableWRCalcPts[Custom])+COUNTIF($T$3:T107,T107)-1,"")</f>
        <v>108</v>
      </c>
      <c r="P107" s="59">
        <v>105</v>
      </c>
      <c r="Q107" s="59" t="str">
        <f>IFERROR(INDEX(TableWRMaster[Player],MATCH(TableWRCalcPts[[#This Row],[WRRef]],TableWRMaster[WRRef],0)),"")</f>
        <v>Tre Tucker</v>
      </c>
      <c r="R107" s="59" t="str">
        <f>IFERROR(INDEX(TableWRMaster[TM],MATCH(TableWRCalcPts[[#This Row],[WRRef]],TableWRMaster[WRRef],0)),"")</f>
        <v>LV</v>
      </c>
      <c r="S107" s="59">
        <f>IFERROR(INDEX(TableWRMaster[BYE],MATCH(TableWRCalcPts[[#This Row],[WRRef]],TableWRMaster[WRRef],0)),"")</f>
        <v>13</v>
      </c>
      <c r="T107" s="60">
        <f>IFERROR(INDEX(TableWRMaster[Custom],MATCH(TableWRCalcPts[[#This Row],[WRRef]],TableWRMaster[WRRef],0)),"")</f>
        <v>38.374922018159985</v>
      </c>
      <c r="AI107" s="59" t="s">
        <v>223</v>
      </c>
      <c r="AJ107" s="59">
        <f>IFERROR(RANK(TableWRTECalcPts[[#This Row],[Custom]],TableWRTECalcPts[Custom])+COUNTIF($AP$3:AP107,AP107)-1,"")</f>
        <v>238</v>
      </c>
      <c r="AK107" s="105">
        <v>5</v>
      </c>
      <c r="AL107" s="105" t="str">
        <f>IFERROR(INDEX(TableWRMaster[Player],MATCH(TableWRTECalcPts[[#This Row],[POSRef]],TableWRMaster[WRRef],0)),"")</f>
        <v>Zach Pascal</v>
      </c>
      <c r="AM107" s="105" t="str">
        <f>IFERROR(_xlfn.CONCAT(TableWRTECalcPts[[#This Row],[POS]],INDEX(TableWRRanks[RK],MATCH(TableWRTECalcPts[[#This Row],[PLAYER]],TableWRRanks[Player],0))),"")</f>
        <v>WR164</v>
      </c>
      <c r="AN107" s="105" t="str">
        <f>IFERROR(INDEX(TableWRMaster[TM],MATCH(TableWRTECalcPts[[#This Row],[POSRef]],TableWRMaster[WRRef],0)),"")</f>
        <v>ARI</v>
      </c>
      <c r="AO107" s="105">
        <f>IFERROR(INDEX(TableWRMaster[BYE],MATCH(TableWRTECalcPts[[#This Row],[POSRef]],TableWRMaster[WRRef],0)),"")</f>
        <v>14</v>
      </c>
      <c r="AP107" s="103">
        <f>IFERROR(INDEX(TableWRMaster[Custom],MATCH(TableWRTECalcPts[[#This Row],[POSRef]],TableWRMaster[WRRef],0)),"")</f>
        <v>13.635885183900001</v>
      </c>
    </row>
    <row r="108" spans="1:42" x14ac:dyDescent="0.2">
      <c r="H108" s="59">
        <f>IFERROR(RANK(TableRBCalcPts[[#This Row],[Custom]],TableRBCalcPts[Custom])+COUNTIF($M$3:M108,M108)-1,"")</f>
        <v>90</v>
      </c>
      <c r="I108" s="59">
        <v>106</v>
      </c>
      <c r="J108" s="59" t="str">
        <f>IFERROR(INDEX(TableRBMaster[Player],MATCH(TableRBCalcPts[[#This Row],[RBRef]],TableRBMaster[RBRef],0)),"")</f>
        <v>Hassan Haskins</v>
      </c>
      <c r="K108" s="59" t="str">
        <f>IFERROR(INDEX(TableRBMaster[TM],MATCH(TableRBCalcPts[[#This Row],[RBRef]],TableRBMaster[RBRef],0)),"")</f>
        <v>TEN</v>
      </c>
      <c r="L108" s="59">
        <f>IFERROR(INDEX(TableRBMaster[BYE],MATCH(TableRBCalcPts[[#This Row],[RBRef]],TableRBMaster[RBRef],0)),"")</f>
        <v>7</v>
      </c>
      <c r="M108" s="60">
        <f>IFERROR(INDEX(TableRBMaster[Custom],MATCH(TableRBCalcPts[[#This Row],[RBRef]],TableRBMaster[RBRef],0)),"")</f>
        <v>23.519939289</v>
      </c>
      <c r="O108" s="59">
        <f>IFERROR(RANK(TableWRCalcPts[[#This Row],[Custom]],TableWRCalcPts[Custom])+COUNTIF($T$3:T108,T108)-1,"")</f>
        <v>102</v>
      </c>
      <c r="P108" s="59">
        <v>106</v>
      </c>
      <c r="Q108" s="59" t="str">
        <f>IFERROR(INDEX(TableWRMaster[Player],MATCH(TableWRCalcPts[[#This Row],[WRRef]],TableWRMaster[WRRef],0)),"")</f>
        <v>Michael Gallup</v>
      </c>
      <c r="R108" s="59" t="str">
        <f>IFERROR(INDEX(TableWRMaster[TM],MATCH(TableWRCalcPts[[#This Row],[WRRef]],TableWRMaster[WRRef],0)),"")</f>
        <v>LV</v>
      </c>
      <c r="S108" s="59">
        <f>IFERROR(INDEX(TableWRMaster[BYE],MATCH(TableWRCalcPts[[#This Row],[WRRef]],TableWRMaster[WRRef],0)),"")</f>
        <v>13</v>
      </c>
      <c r="T108" s="60">
        <f>IFERROR(INDEX(TableWRMaster[Custom],MATCH(TableWRCalcPts[[#This Row],[WRRef]],TableWRMaster[WRRef],0)),"")</f>
        <v>48.195139829759995</v>
      </c>
      <c r="AI108" s="59" t="s">
        <v>223</v>
      </c>
      <c r="AJ108" s="59">
        <f>IFERROR(RANK(TableWRTECalcPts[[#This Row],[Custom]],TableWRTECalcPts[Custom])+COUNTIF($AP$3:AP108,AP108)-1,"")</f>
        <v>16</v>
      </c>
      <c r="AK108" s="105">
        <v>6</v>
      </c>
      <c r="AL108" s="105" t="str">
        <f>IFERROR(INDEX(TableWRMaster[Player],MATCH(TableWRTECalcPts[[#This Row],[POSRef]],TableWRMaster[WRRef],0)),"")</f>
        <v>Drake London</v>
      </c>
      <c r="AM108" s="105" t="str">
        <f>IFERROR(_xlfn.CONCAT(TableWRTECalcPts[[#This Row],[POS]],INDEX(TableWRRanks[RK],MATCH(TableWRTECalcPts[[#This Row],[PLAYER]],TableWRRanks[Player],0))),"")</f>
        <v>WR16</v>
      </c>
      <c r="AN108" s="105" t="str">
        <f>IFERROR(INDEX(TableWRMaster[TM],MATCH(TableWRTECalcPts[[#This Row],[POSRef]],TableWRMaster[WRRef],0)),"")</f>
        <v>ATL</v>
      </c>
      <c r="AO108" s="105">
        <f>IFERROR(INDEX(TableWRMaster[BYE],MATCH(TableWRTECalcPts[[#This Row],[POSRef]],TableWRMaster[WRRef],0)),"")</f>
        <v>11</v>
      </c>
      <c r="AP108" s="103">
        <f>IFERROR(INDEX(TableWRMaster[Custom],MATCH(TableWRTECalcPts[[#This Row],[POSRef]],TableWRMaster[WRRef],0)),"")</f>
        <v>196.45429046443195</v>
      </c>
    </row>
    <row r="109" spans="1:42" x14ac:dyDescent="0.2">
      <c r="H109" s="59">
        <f>IFERROR(RANK(TableRBCalcPts[[#This Row],[Custom]],TableRBCalcPts[Custom])+COUNTIF($M$3:M109,M109)-1,"")</f>
        <v>36</v>
      </c>
      <c r="I109" s="59">
        <v>107</v>
      </c>
      <c r="J109" s="59" t="str">
        <f>IFERROR(INDEX(TableRBMaster[Player],MATCH(TableRBCalcPts[[#This Row],[RBRef]],TableRBMaster[RBRef],0)),"")</f>
        <v>Austin Ekeler</v>
      </c>
      <c r="K109" s="59" t="str">
        <f>IFERROR(INDEX(TableRBMaster[TM],MATCH(TableRBCalcPts[[#This Row],[RBRef]],TableRBMaster[RBRef],0)),"")</f>
        <v>WSH</v>
      </c>
      <c r="L109" s="59">
        <f>IFERROR(INDEX(TableRBMaster[BYE],MATCH(TableRBCalcPts[[#This Row],[RBRef]],TableRBMaster[RBRef],0)),"")</f>
        <v>14</v>
      </c>
      <c r="M109" s="60">
        <f>IFERROR(INDEX(TableRBMaster[Custom],MATCH(TableRBCalcPts[[#This Row],[RBRef]],TableRBMaster[RBRef],0)),"")</f>
        <v>142.52301029694701</v>
      </c>
      <c r="O109" s="59">
        <f>IFERROR(RANK(TableWRCalcPts[[#This Row],[Custom]],TableWRCalcPts[Custom])+COUNTIF($T$3:T109,T109)-1,"")</f>
        <v>171</v>
      </c>
      <c r="P109" s="59">
        <v>107</v>
      </c>
      <c r="Q109" s="59" t="str">
        <f>IFERROR(INDEX(TableWRMaster[Player],MATCH(TableWRCalcPts[[#This Row],[WRRef]],TableWRMaster[WRRef],0)),"")</f>
        <v>Jalen Guyton</v>
      </c>
      <c r="R109" s="59" t="str">
        <f>IFERROR(INDEX(TableWRMaster[TM],MATCH(TableWRCalcPts[[#This Row],[WRRef]],TableWRMaster[WRRef],0)),"")</f>
        <v>LV</v>
      </c>
      <c r="S109" s="59">
        <f>IFERROR(INDEX(TableWRMaster[BYE],MATCH(TableWRCalcPts[[#This Row],[WRRef]],TableWRMaster[WRRef],0)),"")</f>
        <v>13</v>
      </c>
      <c r="T109" s="60">
        <f>IFERROR(INDEX(TableWRMaster[Custom],MATCH(TableWRCalcPts[[#This Row],[WRRef]],TableWRMaster[WRRef],0)),"")</f>
        <v>11.151155399999997</v>
      </c>
      <c r="AI109" s="59" t="s">
        <v>223</v>
      </c>
      <c r="AJ109" s="59">
        <f>IFERROR(RANK(TableWRTECalcPts[[#This Row],[Custom]],TableWRTECalcPts[Custom])+COUNTIF($AP$3:AP109,AP109)-1,"")</f>
        <v>69</v>
      </c>
      <c r="AK109" s="105">
        <v>7</v>
      </c>
      <c r="AL109" s="105" t="str">
        <f>IFERROR(INDEX(TableWRMaster[Player],MATCH(TableWRTECalcPts[[#This Row],[POSRef]],TableWRMaster[WRRef],0)),"")</f>
        <v>Darnell Mooney</v>
      </c>
      <c r="AM109" s="105" t="str">
        <f>IFERROR(_xlfn.CONCAT(TableWRTECalcPts[[#This Row],[POS]],INDEX(TableWRRanks[RK],MATCH(TableWRTECalcPts[[#This Row],[PLAYER]],TableWRRanks[Player],0))),"")</f>
        <v>WR59</v>
      </c>
      <c r="AN109" s="105" t="str">
        <f>IFERROR(INDEX(TableWRMaster[TM],MATCH(TableWRTECalcPts[[#This Row],[POSRef]],TableWRMaster[WRRef],0)),"")</f>
        <v>ATL</v>
      </c>
      <c r="AO109" s="105">
        <f>IFERROR(INDEX(TableWRMaster[BYE],MATCH(TableWRTECalcPts[[#This Row],[POSRef]],TableWRMaster[WRRef],0)),"")</f>
        <v>11</v>
      </c>
      <c r="AP109" s="103">
        <f>IFERROR(INDEX(TableWRMaster[Custom],MATCH(TableWRTECalcPts[[#This Row],[POSRef]],TableWRMaster[WRRef],0)),"")</f>
        <v>138.39669965721598</v>
      </c>
    </row>
    <row r="110" spans="1:42" x14ac:dyDescent="0.2">
      <c r="H110" s="59">
        <f>IFERROR(RANK(TableRBCalcPts[[#This Row],[Custom]],TableRBCalcPts[Custom])+COUNTIF($M$3:M110,M110)-1,"")</f>
        <v>27</v>
      </c>
      <c r="I110" s="59">
        <v>108</v>
      </c>
      <c r="J110" s="59" t="str">
        <f>IFERROR(INDEX(TableRBMaster[Player],MATCH(TableRBCalcPts[[#This Row],[RBRef]],TableRBMaster[RBRef],0)),"")</f>
        <v>Brian Robinson</v>
      </c>
      <c r="K110" s="59" t="str">
        <f>IFERROR(INDEX(TableRBMaster[TM],MATCH(TableRBCalcPts[[#This Row],[RBRef]],TableRBMaster[RBRef],0)),"")</f>
        <v>WSH</v>
      </c>
      <c r="L110" s="59">
        <f>IFERROR(INDEX(TableRBMaster[BYE],MATCH(TableRBCalcPts[[#This Row],[RBRef]],TableRBMaster[RBRef],0)),"")</f>
        <v>14</v>
      </c>
      <c r="M110" s="60">
        <f>IFERROR(INDEX(TableRBMaster[Custom],MATCH(TableRBCalcPts[[#This Row],[RBRef]],TableRBMaster[RBRef],0)),"")</f>
        <v>165.35064661466396</v>
      </c>
      <c r="O110" s="59">
        <f>IFERROR(RANK(TableWRCalcPts[[#This Row],[Custom]],TableWRCalcPts[Custom])+COUNTIF($T$3:T110,T110)-1,"")</f>
        <v>1</v>
      </c>
      <c r="P110" s="59">
        <v>108</v>
      </c>
      <c r="Q110" s="59" t="str">
        <f>IFERROR(INDEX(TableWRMaster[Player],MATCH(TableWRCalcPts[[#This Row],[WRRef]],TableWRMaster[WRRef],0)),"")</f>
        <v>Tyreek Hill</v>
      </c>
      <c r="R110" s="59" t="str">
        <f>IFERROR(INDEX(TableWRMaster[TM],MATCH(TableWRCalcPts[[#This Row],[WRRef]],TableWRMaster[WRRef],0)),"")</f>
        <v>MIA</v>
      </c>
      <c r="S110" s="59">
        <f>IFERROR(INDEX(TableWRMaster[BYE],MATCH(TableWRCalcPts[[#This Row],[WRRef]],TableWRMaster[WRRef],0)),"")</f>
        <v>10</v>
      </c>
      <c r="T110" s="60">
        <f>IFERROR(INDEX(TableWRMaster[Custom],MATCH(TableWRCalcPts[[#This Row],[WRRef]],TableWRMaster[WRRef],0)),"")</f>
        <v>276.05461827121923</v>
      </c>
      <c r="AI110" s="59" t="s">
        <v>223</v>
      </c>
      <c r="AJ110" s="59">
        <f>IFERROR(RANK(TableWRTECalcPts[[#This Row],[Custom]],TableWRTECalcPts[Custom])+COUNTIF($AP$3:AP110,AP110)-1,"")</f>
        <v>101</v>
      </c>
      <c r="AK110" s="105">
        <v>8</v>
      </c>
      <c r="AL110" s="105" t="str">
        <f>IFERROR(INDEX(TableWRMaster[Player],MATCH(TableWRTECalcPts[[#This Row],[POSRef]],TableWRMaster[WRRef],0)),"")</f>
        <v>Rondale Moore</v>
      </c>
      <c r="AM110" s="105" t="str">
        <f>IFERROR(_xlfn.CONCAT(TableWRTECalcPts[[#This Row],[POS]],INDEX(TableWRRanks[RK],MATCH(TableWRTECalcPts[[#This Row],[PLAYER]],TableWRRanks[Player],0))),"")</f>
        <v>WR81</v>
      </c>
      <c r="AN110" s="105" t="str">
        <f>IFERROR(INDEX(TableWRMaster[TM],MATCH(TableWRTECalcPts[[#This Row],[POSRef]],TableWRMaster[WRRef],0)),"")</f>
        <v>ATL</v>
      </c>
      <c r="AO110" s="105">
        <f>IFERROR(INDEX(TableWRMaster[BYE],MATCH(TableWRTECalcPts[[#This Row],[POSRef]],TableWRMaster[WRRef],0)),"")</f>
        <v>11</v>
      </c>
      <c r="AP110" s="103">
        <f>IFERROR(INDEX(TableWRMaster[Custom],MATCH(TableWRTECalcPts[[#This Row],[POSRef]],TableWRMaster[WRRef],0)),"")</f>
        <v>90.224337624220794</v>
      </c>
    </row>
    <row r="111" spans="1:42" x14ac:dyDescent="0.2">
      <c r="H111" s="59">
        <f>IFERROR(RANK(TableRBCalcPts[[#This Row],[Custom]],TableRBCalcPts[Custom])+COUNTIF($M$3:M111,M111)-1,"")</f>
        <v>100</v>
      </c>
      <c r="I111" s="59">
        <v>109</v>
      </c>
      <c r="J111" s="59" t="str">
        <f>IFERROR(INDEX(TableRBMaster[Player],MATCH(TableRBCalcPts[[#This Row],[RBRef]],TableRBMaster[RBRef],0)),"")</f>
        <v>Chris Rodriguez</v>
      </c>
      <c r="K111" s="59" t="str">
        <f>IFERROR(INDEX(TableRBMaster[TM],MATCH(TableRBCalcPts[[#This Row],[RBRef]],TableRBMaster[RBRef],0)),"")</f>
        <v>WSH</v>
      </c>
      <c r="L111" s="59">
        <f>IFERROR(INDEX(TableRBMaster[BYE],MATCH(TableRBCalcPts[[#This Row],[RBRef]],TableRBMaster[RBRef],0)),"")</f>
        <v>14</v>
      </c>
      <c r="M111" s="60">
        <f>IFERROR(INDEX(TableRBMaster[Custom],MATCH(TableRBCalcPts[[#This Row],[RBRef]],TableRBMaster[RBRef],0)),"")</f>
        <v>17.589380964834</v>
      </c>
      <c r="O111" s="59">
        <f>IFERROR(RANK(TableWRCalcPts[[#This Row],[Custom]],TableWRCalcPts[Custom])+COUNTIF($T$3:T111,T111)-1,"")</f>
        <v>13</v>
      </c>
      <c r="P111" s="59">
        <v>109</v>
      </c>
      <c r="Q111" s="59" t="str">
        <f>IFERROR(INDEX(TableWRMaster[Player],MATCH(TableWRCalcPts[[#This Row],[WRRef]],TableWRMaster[WRRef],0)),"")</f>
        <v>Jaylen Waddle</v>
      </c>
      <c r="R111" s="59" t="str">
        <f>IFERROR(INDEX(TableWRMaster[TM],MATCH(TableWRCalcPts[[#This Row],[WRRef]],TableWRMaster[WRRef],0)),"")</f>
        <v>MIA</v>
      </c>
      <c r="S111" s="59">
        <f>IFERROR(INDEX(TableWRMaster[BYE],MATCH(TableWRCalcPts[[#This Row],[WRRef]],TableWRMaster[WRRef],0)),"")</f>
        <v>10</v>
      </c>
      <c r="T111" s="60">
        <f>IFERROR(INDEX(TableWRMaster[Custom],MATCH(TableWRCalcPts[[#This Row],[WRRef]],TableWRMaster[WRRef],0)),"")</f>
        <v>201.51482224375039</v>
      </c>
      <c r="AI111" s="59" t="s">
        <v>223</v>
      </c>
      <c r="AJ111" s="59">
        <f>IFERROR(RANK(TableWRTECalcPts[[#This Row],[Custom]],TableWRTECalcPts[Custom])+COUNTIF($AP$3:AP111,AP111)-1,"")</f>
        <v>193</v>
      </c>
      <c r="AK111" s="105">
        <v>9</v>
      </c>
      <c r="AL111" s="105" t="str">
        <f>IFERROR(INDEX(TableWRMaster[Player],MATCH(TableWRTECalcPts[[#This Row],[POSRef]],TableWRMaster[WRRef],0)),"")</f>
        <v>Ray-Ray McCloud</v>
      </c>
      <c r="AM111" s="105" t="str">
        <f>IFERROR(_xlfn.CONCAT(TableWRTECalcPts[[#This Row],[POS]],INDEX(TableWRRanks[RK],MATCH(TableWRTECalcPts[[#This Row],[PLAYER]],TableWRRanks[Player],0))),"")</f>
        <v>WR139</v>
      </c>
      <c r="AN111" s="105" t="str">
        <f>IFERROR(INDEX(TableWRMaster[TM],MATCH(TableWRTECalcPts[[#This Row],[POSRef]],TableWRMaster[WRRef],0)),"")</f>
        <v>ATL</v>
      </c>
      <c r="AO111" s="105">
        <f>IFERROR(INDEX(TableWRMaster[BYE],MATCH(TableWRTECalcPts[[#This Row],[POSRef]],TableWRMaster[WRRef],0)),"")</f>
        <v>11</v>
      </c>
      <c r="AP111" s="103">
        <f>IFERROR(INDEX(TableWRMaster[Custom],MATCH(TableWRTECalcPts[[#This Row],[POSRef]],TableWRMaster[WRRef],0)),"")</f>
        <v>23.756703681110395</v>
      </c>
    </row>
    <row r="112" spans="1:42" x14ac:dyDescent="0.2">
      <c r="H112" s="59" t="str">
        <f>IFERROR(RANK(TableRBCalcPts[[#This Row],[Custom]],TableRBCalcPts[Custom])+COUNTIF($M$3:M112,M112)-1,"")</f>
        <v/>
      </c>
      <c r="I112" s="59">
        <v>110</v>
      </c>
      <c r="J112" s="59" t="str">
        <f>IFERROR(INDEX(TableRBMaster[Player],MATCH(TableRBCalcPts[[#This Row],[RBRef]],TableRBMaster[RBRef],0)),"")</f>
        <v/>
      </c>
      <c r="K112" s="59" t="str">
        <f>IFERROR(INDEX(TableRBMaster[TM],MATCH(TableRBCalcPts[[#This Row],[RBRef]],TableRBMaster[RBRef],0)),"")</f>
        <v/>
      </c>
      <c r="L112" s="59" t="str">
        <f>IFERROR(INDEX(TableRBMaster[BYE],MATCH(TableRBCalcPts[[#This Row],[RBRef]],TableRBMaster[RBRef],0)),"")</f>
        <v/>
      </c>
      <c r="M112" s="60" t="str">
        <f>IFERROR(INDEX(TableRBMaster[Custom],MATCH(TableRBCalcPts[[#This Row],[RBRef]],TableRBMaster[RBRef],0)),"")</f>
        <v/>
      </c>
      <c r="O112" s="59">
        <f>IFERROR(RANK(TableWRCalcPts[[#This Row],[Custom]],TableWRCalcPts[Custom])+COUNTIF($T$3:T112,T112)-1,"")</f>
        <v>99</v>
      </c>
      <c r="P112" s="59">
        <v>110</v>
      </c>
      <c r="Q112" s="59" t="str">
        <f>IFERROR(INDEX(TableWRMaster[Player],MATCH(TableWRCalcPts[[#This Row],[WRRef]],TableWRMaster[WRRef],0)),"")</f>
        <v>Odell Beckham</v>
      </c>
      <c r="R112" s="59" t="str">
        <f>IFERROR(INDEX(TableWRMaster[TM],MATCH(TableWRCalcPts[[#This Row],[WRRef]],TableWRMaster[WRRef],0)),"")</f>
        <v>MIA</v>
      </c>
      <c r="S112" s="59">
        <f>IFERROR(INDEX(TableWRMaster[BYE],MATCH(TableWRCalcPts[[#This Row],[WRRef]],TableWRMaster[WRRef],0)),"")</f>
        <v>10</v>
      </c>
      <c r="T112" s="60">
        <f>IFERROR(INDEX(TableWRMaster[Custom],MATCH(TableWRCalcPts[[#This Row],[WRRef]],TableWRMaster[WRRef],0)),"")</f>
        <v>57.496219514294395</v>
      </c>
      <c r="AI112" s="59" t="s">
        <v>223</v>
      </c>
      <c r="AJ112" s="59">
        <f>IFERROR(RANK(TableWRTECalcPts[[#This Row],[Custom]],TableWRTECalcPts[Custom])+COUNTIF($AP$3:AP112,AP112)-1,"")</f>
        <v>207</v>
      </c>
      <c r="AK112" s="105">
        <v>10</v>
      </c>
      <c r="AL112" s="105" t="str">
        <f>IFERROR(INDEX(TableWRMaster[Player],MATCH(TableWRTECalcPts[[#This Row],[POSRef]],TableWRMaster[WRRef],0)),"")</f>
        <v>KhaDarel Hodge</v>
      </c>
      <c r="AM112" s="105" t="str">
        <f>IFERROR(_xlfn.CONCAT(TableWRTECalcPts[[#This Row],[POS]],INDEX(TableWRRanks[RK],MATCH(TableWRTECalcPts[[#This Row],[PLAYER]],TableWRRanks[Player],0))),"")</f>
        <v>WR147</v>
      </c>
      <c r="AN112" s="105" t="str">
        <f>IFERROR(INDEX(TableWRMaster[TM],MATCH(TableWRTECalcPts[[#This Row],[POSRef]],TableWRMaster[WRRef],0)),"")</f>
        <v>ATL</v>
      </c>
      <c r="AO112" s="105">
        <f>IFERROR(INDEX(TableWRMaster[BYE],MATCH(TableWRTECalcPts[[#This Row],[POSRef]],TableWRMaster[WRRef],0)),"")</f>
        <v>11</v>
      </c>
      <c r="AP112" s="103">
        <f>IFERROR(INDEX(TableWRMaster[Custom],MATCH(TableWRTECalcPts[[#This Row],[POSRef]],TableWRMaster[WRRef],0)),"")</f>
        <v>20.404002774355192</v>
      </c>
    </row>
    <row r="113" spans="8:42" x14ac:dyDescent="0.2">
      <c r="H113" s="59" t="str">
        <f>IFERROR(RANK(TableRBCalcPts[[#This Row],[Custom]],TableRBCalcPts[Custom])+COUNTIF($M$3:M113,M113)-1,"")</f>
        <v/>
      </c>
      <c r="I113" s="59">
        <v>111</v>
      </c>
      <c r="J113" s="59" t="str">
        <f>IFERROR(INDEX(TableRBMaster[Player],MATCH(TableRBCalcPts[[#This Row],[RBRef]],TableRBMaster[RBRef],0)),"")</f>
        <v/>
      </c>
      <c r="K113" s="59" t="str">
        <f>IFERROR(INDEX(TableRBMaster[TM],MATCH(TableRBCalcPts[[#This Row],[RBRef]],TableRBMaster[RBRef],0)),"")</f>
        <v/>
      </c>
      <c r="L113" s="59" t="str">
        <f>IFERROR(INDEX(TableRBMaster[BYE],MATCH(TableRBCalcPts[[#This Row],[RBRef]],TableRBMaster[RBRef],0)),"")</f>
        <v/>
      </c>
      <c r="M113" s="60" t="str">
        <f>IFERROR(INDEX(TableRBMaster[Custom],MATCH(TableRBCalcPts[[#This Row],[RBRef]],TableRBMaster[RBRef],0)),"")</f>
        <v/>
      </c>
      <c r="O113" s="59">
        <f>IFERROR(RANK(TableWRCalcPts[[#This Row],[Custom]],TableWRCalcPts[Custom])+COUNTIF($T$3:T113,T113)-1,"")</f>
        <v>157</v>
      </c>
      <c r="P113" s="59">
        <v>111</v>
      </c>
      <c r="Q113" s="59" t="str">
        <f>IFERROR(INDEX(TableWRMaster[Player],MATCH(TableWRCalcPts[[#This Row],[WRRef]],TableWRMaster[WRRef],0)),"")</f>
        <v>Braxton Berrios</v>
      </c>
      <c r="R113" s="59" t="str">
        <f>IFERROR(INDEX(TableWRMaster[TM],MATCH(TableWRCalcPts[[#This Row],[WRRef]],TableWRMaster[WRRef],0)),"")</f>
        <v>MIA</v>
      </c>
      <c r="S113" s="59">
        <f>IFERROR(INDEX(TableWRMaster[BYE],MATCH(TableWRCalcPts[[#This Row],[WRRef]],TableWRMaster[WRRef],0)),"")</f>
        <v>10</v>
      </c>
      <c r="T113" s="60">
        <f>IFERROR(INDEX(TableWRMaster[Custom],MATCH(TableWRCalcPts[[#This Row],[WRRef]],TableWRMaster[WRRef],0)),"")</f>
        <v>15.83091216</v>
      </c>
      <c r="AI113" s="59" t="s">
        <v>223</v>
      </c>
      <c r="AJ113" s="59">
        <f>IFERROR(RANK(TableWRTECalcPts[[#This Row],[Custom]],TableWRTECalcPts[Custom])+COUNTIF($AP$3:AP113,AP113)-1,"")</f>
        <v>264</v>
      </c>
      <c r="AK113" s="105">
        <v>11</v>
      </c>
      <c r="AL113" s="105" t="str">
        <f>IFERROR(INDEX(TableWRMaster[Player],MATCH(TableWRTECalcPts[[#This Row],[POSRef]],TableWRMaster[WRRef],0)),"")</f>
        <v>Casey Washington</v>
      </c>
      <c r="AM113" s="105" t="str">
        <f>IFERROR(_xlfn.CONCAT(TableWRTECalcPts[[#This Row],[POS]],INDEX(TableWRRanks[RK],MATCH(TableWRTECalcPts[[#This Row],[PLAYER]],TableWRRanks[Player],0))),"")</f>
        <v>WR181</v>
      </c>
      <c r="AN113" s="105" t="str">
        <f>IFERROR(INDEX(TableWRMaster[TM],MATCH(TableWRTECalcPts[[#This Row],[POSRef]],TableWRMaster[WRRef],0)),"")</f>
        <v>ATL</v>
      </c>
      <c r="AO113" s="105">
        <f>IFERROR(INDEX(TableWRMaster[BYE],MATCH(TableWRTECalcPts[[#This Row],[POSRef]],TableWRMaster[WRRef],0)),"")</f>
        <v>11</v>
      </c>
      <c r="AP113" s="103">
        <f>IFERROR(INDEX(TableWRMaster[Custom],MATCH(TableWRTECalcPts[[#This Row],[POSRef]],TableWRMaster[WRRef],0)),"")</f>
        <v>6.9854693388479987</v>
      </c>
    </row>
    <row r="114" spans="8:42" x14ac:dyDescent="0.2">
      <c r="H114" s="59" t="str">
        <f>IFERROR(RANK(TableRBCalcPts[[#This Row],[Custom]],TableRBCalcPts[Custom])+COUNTIF($M$3:M114,M114)-1,"")</f>
        <v/>
      </c>
      <c r="I114" s="59">
        <v>112</v>
      </c>
      <c r="J114" s="59" t="str">
        <f>IFERROR(INDEX(TableRBMaster[Player],MATCH(TableRBCalcPts[[#This Row],[RBRef]],TableRBMaster[RBRef],0)),"")</f>
        <v/>
      </c>
      <c r="K114" s="59" t="str">
        <f>IFERROR(INDEX(TableRBMaster[TM],MATCH(TableRBCalcPts[[#This Row],[RBRef]],TableRBMaster[RBRef],0)),"")</f>
        <v/>
      </c>
      <c r="L114" s="59" t="str">
        <f>IFERROR(INDEX(TableRBMaster[BYE],MATCH(TableRBCalcPts[[#This Row],[RBRef]],TableRBMaster[RBRef],0)),"")</f>
        <v/>
      </c>
      <c r="M114" s="60" t="str">
        <f>IFERROR(INDEX(TableRBMaster[Custom],MATCH(TableRBCalcPts[[#This Row],[RBRef]],TableRBMaster[RBRef],0)),"")</f>
        <v/>
      </c>
      <c r="O114" s="59">
        <f>IFERROR(RANK(TableWRCalcPts[[#This Row],[Custom]],TableWRCalcPts[Custom])+COUNTIF($T$3:T114,T114)-1,"")</f>
        <v>137</v>
      </c>
      <c r="P114" s="59">
        <v>112</v>
      </c>
      <c r="Q114" s="59" t="str">
        <f>IFERROR(INDEX(TableWRMaster[Player],MATCH(TableWRCalcPts[[#This Row],[WRRef]],TableWRMaster[WRRef],0)),"")</f>
        <v>Malik Washington</v>
      </c>
      <c r="R114" s="59" t="str">
        <f>IFERROR(INDEX(TableWRMaster[TM],MATCH(TableWRCalcPts[[#This Row],[WRRef]],TableWRMaster[WRRef],0)),"")</f>
        <v>MIA</v>
      </c>
      <c r="S114" s="59">
        <f>IFERROR(INDEX(TableWRMaster[BYE],MATCH(TableWRCalcPts[[#This Row],[WRRef]],TableWRMaster[WRRef],0)),"")</f>
        <v>10</v>
      </c>
      <c r="T114" s="60">
        <f>IFERROR(INDEX(TableWRMaster[Custom],MATCH(TableWRCalcPts[[#This Row],[WRRef]],TableWRMaster[WRRef],0)),"")</f>
        <v>25.1969371313184</v>
      </c>
      <c r="AI114" s="59" t="s">
        <v>223</v>
      </c>
      <c r="AJ114" s="59">
        <f>IFERROR(RANK(TableWRTECalcPts[[#This Row],[Custom]],TableWRTECalcPts[Custom])+COUNTIF($AP$3:AP114,AP114)-1,"")</f>
        <v>40</v>
      </c>
      <c r="AK114" s="105">
        <v>12</v>
      </c>
      <c r="AL114" s="105" t="str">
        <f>IFERROR(INDEX(TableWRMaster[Player],MATCH(TableWRTECalcPts[[#This Row],[POSRef]],TableWRMaster[WRRef],0)),"")</f>
        <v>Zay Flowers</v>
      </c>
      <c r="AM114" s="105" t="str">
        <f>IFERROR(_xlfn.CONCAT(TableWRTECalcPts[[#This Row],[POS]],INDEX(TableWRRanks[RK],MATCH(TableWRTECalcPts[[#This Row],[PLAYER]],TableWRRanks[Player],0))),"")</f>
        <v>WR37</v>
      </c>
      <c r="AN114" s="105" t="str">
        <f>IFERROR(INDEX(TableWRMaster[TM],MATCH(TableWRTECalcPts[[#This Row],[POSRef]],TableWRMaster[WRRef],0)),"")</f>
        <v>BAL</v>
      </c>
      <c r="AO114" s="105">
        <f>IFERROR(INDEX(TableWRMaster[BYE],MATCH(TableWRTECalcPts[[#This Row],[POSRef]],TableWRMaster[WRRef],0)),"")</f>
        <v>13</v>
      </c>
      <c r="AP114" s="103">
        <f>IFERROR(INDEX(TableWRMaster[Custom],MATCH(TableWRTECalcPts[[#This Row],[POSRef]],TableWRMaster[WRRef],0)),"")</f>
        <v>171.6694996834272</v>
      </c>
    </row>
    <row r="115" spans="8:42" x14ac:dyDescent="0.2">
      <c r="H115" s="59" t="str">
        <f>IFERROR(RANK(TableRBCalcPts[[#This Row],[Custom]],TableRBCalcPts[Custom])+COUNTIF($M$3:M115,M115)-1,"")</f>
        <v/>
      </c>
      <c r="I115" s="59">
        <v>113</v>
      </c>
      <c r="J115" s="59" t="str">
        <f>IFERROR(INDEX(TableRBMaster[Player],MATCH(TableRBCalcPts[[#This Row],[RBRef]],TableRBMaster[RBRef],0)),"")</f>
        <v/>
      </c>
      <c r="K115" s="59" t="str">
        <f>IFERROR(INDEX(TableRBMaster[TM],MATCH(TableRBCalcPts[[#This Row],[RBRef]],TableRBMaster[RBRef],0)),"")</f>
        <v/>
      </c>
      <c r="L115" s="59" t="str">
        <f>IFERROR(INDEX(TableRBMaster[BYE],MATCH(TableRBCalcPts[[#This Row],[RBRef]],TableRBMaster[RBRef],0)),"")</f>
        <v/>
      </c>
      <c r="M115" s="60" t="str">
        <f>IFERROR(INDEX(TableRBMaster[Custom],MATCH(TableRBCalcPts[[#This Row],[RBRef]],TableRBMaster[RBRef],0)),"")</f>
        <v/>
      </c>
      <c r="O115" s="59">
        <f>IFERROR(RANK(TableWRCalcPts[[#This Row],[Custom]],TableWRCalcPts[Custom])+COUNTIF($T$3:T115,T115)-1,"")</f>
        <v>163</v>
      </c>
      <c r="P115" s="59">
        <v>113</v>
      </c>
      <c r="Q115" s="59" t="str">
        <f>IFERROR(INDEX(TableWRMaster[Player],MATCH(TableWRCalcPts[[#This Row],[WRRef]],TableWRMaster[WRRef],0)),"")</f>
        <v>Tahj Washington</v>
      </c>
      <c r="R115" s="59" t="str">
        <f>IFERROR(INDEX(TableWRMaster[TM],MATCH(TableWRCalcPts[[#This Row],[WRRef]],TableWRMaster[WRRef],0)),"")</f>
        <v>MIA</v>
      </c>
      <c r="S115" s="59">
        <f>IFERROR(INDEX(TableWRMaster[BYE],MATCH(TableWRCalcPts[[#This Row],[WRRef]],TableWRMaster[WRRef],0)),"")</f>
        <v>10</v>
      </c>
      <c r="T115" s="60">
        <f>IFERROR(INDEX(TableWRMaster[Custom],MATCH(TableWRCalcPts[[#This Row],[WRRef]],TableWRMaster[WRRef],0)),"")</f>
        <v>14.071921919999998</v>
      </c>
      <c r="AI115" s="59" t="s">
        <v>223</v>
      </c>
      <c r="AJ115" s="59">
        <f>IFERROR(RANK(TableWRTECalcPts[[#This Row],[Custom]],TableWRTECalcPts[Custom])+COUNTIF($AP$3:AP115,AP115)-1,"")</f>
        <v>94</v>
      </c>
      <c r="AK115" s="105">
        <v>13</v>
      </c>
      <c r="AL115" s="105" t="str">
        <f>IFERROR(INDEX(TableWRMaster[Player],MATCH(TableWRTECalcPts[[#This Row],[POSRef]],TableWRMaster[WRRef],0)),"")</f>
        <v>Rashod Bateman</v>
      </c>
      <c r="AM115" s="105" t="str">
        <f>IFERROR(_xlfn.CONCAT(TableWRTECalcPts[[#This Row],[POS]],INDEX(TableWRRanks[RK],MATCH(TableWRTECalcPts[[#This Row],[PLAYER]],TableWRRanks[Player],0))),"")</f>
        <v>WR77</v>
      </c>
      <c r="AN115" s="105" t="str">
        <f>IFERROR(INDEX(TableWRMaster[TM],MATCH(TableWRTECalcPts[[#This Row],[POSRef]],TableWRMaster[WRRef],0)),"")</f>
        <v>BAL</v>
      </c>
      <c r="AO115" s="105">
        <f>IFERROR(INDEX(TableWRMaster[BYE],MATCH(TableWRTECalcPts[[#This Row],[POSRef]],TableWRMaster[WRRef],0)),"")</f>
        <v>13</v>
      </c>
      <c r="AP115" s="103">
        <f>IFERROR(INDEX(TableWRMaster[Custom],MATCH(TableWRTECalcPts[[#This Row],[POSRef]],TableWRMaster[WRRef],0)),"")</f>
        <v>104.22113466408</v>
      </c>
    </row>
    <row r="116" spans="8:42" x14ac:dyDescent="0.2">
      <c r="H116" s="59" t="str">
        <f>IFERROR(RANK(TableRBCalcPts[[#This Row],[Custom]],TableRBCalcPts[Custom])+COUNTIF($M$3:M116,M116)-1,"")</f>
        <v/>
      </c>
      <c r="I116" s="59">
        <v>114</v>
      </c>
      <c r="J116" s="59" t="str">
        <f>IFERROR(INDEX(TableRBMaster[Player],MATCH(TableRBCalcPts[[#This Row],[RBRef]],TableRBMaster[RBRef],0)),"")</f>
        <v/>
      </c>
      <c r="K116" s="59" t="str">
        <f>IFERROR(INDEX(TableRBMaster[TM],MATCH(TableRBCalcPts[[#This Row],[RBRef]],TableRBMaster[RBRef],0)),"")</f>
        <v/>
      </c>
      <c r="L116" s="59" t="str">
        <f>IFERROR(INDEX(TableRBMaster[BYE],MATCH(TableRBCalcPts[[#This Row],[RBRef]],TableRBMaster[RBRef],0)),"")</f>
        <v/>
      </c>
      <c r="M116" s="60" t="str">
        <f>IFERROR(INDEX(TableRBMaster[Custom],MATCH(TableRBCalcPts[[#This Row],[RBRef]],TableRBMaster[RBRef],0)),"")</f>
        <v/>
      </c>
      <c r="O116" s="59">
        <f>IFERROR(RANK(TableWRCalcPts[[#This Row],[Custom]],TableWRCalcPts[Custom])+COUNTIF($T$3:T116,T116)-1,"")</f>
        <v>4</v>
      </c>
      <c r="P116" s="59">
        <v>114</v>
      </c>
      <c r="Q116" s="59" t="str">
        <f>IFERROR(INDEX(TableWRMaster[Player],MATCH(TableWRCalcPts[[#This Row],[WRRef]],TableWRMaster[WRRef],0)),"")</f>
        <v>Justin Jefferson</v>
      </c>
      <c r="R116" s="59" t="str">
        <f>IFERROR(INDEX(TableWRMaster[TM],MATCH(TableWRCalcPts[[#This Row],[WRRef]],TableWRMaster[WRRef],0)),"")</f>
        <v>MIN</v>
      </c>
      <c r="S116" s="59">
        <f>IFERROR(INDEX(TableWRMaster[BYE],MATCH(TableWRCalcPts[[#This Row],[WRRef]],TableWRMaster[WRRef],0)),"")</f>
        <v>13</v>
      </c>
      <c r="T116" s="60">
        <f>IFERROR(INDEX(TableWRMaster[Custom],MATCH(TableWRCalcPts[[#This Row],[WRRef]],TableWRMaster[WRRef],0)),"")</f>
        <v>244.5777406576</v>
      </c>
      <c r="AI116" s="59" t="s">
        <v>223</v>
      </c>
      <c r="AJ116" s="59">
        <f>IFERROR(RANK(TableWRTECalcPts[[#This Row],[Custom]],TableWRTECalcPts[Custom])+COUNTIF($AP$3:AP116,AP116)-1,"")</f>
        <v>108</v>
      </c>
      <c r="AK116" s="105">
        <v>14</v>
      </c>
      <c r="AL116" s="105" t="str">
        <f>IFERROR(INDEX(TableWRMaster[Player],MATCH(TableWRTECalcPts[[#This Row],[POSRef]],TableWRMaster[WRRef],0)),"")</f>
        <v>Nelson Agholor</v>
      </c>
      <c r="AM116" s="105" t="str">
        <f>IFERROR(_xlfn.CONCAT(TableWRTECalcPts[[#This Row],[POS]],INDEX(TableWRRanks[RK],MATCH(TableWRTECalcPts[[#This Row],[PLAYER]],TableWRRanks[Player],0))),"")</f>
        <v>WR83</v>
      </c>
      <c r="AN116" s="105" t="str">
        <f>IFERROR(INDEX(TableWRMaster[TM],MATCH(TableWRTECalcPts[[#This Row],[POSRef]],TableWRMaster[WRRef],0)),"")</f>
        <v>BAL</v>
      </c>
      <c r="AO116" s="105">
        <f>IFERROR(INDEX(TableWRMaster[BYE],MATCH(TableWRTECalcPts[[#This Row],[POSRef]],TableWRMaster[WRRef],0)),"")</f>
        <v>13</v>
      </c>
      <c r="AP116" s="103">
        <f>IFERROR(INDEX(TableWRMaster[Custom],MATCH(TableWRTECalcPts[[#This Row],[POSRef]],TableWRMaster[WRRef],0)),"")</f>
        <v>85.575717441312008</v>
      </c>
    </row>
    <row r="117" spans="8:42" x14ac:dyDescent="0.2">
      <c r="H117" s="59" t="str">
        <f>IFERROR(RANK(TableRBCalcPts[[#This Row],[Custom]],TableRBCalcPts[Custom])+COUNTIF($M$3:M117,M117)-1,"")</f>
        <v/>
      </c>
      <c r="I117" s="59">
        <v>115</v>
      </c>
      <c r="J117" s="59" t="str">
        <f>IFERROR(INDEX(TableRBMaster[Player],MATCH(TableRBCalcPts[[#This Row],[RBRef]],TableRBMaster[RBRef],0)),"")</f>
        <v/>
      </c>
      <c r="K117" s="59" t="str">
        <f>IFERROR(INDEX(TableRBMaster[TM],MATCH(TableRBCalcPts[[#This Row],[RBRef]],TableRBMaster[RBRef],0)),"")</f>
        <v/>
      </c>
      <c r="L117" s="59" t="str">
        <f>IFERROR(INDEX(TableRBMaster[BYE],MATCH(TableRBCalcPts[[#This Row],[RBRef]],TableRBMaster[RBRef],0)),"")</f>
        <v/>
      </c>
      <c r="M117" s="60" t="str">
        <f>IFERROR(INDEX(TableRBMaster[Custom],MATCH(TableRBCalcPts[[#This Row],[RBRef]],TableRBMaster[RBRef],0)),"")</f>
        <v/>
      </c>
      <c r="O117" s="59">
        <f>IFERROR(RANK(TableWRCalcPts[[#This Row],[Custom]],TableWRCalcPts[Custom])+COUNTIF($T$3:T117,T117)-1,"")</f>
        <v>28</v>
      </c>
      <c r="P117" s="59">
        <v>115</v>
      </c>
      <c r="Q117" s="59" t="str">
        <f>IFERROR(INDEX(TableWRMaster[Player],MATCH(TableWRCalcPts[[#This Row],[WRRef]],TableWRMaster[WRRef],0)),"")</f>
        <v>Jordan Addison</v>
      </c>
      <c r="R117" s="59" t="str">
        <f>IFERROR(INDEX(TableWRMaster[TM],MATCH(TableWRCalcPts[[#This Row],[WRRef]],TableWRMaster[WRRef],0)),"")</f>
        <v>MIN</v>
      </c>
      <c r="S117" s="59">
        <f>IFERROR(INDEX(TableWRMaster[BYE],MATCH(TableWRCalcPts[[#This Row],[WRRef]],TableWRMaster[WRRef],0)),"")</f>
        <v>13</v>
      </c>
      <c r="T117" s="60">
        <f>IFERROR(INDEX(TableWRMaster[Custom],MATCH(TableWRCalcPts[[#This Row],[WRRef]],TableWRMaster[WRRef],0)),"")</f>
        <v>179.59176974591995</v>
      </c>
      <c r="AI117" s="59" t="s">
        <v>223</v>
      </c>
      <c r="AJ117" s="59">
        <f>IFERROR(RANK(TableWRTECalcPts[[#This Row],[Custom]],TableWRTECalcPts[Custom])+COUNTIF($AP$3:AP117,AP117)-1,"")</f>
        <v>178</v>
      </c>
      <c r="AK117" s="105">
        <v>15</v>
      </c>
      <c r="AL117" s="105" t="str">
        <f>IFERROR(INDEX(TableWRMaster[Player],MATCH(TableWRTECalcPts[[#This Row],[POSRef]],TableWRMaster[WRRef],0)),"")</f>
        <v>Deonte Harty</v>
      </c>
      <c r="AM117" s="105" t="str">
        <f>IFERROR(_xlfn.CONCAT(TableWRTECalcPts[[#This Row],[POS]],INDEX(TableWRRanks[RK],MATCH(TableWRTECalcPts[[#This Row],[PLAYER]],TableWRRanks[Player],0))),"")</f>
        <v>WR130</v>
      </c>
      <c r="AN117" s="105" t="str">
        <f>IFERROR(INDEX(TableWRMaster[TM],MATCH(TableWRTECalcPts[[#This Row],[POSRef]],TableWRMaster[WRRef],0)),"")</f>
        <v>BAL</v>
      </c>
      <c r="AO117" s="105">
        <f>IFERROR(INDEX(TableWRMaster[BYE],MATCH(TableWRTECalcPts[[#This Row],[POSRef]],TableWRMaster[WRRef],0)),"")</f>
        <v>13</v>
      </c>
      <c r="AP117" s="103">
        <f>IFERROR(INDEX(TableWRMaster[Custom],MATCH(TableWRTECalcPts[[#This Row],[POSRef]],TableWRMaster[WRRef],0)),"")</f>
        <v>28.234076045145603</v>
      </c>
    </row>
    <row r="118" spans="8:42" x14ac:dyDescent="0.2">
      <c r="H118" s="59" t="str">
        <f>IFERROR(RANK(TableRBCalcPts[[#This Row],[Custom]],TableRBCalcPts[Custom])+COUNTIF($M$3:M118,M118)-1,"")</f>
        <v/>
      </c>
      <c r="I118" s="59">
        <v>116</v>
      </c>
      <c r="J118" s="59" t="str">
        <f>IFERROR(INDEX(TableRBMaster[Player],MATCH(TableRBCalcPts[[#This Row],[RBRef]],TableRBMaster[RBRef],0)),"")</f>
        <v/>
      </c>
      <c r="K118" s="59" t="str">
        <f>IFERROR(INDEX(TableRBMaster[TM],MATCH(TableRBCalcPts[[#This Row],[RBRef]],TableRBMaster[RBRef],0)),"")</f>
        <v/>
      </c>
      <c r="L118" s="59" t="str">
        <f>IFERROR(INDEX(TableRBMaster[BYE],MATCH(TableRBCalcPts[[#This Row],[RBRef]],TableRBMaster[RBRef],0)),"")</f>
        <v/>
      </c>
      <c r="M118" s="60" t="str">
        <f>IFERROR(INDEX(TableRBMaster[Custom],MATCH(TableRBCalcPts[[#This Row],[RBRef]],TableRBMaster[RBRef],0)),"")</f>
        <v/>
      </c>
      <c r="O118" s="59">
        <f>IFERROR(RANK(TableWRCalcPts[[#This Row],[Custom]],TableWRCalcPts[Custom])+COUNTIF($T$3:T118,T118)-1,"")</f>
        <v>96</v>
      </c>
      <c r="P118" s="59">
        <v>116</v>
      </c>
      <c r="Q118" s="59" t="str">
        <f>IFERROR(INDEX(TableWRMaster[Player],MATCH(TableWRCalcPts[[#This Row],[WRRef]],TableWRMaster[WRRef],0)),"")</f>
        <v>Brandon Powell</v>
      </c>
      <c r="R118" s="59" t="str">
        <f>IFERROR(INDEX(TableWRMaster[TM],MATCH(TableWRCalcPts[[#This Row],[WRRef]],TableWRMaster[WRRef],0)),"")</f>
        <v>MIN</v>
      </c>
      <c r="S118" s="59">
        <f>IFERROR(INDEX(TableWRMaster[BYE],MATCH(TableWRCalcPts[[#This Row],[WRRef]],TableWRMaster[WRRef],0)),"")</f>
        <v>13</v>
      </c>
      <c r="T118" s="60">
        <f>IFERROR(INDEX(TableWRMaster[Custom],MATCH(TableWRCalcPts[[#This Row],[WRRef]],TableWRMaster[WRRef],0)),"")</f>
        <v>60.938819423999995</v>
      </c>
      <c r="AI118" s="59" t="s">
        <v>223</v>
      </c>
      <c r="AJ118" s="59">
        <f>IFERROR(RANK(TableWRTECalcPts[[#This Row],[Custom]],TableWRTECalcPts[Custom])+COUNTIF($AP$3:AP118,AP118)-1,"")</f>
        <v>150</v>
      </c>
      <c r="AK118" s="105">
        <v>16</v>
      </c>
      <c r="AL118" s="105" t="str">
        <f>IFERROR(INDEX(TableWRMaster[Player],MATCH(TableWRTECalcPts[[#This Row],[POSRef]],TableWRMaster[WRRef],0)),"")</f>
        <v>Devontez Walker</v>
      </c>
      <c r="AM118" s="105" t="str">
        <f>IFERROR(_xlfn.CONCAT(TableWRTECalcPts[[#This Row],[POS]],INDEX(TableWRRanks[RK],MATCH(TableWRTECalcPts[[#This Row],[PLAYER]],TableWRRanks[Player],0))),"")</f>
        <v>WR105</v>
      </c>
      <c r="AN118" s="105" t="str">
        <f>IFERROR(INDEX(TableWRMaster[TM],MATCH(TableWRTECalcPts[[#This Row],[POSRef]],TableWRMaster[WRRef],0)),"")</f>
        <v>BAL</v>
      </c>
      <c r="AO118" s="105">
        <f>IFERROR(INDEX(TableWRMaster[BYE],MATCH(TableWRTECalcPts[[#This Row],[POSRef]],TableWRMaster[WRRef],0)),"")</f>
        <v>13</v>
      </c>
      <c r="AP118" s="103">
        <f>IFERROR(INDEX(TableWRMaster[Custom],MATCH(TableWRTECalcPts[[#This Row],[POSRef]],TableWRMaster[WRRef],0)),"")</f>
        <v>41.847989055196805</v>
      </c>
    </row>
    <row r="119" spans="8:42" x14ac:dyDescent="0.2">
      <c r="H119" s="59" t="str">
        <f>IFERROR(RANK(TableRBCalcPts[[#This Row],[Custom]],TableRBCalcPts[Custom])+COUNTIF($M$3:M119,M119)-1,"")</f>
        <v/>
      </c>
      <c r="I119" s="59">
        <v>117</v>
      </c>
      <c r="J119" s="59" t="str">
        <f>IFERROR(INDEX(TableRBMaster[Player],MATCH(TableRBCalcPts[[#This Row],[RBRef]],TableRBMaster[RBRef],0)),"")</f>
        <v/>
      </c>
      <c r="K119" s="59" t="str">
        <f>IFERROR(INDEX(TableRBMaster[TM],MATCH(TableRBCalcPts[[#This Row],[RBRef]],TableRBMaster[RBRef],0)),"")</f>
        <v/>
      </c>
      <c r="L119" s="59" t="str">
        <f>IFERROR(INDEX(TableRBMaster[BYE],MATCH(TableRBCalcPts[[#This Row],[RBRef]],TableRBMaster[RBRef],0)),"")</f>
        <v/>
      </c>
      <c r="M119" s="60" t="str">
        <f>IFERROR(INDEX(TableRBMaster[Custom],MATCH(TableRBCalcPts[[#This Row],[RBRef]],TableRBMaster[RBRef],0)),"")</f>
        <v/>
      </c>
      <c r="O119" s="59">
        <f>IFERROR(RANK(TableWRCalcPts[[#This Row],[Custom]],TableWRCalcPts[Custom])+COUNTIF($T$3:T119,T119)-1,"")</f>
        <v>160</v>
      </c>
      <c r="P119" s="59">
        <v>117</v>
      </c>
      <c r="Q119" s="59" t="str">
        <f>IFERROR(INDEX(TableWRMaster[Player],MATCH(TableWRCalcPts[[#This Row],[WRRef]],TableWRMaster[WRRef],0)),"")</f>
        <v>Trent Sherfield</v>
      </c>
      <c r="R119" s="59" t="str">
        <f>IFERROR(INDEX(TableWRMaster[TM],MATCH(TableWRCalcPts[[#This Row],[WRRef]],TableWRMaster[WRRef],0)),"")</f>
        <v>MIN</v>
      </c>
      <c r="S119" s="59">
        <f>IFERROR(INDEX(TableWRMaster[BYE],MATCH(TableWRCalcPts[[#This Row],[WRRef]],TableWRMaster[WRRef],0)),"")</f>
        <v>13</v>
      </c>
      <c r="T119" s="60">
        <f>IFERROR(INDEX(TableWRMaster[Custom],MATCH(TableWRCalcPts[[#This Row],[WRRef]],TableWRMaster[WRRef],0)),"")</f>
        <v>14.387896891199997</v>
      </c>
      <c r="AI119" s="59" t="s">
        <v>223</v>
      </c>
      <c r="AJ119" s="59">
        <f>IFERROR(RANK(TableWRTECalcPts[[#This Row],[Custom]],TableWRTECalcPts[Custom])+COUNTIF($AP$3:AP119,AP119)-1,"")</f>
        <v>43</v>
      </c>
      <c r="AK119" s="105">
        <v>17</v>
      </c>
      <c r="AL119" s="105" t="str">
        <f>IFERROR(INDEX(TableWRMaster[Player],MATCH(TableWRTECalcPts[[#This Row],[POSRef]],TableWRMaster[WRRef],0)),"")</f>
        <v>Curtis Samuel</v>
      </c>
      <c r="AM119" s="105" t="str">
        <f>IFERROR(_xlfn.CONCAT(TableWRTECalcPts[[#This Row],[POS]],INDEX(TableWRRanks[RK],MATCH(TableWRTECalcPts[[#This Row],[PLAYER]],TableWRRanks[Player],0))),"")</f>
        <v>WR39</v>
      </c>
      <c r="AN119" s="105" t="str">
        <f>IFERROR(INDEX(TableWRMaster[TM],MATCH(TableWRTECalcPts[[#This Row],[POSRef]],TableWRMaster[WRRef],0)),"")</f>
        <v>BUF</v>
      </c>
      <c r="AO119" s="105">
        <f>IFERROR(INDEX(TableWRMaster[BYE],MATCH(TableWRTECalcPts[[#This Row],[POSRef]],TableWRMaster[WRRef],0)),"")</f>
        <v>13</v>
      </c>
      <c r="AP119" s="103">
        <f>IFERROR(INDEX(TableWRMaster[Custom],MATCH(TableWRTECalcPts[[#This Row],[POSRef]],TableWRMaster[WRRef],0)),"")</f>
        <v>167.65626644121596</v>
      </c>
    </row>
    <row r="120" spans="8:42" x14ac:dyDescent="0.2">
      <c r="H120" s="59" t="str">
        <f>IFERROR(RANK(TableRBCalcPts[[#This Row],[Custom]],TableRBCalcPts[Custom])+COUNTIF($M$3:M120,M120)-1,"")</f>
        <v/>
      </c>
      <c r="I120" s="59">
        <v>118</v>
      </c>
      <c r="J120" s="59" t="str">
        <f>IFERROR(INDEX(TableRBMaster[Player],MATCH(TableRBCalcPts[[#This Row],[RBRef]],TableRBMaster[RBRef],0)),"")</f>
        <v/>
      </c>
      <c r="K120" s="59" t="str">
        <f>IFERROR(INDEX(TableRBMaster[TM],MATCH(TableRBCalcPts[[#This Row],[RBRef]],TableRBMaster[RBRef],0)),"")</f>
        <v/>
      </c>
      <c r="L120" s="59" t="str">
        <f>IFERROR(INDEX(TableRBMaster[BYE],MATCH(TableRBCalcPts[[#This Row],[RBRef]],TableRBMaster[RBRef],0)),"")</f>
        <v/>
      </c>
      <c r="M120" s="60" t="str">
        <f>IFERROR(INDEX(TableRBMaster[Custom],MATCH(TableRBCalcPts[[#This Row],[RBRef]],TableRBMaster[RBRef],0)),"")</f>
        <v/>
      </c>
      <c r="O120" s="59">
        <f>IFERROR(RANK(TableWRCalcPts[[#This Row],[Custom]],TableWRCalcPts[Custom])+COUNTIF($T$3:T120,T120)-1,"")</f>
        <v>167</v>
      </c>
      <c r="P120" s="59">
        <v>118</v>
      </c>
      <c r="Q120" s="59" t="str">
        <f>IFERROR(INDEX(TableWRMaster[Player],MATCH(TableWRCalcPts[[#This Row],[WRRef]],TableWRMaster[WRRef],0)),"")</f>
        <v>Jalen Nailor</v>
      </c>
      <c r="R120" s="59" t="str">
        <f>IFERROR(INDEX(TableWRMaster[TM],MATCH(TableWRCalcPts[[#This Row],[WRRef]],TableWRMaster[WRRef],0)),"")</f>
        <v>MIN</v>
      </c>
      <c r="S120" s="59">
        <f>IFERROR(INDEX(TableWRMaster[BYE],MATCH(TableWRCalcPts[[#This Row],[WRRef]],TableWRMaster[WRRef],0)),"")</f>
        <v>13</v>
      </c>
      <c r="T120" s="60">
        <f>IFERROR(INDEX(TableWRMaster[Custom],MATCH(TableWRCalcPts[[#This Row],[WRRef]],TableWRMaster[WRRef],0)),"")</f>
        <v>13.011927264000001</v>
      </c>
      <c r="AI120" s="59" t="s">
        <v>223</v>
      </c>
      <c r="AJ120" s="59">
        <f>IFERROR(RANK(TableWRTECalcPts[[#This Row],[Custom]],TableWRTECalcPts[Custom])+COUNTIF($AP$3:AP120,AP120)-1,"")</f>
        <v>44</v>
      </c>
      <c r="AK120" s="105">
        <v>18</v>
      </c>
      <c r="AL120" s="105" t="str">
        <f>IFERROR(INDEX(TableWRMaster[Player],MATCH(TableWRTECalcPts[[#This Row],[POSRef]],TableWRMaster[WRRef],0)),"")</f>
        <v>Keon Coleman</v>
      </c>
      <c r="AM120" s="105" t="str">
        <f>IFERROR(_xlfn.CONCAT(TableWRTECalcPts[[#This Row],[POS]],INDEX(TableWRRanks[RK],MATCH(TableWRTECalcPts[[#This Row],[PLAYER]],TableWRRanks[Player],0))),"")</f>
        <v>WR40</v>
      </c>
      <c r="AN120" s="105" t="str">
        <f>IFERROR(INDEX(TableWRMaster[TM],MATCH(TableWRTECalcPts[[#This Row],[POSRef]],TableWRMaster[WRRef],0)),"")</f>
        <v>BUF</v>
      </c>
      <c r="AO120" s="105">
        <f>IFERROR(INDEX(TableWRMaster[BYE],MATCH(TableWRTECalcPts[[#This Row],[POSRef]],TableWRMaster[WRRef],0)),"")</f>
        <v>13</v>
      </c>
      <c r="AP120" s="103">
        <f>IFERROR(INDEX(TableWRMaster[Custom],MATCH(TableWRTECalcPts[[#This Row],[POSRef]],TableWRMaster[WRRef],0)),"")</f>
        <v>166.64394539519995</v>
      </c>
    </row>
    <row r="121" spans="8:42" x14ac:dyDescent="0.2">
      <c r="H121" s="59" t="str">
        <f>IFERROR(RANK(TableRBCalcPts[[#This Row],[Custom]],TableRBCalcPts[Custom])+COUNTIF($M$3:M121,M121)-1,"")</f>
        <v/>
      </c>
      <c r="I121" s="59">
        <v>119</v>
      </c>
      <c r="J121" s="59" t="str">
        <f>IFERROR(INDEX(TableRBMaster[Player],MATCH(TableRBCalcPts[[#This Row],[RBRef]],TableRBMaster[RBRef],0)),"")</f>
        <v/>
      </c>
      <c r="K121" s="59" t="str">
        <f>IFERROR(INDEX(TableRBMaster[TM],MATCH(TableRBCalcPts[[#This Row],[RBRef]],TableRBMaster[RBRef],0)),"")</f>
        <v/>
      </c>
      <c r="L121" s="59" t="str">
        <f>IFERROR(INDEX(TableRBMaster[BYE],MATCH(TableRBCalcPts[[#This Row],[RBRef]],TableRBMaster[RBRef],0)),"")</f>
        <v/>
      </c>
      <c r="M121" s="60" t="str">
        <f>IFERROR(INDEX(TableRBMaster[Custom],MATCH(TableRBCalcPts[[#This Row],[RBRef]],TableRBMaster[RBRef],0)),"")</f>
        <v/>
      </c>
      <c r="O121" s="59">
        <f>IFERROR(RANK(TableWRCalcPts[[#This Row],[Custom]],TableWRCalcPts[Custom])+COUNTIF($T$3:T121,T121)-1,"")</f>
        <v>80</v>
      </c>
      <c r="P121" s="59">
        <v>119</v>
      </c>
      <c r="Q121" s="59" t="str">
        <f>IFERROR(INDEX(TableWRMaster[Player],MATCH(TableWRCalcPts[[#This Row],[WRRef]],TableWRMaster[WRRef],0)),"")</f>
        <v>Ja'Lynn Polk</v>
      </c>
      <c r="R121" s="59" t="str">
        <f>IFERROR(INDEX(TableWRMaster[TM],MATCH(TableWRCalcPts[[#This Row],[WRRef]],TableWRMaster[WRRef],0)),"")</f>
        <v>NE</v>
      </c>
      <c r="S121" s="59">
        <f>IFERROR(INDEX(TableWRMaster[BYE],MATCH(TableWRCalcPts[[#This Row],[WRRef]],TableWRMaster[WRRef],0)),"")</f>
        <v>11</v>
      </c>
      <c r="T121" s="60">
        <f>IFERROR(INDEX(TableWRMaster[Custom],MATCH(TableWRCalcPts[[#This Row],[WRRef]],TableWRMaster[WRRef],0)),"")</f>
        <v>96.756904450096812</v>
      </c>
      <c r="AI121" s="59" t="s">
        <v>223</v>
      </c>
      <c r="AJ121" s="59">
        <f>IFERROR(RANK(TableWRTECalcPts[[#This Row],[Custom]],TableWRTECalcPts[Custom])+COUNTIF($AP$3:AP121,AP121)-1,"")</f>
        <v>70</v>
      </c>
      <c r="AK121" s="105">
        <v>19</v>
      </c>
      <c r="AL121" s="105" t="str">
        <f>IFERROR(INDEX(TableWRMaster[Player],MATCH(TableWRTECalcPts[[#This Row],[POSRef]],TableWRMaster[WRRef],0)),"")</f>
        <v>Khalil Shakir</v>
      </c>
      <c r="AM121" s="105" t="str">
        <f>IFERROR(_xlfn.CONCAT(TableWRTECalcPts[[#This Row],[POS]],INDEX(TableWRRanks[RK],MATCH(TableWRTECalcPts[[#This Row],[PLAYER]],TableWRRanks[Player],0))),"")</f>
        <v>WR60</v>
      </c>
      <c r="AN121" s="105" t="str">
        <f>IFERROR(INDEX(TableWRMaster[TM],MATCH(TableWRTECalcPts[[#This Row],[POSRef]],TableWRMaster[WRRef],0)),"")</f>
        <v>BUF</v>
      </c>
      <c r="AO121" s="105">
        <f>IFERROR(INDEX(TableWRMaster[BYE],MATCH(TableWRTECalcPts[[#This Row],[POSRef]],TableWRMaster[WRRef],0)),"")</f>
        <v>13</v>
      </c>
      <c r="AP121" s="103">
        <f>IFERROR(INDEX(TableWRMaster[Custom],MATCH(TableWRTECalcPts[[#This Row],[POSRef]],TableWRMaster[WRRef],0)),"")</f>
        <v>138.1168361067264</v>
      </c>
    </row>
    <row r="122" spans="8:42" x14ac:dyDescent="0.2">
      <c r="H122" s="59" t="str">
        <f>IFERROR(RANK(TableRBCalcPts[[#This Row],[Custom]],TableRBCalcPts[Custom])+COUNTIF($M$3:M122,M122)-1,"")</f>
        <v/>
      </c>
      <c r="I122" s="59">
        <v>120</v>
      </c>
      <c r="J122" s="59" t="str">
        <f>IFERROR(INDEX(TableRBMaster[Player],MATCH(TableRBCalcPts[[#This Row],[RBRef]],TableRBMaster[RBRef],0)),"")</f>
        <v/>
      </c>
      <c r="K122" s="59" t="str">
        <f>IFERROR(INDEX(TableRBMaster[TM],MATCH(TableRBCalcPts[[#This Row],[RBRef]],TableRBMaster[RBRef],0)),"")</f>
        <v/>
      </c>
      <c r="L122" s="59" t="str">
        <f>IFERROR(INDEX(TableRBMaster[BYE],MATCH(TableRBCalcPts[[#This Row],[RBRef]],TableRBMaster[RBRef],0)),"")</f>
        <v/>
      </c>
      <c r="M122" s="60" t="str">
        <f>IFERROR(INDEX(TableRBMaster[Custom],MATCH(TableRBCalcPts[[#This Row],[RBRef]],TableRBMaster[RBRef],0)),"")</f>
        <v/>
      </c>
      <c r="O122" s="59">
        <f>IFERROR(RANK(TableWRCalcPts[[#This Row],[Custom]],TableWRCalcPts[Custom])+COUNTIF($T$3:T122,T122)-1,"")</f>
        <v>74</v>
      </c>
      <c r="P122" s="59">
        <v>120</v>
      </c>
      <c r="Q122" s="59" t="str">
        <f>IFERROR(INDEX(TableWRMaster[Player],MATCH(TableWRCalcPts[[#This Row],[WRRef]],TableWRMaster[WRRef],0)),"")</f>
        <v>Demario Douglas</v>
      </c>
      <c r="R122" s="59" t="str">
        <f>IFERROR(INDEX(TableWRMaster[TM],MATCH(TableWRCalcPts[[#This Row],[WRRef]],TableWRMaster[WRRef],0)),"")</f>
        <v>NE</v>
      </c>
      <c r="S122" s="59">
        <f>IFERROR(INDEX(TableWRMaster[BYE],MATCH(TableWRCalcPts[[#This Row],[WRRef]],TableWRMaster[WRRef],0)),"")</f>
        <v>11</v>
      </c>
      <c r="T122" s="60">
        <f>IFERROR(INDEX(TableWRMaster[Custom],MATCH(TableWRCalcPts[[#This Row],[WRRef]],TableWRMaster[WRRef],0)),"")</f>
        <v>106.29055499999998</v>
      </c>
      <c r="AI122" s="59" t="s">
        <v>223</v>
      </c>
      <c r="AJ122" s="59">
        <f>IFERROR(RANK(TableWRTECalcPts[[#This Row],[Custom]],TableWRTECalcPts[Custom])+COUNTIF($AP$3:AP122,AP122)-1,"")</f>
        <v>161</v>
      </c>
      <c r="AK122" s="105">
        <v>20</v>
      </c>
      <c r="AL122" s="105" t="str">
        <f>IFERROR(INDEX(TableWRMaster[Player],MATCH(TableWRTECalcPts[[#This Row],[POSRef]],TableWRMaster[WRRef],0)),"")</f>
        <v>Mack Hollins</v>
      </c>
      <c r="AM122" s="105" t="str">
        <f>IFERROR(_xlfn.CONCAT(TableWRTECalcPts[[#This Row],[POS]],INDEX(TableWRRanks[RK],MATCH(TableWRTECalcPts[[#This Row],[PLAYER]],TableWRRanks[Player],0))),"")</f>
        <v>WR115</v>
      </c>
      <c r="AN122" s="105" t="str">
        <f>IFERROR(INDEX(TableWRMaster[TM],MATCH(TableWRTECalcPts[[#This Row],[POSRef]],TableWRMaster[WRRef],0)),"")</f>
        <v>BUF</v>
      </c>
      <c r="AO122" s="105">
        <f>IFERROR(INDEX(TableWRMaster[BYE],MATCH(TableWRTECalcPts[[#This Row],[POSRef]],TableWRMaster[WRRef],0)),"")</f>
        <v>13</v>
      </c>
      <c r="AP122" s="103">
        <f>IFERROR(INDEX(TableWRMaster[Custom],MATCH(TableWRTECalcPts[[#This Row],[POSRef]],TableWRMaster[WRRef],0)),"")</f>
        <v>35.190761181183994</v>
      </c>
    </row>
    <row r="123" spans="8:42" x14ac:dyDescent="0.2">
      <c r="H123" s="59" t="str">
        <f>IFERROR(RANK(TableRBCalcPts[[#This Row],[Custom]],TableRBCalcPts[Custom])+COUNTIF($M$3:M123,M123)-1,"")</f>
        <v/>
      </c>
      <c r="I123" s="59">
        <v>121</v>
      </c>
      <c r="J123" s="59" t="str">
        <f>IFERROR(INDEX(TableRBMaster[Player],MATCH(TableRBCalcPts[[#This Row],[RBRef]],TableRBMaster[RBRef],0)),"")</f>
        <v/>
      </c>
      <c r="K123" s="59" t="str">
        <f>IFERROR(INDEX(TableRBMaster[TM],MATCH(TableRBCalcPts[[#This Row],[RBRef]],TableRBMaster[RBRef],0)),"")</f>
        <v/>
      </c>
      <c r="L123" s="59" t="str">
        <f>IFERROR(INDEX(TableRBMaster[BYE],MATCH(TableRBCalcPts[[#This Row],[RBRef]],TableRBMaster[RBRef],0)),"")</f>
        <v/>
      </c>
      <c r="M123" s="60" t="str">
        <f>IFERROR(INDEX(TableRBMaster[Custom],MATCH(TableRBCalcPts[[#This Row],[RBRef]],TableRBMaster[RBRef],0)),"")</f>
        <v/>
      </c>
      <c r="O123" s="59">
        <f>IFERROR(RANK(TableWRCalcPts[[#This Row],[Custom]],TableWRCalcPts[Custom])+COUNTIF($T$3:T123,T123)-1,"")</f>
        <v>79</v>
      </c>
      <c r="P123" s="59">
        <v>121</v>
      </c>
      <c r="Q123" s="59" t="str">
        <f>IFERROR(INDEX(TableWRMaster[Player],MATCH(TableWRCalcPts[[#This Row],[WRRef]],TableWRMaster[WRRef],0)),"")</f>
        <v>Kendrick Bourne</v>
      </c>
      <c r="R123" s="59" t="str">
        <f>IFERROR(INDEX(TableWRMaster[TM],MATCH(TableWRCalcPts[[#This Row],[WRRef]],TableWRMaster[WRRef],0)),"")</f>
        <v>NE</v>
      </c>
      <c r="S123" s="59">
        <f>IFERROR(INDEX(TableWRMaster[BYE],MATCH(TableWRCalcPts[[#This Row],[WRRef]],TableWRMaster[WRRef],0)),"")</f>
        <v>11</v>
      </c>
      <c r="T123" s="60">
        <f>IFERROR(INDEX(TableWRMaster[Custom],MATCH(TableWRCalcPts[[#This Row],[WRRef]],TableWRMaster[WRRef],0)),"")</f>
        <v>98.874365364095979</v>
      </c>
      <c r="AI123" s="59" t="s">
        <v>223</v>
      </c>
      <c r="AJ123" s="59">
        <f>IFERROR(RANK(TableWRTECalcPts[[#This Row],[Custom]],TableWRTECalcPts[Custom])+COUNTIF($AP$3:AP123,AP123)-1,"")</f>
        <v>253</v>
      </c>
      <c r="AK123" s="105">
        <v>21</v>
      </c>
      <c r="AL123" s="105" t="str">
        <f>IFERROR(INDEX(TableWRMaster[Player],MATCH(TableWRTECalcPts[[#This Row],[POSRef]],TableWRMaster[WRRef],0)),"")</f>
        <v>Andy Isabella</v>
      </c>
      <c r="AM123" s="105" t="str">
        <f>IFERROR(_xlfn.CONCAT(TableWRTECalcPts[[#This Row],[POS]],INDEX(TableWRRanks[RK],MATCH(TableWRTECalcPts[[#This Row],[PLAYER]],TableWRRanks[Player],0))),"")</f>
        <v>WR174</v>
      </c>
      <c r="AN123" s="105" t="str">
        <f>IFERROR(INDEX(TableWRMaster[TM],MATCH(TableWRTECalcPts[[#This Row],[POSRef]],TableWRMaster[WRRef],0)),"")</f>
        <v>BUF</v>
      </c>
      <c r="AO123" s="105">
        <f>IFERROR(INDEX(TableWRMaster[BYE],MATCH(TableWRTECalcPts[[#This Row],[POSRef]],TableWRMaster[WRRef],0)),"")</f>
        <v>13</v>
      </c>
      <c r="AP123" s="103">
        <f>IFERROR(INDEX(TableWRMaster[Custom],MATCH(TableWRTECalcPts[[#This Row],[POSRef]],TableWRMaster[WRRef],0)),"")</f>
        <v>10.255012024319997</v>
      </c>
    </row>
    <row r="124" spans="8:42" x14ac:dyDescent="0.2">
      <c r="H124" s="59" t="str">
        <f>IFERROR(RANK(TableRBCalcPts[[#This Row],[Custom]],TableRBCalcPts[Custom])+COUNTIF($M$3:M124,M124)-1,"")</f>
        <v/>
      </c>
      <c r="I124" s="59">
        <v>122</v>
      </c>
      <c r="J124" s="59" t="str">
        <f>IFERROR(INDEX(TableRBMaster[Player],MATCH(TableRBCalcPts[[#This Row],[RBRef]],TableRBMaster[RBRef],0)),"")</f>
        <v/>
      </c>
      <c r="K124" s="59" t="str">
        <f>IFERROR(INDEX(TableRBMaster[TM],MATCH(TableRBCalcPts[[#This Row],[RBRef]],TableRBMaster[RBRef],0)),"")</f>
        <v/>
      </c>
      <c r="L124" s="59" t="str">
        <f>IFERROR(INDEX(TableRBMaster[BYE],MATCH(TableRBCalcPts[[#This Row],[RBRef]],TableRBMaster[RBRef],0)),"")</f>
        <v/>
      </c>
      <c r="M124" s="60" t="str">
        <f>IFERROR(INDEX(TableRBMaster[Custom],MATCH(TableRBCalcPts[[#This Row],[RBRef]],TableRBMaster[RBRef],0)),"")</f>
        <v/>
      </c>
      <c r="O124" s="59">
        <f>IFERROR(RANK(TableWRCalcPts[[#This Row],[Custom]],TableWRCalcPts[Custom])+COUNTIF($T$3:T124,T124)-1,"")</f>
        <v>116</v>
      </c>
      <c r="P124" s="59">
        <v>122</v>
      </c>
      <c r="Q124" s="59" t="str">
        <f>IFERROR(INDEX(TableWRMaster[Player],MATCH(TableWRCalcPts[[#This Row],[WRRef]],TableWRMaster[WRRef],0)),"")</f>
        <v>K.J. Osborn</v>
      </c>
      <c r="R124" s="59" t="str">
        <f>IFERROR(INDEX(TableWRMaster[TM],MATCH(TableWRCalcPts[[#This Row],[WRRef]],TableWRMaster[WRRef],0)),"")</f>
        <v>NE</v>
      </c>
      <c r="S124" s="59">
        <f>IFERROR(INDEX(TableWRMaster[BYE],MATCH(TableWRCalcPts[[#This Row],[WRRef]],TableWRMaster[WRRef],0)),"")</f>
        <v>11</v>
      </c>
      <c r="T124" s="60">
        <f>IFERROR(INDEX(TableWRMaster[Custom],MATCH(TableWRCalcPts[[#This Row],[WRRef]],TableWRMaster[WRRef],0)),"")</f>
        <v>34.604123150687997</v>
      </c>
      <c r="AI124" s="59" t="s">
        <v>223</v>
      </c>
      <c r="AJ124" s="59">
        <f>IFERROR(RANK(TableWRTECalcPts[[#This Row],[Custom]],TableWRTECalcPts[Custom])+COUNTIF($AP$3:AP124,AP124)-1,"")</f>
        <v>254</v>
      </c>
      <c r="AK124" s="105">
        <v>22</v>
      </c>
      <c r="AL124" s="105" t="str">
        <f>IFERROR(INDEX(TableWRMaster[Player],MATCH(TableWRTECalcPts[[#This Row],[POSRef]],TableWRMaster[WRRef],0)),"")</f>
        <v>Justin Shorter</v>
      </c>
      <c r="AM124" s="105" t="str">
        <f>IFERROR(_xlfn.CONCAT(TableWRTECalcPts[[#This Row],[POS]],INDEX(TableWRRanks[RK],MATCH(TableWRTECalcPts[[#This Row],[PLAYER]],TableWRRanks[Player],0))),"")</f>
        <v>WR175</v>
      </c>
      <c r="AN124" s="105" t="str">
        <f>IFERROR(INDEX(TableWRMaster[TM],MATCH(TableWRTECalcPts[[#This Row],[POSRef]],TableWRMaster[WRRef],0)),"")</f>
        <v>BUF</v>
      </c>
      <c r="AO124" s="105">
        <f>IFERROR(INDEX(TableWRMaster[BYE],MATCH(TableWRTECalcPts[[#This Row],[POSRef]],TableWRMaster[WRRef],0)),"")</f>
        <v>13</v>
      </c>
      <c r="AP124" s="103">
        <f>IFERROR(INDEX(TableWRMaster[Custom],MATCH(TableWRTECalcPts[[#This Row],[POSRef]],TableWRMaster[WRRef],0)),"")</f>
        <v>10.112884991999998</v>
      </c>
    </row>
    <row r="125" spans="8:42" x14ac:dyDescent="0.2">
      <c r="H125" s="59" t="str">
        <f>IFERROR(RANK(TableRBCalcPts[[#This Row],[Custom]],TableRBCalcPts[Custom])+COUNTIF($M$3:M125,M125)-1,"")</f>
        <v/>
      </c>
      <c r="I125" s="59">
        <v>123</v>
      </c>
      <c r="J125" s="59" t="str">
        <f>IFERROR(INDEX(TableRBMaster[Player],MATCH(TableRBCalcPts[[#This Row],[RBRef]],TableRBMaster[RBRef],0)),"")</f>
        <v/>
      </c>
      <c r="K125" s="59" t="str">
        <f>IFERROR(INDEX(TableRBMaster[TM],MATCH(TableRBCalcPts[[#This Row],[RBRef]],TableRBMaster[RBRef],0)),"")</f>
        <v/>
      </c>
      <c r="L125" s="59" t="str">
        <f>IFERROR(INDEX(TableRBMaster[BYE],MATCH(TableRBCalcPts[[#This Row],[RBRef]],TableRBMaster[RBRef],0)),"")</f>
        <v/>
      </c>
      <c r="M125" s="60" t="str">
        <f>IFERROR(INDEX(TableRBMaster[Custom],MATCH(TableRBCalcPts[[#This Row],[RBRef]],TableRBMaster[RBRef],0)),"")</f>
        <v/>
      </c>
      <c r="O125" s="59">
        <f>IFERROR(RANK(TableWRCalcPts[[#This Row],[Custom]],TableWRCalcPts[Custom])+COUNTIF($T$3:T125,T125)-1,"")</f>
        <v>94</v>
      </c>
      <c r="P125" s="59">
        <v>123</v>
      </c>
      <c r="Q125" s="59" t="str">
        <f>IFERROR(INDEX(TableWRMaster[Player],MATCH(TableWRCalcPts[[#This Row],[WRRef]],TableWRMaster[WRRef],0)),"")</f>
        <v>JuJu Smith-Schuster</v>
      </c>
      <c r="R125" s="59" t="str">
        <f>IFERROR(INDEX(TableWRMaster[TM],MATCH(TableWRCalcPts[[#This Row],[WRRef]],TableWRMaster[WRRef],0)),"")</f>
        <v>NE</v>
      </c>
      <c r="S125" s="59">
        <f>IFERROR(INDEX(TableWRMaster[BYE],MATCH(TableWRCalcPts[[#This Row],[WRRef]],TableWRMaster[WRRef],0)),"")</f>
        <v>11</v>
      </c>
      <c r="T125" s="60">
        <f>IFERROR(INDEX(TableWRMaster[Custom],MATCH(TableWRCalcPts[[#This Row],[WRRef]],TableWRMaster[WRRef],0)),"")</f>
        <v>64.556631484799979</v>
      </c>
      <c r="AI125" s="59" t="s">
        <v>223</v>
      </c>
      <c r="AJ125" s="59">
        <f>IFERROR(RANK(TableWRTECalcPts[[#This Row],[Custom]],TableWRTECalcPts[Custom])+COUNTIF($AP$3:AP125,AP125)-1,"")</f>
        <v>53</v>
      </c>
      <c r="AK125" s="105">
        <v>23</v>
      </c>
      <c r="AL125" s="105" t="str">
        <f>IFERROR(INDEX(TableWRMaster[Player],MATCH(TableWRTECalcPts[[#This Row],[POSRef]],TableWRMaster[WRRef],0)),"")</f>
        <v>Diontae Johnson</v>
      </c>
      <c r="AM125" s="105" t="str">
        <f>IFERROR(_xlfn.CONCAT(TableWRTECalcPts[[#This Row],[POS]],INDEX(TableWRRanks[RK],MATCH(TableWRTECalcPts[[#This Row],[PLAYER]],TableWRRanks[Player],0))),"")</f>
        <v>WR48</v>
      </c>
      <c r="AN125" s="105" t="str">
        <f>IFERROR(INDEX(TableWRMaster[TM],MATCH(TableWRTECalcPts[[#This Row],[POSRef]],TableWRMaster[WRRef],0)),"")</f>
        <v>CAR</v>
      </c>
      <c r="AO125" s="105">
        <f>IFERROR(INDEX(TableWRMaster[BYE],MATCH(TableWRTECalcPts[[#This Row],[POSRef]],TableWRMaster[WRRef],0)),"")</f>
        <v>7</v>
      </c>
      <c r="AP125" s="103">
        <f>IFERROR(INDEX(TableWRMaster[Custom],MATCH(TableWRTECalcPts[[#This Row],[POSRef]],TableWRMaster[WRRef],0)),"")</f>
        <v>157.09497063649198</v>
      </c>
    </row>
    <row r="126" spans="8:42" x14ac:dyDescent="0.2">
      <c r="H126" s="59" t="str">
        <f>IFERROR(RANK(TableRBCalcPts[[#This Row],[Custom]],TableRBCalcPts[Custom])+COUNTIF($M$3:M126,M126)-1,"")</f>
        <v/>
      </c>
      <c r="I126" s="59">
        <v>124</v>
      </c>
      <c r="J126" s="59" t="str">
        <f>IFERROR(INDEX(TableRBMaster[Player],MATCH(TableRBCalcPts[[#This Row],[RBRef]],TableRBMaster[RBRef],0)),"")</f>
        <v/>
      </c>
      <c r="K126" s="59" t="str">
        <f>IFERROR(INDEX(TableRBMaster[TM],MATCH(TableRBCalcPts[[#This Row],[RBRef]],TableRBMaster[RBRef],0)),"")</f>
        <v/>
      </c>
      <c r="L126" s="59" t="str">
        <f>IFERROR(INDEX(TableRBMaster[BYE],MATCH(TableRBCalcPts[[#This Row],[RBRef]],TableRBMaster[RBRef],0)),"")</f>
        <v/>
      </c>
      <c r="M126" s="60" t="str">
        <f>IFERROR(INDEX(TableRBMaster[Custom],MATCH(TableRBCalcPts[[#This Row],[RBRef]],TableRBMaster[RBRef],0)),"")</f>
        <v/>
      </c>
      <c r="O126" s="59">
        <f>IFERROR(RANK(TableWRCalcPts[[#This Row],[Custom]],TableWRCalcPts[Custom])+COUNTIF($T$3:T126,T126)-1,"")</f>
        <v>114</v>
      </c>
      <c r="P126" s="59">
        <v>124</v>
      </c>
      <c r="Q126" s="59" t="str">
        <f>IFERROR(INDEX(TableWRMaster[Player],MATCH(TableWRCalcPts[[#This Row],[WRRef]],TableWRMaster[WRRef],0)),"")</f>
        <v>Javon Baker</v>
      </c>
      <c r="R126" s="59" t="str">
        <f>IFERROR(INDEX(TableWRMaster[TM],MATCH(TableWRCalcPts[[#This Row],[WRRef]],TableWRMaster[WRRef],0)),"")</f>
        <v>NE</v>
      </c>
      <c r="S126" s="59">
        <f>IFERROR(INDEX(TableWRMaster[BYE],MATCH(TableWRCalcPts[[#This Row],[WRRef]],TableWRMaster[WRRef],0)),"")</f>
        <v>11</v>
      </c>
      <c r="T126" s="60">
        <f>IFERROR(INDEX(TableWRMaster[Custom],MATCH(TableWRCalcPts[[#This Row],[WRRef]],TableWRMaster[WRRef],0)),"")</f>
        <v>36.585038966111988</v>
      </c>
      <c r="AI126" s="59" t="s">
        <v>223</v>
      </c>
      <c r="AJ126" s="59">
        <f>IFERROR(RANK(TableWRTECalcPts[[#This Row],[Custom]],TableWRTECalcPts[Custom])+COUNTIF($AP$3:AP126,AP126)-1,"")</f>
        <v>47</v>
      </c>
      <c r="AK126" s="105">
        <v>24</v>
      </c>
      <c r="AL126" s="105" t="str">
        <f>IFERROR(INDEX(TableWRMaster[Player],MATCH(TableWRTECalcPts[[#This Row],[POSRef]],TableWRMaster[WRRef],0)),"")</f>
        <v>Xavier Legette</v>
      </c>
      <c r="AM126" s="105" t="str">
        <f>IFERROR(_xlfn.CONCAT(TableWRTECalcPts[[#This Row],[POS]],INDEX(TableWRRanks[RK],MATCH(TableWRTECalcPts[[#This Row],[PLAYER]],TableWRRanks[Player],0))),"")</f>
        <v>WR43</v>
      </c>
      <c r="AN126" s="105" t="str">
        <f>IFERROR(INDEX(TableWRMaster[TM],MATCH(TableWRTECalcPts[[#This Row],[POSRef]],TableWRMaster[WRRef],0)),"")</f>
        <v>CAR</v>
      </c>
      <c r="AO126" s="105">
        <f>IFERROR(INDEX(TableWRMaster[BYE],MATCH(TableWRTECalcPts[[#This Row],[POSRef]],TableWRMaster[WRRef],0)),"")</f>
        <v>7</v>
      </c>
      <c r="AP126" s="103">
        <f>IFERROR(INDEX(TableWRMaster[Custom],MATCH(TableWRTECalcPts[[#This Row],[POSRef]],TableWRMaster[WRRef],0)),"")</f>
        <v>163.16862053171394</v>
      </c>
    </row>
    <row r="127" spans="8:42" x14ac:dyDescent="0.2">
      <c r="H127" s="59" t="str">
        <f>IFERROR(RANK(TableRBCalcPts[[#This Row],[Custom]],TableRBCalcPts[Custom])+COUNTIF($M$3:M127,M127)-1,"")</f>
        <v/>
      </c>
      <c r="I127" s="59">
        <v>125</v>
      </c>
      <c r="J127" s="59" t="str">
        <f>IFERROR(INDEX(TableRBMaster[Player],MATCH(TableRBCalcPts[[#This Row],[RBRef]],TableRBMaster[RBRef],0)),"")</f>
        <v/>
      </c>
      <c r="K127" s="59" t="str">
        <f>IFERROR(INDEX(TableRBMaster[TM],MATCH(TableRBCalcPts[[#This Row],[RBRef]],TableRBMaster[RBRef],0)),"")</f>
        <v/>
      </c>
      <c r="L127" s="59" t="str">
        <f>IFERROR(INDEX(TableRBMaster[BYE],MATCH(TableRBCalcPts[[#This Row],[RBRef]],TableRBMaster[RBRef],0)),"")</f>
        <v/>
      </c>
      <c r="M127" s="60" t="str">
        <f>IFERROR(INDEX(TableRBMaster[Custom],MATCH(TableRBCalcPts[[#This Row],[RBRef]],TableRBMaster[RBRef],0)),"")</f>
        <v/>
      </c>
      <c r="O127" s="59">
        <f>IFERROR(RANK(TableWRCalcPts[[#This Row],[Custom]],TableWRCalcPts[Custom])+COUNTIF($T$3:T127,T127)-1,"")</f>
        <v>20</v>
      </c>
      <c r="P127" s="59">
        <v>125</v>
      </c>
      <c r="Q127" s="59" t="str">
        <f>IFERROR(INDEX(TableWRMaster[Player],MATCH(TableWRCalcPts[[#This Row],[WRRef]],TableWRMaster[WRRef],0)),"")</f>
        <v>Chris Olave</v>
      </c>
      <c r="R127" s="59" t="str">
        <f>IFERROR(INDEX(TableWRMaster[TM],MATCH(TableWRCalcPts[[#This Row],[WRRef]],TableWRMaster[WRRef],0)),"")</f>
        <v>NO</v>
      </c>
      <c r="S127" s="59">
        <f>IFERROR(INDEX(TableWRMaster[BYE],MATCH(TableWRCalcPts[[#This Row],[WRRef]],TableWRMaster[WRRef],0)),"")</f>
        <v>11</v>
      </c>
      <c r="T127" s="60">
        <f>IFERROR(INDEX(TableWRMaster[Custom],MATCH(TableWRCalcPts[[#This Row],[WRRef]],TableWRMaster[WRRef],0)),"")</f>
        <v>190.09510405256719</v>
      </c>
      <c r="AI127" s="59" t="s">
        <v>223</v>
      </c>
      <c r="AJ127" s="59">
        <f>IFERROR(RANK(TableWRTECalcPts[[#This Row],[Custom]],TableWRTECalcPts[Custom])+COUNTIF($AP$3:AP127,AP127)-1,"")</f>
        <v>84</v>
      </c>
      <c r="AK127" s="105">
        <v>25</v>
      </c>
      <c r="AL127" s="105" t="str">
        <f>IFERROR(INDEX(TableWRMaster[Player],MATCH(TableWRTECalcPts[[#This Row],[POSRef]],TableWRMaster[WRRef],0)),"")</f>
        <v>Adam Thielen</v>
      </c>
      <c r="AM127" s="105" t="str">
        <f>IFERROR(_xlfn.CONCAT(TableWRTECalcPts[[#This Row],[POS]],INDEX(TableWRRanks[RK],MATCH(TableWRTECalcPts[[#This Row],[PLAYER]],TableWRRanks[Player],0))),"")</f>
        <v>WR71</v>
      </c>
      <c r="AN127" s="105" t="str">
        <f>IFERROR(INDEX(TableWRMaster[TM],MATCH(TableWRTECalcPts[[#This Row],[POSRef]],TableWRMaster[WRRef],0)),"")</f>
        <v>CAR</v>
      </c>
      <c r="AO127" s="105">
        <f>IFERROR(INDEX(TableWRMaster[BYE],MATCH(TableWRTECalcPts[[#This Row],[POSRef]],TableWRMaster[WRRef],0)),"")</f>
        <v>7</v>
      </c>
      <c r="AP127" s="103">
        <f>IFERROR(INDEX(TableWRMaster[Custom],MATCH(TableWRTECalcPts[[#This Row],[POSRef]],TableWRMaster[WRRef],0)),"")</f>
        <v>117.82870796050199</v>
      </c>
    </row>
    <row r="128" spans="8:42" x14ac:dyDescent="0.2">
      <c r="H128" s="59" t="str">
        <f>IFERROR(RANK(TableRBCalcPts[[#This Row],[Custom]],TableRBCalcPts[Custom])+COUNTIF($M$3:M128,M128)-1,"")</f>
        <v/>
      </c>
      <c r="I128" s="59">
        <v>126</v>
      </c>
      <c r="J128" s="59" t="str">
        <f>IFERROR(INDEX(TableRBMaster[Player],MATCH(TableRBCalcPts[[#This Row],[RBRef]],TableRBMaster[RBRef],0)),"")</f>
        <v/>
      </c>
      <c r="K128" s="59" t="str">
        <f>IFERROR(INDEX(TableRBMaster[TM],MATCH(TableRBCalcPts[[#This Row],[RBRef]],TableRBMaster[RBRef],0)),"")</f>
        <v/>
      </c>
      <c r="L128" s="59" t="str">
        <f>IFERROR(INDEX(TableRBMaster[BYE],MATCH(TableRBCalcPts[[#This Row],[RBRef]],TableRBMaster[RBRef],0)),"")</f>
        <v/>
      </c>
      <c r="M128" s="60" t="str">
        <f>IFERROR(INDEX(TableRBMaster[Custom],MATCH(TableRBCalcPts[[#This Row],[RBRef]],TableRBMaster[RBRef],0)),"")</f>
        <v/>
      </c>
      <c r="O128" s="59">
        <f>IFERROR(RANK(TableWRCalcPts[[#This Row],[Custom]],TableWRCalcPts[Custom])+COUNTIF($T$3:T128,T128)-1,"")</f>
        <v>61</v>
      </c>
      <c r="P128" s="59">
        <v>126</v>
      </c>
      <c r="Q128" s="59" t="str">
        <f>IFERROR(INDEX(TableWRMaster[Player],MATCH(TableWRCalcPts[[#This Row],[WRRef]],TableWRMaster[WRRef],0)),"")</f>
        <v>Rashid Shaheed</v>
      </c>
      <c r="R128" s="59" t="str">
        <f>IFERROR(INDEX(TableWRMaster[TM],MATCH(TableWRCalcPts[[#This Row],[WRRef]],TableWRMaster[WRRef],0)),"")</f>
        <v>NO</v>
      </c>
      <c r="S128" s="59">
        <f>IFERROR(INDEX(TableWRMaster[BYE],MATCH(TableWRCalcPts[[#This Row],[WRRef]],TableWRMaster[WRRef],0)),"")</f>
        <v>11</v>
      </c>
      <c r="T128" s="60">
        <f>IFERROR(INDEX(TableWRMaster[Custom],MATCH(TableWRCalcPts[[#This Row],[WRRef]],TableWRMaster[WRRef],0)),"")</f>
        <v>137.90885669345585</v>
      </c>
      <c r="AI128" s="59" t="s">
        <v>223</v>
      </c>
      <c r="AJ128" s="59">
        <f>IFERROR(RANK(TableWRTECalcPts[[#This Row],[Custom]],TableWRTECalcPts[Custom])+COUNTIF($AP$3:AP128,AP128)-1,"")</f>
        <v>173</v>
      </c>
      <c r="AK128" s="105">
        <v>26</v>
      </c>
      <c r="AL128" s="105" t="str">
        <f>IFERROR(INDEX(TableWRMaster[Player],MATCH(TableWRTECalcPts[[#This Row],[POSRef]],TableWRMaster[WRRef],0)),"")</f>
        <v>Jonathan Mingo</v>
      </c>
      <c r="AM128" s="105" t="str">
        <f>IFERROR(_xlfn.CONCAT(TableWRTECalcPts[[#This Row],[POS]],INDEX(TableWRRanks[RK],MATCH(TableWRTECalcPts[[#This Row],[PLAYER]],TableWRRanks[Player],0))),"")</f>
        <v>WR125</v>
      </c>
      <c r="AN128" s="105" t="str">
        <f>IFERROR(INDEX(TableWRMaster[TM],MATCH(TableWRTECalcPts[[#This Row],[POSRef]],TableWRMaster[WRRef],0)),"")</f>
        <v>CAR</v>
      </c>
      <c r="AO128" s="105">
        <f>IFERROR(INDEX(TableWRMaster[BYE],MATCH(TableWRTECalcPts[[#This Row],[POSRef]],TableWRMaster[WRRef],0)),"")</f>
        <v>7</v>
      </c>
      <c r="AP128" s="103">
        <f>IFERROR(INDEX(TableWRMaster[Custom],MATCH(TableWRTECalcPts[[#This Row],[POSRef]],TableWRMaster[WRRef],0)),"")</f>
        <v>29.630162097535994</v>
      </c>
    </row>
    <row r="129" spans="8:42" x14ac:dyDescent="0.2">
      <c r="H129" s="59" t="str">
        <f>IFERROR(RANK(TableRBCalcPts[[#This Row],[Custom]],TableRBCalcPts[Custom])+COUNTIF($M$3:M129,M129)-1,"")</f>
        <v/>
      </c>
      <c r="I129" s="59">
        <v>127</v>
      </c>
      <c r="J129" s="59" t="str">
        <f>IFERROR(INDEX(TableRBMaster[Player],MATCH(TableRBCalcPts[[#This Row],[RBRef]],TableRBMaster[RBRef],0)),"")</f>
        <v/>
      </c>
      <c r="K129" s="59" t="str">
        <f>IFERROR(INDEX(TableRBMaster[TM],MATCH(TableRBCalcPts[[#This Row],[RBRef]],TableRBMaster[RBRef],0)),"")</f>
        <v/>
      </c>
      <c r="L129" s="59" t="str">
        <f>IFERROR(INDEX(TableRBMaster[BYE],MATCH(TableRBCalcPts[[#This Row],[RBRef]],TableRBMaster[RBRef],0)),"")</f>
        <v/>
      </c>
      <c r="M129" s="60" t="str">
        <f>IFERROR(INDEX(TableRBMaster[Custom],MATCH(TableRBCalcPts[[#This Row],[RBRef]],TableRBMaster[RBRef],0)),"")</f>
        <v/>
      </c>
      <c r="O129" s="59">
        <f>IFERROR(RANK(TableWRCalcPts[[#This Row],[Custom]],TableWRCalcPts[Custom])+COUNTIF($T$3:T129,T129)-1,"")</f>
        <v>92</v>
      </c>
      <c r="P129" s="59">
        <v>127</v>
      </c>
      <c r="Q129" s="59" t="str">
        <f>IFERROR(INDEX(TableWRMaster[Player],MATCH(TableWRCalcPts[[#This Row],[WRRef]],TableWRMaster[WRRef],0)),"")</f>
        <v>Cedrick Wilson</v>
      </c>
      <c r="R129" s="59" t="str">
        <f>IFERROR(INDEX(TableWRMaster[TM],MATCH(TableWRCalcPts[[#This Row],[WRRef]],TableWRMaster[WRRef],0)),"")</f>
        <v>NO</v>
      </c>
      <c r="S129" s="59">
        <f>IFERROR(INDEX(TableWRMaster[BYE],MATCH(TableWRCalcPts[[#This Row],[WRRef]],TableWRMaster[WRRef],0)),"")</f>
        <v>11</v>
      </c>
      <c r="T129" s="60">
        <f>IFERROR(INDEX(TableWRMaster[Custom],MATCH(TableWRCalcPts[[#This Row],[WRRef]],TableWRMaster[WRRef],0)),"")</f>
        <v>69.911023376409588</v>
      </c>
      <c r="AI129" s="59" t="s">
        <v>223</v>
      </c>
      <c r="AJ129" s="59">
        <f>IFERROR(RANK(TableWRTECalcPts[[#This Row],[Custom]],TableWRTECalcPts[Custom])+COUNTIF($AP$3:AP129,AP129)-1,"")</f>
        <v>176</v>
      </c>
      <c r="AK129" s="105">
        <v>27</v>
      </c>
      <c r="AL129" s="105" t="str">
        <f>IFERROR(INDEX(TableWRMaster[Player],MATCH(TableWRTECalcPts[[#This Row],[POSRef]],TableWRMaster[WRRef],0)),"")</f>
        <v>Terrace Marshall</v>
      </c>
      <c r="AM129" s="105" t="str">
        <f>IFERROR(_xlfn.CONCAT(TableWRTECalcPts[[#This Row],[POS]],INDEX(TableWRRanks[RK],MATCH(TableWRTECalcPts[[#This Row],[PLAYER]],TableWRRanks[Player],0))),"")</f>
        <v>WR128</v>
      </c>
      <c r="AN129" s="105" t="str">
        <f>IFERROR(INDEX(TableWRMaster[TM],MATCH(TableWRTECalcPts[[#This Row],[POSRef]],TableWRMaster[WRRef],0)),"")</f>
        <v>CAR</v>
      </c>
      <c r="AO129" s="105">
        <f>IFERROR(INDEX(TableWRMaster[BYE],MATCH(TableWRTECalcPts[[#This Row],[POSRef]],TableWRMaster[WRRef],0)),"")</f>
        <v>7</v>
      </c>
      <c r="AP129" s="103">
        <f>IFERROR(INDEX(TableWRMaster[Custom],MATCH(TableWRTECalcPts[[#This Row],[POSRef]],TableWRMaster[WRRef],0)),"")</f>
        <v>28.987005173839997</v>
      </c>
    </row>
    <row r="130" spans="8:42" x14ac:dyDescent="0.2">
      <c r="H130" s="59" t="str">
        <f>IFERROR(RANK(TableRBCalcPts[[#This Row],[Custom]],TableRBCalcPts[Custom])+COUNTIF($M$3:M130,M130)-1,"")</f>
        <v/>
      </c>
      <c r="I130" s="59">
        <v>128</v>
      </c>
      <c r="J130" s="59" t="str">
        <f>IFERROR(INDEX(TableRBMaster[Player],MATCH(TableRBCalcPts[[#This Row],[RBRef]],TableRBMaster[RBRef],0)),"")</f>
        <v/>
      </c>
      <c r="K130" s="59" t="str">
        <f>IFERROR(INDEX(TableRBMaster[TM],MATCH(TableRBCalcPts[[#This Row],[RBRef]],TableRBMaster[RBRef],0)),"")</f>
        <v/>
      </c>
      <c r="L130" s="59" t="str">
        <f>IFERROR(INDEX(TableRBMaster[BYE],MATCH(TableRBCalcPts[[#This Row],[RBRef]],TableRBMaster[RBRef],0)),"")</f>
        <v/>
      </c>
      <c r="M130" s="60" t="str">
        <f>IFERROR(INDEX(TableRBMaster[Custom],MATCH(TableRBCalcPts[[#This Row],[RBRef]],TableRBMaster[RBRef],0)),"")</f>
        <v/>
      </c>
      <c r="O130" s="59">
        <f>IFERROR(RANK(TableWRCalcPts[[#This Row],[Custom]],TableWRCalcPts[Custom])+COUNTIF($T$3:T130,T130)-1,"")</f>
        <v>104</v>
      </c>
      <c r="P130" s="59">
        <v>128</v>
      </c>
      <c r="Q130" s="59" t="str">
        <f>IFERROR(INDEX(TableWRMaster[Player],MATCH(TableWRCalcPts[[#This Row],[WRRef]],TableWRMaster[WRRef],0)),"")</f>
        <v>A.T. Perry</v>
      </c>
      <c r="R130" s="59" t="str">
        <f>IFERROR(INDEX(TableWRMaster[TM],MATCH(TableWRCalcPts[[#This Row],[WRRef]],TableWRMaster[WRRef],0)),"")</f>
        <v>NO</v>
      </c>
      <c r="S130" s="59">
        <f>IFERROR(INDEX(TableWRMaster[BYE],MATCH(TableWRCalcPts[[#This Row],[WRRef]],TableWRMaster[WRRef],0)),"")</f>
        <v>11</v>
      </c>
      <c r="T130" s="60">
        <f>IFERROR(INDEX(TableWRMaster[Custom],MATCH(TableWRCalcPts[[#This Row],[WRRef]],TableWRMaster[WRRef],0)),"")</f>
        <v>45.816955573996985</v>
      </c>
      <c r="AI130" s="59" t="s">
        <v>223</v>
      </c>
      <c r="AJ130" s="59">
        <f>IFERROR(RANK(TableWRTECalcPts[[#This Row],[Custom]],TableWRTECalcPts[Custom])+COUNTIF($AP$3:AP130,AP130)-1,"")</f>
        <v>244</v>
      </c>
      <c r="AK130" s="105">
        <v>28</v>
      </c>
      <c r="AL130" s="105" t="str">
        <f>IFERROR(INDEX(TableWRMaster[Player],MATCH(TableWRTECalcPts[[#This Row],[POSRef]],TableWRMaster[WRRef],0)),"")</f>
        <v>David Moore</v>
      </c>
      <c r="AM130" s="105" t="str">
        <f>IFERROR(_xlfn.CONCAT(TableWRTECalcPts[[#This Row],[POS]],INDEX(TableWRRanks[RK],MATCH(TableWRTECalcPts[[#This Row],[PLAYER]],TableWRRanks[Player],0))),"")</f>
        <v>WR168</v>
      </c>
      <c r="AN130" s="105" t="str">
        <f>IFERROR(INDEX(TableWRMaster[TM],MATCH(TableWRTECalcPts[[#This Row],[POSRef]],TableWRMaster[WRRef],0)),"")</f>
        <v>CAR</v>
      </c>
      <c r="AO130" s="105">
        <f>IFERROR(INDEX(TableWRMaster[BYE],MATCH(TableWRTECalcPts[[#This Row],[POSRef]],TableWRMaster[WRRef],0)),"")</f>
        <v>7</v>
      </c>
      <c r="AP130" s="103">
        <f>IFERROR(INDEX(TableWRMaster[Custom],MATCH(TableWRTECalcPts[[#This Row],[POSRef]],TableWRMaster[WRRef],0)),"")</f>
        <v>12.832094951199998</v>
      </c>
    </row>
    <row r="131" spans="8:42" x14ac:dyDescent="0.2">
      <c r="H131" s="59" t="str">
        <f>IFERROR(RANK(TableRBCalcPts[[#This Row],[Custom]],TableRBCalcPts[Custom])+COUNTIF($M$3:M131,M131)-1,"")</f>
        <v/>
      </c>
      <c r="I131" s="59">
        <v>129</v>
      </c>
      <c r="J131" s="59" t="str">
        <f>IFERROR(INDEX(TableRBMaster[Player],MATCH(TableRBCalcPts[[#This Row],[RBRef]],TableRBMaster[RBRef],0)),"")</f>
        <v/>
      </c>
      <c r="K131" s="59" t="str">
        <f>IFERROR(INDEX(TableRBMaster[TM],MATCH(TableRBCalcPts[[#This Row],[RBRef]],TableRBMaster[RBRef],0)),"")</f>
        <v/>
      </c>
      <c r="L131" s="59" t="str">
        <f>IFERROR(INDEX(TableRBMaster[BYE],MATCH(TableRBCalcPts[[#This Row],[RBRef]],TableRBMaster[RBRef],0)),"")</f>
        <v/>
      </c>
      <c r="M131" s="60" t="str">
        <f>IFERROR(INDEX(TableRBMaster[Custom],MATCH(TableRBCalcPts[[#This Row],[RBRef]],TableRBMaster[RBRef],0)),"")</f>
        <v/>
      </c>
      <c r="O131" s="59">
        <f>IFERROR(RANK(TableWRCalcPts[[#This Row],[Custom]],TableWRCalcPts[Custom])+COUNTIF($T$3:T131,T131)-1,"")</f>
        <v>158</v>
      </c>
      <c r="P131" s="59">
        <v>129</v>
      </c>
      <c r="Q131" s="59" t="str">
        <f>IFERROR(INDEX(TableWRMaster[Player],MATCH(TableWRCalcPts[[#This Row],[WRRef]],TableWRMaster[WRRef],0)),"")</f>
        <v>Bub Means</v>
      </c>
      <c r="R131" s="59" t="str">
        <f>IFERROR(INDEX(TableWRMaster[TM],MATCH(TableWRCalcPts[[#This Row],[WRRef]],TableWRMaster[WRRef],0)),"")</f>
        <v>NO</v>
      </c>
      <c r="S131" s="59">
        <f>IFERROR(INDEX(TableWRMaster[BYE],MATCH(TableWRCalcPts[[#This Row],[WRRef]],TableWRMaster[WRRef],0)),"")</f>
        <v>11</v>
      </c>
      <c r="T131" s="60">
        <f>IFERROR(INDEX(TableWRMaster[Custom],MATCH(TableWRCalcPts[[#This Row],[WRRef]],TableWRMaster[WRRef],0)),"")</f>
        <v>15.27545624248336</v>
      </c>
      <c r="AI131" s="59" t="s">
        <v>223</v>
      </c>
      <c r="AJ131" s="59">
        <f>IFERROR(RANK(TableWRTECalcPts[[#This Row],[Custom]],TableWRTECalcPts[Custom])+COUNTIF($AP$3:AP131,AP131)-1,"")</f>
        <v>19</v>
      </c>
      <c r="AK131" s="105">
        <v>29</v>
      </c>
      <c r="AL131" s="105" t="str">
        <f>IFERROR(INDEX(TableWRMaster[Player],MATCH(TableWRTECalcPts[[#This Row],[POSRef]],TableWRMaster[WRRef],0)),"")</f>
        <v>DJ Moore</v>
      </c>
      <c r="AM131" s="105" t="str">
        <f>IFERROR(_xlfn.CONCAT(TableWRTECalcPts[[#This Row],[POS]],INDEX(TableWRRanks[RK],MATCH(TableWRTECalcPts[[#This Row],[PLAYER]],TableWRRanks[Player],0))),"")</f>
        <v>WR19</v>
      </c>
      <c r="AN131" s="105" t="str">
        <f>IFERROR(INDEX(TableWRMaster[TM],MATCH(TableWRTECalcPts[[#This Row],[POSRef]],TableWRMaster[WRRef],0)),"")</f>
        <v>CHI</v>
      </c>
      <c r="AO131" s="105">
        <f>IFERROR(INDEX(TableWRMaster[BYE],MATCH(TableWRTECalcPts[[#This Row],[POSRef]],TableWRMaster[WRRef],0)),"")</f>
        <v>13</v>
      </c>
      <c r="AP131" s="103">
        <f>IFERROR(INDEX(TableWRMaster[Custom],MATCH(TableWRTECalcPts[[#This Row],[POSRef]],TableWRMaster[WRRef],0)),"")</f>
        <v>190.97919337139996</v>
      </c>
    </row>
    <row r="132" spans="8:42" x14ac:dyDescent="0.2">
      <c r="H132" s="59" t="str">
        <f>IFERROR(RANK(TableRBCalcPts[[#This Row],[Custom]],TableRBCalcPts[Custom])+COUNTIF($M$3:M132,M132)-1,"")</f>
        <v/>
      </c>
      <c r="I132" s="59">
        <v>130</v>
      </c>
      <c r="J132" s="59" t="str">
        <f>IFERROR(INDEX(TableRBMaster[Player],MATCH(TableRBCalcPts[[#This Row],[RBRef]],TableRBMaster[RBRef],0)),"")</f>
        <v/>
      </c>
      <c r="K132" s="59" t="str">
        <f>IFERROR(INDEX(TableRBMaster[TM],MATCH(TableRBCalcPts[[#This Row],[RBRef]],TableRBMaster[RBRef],0)),"")</f>
        <v/>
      </c>
      <c r="L132" s="59" t="str">
        <f>IFERROR(INDEX(TableRBMaster[BYE],MATCH(TableRBCalcPts[[#This Row],[RBRef]],TableRBMaster[RBRef],0)),"")</f>
        <v/>
      </c>
      <c r="M132" s="60" t="str">
        <f>IFERROR(INDEX(TableRBMaster[Custom],MATCH(TableRBCalcPts[[#This Row],[RBRef]],TableRBMaster[RBRef],0)),"")</f>
        <v/>
      </c>
      <c r="O132" s="59">
        <f>IFERROR(RANK(TableWRCalcPts[[#This Row],[Custom]],TableWRCalcPts[Custom])+COUNTIF($T$3:T132,T132)-1,"")</f>
        <v>169</v>
      </c>
      <c r="P132" s="59">
        <v>130</v>
      </c>
      <c r="Q132" s="59" t="str">
        <f>IFERROR(INDEX(TableWRMaster[Player],MATCH(TableWRCalcPts[[#This Row],[WRRef]],TableWRMaster[WRRef],0)),"")</f>
        <v>Stanley Morgan</v>
      </c>
      <c r="R132" s="59" t="str">
        <f>IFERROR(INDEX(TableWRMaster[TM],MATCH(TableWRCalcPts[[#This Row],[WRRef]],TableWRMaster[WRRef],0)),"")</f>
        <v>NO</v>
      </c>
      <c r="S132" s="59">
        <f>IFERROR(INDEX(TableWRMaster[BYE],MATCH(TableWRCalcPts[[#This Row],[WRRef]],TableWRMaster[WRRef],0)),"")</f>
        <v>11</v>
      </c>
      <c r="T132" s="60">
        <f>IFERROR(INDEX(TableWRMaster[Custom],MATCH(TableWRCalcPts[[#This Row],[WRRef]],TableWRMaster[WRRef],0)),"")</f>
        <v>12.684391177919998</v>
      </c>
      <c r="AI132" s="59" t="s">
        <v>223</v>
      </c>
      <c r="AJ132" s="59">
        <f>IFERROR(RANK(TableWRTECalcPts[[#This Row],[Custom]],TableWRTECalcPts[Custom])+COUNTIF($AP$3:AP132,AP132)-1,"")</f>
        <v>59</v>
      </c>
      <c r="AK132" s="105">
        <v>30</v>
      </c>
      <c r="AL132" s="105" t="str">
        <f>IFERROR(INDEX(TableWRMaster[Player],MATCH(TableWRTECalcPts[[#This Row],[POSRef]],TableWRMaster[WRRef],0)),"")</f>
        <v>Keenan Allen</v>
      </c>
      <c r="AM132" s="105" t="str">
        <f>IFERROR(_xlfn.CONCAT(TableWRTECalcPts[[#This Row],[POS]],INDEX(TableWRRanks[RK],MATCH(TableWRTECalcPts[[#This Row],[PLAYER]],TableWRRanks[Player],0))),"")</f>
        <v>WR52</v>
      </c>
      <c r="AN132" s="105" t="str">
        <f>IFERROR(INDEX(TableWRMaster[TM],MATCH(TableWRTECalcPts[[#This Row],[POSRef]],TableWRMaster[WRRef],0)),"")</f>
        <v>CHI</v>
      </c>
      <c r="AO132" s="105">
        <f>IFERROR(INDEX(TableWRMaster[BYE],MATCH(TableWRTECalcPts[[#This Row],[POSRef]],TableWRMaster[WRRef],0)),"")</f>
        <v>13</v>
      </c>
      <c r="AP132" s="103">
        <f>IFERROR(INDEX(TableWRMaster[Custom],MATCH(TableWRTECalcPts[[#This Row],[POSRef]],TableWRMaster[WRRef],0)),"")</f>
        <v>151.05445991999994</v>
      </c>
    </row>
    <row r="133" spans="8:42" x14ac:dyDescent="0.2">
      <c r="H133" s="59" t="str">
        <f>IFERROR(RANK(TableRBCalcPts[[#This Row],[Custom]],TableRBCalcPts[Custom])+COUNTIF($M$3:M133,M133)-1,"")</f>
        <v/>
      </c>
      <c r="I133" s="59">
        <v>131</v>
      </c>
      <c r="J133" s="59" t="str">
        <f>IFERROR(INDEX(TableRBMaster[Player],MATCH(TableRBCalcPts[[#This Row],[RBRef]],TableRBMaster[RBRef],0)),"")</f>
        <v/>
      </c>
      <c r="K133" s="59" t="str">
        <f>IFERROR(INDEX(TableRBMaster[TM],MATCH(TableRBCalcPts[[#This Row],[RBRef]],TableRBMaster[RBRef],0)),"")</f>
        <v/>
      </c>
      <c r="L133" s="59" t="str">
        <f>IFERROR(INDEX(TableRBMaster[BYE],MATCH(TableRBCalcPts[[#This Row],[RBRef]],TableRBMaster[RBRef],0)),"")</f>
        <v/>
      </c>
      <c r="M133" s="60" t="str">
        <f>IFERROR(INDEX(TableRBMaster[Custom],MATCH(TableRBCalcPts[[#This Row],[RBRef]],TableRBMaster[RBRef],0)),"")</f>
        <v/>
      </c>
      <c r="O133" s="59">
        <f>IFERROR(RANK(TableWRCalcPts[[#This Row],[Custom]],TableWRCalcPts[Custom])+COUNTIF($T$3:T133,T133)-1,"")</f>
        <v>24</v>
      </c>
      <c r="P133" s="59">
        <v>131</v>
      </c>
      <c r="Q133" s="59" t="str">
        <f>IFERROR(INDEX(TableWRMaster[Player],MATCH(TableWRCalcPts[[#This Row],[WRRef]],TableWRMaster[WRRef],0)),"")</f>
        <v>Malik Nabers</v>
      </c>
      <c r="R133" s="59" t="str">
        <f>IFERROR(INDEX(TableWRMaster[TM],MATCH(TableWRCalcPts[[#This Row],[WRRef]],TableWRMaster[WRRef],0)),"")</f>
        <v>NYG</v>
      </c>
      <c r="S133" s="59">
        <f>IFERROR(INDEX(TableWRMaster[BYE],MATCH(TableWRCalcPts[[#This Row],[WRRef]],TableWRMaster[WRRef],0)),"")</f>
        <v>13</v>
      </c>
      <c r="T133" s="60">
        <f>IFERROR(INDEX(TableWRMaster[Custom],MATCH(TableWRCalcPts[[#This Row],[WRRef]],TableWRMaster[WRRef],0)),"")</f>
        <v>183.31286653088634</v>
      </c>
      <c r="AI133" s="59" t="s">
        <v>223</v>
      </c>
      <c r="AJ133" s="59">
        <f>IFERROR(RANK(TableWRTECalcPts[[#This Row],[Custom]],TableWRTECalcPts[Custom])+COUNTIF($AP$3:AP133,AP133)-1,"")</f>
        <v>73</v>
      </c>
      <c r="AK133" s="105">
        <v>31</v>
      </c>
      <c r="AL133" s="105" t="str">
        <f>IFERROR(INDEX(TableWRMaster[Player],MATCH(TableWRTECalcPts[[#This Row],[POSRef]],TableWRMaster[WRRef],0)),"")</f>
        <v>Rome Odunze</v>
      </c>
      <c r="AM133" s="105" t="str">
        <f>IFERROR(_xlfn.CONCAT(TableWRTECalcPts[[#This Row],[POS]],INDEX(TableWRRanks[RK],MATCH(TableWRTECalcPts[[#This Row],[PLAYER]],TableWRRanks[Player],0))),"")</f>
        <v>WR63</v>
      </c>
      <c r="AN133" s="105" t="str">
        <f>IFERROR(INDEX(TableWRMaster[TM],MATCH(TableWRTECalcPts[[#This Row],[POSRef]],TableWRMaster[WRRef],0)),"")</f>
        <v>CHI</v>
      </c>
      <c r="AO133" s="105">
        <f>IFERROR(INDEX(TableWRMaster[BYE],MATCH(TableWRTECalcPts[[#This Row],[POSRef]],TableWRMaster[WRRef],0)),"")</f>
        <v>13</v>
      </c>
      <c r="AP133" s="103">
        <f>IFERROR(INDEX(TableWRMaster[Custom],MATCH(TableWRTECalcPts[[#This Row],[POSRef]],TableWRMaster[WRRef],0)),"")</f>
        <v>135.18949056479997</v>
      </c>
    </row>
    <row r="134" spans="8:42" x14ac:dyDescent="0.2">
      <c r="H134" s="59" t="str">
        <f>IFERROR(RANK(TableRBCalcPts[[#This Row],[Custom]],TableRBCalcPts[Custom])+COUNTIF($M$3:M134,M134)-1,"")</f>
        <v/>
      </c>
      <c r="I134" s="59">
        <v>132</v>
      </c>
      <c r="J134" s="59" t="str">
        <f>IFERROR(INDEX(TableRBMaster[Player],MATCH(TableRBCalcPts[[#This Row],[RBRef]],TableRBMaster[RBRef],0)),"")</f>
        <v/>
      </c>
      <c r="K134" s="59" t="str">
        <f>IFERROR(INDEX(TableRBMaster[TM],MATCH(TableRBCalcPts[[#This Row],[RBRef]],TableRBMaster[RBRef],0)),"")</f>
        <v/>
      </c>
      <c r="L134" s="59" t="str">
        <f>IFERROR(INDEX(TableRBMaster[BYE],MATCH(TableRBCalcPts[[#This Row],[RBRef]],TableRBMaster[RBRef],0)),"")</f>
        <v/>
      </c>
      <c r="M134" s="60" t="str">
        <f>IFERROR(INDEX(TableRBMaster[Custom],MATCH(TableRBCalcPts[[#This Row],[RBRef]],TableRBMaster[RBRef],0)),"")</f>
        <v/>
      </c>
      <c r="O134" s="59">
        <f>IFERROR(RANK(TableWRCalcPts[[#This Row],[Custom]],TableWRCalcPts[Custom])+COUNTIF($T$3:T134,T134)-1,"")</f>
        <v>69</v>
      </c>
      <c r="P134" s="59">
        <v>132</v>
      </c>
      <c r="Q134" s="59" t="str">
        <f>IFERROR(INDEX(TableWRMaster[Player],MATCH(TableWRCalcPts[[#This Row],[WRRef]],TableWRMaster[WRRef],0)),"")</f>
        <v>Wan'Dale Robinson</v>
      </c>
      <c r="R134" s="59" t="str">
        <f>IFERROR(INDEX(TableWRMaster[TM],MATCH(TableWRCalcPts[[#This Row],[WRRef]],TableWRMaster[WRRef],0)),"")</f>
        <v>NYG</v>
      </c>
      <c r="S134" s="59">
        <f>IFERROR(INDEX(TableWRMaster[BYE],MATCH(TableWRCalcPts[[#This Row],[WRRef]],TableWRMaster[WRRef],0)),"")</f>
        <v>13</v>
      </c>
      <c r="T134" s="60">
        <f>IFERROR(INDEX(TableWRMaster[Custom],MATCH(TableWRCalcPts[[#This Row],[WRRef]],TableWRMaster[WRRef],0)),"")</f>
        <v>124.97569762585596</v>
      </c>
      <c r="AI134" s="59" t="s">
        <v>223</v>
      </c>
      <c r="AJ134" s="59">
        <f>IFERROR(RANK(TableWRTECalcPts[[#This Row],[Custom]],TableWRTECalcPts[Custom])+COUNTIF($AP$3:AP134,AP134)-1,"")</f>
        <v>205</v>
      </c>
      <c r="AK134" s="105">
        <v>32</v>
      </c>
      <c r="AL134" s="105" t="str">
        <f>IFERROR(INDEX(TableWRMaster[Player],MATCH(TableWRTECalcPts[[#This Row],[POSRef]],TableWRMaster[WRRef],0)),"")</f>
        <v>Tyler Scott</v>
      </c>
      <c r="AM134" s="105" t="str">
        <f>IFERROR(_xlfn.CONCAT(TableWRTECalcPts[[#This Row],[POS]],INDEX(TableWRRanks[RK],MATCH(TableWRTECalcPts[[#This Row],[PLAYER]],TableWRRanks[Player],0))),"")</f>
        <v>WR146</v>
      </c>
      <c r="AN134" s="105" t="str">
        <f>IFERROR(INDEX(TableWRMaster[TM],MATCH(TableWRTECalcPts[[#This Row],[POSRef]],TableWRMaster[WRRef],0)),"")</f>
        <v>CHI</v>
      </c>
      <c r="AO134" s="105">
        <f>IFERROR(INDEX(TableWRMaster[BYE],MATCH(TableWRTECalcPts[[#This Row],[POSRef]],TableWRMaster[WRRef],0)),"")</f>
        <v>13</v>
      </c>
      <c r="AP134" s="103">
        <f>IFERROR(INDEX(TableWRMaster[Custom],MATCH(TableWRTECalcPts[[#This Row],[POSRef]],TableWRMaster[WRRef],0)),"")</f>
        <v>21.268921403519993</v>
      </c>
    </row>
    <row r="135" spans="8:42" x14ac:dyDescent="0.2">
      <c r="H135" s="59" t="str">
        <f>IFERROR(RANK(TableRBCalcPts[[#This Row],[Custom]],TableRBCalcPts[Custom])+COUNTIF($M$3:M135,M135)-1,"")</f>
        <v/>
      </c>
      <c r="I135" s="59">
        <v>133</v>
      </c>
      <c r="J135" s="59" t="str">
        <f>IFERROR(INDEX(TableRBMaster[Player],MATCH(TableRBCalcPts[[#This Row],[RBRef]],TableRBMaster[RBRef],0)),"")</f>
        <v/>
      </c>
      <c r="K135" s="59" t="str">
        <f>IFERROR(INDEX(TableRBMaster[TM],MATCH(TableRBCalcPts[[#This Row],[RBRef]],TableRBMaster[RBRef],0)),"")</f>
        <v/>
      </c>
      <c r="L135" s="59" t="str">
        <f>IFERROR(INDEX(TableRBMaster[BYE],MATCH(TableRBCalcPts[[#This Row],[RBRef]],TableRBMaster[RBRef],0)),"")</f>
        <v/>
      </c>
      <c r="M135" s="60" t="str">
        <f>IFERROR(INDEX(TableRBMaster[Custom],MATCH(TableRBCalcPts[[#This Row],[RBRef]],TableRBMaster[RBRef],0)),"")</f>
        <v/>
      </c>
      <c r="O135" s="59">
        <f>IFERROR(RANK(TableWRCalcPts[[#This Row],[Custom]],TableWRCalcPts[Custom])+COUNTIF($T$3:T135,T135)-1,"")</f>
        <v>78</v>
      </c>
      <c r="P135" s="59">
        <v>133</v>
      </c>
      <c r="Q135" s="59" t="str">
        <f>IFERROR(INDEX(TableWRMaster[Player],MATCH(TableWRCalcPts[[#This Row],[WRRef]],TableWRMaster[WRRef],0)),"")</f>
        <v>Darius Slayton</v>
      </c>
      <c r="R135" s="59" t="str">
        <f>IFERROR(INDEX(TableWRMaster[TM],MATCH(TableWRCalcPts[[#This Row],[WRRef]],TableWRMaster[WRRef],0)),"")</f>
        <v>NYG</v>
      </c>
      <c r="S135" s="59">
        <f>IFERROR(INDEX(TableWRMaster[BYE],MATCH(TableWRCalcPts[[#This Row],[WRRef]],TableWRMaster[WRRef],0)),"")</f>
        <v>13</v>
      </c>
      <c r="T135" s="60">
        <f>IFERROR(INDEX(TableWRMaster[Custom],MATCH(TableWRCalcPts[[#This Row],[WRRef]],TableWRMaster[WRRef],0)),"")</f>
        <v>99.916945872307195</v>
      </c>
      <c r="AI135" s="59" t="s">
        <v>223</v>
      </c>
      <c r="AJ135" s="59">
        <f>IFERROR(RANK(TableWRTECalcPts[[#This Row],[Custom]],TableWRTECalcPts[Custom])+COUNTIF($AP$3:AP135,AP135)-1,"")</f>
        <v>233</v>
      </c>
      <c r="AK135" s="105">
        <v>33</v>
      </c>
      <c r="AL135" s="105" t="str">
        <f>IFERROR(INDEX(TableWRMaster[Player],MATCH(TableWRTECalcPts[[#This Row],[POSRef]],TableWRMaster[WRRef],0)),"")</f>
        <v>Velus Jones</v>
      </c>
      <c r="AM135" s="105" t="str">
        <f>IFERROR(_xlfn.CONCAT(TableWRTECalcPts[[#This Row],[POS]],INDEX(TableWRRanks[RK],MATCH(TableWRTECalcPts[[#This Row],[PLAYER]],TableWRRanks[Player],0))),"")</f>
        <v>WR161</v>
      </c>
      <c r="AN135" s="105" t="str">
        <f>IFERROR(INDEX(TableWRMaster[TM],MATCH(TableWRTECalcPts[[#This Row],[POSRef]],TableWRMaster[WRRef],0)),"")</f>
        <v>CHI</v>
      </c>
      <c r="AO135" s="105">
        <f>IFERROR(INDEX(TableWRMaster[BYE],MATCH(TableWRTECalcPts[[#This Row],[POSRef]],TableWRMaster[WRRef],0)),"")</f>
        <v>13</v>
      </c>
      <c r="AP135" s="103">
        <f>IFERROR(INDEX(TableWRMaster[Custom],MATCH(TableWRTECalcPts[[#This Row],[POSRef]],TableWRMaster[WRRef],0)),"")</f>
        <v>14.333452842239994</v>
      </c>
    </row>
    <row r="136" spans="8:42" x14ac:dyDescent="0.2">
      <c r="H136" s="59" t="str">
        <f>IFERROR(RANK(TableRBCalcPts[[#This Row],[Custom]],TableRBCalcPts[Custom])+COUNTIF($M$3:M136,M136)-1,"")</f>
        <v/>
      </c>
      <c r="I136" s="59">
        <v>134</v>
      </c>
      <c r="J136" s="59" t="str">
        <f>IFERROR(INDEX(TableRBMaster[Player],MATCH(TableRBCalcPts[[#This Row],[RBRef]],TableRBMaster[RBRef],0)),"")</f>
        <v/>
      </c>
      <c r="K136" s="59" t="str">
        <f>IFERROR(INDEX(TableRBMaster[TM],MATCH(TableRBCalcPts[[#This Row],[RBRef]],TableRBMaster[RBRef],0)),"")</f>
        <v/>
      </c>
      <c r="L136" s="59" t="str">
        <f>IFERROR(INDEX(TableRBMaster[BYE],MATCH(TableRBCalcPts[[#This Row],[RBRef]],TableRBMaster[RBRef],0)),"")</f>
        <v/>
      </c>
      <c r="M136" s="60" t="str">
        <f>IFERROR(INDEX(TableRBMaster[Custom],MATCH(TableRBCalcPts[[#This Row],[RBRef]],TableRBMaster[RBRef],0)),"")</f>
        <v/>
      </c>
      <c r="O136" s="59">
        <f>IFERROR(RANK(TableWRCalcPts[[#This Row],[Custom]],TableWRCalcPts[Custom])+COUNTIF($T$3:T136,T136)-1,"")</f>
        <v>112</v>
      </c>
      <c r="P136" s="59">
        <v>134</v>
      </c>
      <c r="Q136" s="59" t="str">
        <f>IFERROR(INDEX(TableWRMaster[Player],MATCH(TableWRCalcPts[[#This Row],[WRRef]],TableWRMaster[WRRef],0)),"")</f>
        <v>Jalin Hyatt</v>
      </c>
      <c r="R136" s="59" t="str">
        <f>IFERROR(INDEX(TableWRMaster[TM],MATCH(TableWRCalcPts[[#This Row],[WRRef]],TableWRMaster[WRRef],0)),"")</f>
        <v>NYG</v>
      </c>
      <c r="S136" s="59">
        <f>IFERROR(INDEX(TableWRMaster[BYE],MATCH(TableWRCalcPts[[#This Row],[WRRef]],TableWRMaster[WRRef],0)),"")</f>
        <v>13</v>
      </c>
      <c r="T136" s="60">
        <f>IFERROR(INDEX(TableWRMaster[Custom],MATCH(TableWRCalcPts[[#This Row],[WRRef]],TableWRMaster[WRRef],0)),"")</f>
        <v>36.976249981439992</v>
      </c>
      <c r="AI136" s="59" t="s">
        <v>223</v>
      </c>
      <c r="AJ136" s="59">
        <f>IFERROR(RANK(TableWRTECalcPts[[#This Row],[Custom]],TableWRTECalcPts[Custom])+COUNTIF($AP$3:AP136,AP136)-1,"")</f>
        <v>5</v>
      </c>
      <c r="AK136" s="105">
        <v>34</v>
      </c>
      <c r="AL136" s="105" t="str">
        <f>IFERROR(INDEX(TableWRMaster[Player],MATCH(TableWRTECalcPts[[#This Row],[POSRef]],TableWRMaster[WRRef],0)),"")</f>
        <v>Ja'Marr Chase</v>
      </c>
      <c r="AM136" s="105" t="str">
        <f>IFERROR(_xlfn.CONCAT(TableWRTECalcPts[[#This Row],[POS]],INDEX(TableWRRanks[RK],MATCH(TableWRTECalcPts[[#This Row],[PLAYER]],TableWRRanks[Player],0))),"")</f>
        <v>WR5</v>
      </c>
      <c r="AN136" s="105" t="str">
        <f>IFERROR(INDEX(TableWRMaster[TM],MATCH(TableWRTECalcPts[[#This Row],[POSRef]],TableWRMaster[WRRef],0)),"")</f>
        <v>CIN</v>
      </c>
      <c r="AO136" s="105">
        <f>IFERROR(INDEX(TableWRMaster[BYE],MATCH(TableWRTECalcPts[[#This Row],[POSRef]],TableWRMaster[WRRef],0)),"")</f>
        <v>7</v>
      </c>
      <c r="AP136" s="103">
        <f>IFERROR(INDEX(TableWRMaster[Custom],MATCH(TableWRTECalcPts[[#This Row],[POSRef]],TableWRMaster[WRRef],0)),"")</f>
        <v>239.22255571620002</v>
      </c>
    </row>
    <row r="137" spans="8:42" x14ac:dyDescent="0.2">
      <c r="H137" s="59" t="str">
        <f>IFERROR(RANK(TableRBCalcPts[[#This Row],[Custom]],TableRBCalcPts[Custom])+COUNTIF($M$3:M137,M137)-1,"")</f>
        <v/>
      </c>
      <c r="I137" s="59">
        <v>135</v>
      </c>
      <c r="J137" s="59" t="str">
        <f>IFERROR(INDEX(TableRBMaster[Player],MATCH(TableRBCalcPts[[#This Row],[RBRef]],TableRBMaster[RBRef],0)),"")</f>
        <v/>
      </c>
      <c r="K137" s="59" t="str">
        <f>IFERROR(INDEX(TableRBMaster[TM],MATCH(TableRBCalcPts[[#This Row],[RBRef]],TableRBMaster[RBRef],0)),"")</f>
        <v/>
      </c>
      <c r="L137" s="59" t="str">
        <f>IFERROR(INDEX(TableRBMaster[BYE],MATCH(TableRBCalcPts[[#This Row],[RBRef]],TableRBMaster[RBRef],0)),"")</f>
        <v/>
      </c>
      <c r="M137" s="60" t="str">
        <f>IFERROR(INDEX(TableRBMaster[Custom],MATCH(TableRBCalcPts[[#This Row],[RBRef]],TableRBMaster[RBRef],0)),"")</f>
        <v/>
      </c>
      <c r="O137" s="59">
        <f>IFERROR(RANK(TableWRCalcPts[[#This Row],[Custom]],TableWRCalcPts[Custom])+COUNTIF($T$3:T137,T137)-1,"")</f>
        <v>151</v>
      </c>
      <c r="P137" s="59">
        <v>135</v>
      </c>
      <c r="Q137" s="59" t="str">
        <f>IFERROR(INDEX(TableWRMaster[Player],MATCH(TableWRCalcPts[[#This Row],[WRRef]],TableWRMaster[WRRef],0)),"")</f>
        <v>Isaiah McKenzie</v>
      </c>
      <c r="R137" s="59" t="str">
        <f>IFERROR(INDEX(TableWRMaster[TM],MATCH(TableWRCalcPts[[#This Row],[WRRef]],TableWRMaster[WRRef],0)),"")</f>
        <v>NYG</v>
      </c>
      <c r="S137" s="59">
        <f>IFERROR(INDEX(TableWRMaster[BYE],MATCH(TableWRCalcPts[[#This Row],[WRRef]],TableWRMaster[WRRef],0)),"")</f>
        <v>13</v>
      </c>
      <c r="T137" s="60">
        <f>IFERROR(INDEX(TableWRMaster[Custom],MATCH(TableWRCalcPts[[#This Row],[WRRef]],TableWRMaster[WRRef],0)),"")</f>
        <v>18.749416291199992</v>
      </c>
      <c r="AI137" s="59" t="s">
        <v>223</v>
      </c>
      <c r="AJ137" s="59">
        <f>IFERROR(RANK(TableWRTECalcPts[[#This Row],[Custom]],TableWRTECalcPts[Custom])+COUNTIF($AP$3:AP137,AP137)-1,"")</f>
        <v>14</v>
      </c>
      <c r="AK137" s="105">
        <v>35</v>
      </c>
      <c r="AL137" s="105" t="str">
        <f>IFERROR(INDEX(TableWRMaster[Player],MATCH(TableWRTECalcPts[[#This Row],[POSRef]],TableWRMaster[WRRef],0)),"")</f>
        <v>Tee Higgins</v>
      </c>
      <c r="AM137" s="105" t="str">
        <f>IFERROR(_xlfn.CONCAT(TableWRTECalcPts[[#This Row],[POS]],INDEX(TableWRRanks[RK],MATCH(TableWRTECalcPts[[#This Row],[PLAYER]],TableWRRanks[Player],0))),"")</f>
        <v>WR14</v>
      </c>
      <c r="AN137" s="105" t="str">
        <f>IFERROR(INDEX(TableWRMaster[TM],MATCH(TableWRTECalcPts[[#This Row],[POSRef]],TableWRMaster[WRRef],0)),"")</f>
        <v>CIN</v>
      </c>
      <c r="AO137" s="105">
        <f>IFERROR(INDEX(TableWRMaster[BYE],MATCH(TableWRTECalcPts[[#This Row],[POSRef]],TableWRMaster[WRRef],0)),"")</f>
        <v>7</v>
      </c>
      <c r="AP137" s="103">
        <f>IFERROR(INDEX(TableWRMaster[Custom],MATCH(TableWRTECalcPts[[#This Row],[POSRef]],TableWRMaster[WRRef],0)),"")</f>
        <v>200.92599491277602</v>
      </c>
    </row>
    <row r="138" spans="8:42" x14ac:dyDescent="0.2">
      <c r="H138" s="59" t="str">
        <f>IFERROR(RANK(TableRBCalcPts[[#This Row],[Custom]],TableRBCalcPts[Custom])+COUNTIF($M$3:M138,M138)-1,"")</f>
        <v/>
      </c>
      <c r="I138" s="59">
        <v>136</v>
      </c>
      <c r="J138" s="59" t="str">
        <f>IFERROR(INDEX(TableRBMaster[Player],MATCH(TableRBCalcPts[[#This Row],[RBRef]],TableRBMaster[RBRef],0)),"")</f>
        <v/>
      </c>
      <c r="K138" s="59" t="str">
        <f>IFERROR(INDEX(TableRBMaster[TM],MATCH(TableRBCalcPts[[#This Row],[RBRef]],TableRBMaster[RBRef],0)),"")</f>
        <v/>
      </c>
      <c r="L138" s="59" t="str">
        <f>IFERROR(INDEX(TableRBMaster[BYE],MATCH(TableRBCalcPts[[#This Row],[RBRef]],TableRBMaster[RBRef],0)),"")</f>
        <v/>
      </c>
      <c r="M138" s="60" t="str">
        <f>IFERROR(INDEX(TableRBMaster[Custom],MATCH(TableRBCalcPts[[#This Row],[RBRef]],TableRBMaster[RBRef],0)),"")</f>
        <v/>
      </c>
      <c r="O138" s="59">
        <f>IFERROR(RANK(TableWRCalcPts[[#This Row],[Custom]],TableWRCalcPts[Custom])+COUNTIF($T$3:T138,T138)-1,"")</f>
        <v>152</v>
      </c>
      <c r="P138" s="59">
        <v>136</v>
      </c>
      <c r="Q138" s="59" t="str">
        <f>IFERROR(INDEX(TableWRMaster[Player],MATCH(TableWRCalcPts[[#This Row],[WRRef]],TableWRMaster[WRRef],0)),"")</f>
        <v>Gunner Olszewski</v>
      </c>
      <c r="R138" s="59" t="str">
        <f>IFERROR(INDEX(TableWRMaster[TM],MATCH(TableWRCalcPts[[#This Row],[WRRef]],TableWRMaster[WRRef],0)),"")</f>
        <v>NYG</v>
      </c>
      <c r="S138" s="59">
        <f>IFERROR(INDEX(TableWRMaster[BYE],MATCH(TableWRCalcPts[[#This Row],[WRRef]],TableWRMaster[WRRef],0)),"")</f>
        <v>13</v>
      </c>
      <c r="T138" s="60">
        <f>IFERROR(INDEX(TableWRMaster[Custom],MATCH(TableWRCalcPts[[#This Row],[WRRef]],TableWRMaster[WRRef],0)),"")</f>
        <v>18.156214419839991</v>
      </c>
      <c r="AI138" s="59" t="s">
        <v>223</v>
      </c>
      <c r="AJ138" s="59">
        <f>IFERROR(RANK(TableWRTECalcPts[[#This Row],[Custom]],TableWRTECalcPts[Custom])+COUNTIF($AP$3:AP138,AP138)-1,"")</f>
        <v>112</v>
      </c>
      <c r="AK138" s="105">
        <v>36</v>
      </c>
      <c r="AL138" s="105" t="str">
        <f>IFERROR(INDEX(TableWRMaster[Player],MATCH(TableWRTECalcPts[[#This Row],[POSRef]],TableWRMaster[WRRef],0)),"")</f>
        <v>Andrei Iosivas</v>
      </c>
      <c r="AM138" s="105" t="str">
        <f>IFERROR(_xlfn.CONCAT(TableWRTECalcPts[[#This Row],[POS]],INDEX(TableWRRanks[RK],MATCH(TableWRTECalcPts[[#This Row],[PLAYER]],TableWRRanks[Player],0))),"")</f>
        <v>WR87</v>
      </c>
      <c r="AN138" s="105" t="str">
        <f>IFERROR(INDEX(TableWRMaster[TM],MATCH(TableWRTECalcPts[[#This Row],[POSRef]],TableWRMaster[WRRef],0)),"")</f>
        <v>CIN</v>
      </c>
      <c r="AO138" s="105">
        <f>IFERROR(INDEX(TableWRMaster[BYE],MATCH(TableWRTECalcPts[[#This Row],[POSRef]],TableWRMaster[WRRef],0)),"")</f>
        <v>7</v>
      </c>
      <c r="AP138" s="103">
        <f>IFERROR(INDEX(TableWRMaster[Custom],MATCH(TableWRTECalcPts[[#This Row],[POSRef]],TableWRMaster[WRRef],0)),"")</f>
        <v>83.809426032359994</v>
      </c>
    </row>
    <row r="139" spans="8:42" x14ac:dyDescent="0.2">
      <c r="H139" s="59" t="str">
        <f>IFERROR(RANK(TableRBCalcPts[[#This Row],[Custom]],TableRBCalcPts[Custom])+COUNTIF($M$3:M139,M139)-1,"")</f>
        <v/>
      </c>
      <c r="I139" s="59">
        <v>137</v>
      </c>
      <c r="J139" s="59" t="str">
        <f>IFERROR(INDEX(TableRBMaster[Player],MATCH(TableRBCalcPts[[#This Row],[RBRef]],TableRBMaster[RBRef],0)),"")</f>
        <v/>
      </c>
      <c r="K139" s="59" t="str">
        <f>IFERROR(INDEX(TableRBMaster[TM],MATCH(TableRBCalcPts[[#This Row],[RBRef]],TableRBMaster[RBRef],0)),"")</f>
        <v/>
      </c>
      <c r="L139" s="59" t="str">
        <f>IFERROR(INDEX(TableRBMaster[BYE],MATCH(TableRBCalcPts[[#This Row],[RBRef]],TableRBMaster[RBRef],0)),"")</f>
        <v/>
      </c>
      <c r="M139" s="60" t="str">
        <f>IFERROR(INDEX(TableRBMaster[Custom],MATCH(TableRBCalcPts[[#This Row],[RBRef]],TableRBMaster[RBRef],0)),"")</f>
        <v/>
      </c>
      <c r="O139" s="59">
        <f>IFERROR(RANK(TableWRCalcPts[[#This Row],[Custom]],TableWRCalcPts[Custom])+COUNTIF($T$3:T139,T139)-1,"")</f>
        <v>17</v>
      </c>
      <c r="P139" s="59">
        <v>137</v>
      </c>
      <c r="Q139" s="59" t="str">
        <f>IFERROR(INDEX(TableWRMaster[Player],MATCH(TableWRCalcPts[[#This Row],[WRRef]],TableWRMaster[WRRef],0)),"")</f>
        <v>Garrett Wilson</v>
      </c>
      <c r="R139" s="59" t="str">
        <f>IFERROR(INDEX(TableWRMaster[TM],MATCH(TableWRCalcPts[[#This Row],[WRRef]],TableWRMaster[WRRef],0)),"")</f>
        <v>NYJ</v>
      </c>
      <c r="S139" s="59">
        <f>IFERROR(INDEX(TableWRMaster[BYE],MATCH(TableWRCalcPts[[#This Row],[WRRef]],TableWRMaster[WRRef],0)),"")</f>
        <v>7</v>
      </c>
      <c r="T139" s="60">
        <f>IFERROR(INDEX(TableWRMaster[Custom],MATCH(TableWRCalcPts[[#This Row],[WRRef]],TableWRMaster[WRRef],0)),"")</f>
        <v>193.57599061120317</v>
      </c>
      <c r="AI139" s="59" t="s">
        <v>223</v>
      </c>
      <c r="AJ139" s="59">
        <f>IFERROR(RANK(TableWRTECalcPts[[#This Row],[Custom]],TableWRTECalcPts[Custom])+COUNTIF($AP$3:AP139,AP139)-1,"")</f>
        <v>187</v>
      </c>
      <c r="AK139" s="105">
        <v>37</v>
      </c>
      <c r="AL139" s="105" t="str">
        <f>IFERROR(INDEX(TableWRMaster[Player],MATCH(TableWRTECalcPts[[#This Row],[POSRef]],TableWRMaster[WRRef],0)),"")</f>
        <v>Charlie Jones</v>
      </c>
      <c r="AM139" s="105" t="str">
        <f>IFERROR(_xlfn.CONCAT(TableWRTECalcPts[[#This Row],[POS]],INDEX(TableWRRanks[RK],MATCH(TableWRTECalcPts[[#This Row],[PLAYER]],TableWRRanks[Player],0))),"")</f>
        <v>WR134</v>
      </c>
      <c r="AN139" s="105" t="str">
        <f>IFERROR(INDEX(TableWRMaster[TM],MATCH(TableWRTECalcPts[[#This Row],[POSRef]],TableWRMaster[WRRef],0)),"")</f>
        <v>CIN</v>
      </c>
      <c r="AO139" s="105">
        <f>IFERROR(INDEX(TableWRMaster[BYE],MATCH(TableWRTECalcPts[[#This Row],[POSRef]],TableWRMaster[WRRef],0)),"")</f>
        <v>7</v>
      </c>
      <c r="AP139" s="103">
        <f>IFERROR(INDEX(TableWRMaster[Custom],MATCH(TableWRTECalcPts[[#This Row],[POSRef]],TableWRMaster[WRRef],0)),"")</f>
        <v>25.683274299312004</v>
      </c>
    </row>
    <row r="140" spans="8:42" x14ac:dyDescent="0.2">
      <c r="H140" s="59" t="str">
        <f>IFERROR(RANK(TableRBCalcPts[[#This Row],[Custom]],TableRBCalcPts[Custom])+COUNTIF($M$3:M140,M140)-1,"")</f>
        <v/>
      </c>
      <c r="I140" s="59">
        <v>138</v>
      </c>
      <c r="J140" s="59" t="str">
        <f>IFERROR(INDEX(TableRBMaster[Player],MATCH(TableRBCalcPts[[#This Row],[RBRef]],TableRBMaster[RBRef],0)),"")</f>
        <v/>
      </c>
      <c r="K140" s="59" t="str">
        <f>IFERROR(INDEX(TableRBMaster[TM],MATCH(TableRBCalcPts[[#This Row],[RBRef]],TableRBMaster[RBRef],0)),"")</f>
        <v/>
      </c>
      <c r="L140" s="59" t="str">
        <f>IFERROR(INDEX(TableRBMaster[BYE],MATCH(TableRBCalcPts[[#This Row],[RBRef]],TableRBMaster[RBRef],0)),"")</f>
        <v/>
      </c>
      <c r="M140" s="60" t="str">
        <f>IFERROR(INDEX(TableRBMaster[Custom],MATCH(TableRBCalcPts[[#This Row],[RBRef]],TableRBMaster[RBRef],0)),"")</f>
        <v/>
      </c>
      <c r="O140" s="59">
        <f>IFERROR(RANK(TableWRCalcPts[[#This Row],[Custom]],TableWRCalcPts[Custom])+COUNTIF($T$3:T140,T140)-1,"")</f>
        <v>50</v>
      </c>
      <c r="P140" s="59">
        <v>138</v>
      </c>
      <c r="Q140" s="59" t="str">
        <f>IFERROR(INDEX(TableWRMaster[Player],MATCH(TableWRCalcPts[[#This Row],[WRRef]],TableWRMaster[WRRef],0)),"")</f>
        <v>Mike Williams</v>
      </c>
      <c r="R140" s="59" t="str">
        <f>IFERROR(INDEX(TableWRMaster[TM],MATCH(TableWRCalcPts[[#This Row],[WRRef]],TableWRMaster[WRRef],0)),"")</f>
        <v>NYJ</v>
      </c>
      <c r="S140" s="59">
        <f>IFERROR(INDEX(TableWRMaster[BYE],MATCH(TableWRCalcPts[[#This Row],[WRRef]],TableWRMaster[WRRef],0)),"")</f>
        <v>7</v>
      </c>
      <c r="T140" s="60">
        <f>IFERROR(INDEX(TableWRMaster[Custom],MATCH(TableWRCalcPts[[#This Row],[WRRef]],TableWRMaster[WRRef],0)),"")</f>
        <v>154.22685332053999</v>
      </c>
      <c r="AI140" s="59" t="s">
        <v>223</v>
      </c>
      <c r="AJ140" s="59">
        <f>IFERROR(RANK(TableWRTECalcPts[[#This Row],[Custom]],TableWRTECalcPts[Custom])+COUNTIF($AP$3:AP140,AP140)-1,"")</f>
        <v>83</v>
      </c>
      <c r="AK140" s="105">
        <v>38</v>
      </c>
      <c r="AL140" s="105" t="str">
        <f>IFERROR(INDEX(TableWRMaster[Player],MATCH(TableWRTECalcPts[[#This Row],[POSRef]],TableWRMaster[WRRef],0)),"")</f>
        <v>Jermaine Burton</v>
      </c>
      <c r="AM140" s="105" t="str">
        <f>IFERROR(_xlfn.CONCAT(TableWRTECalcPts[[#This Row],[POS]],INDEX(TableWRRanks[RK],MATCH(TableWRTECalcPts[[#This Row],[PLAYER]],TableWRRanks[Player],0))),"")</f>
        <v>WR70</v>
      </c>
      <c r="AN140" s="105" t="str">
        <f>IFERROR(INDEX(TableWRMaster[TM],MATCH(TableWRTECalcPts[[#This Row],[POSRef]],TableWRMaster[WRRef],0)),"")</f>
        <v>CIN</v>
      </c>
      <c r="AO140" s="105">
        <f>IFERROR(INDEX(TableWRMaster[BYE],MATCH(TableWRTECalcPts[[#This Row],[POSRef]],TableWRMaster[WRRef],0)),"")</f>
        <v>7</v>
      </c>
      <c r="AP140" s="103">
        <f>IFERROR(INDEX(TableWRMaster[Custom],MATCH(TableWRTECalcPts[[#This Row],[POSRef]],TableWRMaster[WRRef],0)),"")</f>
        <v>118.73828249010003</v>
      </c>
    </row>
    <row r="141" spans="8:42" x14ac:dyDescent="0.2">
      <c r="H141" s="59" t="str">
        <f>IFERROR(RANK(TableRBCalcPts[[#This Row],[Custom]],TableRBCalcPts[Custom])+COUNTIF($M$3:M141,M141)-1,"")</f>
        <v/>
      </c>
      <c r="I141" s="59">
        <v>139</v>
      </c>
      <c r="J141" s="59" t="str">
        <f>IFERROR(INDEX(TableRBMaster[Player],MATCH(TableRBCalcPts[[#This Row],[RBRef]],TableRBMaster[RBRef],0)),"")</f>
        <v/>
      </c>
      <c r="K141" s="59" t="str">
        <f>IFERROR(INDEX(TableRBMaster[TM],MATCH(TableRBCalcPts[[#This Row],[RBRef]],TableRBMaster[RBRef],0)),"")</f>
        <v/>
      </c>
      <c r="L141" s="59" t="str">
        <f>IFERROR(INDEX(TableRBMaster[BYE],MATCH(TableRBCalcPts[[#This Row],[RBRef]],TableRBMaster[RBRef],0)),"")</f>
        <v/>
      </c>
      <c r="M141" s="60" t="str">
        <f>IFERROR(INDEX(TableRBMaster[Custom],MATCH(TableRBCalcPts[[#This Row],[RBRef]],TableRBMaster[RBRef],0)),"")</f>
        <v/>
      </c>
      <c r="O141" s="59">
        <f>IFERROR(RANK(TableWRCalcPts[[#This Row],[Custom]],TableWRCalcPts[Custom])+COUNTIF($T$3:T141,T141)-1,"")</f>
        <v>72</v>
      </c>
      <c r="P141" s="59">
        <v>139</v>
      </c>
      <c r="Q141" s="59" t="str">
        <f>IFERROR(INDEX(TableWRMaster[Player],MATCH(TableWRCalcPts[[#This Row],[WRRef]],TableWRMaster[WRRef],0)),"")</f>
        <v>Malachi Corley</v>
      </c>
      <c r="R141" s="59" t="str">
        <f>IFERROR(INDEX(TableWRMaster[TM],MATCH(TableWRCalcPts[[#This Row],[WRRef]],TableWRMaster[WRRef],0)),"")</f>
        <v>NYJ</v>
      </c>
      <c r="S141" s="59">
        <f>IFERROR(INDEX(TableWRMaster[BYE],MATCH(TableWRCalcPts[[#This Row],[WRRef]],TableWRMaster[WRRef],0)),"")</f>
        <v>7</v>
      </c>
      <c r="T141" s="60">
        <f>IFERROR(INDEX(TableWRMaster[Custom],MATCH(TableWRCalcPts[[#This Row],[WRRef]],TableWRMaster[WRRef],0)),"")</f>
        <v>115.7540979246848</v>
      </c>
      <c r="AI141" s="59" t="s">
        <v>223</v>
      </c>
      <c r="AJ141" s="59">
        <f>IFERROR(RANK(TableWRTECalcPts[[#This Row],[Custom]],TableWRTECalcPts[Custom])+COUNTIF($AP$3:AP141,AP141)-1,"")</f>
        <v>23</v>
      </c>
      <c r="AK141" s="105">
        <v>39</v>
      </c>
      <c r="AL141" s="105" t="str">
        <f>IFERROR(INDEX(TableWRMaster[Player],MATCH(TableWRTECalcPts[[#This Row],[POSRef]],TableWRMaster[WRRef],0)),"")</f>
        <v>Amari Cooper</v>
      </c>
      <c r="AM141" s="105" t="str">
        <f>IFERROR(_xlfn.CONCAT(TableWRTECalcPts[[#This Row],[POS]],INDEX(TableWRRanks[RK],MATCH(TableWRTECalcPts[[#This Row],[PLAYER]],TableWRRanks[Player],0))),"")</f>
        <v>WR22</v>
      </c>
      <c r="AN141" s="105" t="str">
        <f>IFERROR(INDEX(TableWRMaster[TM],MATCH(TableWRTECalcPts[[#This Row],[POSRef]],TableWRMaster[WRRef],0)),"")</f>
        <v>CLE</v>
      </c>
      <c r="AO141" s="105">
        <f>IFERROR(INDEX(TableWRMaster[BYE],MATCH(TableWRTECalcPts[[#This Row],[POSRef]],TableWRMaster[WRRef],0)),"")</f>
        <v>5</v>
      </c>
      <c r="AP141" s="103">
        <f>IFERROR(INDEX(TableWRMaster[Custom],MATCH(TableWRTECalcPts[[#This Row],[POSRef]],TableWRMaster[WRRef],0)),"")</f>
        <v>185.65527934799999</v>
      </c>
    </row>
    <row r="142" spans="8:42" x14ac:dyDescent="0.2">
      <c r="H142" s="59" t="str">
        <f>IFERROR(RANK(TableRBCalcPts[[#This Row],[Custom]],TableRBCalcPts[Custom])+COUNTIF($M$3:M142,M142)-1,"")</f>
        <v/>
      </c>
      <c r="I142" s="59">
        <v>140</v>
      </c>
      <c r="J142" s="59" t="str">
        <f>IFERROR(INDEX(TableRBMaster[Player],MATCH(TableRBCalcPts[[#This Row],[RBRef]],TableRBMaster[RBRef],0)),"")</f>
        <v/>
      </c>
      <c r="K142" s="59" t="str">
        <f>IFERROR(INDEX(TableRBMaster[TM],MATCH(TableRBCalcPts[[#This Row],[RBRef]],TableRBMaster[RBRef],0)),"")</f>
        <v/>
      </c>
      <c r="L142" s="59" t="str">
        <f>IFERROR(INDEX(TableRBMaster[BYE],MATCH(TableRBCalcPts[[#This Row],[RBRef]],TableRBMaster[RBRef],0)),"")</f>
        <v/>
      </c>
      <c r="M142" s="60" t="str">
        <f>IFERROR(INDEX(TableRBMaster[Custom],MATCH(TableRBCalcPts[[#This Row],[RBRef]],TableRBMaster[RBRef],0)),"")</f>
        <v/>
      </c>
      <c r="O142" s="59">
        <f>IFERROR(RANK(TableWRCalcPts[[#This Row],[Custom]],TableWRCalcPts[Custom])+COUNTIF($T$3:T142,T142)-1,"")</f>
        <v>106</v>
      </c>
      <c r="P142" s="59">
        <v>140</v>
      </c>
      <c r="Q142" s="59" t="str">
        <f>IFERROR(INDEX(TableWRMaster[Player],MATCH(TableWRCalcPts[[#This Row],[WRRef]],TableWRMaster[WRRef],0)),"")</f>
        <v>Allen Lazard</v>
      </c>
      <c r="R142" s="59" t="str">
        <f>IFERROR(INDEX(TableWRMaster[TM],MATCH(TableWRCalcPts[[#This Row],[WRRef]],TableWRMaster[WRRef],0)),"")</f>
        <v>NYJ</v>
      </c>
      <c r="S142" s="59">
        <f>IFERROR(INDEX(TableWRMaster[BYE],MATCH(TableWRCalcPts[[#This Row],[WRRef]],TableWRMaster[WRRef],0)),"")</f>
        <v>7</v>
      </c>
      <c r="T142" s="60">
        <f>IFERROR(INDEX(TableWRMaster[Custom],MATCH(TableWRCalcPts[[#This Row],[WRRef]],TableWRMaster[WRRef],0)),"")</f>
        <v>41.839992226031995</v>
      </c>
      <c r="AI142" s="59" t="s">
        <v>223</v>
      </c>
      <c r="AJ142" s="59">
        <f>IFERROR(RANK(TableWRTECalcPts[[#This Row],[Custom]],TableWRTECalcPts[Custom])+COUNTIF($AP$3:AP142,AP142)-1,"")</f>
        <v>78</v>
      </c>
      <c r="AK142" s="105">
        <v>40</v>
      </c>
      <c r="AL142" s="105" t="str">
        <f>IFERROR(INDEX(TableWRMaster[Player],MATCH(TableWRTECalcPts[[#This Row],[POSRef]],TableWRMaster[WRRef],0)),"")</f>
        <v>Jerry Jeudy</v>
      </c>
      <c r="AM142" s="105" t="str">
        <f>IFERROR(_xlfn.CONCAT(TableWRTECalcPts[[#This Row],[POS]],INDEX(TableWRRanks[RK],MATCH(TableWRTECalcPts[[#This Row],[PLAYER]],TableWRRanks[Player],0))),"")</f>
        <v>WR66</v>
      </c>
      <c r="AN142" s="105" t="str">
        <f>IFERROR(INDEX(TableWRMaster[TM],MATCH(TableWRTECalcPts[[#This Row],[POSRef]],TableWRMaster[WRRef],0)),"")</f>
        <v>CLE</v>
      </c>
      <c r="AO142" s="105">
        <f>IFERROR(INDEX(TableWRMaster[BYE],MATCH(TableWRTECalcPts[[#This Row],[POSRef]],TableWRMaster[WRRef],0)),"")</f>
        <v>5</v>
      </c>
      <c r="AP142" s="103">
        <f>IFERROR(INDEX(TableWRMaster[Custom],MATCH(TableWRTECalcPts[[#This Row],[POSRef]],TableWRMaster[WRRef],0)),"")</f>
        <v>128.455263234375</v>
      </c>
    </row>
    <row r="143" spans="8:42" x14ac:dyDescent="0.2">
      <c r="H143" s="59" t="str">
        <f>IFERROR(RANK(TableRBCalcPts[[#This Row],[Custom]],TableRBCalcPts[Custom])+COUNTIF($M$3:M143,M143)-1,"")</f>
        <v/>
      </c>
      <c r="I143" s="59">
        <v>141</v>
      </c>
      <c r="J143" s="59" t="str">
        <f>IFERROR(INDEX(TableRBMaster[Player],MATCH(TableRBCalcPts[[#This Row],[RBRef]],TableRBMaster[RBRef],0)),"")</f>
        <v/>
      </c>
      <c r="K143" s="59" t="str">
        <f>IFERROR(INDEX(TableRBMaster[TM],MATCH(TableRBCalcPts[[#This Row],[RBRef]],TableRBMaster[RBRef],0)),"")</f>
        <v/>
      </c>
      <c r="L143" s="59" t="str">
        <f>IFERROR(INDEX(TableRBMaster[BYE],MATCH(TableRBCalcPts[[#This Row],[RBRef]],TableRBMaster[RBRef],0)),"")</f>
        <v/>
      </c>
      <c r="M143" s="60" t="str">
        <f>IFERROR(INDEX(TableRBMaster[Custom],MATCH(TableRBCalcPts[[#This Row],[RBRef]],TableRBMaster[RBRef],0)),"")</f>
        <v/>
      </c>
      <c r="O143" s="59">
        <f>IFERROR(RANK(TableWRCalcPts[[#This Row],[Custom]],TableWRCalcPts[Custom])+COUNTIF($T$3:T143,T143)-1,"")</f>
        <v>142</v>
      </c>
      <c r="P143" s="59">
        <v>141</v>
      </c>
      <c r="Q143" s="59" t="str">
        <f>IFERROR(INDEX(TableWRMaster[Player],MATCH(TableWRCalcPts[[#This Row],[WRRef]],TableWRMaster[WRRef],0)),"")</f>
        <v>Jason Brownlee</v>
      </c>
      <c r="R143" s="59" t="str">
        <f>IFERROR(INDEX(TableWRMaster[TM],MATCH(TableWRCalcPts[[#This Row],[WRRef]],TableWRMaster[WRRef],0)),"")</f>
        <v>NYJ</v>
      </c>
      <c r="S143" s="59">
        <f>IFERROR(INDEX(TableWRMaster[BYE],MATCH(TableWRCalcPts[[#This Row],[WRRef]],TableWRMaster[WRRef],0)),"")</f>
        <v>7</v>
      </c>
      <c r="T143" s="60">
        <f>IFERROR(INDEX(TableWRMaster[Custom],MATCH(TableWRCalcPts[[#This Row],[WRRef]],TableWRMaster[WRRef],0)),"")</f>
        <v>22.503602721599997</v>
      </c>
      <c r="AI143" s="59" t="s">
        <v>223</v>
      </c>
      <c r="AJ143" s="59">
        <f>IFERROR(RANK(TableWRTECalcPts[[#This Row],[Custom]],TableWRTECalcPts[Custom])+COUNTIF($AP$3:AP143,AP143)-1,"")</f>
        <v>110</v>
      </c>
      <c r="AK143" s="105">
        <v>41</v>
      </c>
      <c r="AL143" s="105" t="str">
        <f>IFERROR(INDEX(TableWRMaster[Player],MATCH(TableWRTECalcPts[[#This Row],[POSRef]],TableWRMaster[WRRef],0)),"")</f>
        <v>Elijah Moore</v>
      </c>
      <c r="AM143" s="105" t="str">
        <f>IFERROR(_xlfn.CONCAT(TableWRTECalcPts[[#This Row],[POS]],INDEX(TableWRRanks[RK],MATCH(TableWRTECalcPts[[#This Row],[PLAYER]],TableWRRanks[Player],0))),"")</f>
        <v>WR85</v>
      </c>
      <c r="AN143" s="105" t="str">
        <f>IFERROR(INDEX(TableWRMaster[TM],MATCH(TableWRTECalcPts[[#This Row],[POSRef]],TableWRMaster[WRRef],0)),"")</f>
        <v>CLE</v>
      </c>
      <c r="AO143" s="105">
        <f>IFERROR(INDEX(TableWRMaster[BYE],MATCH(TableWRTECalcPts[[#This Row],[POSRef]],TableWRMaster[WRRef],0)),"")</f>
        <v>5</v>
      </c>
      <c r="AP143" s="103">
        <f>IFERROR(INDEX(TableWRMaster[Custom],MATCH(TableWRTECalcPts[[#This Row],[POSRef]],TableWRMaster[WRRef],0)),"")</f>
        <v>84.639138333749997</v>
      </c>
    </row>
    <row r="144" spans="8:42" x14ac:dyDescent="0.2">
      <c r="H144" s="59" t="str">
        <f>IFERROR(RANK(TableRBCalcPts[[#This Row],[Custom]],TableRBCalcPts[Custom])+COUNTIF($M$3:M144,M144)-1,"")</f>
        <v/>
      </c>
      <c r="I144" s="59">
        <v>142</v>
      </c>
      <c r="J144" s="59" t="str">
        <f>IFERROR(INDEX(TableRBMaster[Player],MATCH(TableRBCalcPts[[#This Row],[RBRef]],TableRBMaster[RBRef],0)),"")</f>
        <v/>
      </c>
      <c r="K144" s="59" t="str">
        <f>IFERROR(INDEX(TableRBMaster[TM],MATCH(TableRBCalcPts[[#This Row],[RBRef]],TableRBMaster[RBRef],0)),"")</f>
        <v/>
      </c>
      <c r="L144" s="59" t="str">
        <f>IFERROR(INDEX(TableRBMaster[BYE],MATCH(TableRBCalcPts[[#This Row],[RBRef]],TableRBMaster[RBRef],0)),"")</f>
        <v/>
      </c>
      <c r="M144" s="60" t="str">
        <f>IFERROR(INDEX(TableRBMaster[Custom],MATCH(TableRBCalcPts[[#This Row],[RBRef]],TableRBMaster[RBRef],0)),"")</f>
        <v/>
      </c>
      <c r="O144" s="59">
        <f>IFERROR(RANK(TableWRCalcPts[[#This Row],[Custom]],TableWRCalcPts[Custom])+COUNTIF($T$3:T144,T144)-1,"")</f>
        <v>141</v>
      </c>
      <c r="P144" s="59">
        <v>142</v>
      </c>
      <c r="Q144" s="59" t="str">
        <f>IFERROR(INDEX(TableWRMaster[Player],MATCH(TableWRCalcPts[[#This Row],[WRRef]],TableWRMaster[WRRef],0)),"")</f>
        <v>Xavier Gipson</v>
      </c>
      <c r="R144" s="59" t="str">
        <f>IFERROR(INDEX(TableWRMaster[TM],MATCH(TableWRCalcPts[[#This Row],[WRRef]],TableWRMaster[WRRef],0)),"")</f>
        <v>NYJ</v>
      </c>
      <c r="S144" s="59">
        <f>IFERROR(INDEX(TableWRMaster[BYE],MATCH(TableWRCalcPts[[#This Row],[WRRef]],TableWRMaster[WRRef],0)),"")</f>
        <v>7</v>
      </c>
      <c r="T144" s="60">
        <f>IFERROR(INDEX(TableWRMaster[Custom],MATCH(TableWRCalcPts[[#This Row],[WRRef]],TableWRMaster[WRRef],0)),"")</f>
        <v>22.511850487526392</v>
      </c>
      <c r="AI144" s="59" t="s">
        <v>223</v>
      </c>
      <c r="AJ144" s="59">
        <f>IFERROR(RANK(TableWRTECalcPts[[#This Row],[Custom]],TableWRTECalcPts[Custom])+COUNTIF($AP$3:AP144,AP144)-1,"")</f>
        <v>152</v>
      </c>
      <c r="AK144" s="105">
        <v>42</v>
      </c>
      <c r="AL144" s="105" t="str">
        <f>IFERROR(INDEX(TableWRMaster[Player],MATCH(TableWRTECalcPts[[#This Row],[POSRef]],TableWRMaster[WRRef],0)),"")</f>
        <v>Cedric Tillman</v>
      </c>
      <c r="AM144" s="105" t="str">
        <f>IFERROR(_xlfn.CONCAT(TableWRTECalcPts[[#This Row],[POS]],INDEX(TableWRRanks[RK],MATCH(TableWRTECalcPts[[#This Row],[PLAYER]],TableWRRanks[Player],0))),"")</f>
        <v>WR107</v>
      </c>
      <c r="AN144" s="105" t="str">
        <f>IFERROR(INDEX(TableWRMaster[TM],MATCH(TableWRTECalcPts[[#This Row],[POSRef]],TableWRMaster[WRRef],0)),"")</f>
        <v>CLE</v>
      </c>
      <c r="AO144" s="105">
        <f>IFERROR(INDEX(TableWRMaster[BYE],MATCH(TableWRTECalcPts[[#This Row],[POSRef]],TableWRMaster[WRRef],0)),"")</f>
        <v>5</v>
      </c>
      <c r="AP144" s="103">
        <f>IFERROR(INDEX(TableWRMaster[Custom],MATCH(TableWRTECalcPts[[#This Row],[POSRef]],TableWRMaster[WRRef],0)),"")</f>
        <v>40.104575279999999</v>
      </c>
    </row>
    <row r="145" spans="8:42" x14ac:dyDescent="0.2">
      <c r="H145" s="59" t="str">
        <f>IFERROR(RANK(TableRBCalcPts[[#This Row],[Custom]],TableRBCalcPts[Custom])+COUNTIF($M$3:M145,M145)-1,"")</f>
        <v/>
      </c>
      <c r="I145" s="59">
        <v>143</v>
      </c>
      <c r="J145" s="59" t="str">
        <f>IFERROR(INDEX(TableRBMaster[Player],MATCH(TableRBCalcPts[[#This Row],[RBRef]],TableRBMaster[RBRef],0)),"")</f>
        <v/>
      </c>
      <c r="K145" s="59" t="str">
        <f>IFERROR(INDEX(TableRBMaster[TM],MATCH(TableRBCalcPts[[#This Row],[RBRef]],TableRBMaster[RBRef],0)),"")</f>
        <v/>
      </c>
      <c r="L145" s="59" t="str">
        <f>IFERROR(INDEX(TableRBMaster[BYE],MATCH(TableRBCalcPts[[#This Row],[RBRef]],TableRBMaster[RBRef],0)),"")</f>
        <v/>
      </c>
      <c r="M145" s="60" t="str">
        <f>IFERROR(INDEX(TableRBMaster[Custom],MATCH(TableRBCalcPts[[#This Row],[RBRef]],TableRBMaster[RBRef],0)),"")</f>
        <v/>
      </c>
      <c r="O145" s="59">
        <f>IFERROR(RANK(TableWRCalcPts[[#This Row],[Custom]],TableWRCalcPts[Custom])+COUNTIF($T$3:T145,T145)-1,"")</f>
        <v>8</v>
      </c>
      <c r="P145" s="59">
        <v>143</v>
      </c>
      <c r="Q145" s="59" t="str">
        <f>IFERROR(INDEX(TableWRMaster[Player],MATCH(TableWRCalcPts[[#This Row],[WRRef]],TableWRMaster[WRRef],0)),"")</f>
        <v>A.J. Brown</v>
      </c>
      <c r="R145" s="59" t="str">
        <f>IFERROR(INDEX(TableWRMaster[TM],MATCH(TableWRCalcPts[[#This Row],[WRRef]],TableWRMaster[WRRef],0)),"")</f>
        <v>PHI</v>
      </c>
      <c r="S145" s="59">
        <f>IFERROR(INDEX(TableWRMaster[BYE],MATCH(TableWRCalcPts[[#This Row],[WRRef]],TableWRMaster[WRRef],0)),"")</f>
        <v>10</v>
      </c>
      <c r="T145" s="60">
        <f>IFERROR(INDEX(TableWRMaster[Custom],MATCH(TableWRCalcPts[[#This Row],[WRRef]],TableWRMaster[WRRef],0)),"")</f>
        <v>216.54967608681122</v>
      </c>
      <c r="AI145" s="59" t="s">
        <v>223</v>
      </c>
      <c r="AJ145" s="59">
        <f>IFERROR(RANK(TableWRTECalcPts[[#This Row],[Custom]],TableWRTECalcPts[Custom])+COUNTIF($AP$3:AP145,AP145)-1,"")</f>
        <v>267</v>
      </c>
      <c r="AK145" s="105">
        <v>43</v>
      </c>
      <c r="AL145" s="105" t="str">
        <f>IFERROR(INDEX(TableWRMaster[Player],MATCH(TableWRTECalcPts[[#This Row],[POSRef]],TableWRMaster[WRRef],0)),"")</f>
        <v>David Bell</v>
      </c>
      <c r="AM145" s="105" t="str">
        <f>IFERROR(_xlfn.CONCAT(TableWRTECalcPts[[#This Row],[POS]],INDEX(TableWRRanks[RK],MATCH(TableWRTECalcPts[[#This Row],[PLAYER]],TableWRRanks[Player],0))),"")</f>
        <v>WR182</v>
      </c>
      <c r="AN145" s="105" t="str">
        <f>IFERROR(INDEX(TableWRMaster[TM],MATCH(TableWRTECalcPts[[#This Row],[POSRef]],TableWRMaster[WRRef],0)),"")</f>
        <v>CLE</v>
      </c>
      <c r="AO145" s="105">
        <f>IFERROR(INDEX(TableWRMaster[BYE],MATCH(TableWRTECalcPts[[#This Row],[POSRef]],TableWRMaster[WRRef],0)),"")</f>
        <v>5</v>
      </c>
      <c r="AP145" s="103">
        <f>IFERROR(INDEX(TableWRMaster[Custom],MATCH(TableWRTECalcPts[[#This Row],[POSRef]],TableWRMaster[WRRef],0)),"")</f>
        <v>6.5034446400000006</v>
      </c>
    </row>
    <row r="146" spans="8:42" x14ac:dyDescent="0.2">
      <c r="H146" s="59" t="str">
        <f>IFERROR(RANK(TableRBCalcPts[[#This Row],[Custom]],TableRBCalcPts[Custom])+COUNTIF($M$3:M146,M146)-1,"")</f>
        <v/>
      </c>
      <c r="I146" s="59">
        <v>144</v>
      </c>
      <c r="J146" s="59" t="str">
        <f>IFERROR(INDEX(TableRBMaster[Player],MATCH(TableRBCalcPts[[#This Row],[RBRef]],TableRBMaster[RBRef],0)),"")</f>
        <v/>
      </c>
      <c r="K146" s="59" t="str">
        <f>IFERROR(INDEX(TableRBMaster[TM],MATCH(TableRBCalcPts[[#This Row],[RBRef]],TableRBMaster[RBRef],0)),"")</f>
        <v/>
      </c>
      <c r="L146" s="59" t="str">
        <f>IFERROR(INDEX(TableRBMaster[BYE],MATCH(TableRBCalcPts[[#This Row],[RBRef]],TableRBMaster[RBRef],0)),"")</f>
        <v/>
      </c>
      <c r="M146" s="60" t="str">
        <f>IFERROR(INDEX(TableRBMaster[Custom],MATCH(TableRBCalcPts[[#This Row],[RBRef]],TableRBMaster[RBRef],0)),"")</f>
        <v/>
      </c>
      <c r="O146" s="59">
        <f>IFERROR(RANK(TableWRCalcPts[[#This Row],[Custom]],TableWRCalcPts[Custom])+COUNTIF($T$3:T146,T146)-1,"")</f>
        <v>23</v>
      </c>
      <c r="P146" s="59">
        <v>144</v>
      </c>
      <c r="Q146" s="59" t="str">
        <f>IFERROR(INDEX(TableWRMaster[Player],MATCH(TableWRCalcPts[[#This Row],[WRRef]],TableWRMaster[WRRef],0)),"")</f>
        <v>DeVonta Smith</v>
      </c>
      <c r="R146" s="59" t="str">
        <f>IFERROR(INDEX(TableWRMaster[TM],MATCH(TableWRCalcPts[[#This Row],[WRRef]],TableWRMaster[WRRef],0)),"")</f>
        <v>PHI</v>
      </c>
      <c r="S146" s="59">
        <f>IFERROR(INDEX(TableWRMaster[BYE],MATCH(TableWRCalcPts[[#This Row],[WRRef]],TableWRMaster[WRRef],0)),"")</f>
        <v>10</v>
      </c>
      <c r="T146" s="60">
        <f>IFERROR(INDEX(TableWRMaster[Custom],MATCH(TableWRCalcPts[[#This Row],[WRRef]],TableWRMaster[WRRef],0)),"")</f>
        <v>184.12883214768004</v>
      </c>
      <c r="AI146" s="59" t="s">
        <v>223</v>
      </c>
      <c r="AJ146" s="59">
        <f>IFERROR(RANK(TableWRTECalcPts[[#This Row],[Custom]],TableWRTECalcPts[Custom])+COUNTIF($AP$3:AP146,AP146)-1,"")</f>
        <v>208</v>
      </c>
      <c r="AK146" s="105">
        <v>44</v>
      </c>
      <c r="AL146" s="105" t="str">
        <f>IFERROR(INDEX(TableWRMaster[Player],MATCH(TableWRTECalcPts[[#This Row],[POSRef]],TableWRMaster[WRRef],0)),"")</f>
        <v>Jamari Thrash</v>
      </c>
      <c r="AM146" s="105" t="str">
        <f>IFERROR(_xlfn.CONCAT(TableWRTECalcPts[[#This Row],[POS]],INDEX(TableWRRanks[RK],MATCH(TableWRTECalcPts[[#This Row],[PLAYER]],TableWRRanks[Player],0))),"")</f>
        <v>WR148</v>
      </c>
      <c r="AN146" s="105" t="str">
        <f>IFERROR(INDEX(TableWRMaster[TM],MATCH(TableWRTECalcPts[[#This Row],[POSRef]],TableWRMaster[WRRef],0)),"")</f>
        <v>CLE</v>
      </c>
      <c r="AO146" s="105">
        <f>IFERROR(INDEX(TableWRMaster[BYE],MATCH(TableWRTECalcPts[[#This Row],[POSRef]],TableWRMaster[WRRef],0)),"")</f>
        <v>5</v>
      </c>
      <c r="AP146" s="103">
        <f>IFERROR(INDEX(TableWRMaster[Custom],MATCH(TableWRTECalcPts[[#This Row],[POSRef]],TableWRMaster[WRRef],0)),"")</f>
        <v>20.346103978199999</v>
      </c>
    </row>
    <row r="147" spans="8:42" x14ac:dyDescent="0.2">
      <c r="H147" s="59" t="str">
        <f>IFERROR(RANK(TableRBCalcPts[[#This Row],[Custom]],TableRBCalcPts[Custom])+COUNTIF($M$3:M147,M147)-1,"")</f>
        <v/>
      </c>
      <c r="I147" s="59">
        <v>145</v>
      </c>
      <c r="J147" s="59" t="str">
        <f>IFERROR(INDEX(TableRBMaster[Player],MATCH(TableRBCalcPts[[#This Row],[RBRef]],TableRBMaster[RBRef],0)),"")</f>
        <v/>
      </c>
      <c r="K147" s="59" t="str">
        <f>IFERROR(INDEX(TableRBMaster[TM],MATCH(TableRBCalcPts[[#This Row],[RBRef]],TableRBMaster[RBRef],0)),"")</f>
        <v/>
      </c>
      <c r="L147" s="59" t="str">
        <f>IFERROR(INDEX(TableRBMaster[BYE],MATCH(TableRBCalcPts[[#This Row],[RBRef]],TableRBMaster[RBRef],0)),"")</f>
        <v/>
      </c>
      <c r="M147" s="60" t="str">
        <f>IFERROR(INDEX(TableRBMaster[Custom],MATCH(TableRBCalcPts[[#This Row],[RBRef]],TableRBMaster[RBRef],0)),"")</f>
        <v/>
      </c>
      <c r="O147" s="59">
        <f>IFERROR(RANK(TableWRCalcPts[[#This Row],[Custom]],TableWRCalcPts[Custom])+COUNTIF($T$3:T147,T147)-1,"")</f>
        <v>100</v>
      </c>
      <c r="P147" s="59">
        <v>145</v>
      </c>
      <c r="Q147" s="59" t="str">
        <f>IFERROR(INDEX(TableWRMaster[Player],MATCH(TableWRCalcPts[[#This Row],[WRRef]],TableWRMaster[WRRef],0)),"")</f>
        <v>DeVante Parker</v>
      </c>
      <c r="R147" s="59" t="str">
        <f>IFERROR(INDEX(TableWRMaster[TM],MATCH(TableWRCalcPts[[#This Row],[WRRef]],TableWRMaster[WRRef],0)),"")</f>
        <v>PHI</v>
      </c>
      <c r="S147" s="59">
        <f>IFERROR(INDEX(TableWRMaster[BYE],MATCH(TableWRCalcPts[[#This Row],[WRRef]],TableWRMaster[WRRef],0)),"")</f>
        <v>10</v>
      </c>
      <c r="T147" s="60">
        <f>IFERROR(INDEX(TableWRMaster[Custom],MATCH(TableWRCalcPts[[#This Row],[WRRef]],TableWRMaster[WRRef],0)),"")</f>
        <v>56.040648476400008</v>
      </c>
      <c r="AI147" s="59" t="s">
        <v>223</v>
      </c>
      <c r="AJ147" s="59">
        <f>IFERROR(RANK(TableWRTECalcPts[[#This Row],[Custom]],TableWRTECalcPts[Custom])+COUNTIF($AP$3:AP147,AP147)-1,"")</f>
        <v>2</v>
      </c>
      <c r="AK147" s="105">
        <v>45</v>
      </c>
      <c r="AL147" s="105" t="str">
        <f>IFERROR(INDEX(TableWRMaster[Player],MATCH(TableWRTECalcPts[[#This Row],[POSRef]],TableWRMaster[WRRef],0)),"")</f>
        <v>CeeDee Lamb</v>
      </c>
      <c r="AM147" s="105" t="str">
        <f>IFERROR(_xlfn.CONCAT(TableWRTECalcPts[[#This Row],[POS]],INDEX(TableWRRanks[RK],MATCH(TableWRTECalcPts[[#This Row],[PLAYER]],TableWRRanks[Player],0))),"")</f>
        <v>WR2</v>
      </c>
      <c r="AN147" s="105" t="str">
        <f>IFERROR(INDEX(TableWRMaster[TM],MATCH(TableWRTECalcPts[[#This Row],[POSRef]],TableWRMaster[WRRef],0)),"")</f>
        <v>DAL</v>
      </c>
      <c r="AO147" s="105">
        <f>IFERROR(INDEX(TableWRMaster[BYE],MATCH(TableWRTECalcPts[[#This Row],[POSRef]],TableWRMaster[WRRef],0)),"")</f>
        <v>7</v>
      </c>
      <c r="AP147" s="103">
        <f>IFERROR(INDEX(TableWRMaster[Custom],MATCH(TableWRTECalcPts[[#This Row],[POSRef]],TableWRMaster[WRRef],0)),"")</f>
        <v>252.66183146769589</v>
      </c>
    </row>
    <row r="148" spans="8:42" x14ac:dyDescent="0.2">
      <c r="H148" s="59" t="str">
        <f>IFERROR(RANK(TableRBCalcPts[[#This Row],[Custom]],TableRBCalcPts[Custom])+COUNTIF($M$3:M148,M148)-1,"")</f>
        <v/>
      </c>
      <c r="I148" s="59">
        <v>146</v>
      </c>
      <c r="J148" s="59" t="str">
        <f>IFERROR(INDEX(TableRBMaster[Player],MATCH(TableRBCalcPts[[#This Row],[RBRef]],TableRBMaster[RBRef],0)),"")</f>
        <v/>
      </c>
      <c r="K148" s="59" t="str">
        <f>IFERROR(INDEX(TableRBMaster[TM],MATCH(TableRBCalcPts[[#This Row],[RBRef]],TableRBMaster[RBRef],0)),"")</f>
        <v/>
      </c>
      <c r="L148" s="59" t="str">
        <f>IFERROR(INDEX(TableRBMaster[BYE],MATCH(TableRBCalcPts[[#This Row],[RBRef]],TableRBMaster[RBRef],0)),"")</f>
        <v/>
      </c>
      <c r="M148" s="60" t="str">
        <f>IFERROR(INDEX(TableRBMaster[Custom],MATCH(TableRBCalcPts[[#This Row],[RBRef]],TableRBMaster[RBRef],0)),"")</f>
        <v/>
      </c>
      <c r="O148" s="59">
        <f>IFERROR(RANK(TableWRCalcPts[[#This Row],[Custom]],TableWRCalcPts[Custom])+COUNTIF($T$3:T148,T148)-1,"")</f>
        <v>156</v>
      </c>
      <c r="P148" s="59">
        <v>146</v>
      </c>
      <c r="Q148" s="59" t="str">
        <f>IFERROR(INDEX(TableWRMaster[Player],MATCH(TableWRCalcPts[[#This Row],[WRRef]],TableWRMaster[WRRef],0)),"")</f>
        <v>Parris Campbell</v>
      </c>
      <c r="R148" s="59" t="str">
        <f>IFERROR(INDEX(TableWRMaster[TM],MATCH(TableWRCalcPts[[#This Row],[WRRef]],TableWRMaster[WRRef],0)),"")</f>
        <v>PHI</v>
      </c>
      <c r="S148" s="59">
        <f>IFERROR(INDEX(TableWRMaster[BYE],MATCH(TableWRCalcPts[[#This Row],[WRRef]],TableWRMaster[WRRef],0)),"")</f>
        <v>10</v>
      </c>
      <c r="T148" s="60">
        <f>IFERROR(INDEX(TableWRMaster[Custom],MATCH(TableWRCalcPts[[#This Row],[WRRef]],TableWRMaster[WRRef],0)),"")</f>
        <v>15.950864272896006</v>
      </c>
      <c r="AI148" s="59" t="s">
        <v>223</v>
      </c>
      <c r="AJ148" s="59">
        <f>IFERROR(RANK(TableWRTECalcPts[[#This Row],[Custom]],TableWRTECalcPts[Custom])+COUNTIF($AP$3:AP148,AP148)-1,"")</f>
        <v>50</v>
      </c>
      <c r="AK148" s="105">
        <v>46</v>
      </c>
      <c r="AL148" s="105" t="str">
        <f>IFERROR(INDEX(TableWRMaster[Player],MATCH(TableWRTECalcPts[[#This Row],[POSRef]],TableWRMaster[WRRef],0)),"")</f>
        <v>Brandin Cooks</v>
      </c>
      <c r="AM148" s="105" t="str">
        <f>IFERROR(_xlfn.CONCAT(TableWRTECalcPts[[#This Row],[POS]],INDEX(TableWRRanks[RK],MATCH(TableWRTECalcPts[[#This Row],[PLAYER]],TableWRRanks[Player],0))),"")</f>
        <v>WR45</v>
      </c>
      <c r="AN148" s="105" t="str">
        <f>IFERROR(INDEX(TableWRMaster[TM],MATCH(TableWRTECalcPts[[#This Row],[POSRef]],TableWRMaster[WRRef],0)),"")</f>
        <v>DAL</v>
      </c>
      <c r="AO148" s="105">
        <f>IFERROR(INDEX(TableWRMaster[BYE],MATCH(TableWRTECalcPts[[#This Row],[POSRef]],TableWRMaster[WRRef],0)),"")</f>
        <v>7</v>
      </c>
      <c r="AP148" s="103">
        <f>IFERROR(INDEX(TableWRMaster[Custom],MATCH(TableWRTECalcPts[[#This Row],[POSRef]],TableWRMaster[WRRef],0)),"")</f>
        <v>159.86001222374398</v>
      </c>
    </row>
    <row r="149" spans="8:42" x14ac:dyDescent="0.2">
      <c r="H149" s="59" t="str">
        <f>IFERROR(RANK(TableRBCalcPts[[#This Row],[Custom]],TableRBCalcPts[Custom])+COUNTIF($M$3:M149,M149)-1,"")</f>
        <v/>
      </c>
      <c r="I149" s="59">
        <v>147</v>
      </c>
      <c r="J149" s="59" t="str">
        <f>IFERROR(INDEX(TableRBMaster[Player],MATCH(TableRBCalcPts[[#This Row],[RBRef]],TableRBMaster[RBRef],0)),"")</f>
        <v/>
      </c>
      <c r="K149" s="59" t="str">
        <f>IFERROR(INDEX(TableRBMaster[TM],MATCH(TableRBCalcPts[[#This Row],[RBRef]],TableRBMaster[RBRef],0)),"")</f>
        <v/>
      </c>
      <c r="L149" s="59" t="str">
        <f>IFERROR(INDEX(TableRBMaster[BYE],MATCH(TableRBCalcPts[[#This Row],[RBRef]],TableRBMaster[RBRef],0)),"")</f>
        <v/>
      </c>
      <c r="M149" s="60" t="str">
        <f>IFERROR(INDEX(TableRBMaster[Custom],MATCH(TableRBCalcPts[[#This Row],[RBRef]],TableRBMaster[RBRef],0)),"")</f>
        <v/>
      </c>
      <c r="O149" s="59">
        <f>IFERROR(RANK(TableWRCalcPts[[#This Row],[Custom]],TableWRCalcPts[Custom])+COUNTIF($T$3:T149,T149)-1,"")</f>
        <v>176</v>
      </c>
      <c r="P149" s="59">
        <v>147</v>
      </c>
      <c r="Q149" s="59" t="str">
        <f>IFERROR(INDEX(TableWRMaster[Player],MATCH(TableWRCalcPts[[#This Row],[WRRef]],TableWRMaster[WRRef],0)),"")</f>
        <v>Ainias Smith</v>
      </c>
      <c r="R149" s="59" t="str">
        <f>IFERROR(INDEX(TableWRMaster[TM],MATCH(TableWRCalcPts[[#This Row],[WRRef]],TableWRMaster[WRRef],0)),"")</f>
        <v>PHI</v>
      </c>
      <c r="S149" s="59">
        <f>IFERROR(INDEX(TableWRMaster[BYE],MATCH(TableWRCalcPts[[#This Row],[WRRef]],TableWRMaster[WRRef],0)),"")</f>
        <v>10</v>
      </c>
      <c r="T149" s="60">
        <f>IFERROR(INDEX(TableWRMaster[Custom],MATCH(TableWRCalcPts[[#This Row],[WRRef]],TableWRMaster[WRRef],0)),"")</f>
        <v>9.9783691363440035</v>
      </c>
      <c r="AI149" s="59" t="s">
        <v>223</v>
      </c>
      <c r="AJ149" s="59">
        <f>IFERROR(RANK(TableWRTECalcPts[[#This Row],[Custom]],TableWRTECalcPts[Custom])+COUNTIF($AP$3:AP149,AP149)-1,"")</f>
        <v>111</v>
      </c>
      <c r="AK149" s="105">
        <v>47</v>
      </c>
      <c r="AL149" s="105" t="str">
        <f>IFERROR(INDEX(TableWRMaster[Player],MATCH(TableWRTECalcPts[[#This Row],[POSRef]],TableWRMaster[WRRef],0)),"")</f>
        <v>Jalen Tolbert</v>
      </c>
      <c r="AM149" s="105" t="str">
        <f>IFERROR(_xlfn.CONCAT(TableWRTECalcPts[[#This Row],[POS]],INDEX(TableWRRanks[RK],MATCH(TableWRTECalcPts[[#This Row],[PLAYER]],TableWRRanks[Player],0))),"")</f>
        <v>WR86</v>
      </c>
      <c r="AN149" s="105" t="str">
        <f>IFERROR(INDEX(TableWRMaster[TM],MATCH(TableWRTECalcPts[[#This Row],[POSRef]],TableWRMaster[WRRef],0)),"")</f>
        <v>DAL</v>
      </c>
      <c r="AO149" s="105">
        <f>IFERROR(INDEX(TableWRMaster[BYE],MATCH(TableWRTECalcPts[[#This Row],[POSRef]],TableWRMaster[WRRef],0)),"")</f>
        <v>7</v>
      </c>
      <c r="AP149" s="103">
        <f>IFERROR(INDEX(TableWRMaster[Custom],MATCH(TableWRTECalcPts[[#This Row],[POSRef]],TableWRMaster[WRRef],0)),"")</f>
        <v>84.097540023587982</v>
      </c>
    </row>
    <row r="150" spans="8:42" x14ac:dyDescent="0.2">
      <c r="H150" s="59" t="str">
        <f>IFERROR(RANK(TableRBCalcPts[[#This Row],[Custom]],TableRBCalcPts[Custom])+COUNTIF($M$3:M150,M150)-1,"")</f>
        <v/>
      </c>
      <c r="I150" s="59">
        <v>148</v>
      </c>
      <c r="J150" s="59" t="str">
        <f>IFERROR(INDEX(TableRBMaster[Player],MATCH(TableRBCalcPts[[#This Row],[RBRef]],TableRBMaster[RBRef],0)),"")</f>
        <v/>
      </c>
      <c r="K150" s="59" t="str">
        <f>IFERROR(INDEX(TableRBMaster[TM],MATCH(TableRBCalcPts[[#This Row],[RBRef]],TableRBMaster[RBRef],0)),"")</f>
        <v/>
      </c>
      <c r="L150" s="59" t="str">
        <f>IFERROR(INDEX(TableRBMaster[BYE],MATCH(TableRBCalcPts[[#This Row],[RBRef]],TableRBMaster[RBRef],0)),"")</f>
        <v/>
      </c>
      <c r="M150" s="60" t="str">
        <f>IFERROR(INDEX(TableRBMaster[Custom],MATCH(TableRBCalcPts[[#This Row],[RBRef]],TableRBMaster[RBRef],0)),"")</f>
        <v/>
      </c>
      <c r="O150" s="59">
        <f>IFERROR(RANK(TableWRCalcPts[[#This Row],[Custom]],TableWRCalcPts[Custom])+COUNTIF($T$3:T150,T150)-1,"")</f>
        <v>172</v>
      </c>
      <c r="P150" s="59">
        <v>148</v>
      </c>
      <c r="Q150" s="59" t="str">
        <f>IFERROR(INDEX(TableWRMaster[Player],MATCH(TableWRCalcPts[[#This Row],[WRRef]],TableWRMaster[WRRef],0)),"")</f>
        <v>Johnny Wilson</v>
      </c>
      <c r="R150" s="59" t="str">
        <f>IFERROR(INDEX(TableWRMaster[TM],MATCH(TableWRCalcPts[[#This Row],[WRRef]],TableWRMaster[WRRef],0)),"")</f>
        <v>PHI</v>
      </c>
      <c r="S150" s="59">
        <f>IFERROR(INDEX(TableWRMaster[BYE],MATCH(TableWRCalcPts[[#This Row],[WRRef]],TableWRMaster[WRRef],0)),"")</f>
        <v>10</v>
      </c>
      <c r="T150" s="60">
        <f>IFERROR(INDEX(TableWRMaster[Custom],MATCH(TableWRCalcPts[[#This Row],[WRRef]],TableWRMaster[WRRef],0)),"")</f>
        <v>10.9824441780816</v>
      </c>
      <c r="AI150" s="59" t="s">
        <v>223</v>
      </c>
      <c r="AJ150" s="59">
        <f>IFERROR(RANK(TableWRTECalcPts[[#This Row],[Custom]],TableWRTECalcPts[Custom])+COUNTIF($AP$3:AP150,AP150)-1,"")</f>
        <v>204</v>
      </c>
      <c r="AK150" s="105">
        <v>48</v>
      </c>
      <c r="AL150" s="105" t="str">
        <f>IFERROR(INDEX(TableWRMaster[Player],MATCH(TableWRTECalcPts[[#This Row],[POSRef]],TableWRMaster[WRRef],0)),"")</f>
        <v>Racey McMath</v>
      </c>
      <c r="AM150" s="105" t="str">
        <f>IFERROR(_xlfn.CONCAT(TableWRTECalcPts[[#This Row],[POS]],INDEX(TableWRRanks[RK],MATCH(TableWRTECalcPts[[#This Row],[PLAYER]],TableWRRanks[Player],0))),"")</f>
        <v>WR145</v>
      </c>
      <c r="AN150" s="105" t="str">
        <f>IFERROR(INDEX(TableWRMaster[TM],MATCH(TableWRTECalcPts[[#This Row],[POSRef]],TableWRMaster[WRRef],0)),"")</f>
        <v>DAL</v>
      </c>
      <c r="AO150" s="105">
        <f>IFERROR(INDEX(TableWRMaster[BYE],MATCH(TableWRTECalcPts[[#This Row],[POSRef]],TableWRMaster[WRRef],0)),"")</f>
        <v>7</v>
      </c>
      <c r="AP150" s="103">
        <f>IFERROR(INDEX(TableWRMaster[Custom],MATCH(TableWRTECalcPts[[#This Row],[POSRef]],TableWRMaster[WRRef],0)),"")</f>
        <v>21.427072611839996</v>
      </c>
    </row>
    <row r="151" spans="8:42" x14ac:dyDescent="0.2">
      <c r="H151" s="59" t="str">
        <f>IFERROR(RANK(TableRBCalcPts[[#This Row],[Custom]],TableRBCalcPts[Custom])+COUNTIF($M$3:M151,M151)-1,"")</f>
        <v/>
      </c>
      <c r="I151" s="59">
        <v>149</v>
      </c>
      <c r="J151" s="59" t="str">
        <f>IFERROR(INDEX(TableRBMaster[Player],MATCH(TableRBCalcPts[[#This Row],[RBRef]],TableRBMaster[RBRef],0)),"")</f>
        <v/>
      </c>
      <c r="K151" s="59" t="str">
        <f>IFERROR(INDEX(TableRBMaster[TM],MATCH(TableRBCalcPts[[#This Row],[RBRef]],TableRBMaster[RBRef],0)),"")</f>
        <v/>
      </c>
      <c r="L151" s="59" t="str">
        <f>IFERROR(INDEX(TableRBMaster[BYE],MATCH(TableRBCalcPts[[#This Row],[RBRef]],TableRBMaster[RBRef],0)),"")</f>
        <v/>
      </c>
      <c r="M151" s="60" t="str">
        <f>IFERROR(INDEX(TableRBMaster[Custom],MATCH(TableRBCalcPts[[#This Row],[RBRef]],TableRBMaster[RBRef],0)),"")</f>
        <v/>
      </c>
      <c r="O151" s="59">
        <f>IFERROR(RANK(TableWRCalcPts[[#This Row],[Custom]],TableWRCalcPts[Custom])+COUNTIF($T$3:T151,T151)-1,"")</f>
        <v>21</v>
      </c>
      <c r="P151" s="59">
        <v>149</v>
      </c>
      <c r="Q151" s="59" t="str">
        <f>IFERROR(INDEX(TableWRMaster[Player],MATCH(TableWRCalcPts[[#This Row],[WRRef]],TableWRMaster[WRRef],0)),"")</f>
        <v>George Pickens</v>
      </c>
      <c r="R151" s="59" t="str">
        <f>IFERROR(INDEX(TableWRMaster[TM],MATCH(TableWRCalcPts[[#This Row],[WRRef]],TableWRMaster[WRRef],0)),"")</f>
        <v>PIT</v>
      </c>
      <c r="S151" s="59">
        <f>IFERROR(INDEX(TableWRMaster[BYE],MATCH(TableWRCalcPts[[#This Row],[WRRef]],TableWRMaster[WRRef],0)),"")</f>
        <v>6</v>
      </c>
      <c r="T151" s="60">
        <f>IFERROR(INDEX(TableWRMaster[Custom],MATCH(TableWRCalcPts[[#This Row],[WRRef]],TableWRMaster[WRRef],0)),"")</f>
        <v>189.09800485379998</v>
      </c>
      <c r="AI151" s="59" t="s">
        <v>223</v>
      </c>
      <c r="AJ151" s="59">
        <f>IFERROR(RANK(TableWRTECalcPts[[#This Row],[Custom]],TableWRTECalcPts[Custom])+COUNTIF($AP$3:AP151,AP151)-1,"")</f>
        <v>164</v>
      </c>
      <c r="AK151" s="105">
        <v>49</v>
      </c>
      <c r="AL151" s="105" t="str">
        <f>IFERROR(INDEX(TableWRMaster[Player],MATCH(TableWRTECalcPts[[#This Row],[POSRef]],TableWRMaster[WRRef],0)),"")</f>
        <v>KaVontae Turpin</v>
      </c>
      <c r="AM151" s="105" t="str">
        <f>IFERROR(_xlfn.CONCAT(TableWRTECalcPts[[#This Row],[POS]],INDEX(TableWRRanks[RK],MATCH(TableWRTECalcPts[[#This Row],[PLAYER]],TableWRRanks[Player],0))),"")</f>
        <v>WR118</v>
      </c>
      <c r="AN151" s="105" t="str">
        <f>IFERROR(INDEX(TableWRMaster[TM],MATCH(TableWRTECalcPts[[#This Row],[POSRef]],TableWRMaster[WRRef],0)),"")</f>
        <v>DAL</v>
      </c>
      <c r="AO151" s="105">
        <f>IFERROR(INDEX(TableWRMaster[BYE],MATCH(TableWRTECalcPts[[#This Row],[POSRef]],TableWRMaster[WRRef],0)),"")</f>
        <v>7</v>
      </c>
      <c r="AP151" s="103">
        <f>IFERROR(INDEX(TableWRMaster[Custom],MATCH(TableWRTECalcPts[[#This Row],[POSRef]],TableWRMaster[WRRef],0)),"")</f>
        <v>33.663409307035188</v>
      </c>
    </row>
    <row r="152" spans="8:42" x14ac:dyDescent="0.2">
      <c r="H152" s="59" t="str">
        <f>IFERROR(RANK(TableRBCalcPts[[#This Row],[Custom]],TableRBCalcPts[Custom])+COUNTIF($M$3:M152,M152)-1,"")</f>
        <v/>
      </c>
      <c r="I152" s="59">
        <v>150</v>
      </c>
      <c r="J152" s="59" t="str">
        <f>IFERROR(INDEX(TableRBMaster[Player],MATCH(TableRBCalcPts[[#This Row],[RBRef]],TableRBMaster[RBRef],0)),"")</f>
        <v/>
      </c>
      <c r="K152" s="59" t="str">
        <f>IFERROR(INDEX(TableRBMaster[TM],MATCH(TableRBCalcPts[[#This Row],[RBRef]],TableRBMaster[RBRef],0)),"")</f>
        <v/>
      </c>
      <c r="L152" s="59" t="str">
        <f>IFERROR(INDEX(TableRBMaster[BYE],MATCH(TableRBCalcPts[[#This Row],[RBRef]],TableRBMaster[RBRef],0)),"")</f>
        <v/>
      </c>
      <c r="M152" s="60" t="str">
        <f>IFERROR(INDEX(TableRBMaster[Custom],MATCH(TableRBCalcPts[[#This Row],[RBRef]],TableRBMaster[RBRef],0)),"")</f>
        <v/>
      </c>
      <c r="O152" s="59">
        <f>IFERROR(RANK(TableWRCalcPts[[#This Row],[Custom]],TableWRCalcPts[Custom])+COUNTIF($T$3:T152,T152)-1,"")</f>
        <v>56</v>
      </c>
      <c r="P152" s="59">
        <v>150</v>
      </c>
      <c r="Q152" s="59" t="str">
        <f>IFERROR(INDEX(TableWRMaster[Player],MATCH(TableWRCalcPts[[#This Row],[WRRef]],TableWRMaster[WRRef],0)),"")</f>
        <v>Roman Wilson</v>
      </c>
      <c r="R152" s="59" t="str">
        <f>IFERROR(INDEX(TableWRMaster[TM],MATCH(TableWRCalcPts[[#This Row],[WRRef]],TableWRMaster[WRRef],0)),"")</f>
        <v>PIT</v>
      </c>
      <c r="S152" s="59">
        <f>IFERROR(INDEX(TableWRMaster[BYE],MATCH(TableWRCalcPts[[#This Row],[WRRef]],TableWRMaster[WRRef],0)),"")</f>
        <v>6</v>
      </c>
      <c r="T152" s="60">
        <f>IFERROR(INDEX(TableWRMaster[Custom],MATCH(TableWRCalcPts[[#This Row],[WRRef]],TableWRMaster[WRRef],0)),"")</f>
        <v>144.40403499564002</v>
      </c>
      <c r="AI152" s="59" t="s">
        <v>223</v>
      </c>
      <c r="AJ152" s="59">
        <f>IFERROR(RANK(TableWRTECalcPts[[#This Row],[Custom]],TableWRTECalcPts[Custom])+COUNTIF($AP$3:AP152,AP152)-1,"")</f>
        <v>184</v>
      </c>
      <c r="AK152" s="105">
        <v>50</v>
      </c>
      <c r="AL152" s="105" t="str">
        <f>IFERROR(INDEX(TableWRMaster[Player],MATCH(TableWRTECalcPts[[#This Row],[POSRef]],TableWRMaster[WRRef],0)),"")</f>
        <v>Ryan Flournoy</v>
      </c>
      <c r="AM152" s="105" t="str">
        <f>IFERROR(_xlfn.CONCAT(TableWRTECalcPts[[#This Row],[POS]],INDEX(TableWRRanks[RK],MATCH(TableWRTECalcPts[[#This Row],[PLAYER]],TableWRRanks[Player],0))),"")</f>
        <v>WR133</v>
      </c>
      <c r="AN152" s="105" t="str">
        <f>IFERROR(INDEX(TableWRMaster[TM],MATCH(TableWRTECalcPts[[#This Row],[POSRef]],TableWRMaster[WRRef],0)),"")</f>
        <v>DAL</v>
      </c>
      <c r="AO152" s="105">
        <f>IFERROR(INDEX(TableWRMaster[BYE],MATCH(TableWRTECalcPts[[#This Row],[POSRef]],TableWRMaster[WRRef],0)),"")</f>
        <v>7</v>
      </c>
      <c r="AP152" s="103">
        <f>IFERROR(INDEX(TableWRMaster[Custom],MATCH(TableWRTECalcPts[[#This Row],[POSRef]],TableWRMaster[WRRef],0)),"")</f>
        <v>25.959249732729589</v>
      </c>
    </row>
    <row r="153" spans="8:42" x14ac:dyDescent="0.2">
      <c r="H153" s="59" t="str">
        <f>IFERROR(RANK(TableRBCalcPts[[#This Row],[Custom]],TableRBCalcPts[Custom])+COUNTIF($M$3:M153,M153)-1,"")</f>
        <v/>
      </c>
      <c r="I153" s="59">
        <v>151</v>
      </c>
      <c r="J153" s="59" t="str">
        <f>IFERROR(INDEX(TableRBMaster[Player],MATCH(TableRBCalcPts[[#This Row],[RBRef]],TableRBMaster[RBRef],0)),"")</f>
        <v/>
      </c>
      <c r="K153" s="59" t="str">
        <f>IFERROR(INDEX(TableRBMaster[TM],MATCH(TableRBCalcPts[[#This Row],[RBRef]],TableRBMaster[RBRef],0)),"")</f>
        <v/>
      </c>
      <c r="L153" s="59" t="str">
        <f>IFERROR(INDEX(TableRBMaster[BYE],MATCH(TableRBCalcPts[[#This Row],[RBRef]],TableRBMaster[RBRef],0)),"")</f>
        <v/>
      </c>
      <c r="M153" s="60" t="str">
        <f>IFERROR(INDEX(TableRBMaster[Custom],MATCH(TableRBCalcPts[[#This Row],[RBRef]],TableRBMaster[RBRef],0)),"")</f>
        <v/>
      </c>
      <c r="O153" s="59">
        <f>IFERROR(RANK(TableWRCalcPts[[#This Row],[Custom]],TableWRCalcPts[Custom])+COUNTIF($T$3:T153,T153)-1,"")</f>
        <v>89</v>
      </c>
      <c r="P153" s="59">
        <v>151</v>
      </c>
      <c r="Q153" s="59" t="str">
        <f>IFERROR(INDEX(TableWRMaster[Player],MATCH(TableWRCalcPts[[#This Row],[WRRef]],TableWRMaster[WRRef],0)),"")</f>
        <v>Van Jefferson</v>
      </c>
      <c r="R153" s="59" t="str">
        <f>IFERROR(INDEX(TableWRMaster[TM],MATCH(TableWRCalcPts[[#This Row],[WRRef]],TableWRMaster[WRRef],0)),"")</f>
        <v>PIT</v>
      </c>
      <c r="S153" s="59">
        <f>IFERROR(INDEX(TableWRMaster[BYE],MATCH(TableWRCalcPts[[#This Row],[WRRef]],TableWRMaster[WRRef],0)),"")</f>
        <v>6</v>
      </c>
      <c r="T153" s="60">
        <f>IFERROR(INDEX(TableWRMaster[Custom],MATCH(TableWRCalcPts[[#This Row],[WRRef]],TableWRMaster[WRRef],0)),"")</f>
        <v>82.556850116160007</v>
      </c>
      <c r="AI153" s="59" t="s">
        <v>223</v>
      </c>
      <c r="AJ153" s="59">
        <f>IFERROR(RANK(TableWRTECalcPts[[#This Row],[Custom]],TableWRTECalcPts[Custom])+COUNTIF($AP$3:AP153,AP153)-1,"")</f>
        <v>36</v>
      </c>
      <c r="AK153" s="105">
        <v>51</v>
      </c>
      <c r="AL153" s="105" t="str">
        <f>IFERROR(INDEX(TableWRMaster[Player],MATCH(TableWRTECalcPts[[#This Row],[POSRef]],TableWRMaster[WRRef],0)),"")</f>
        <v>Courtland Sutton</v>
      </c>
      <c r="AM153" s="105" t="str">
        <f>IFERROR(_xlfn.CONCAT(TableWRTECalcPts[[#This Row],[POS]],INDEX(TableWRRanks[RK],MATCH(TableWRTECalcPts[[#This Row],[PLAYER]],TableWRRanks[Player],0))),"")</f>
        <v>WR33</v>
      </c>
      <c r="AN153" s="105" t="str">
        <f>IFERROR(INDEX(TableWRMaster[TM],MATCH(TableWRTECalcPts[[#This Row],[POSRef]],TableWRMaster[WRRef],0)),"")</f>
        <v>DEN</v>
      </c>
      <c r="AO153" s="105">
        <f>IFERROR(INDEX(TableWRMaster[BYE],MATCH(TableWRTECalcPts[[#This Row],[POSRef]],TableWRMaster[WRRef],0)),"")</f>
        <v>9</v>
      </c>
      <c r="AP153" s="103">
        <f>IFERROR(INDEX(TableWRMaster[Custom],MATCH(TableWRTECalcPts[[#This Row],[POSRef]],TableWRMaster[WRRef],0)),"")</f>
        <v>176.02978377907999</v>
      </c>
    </row>
    <row r="154" spans="8:42" x14ac:dyDescent="0.2">
      <c r="H154" s="59" t="str">
        <f>IFERROR(RANK(TableRBCalcPts[[#This Row],[Custom]],TableRBCalcPts[Custom])+COUNTIF($M$3:M154,M154)-1,"")</f>
        <v/>
      </c>
      <c r="I154" s="59">
        <v>152</v>
      </c>
      <c r="J154" s="59" t="str">
        <f>IFERROR(INDEX(TableRBMaster[Player],MATCH(TableRBCalcPts[[#This Row],[RBRef]],TableRBMaster[RBRef],0)),"")</f>
        <v/>
      </c>
      <c r="K154" s="59" t="str">
        <f>IFERROR(INDEX(TableRBMaster[TM],MATCH(TableRBCalcPts[[#This Row],[RBRef]],TableRBMaster[RBRef],0)),"")</f>
        <v/>
      </c>
      <c r="L154" s="59" t="str">
        <f>IFERROR(INDEX(TableRBMaster[BYE],MATCH(TableRBCalcPts[[#This Row],[RBRef]],TableRBMaster[RBRef],0)),"")</f>
        <v/>
      </c>
      <c r="M154" s="60" t="str">
        <f>IFERROR(INDEX(TableRBMaster[Custom],MATCH(TableRBCalcPts[[#This Row],[RBRef]],TableRBMaster[RBRef],0)),"")</f>
        <v/>
      </c>
      <c r="O154" s="59">
        <f>IFERROR(RANK(TableWRCalcPts[[#This Row],[Custom]],TableWRCalcPts[Custom])+COUNTIF($T$3:T154,T154)-1,"")</f>
        <v>122</v>
      </c>
      <c r="P154" s="59">
        <v>152</v>
      </c>
      <c r="Q154" s="59" t="str">
        <f>IFERROR(INDEX(TableWRMaster[Player],MATCH(TableWRCalcPts[[#This Row],[WRRef]],TableWRMaster[WRRef],0)),"")</f>
        <v>Calvin Austin</v>
      </c>
      <c r="R154" s="59" t="str">
        <f>IFERROR(INDEX(TableWRMaster[TM],MATCH(TableWRCalcPts[[#This Row],[WRRef]],TableWRMaster[WRRef],0)),"")</f>
        <v>PIT</v>
      </c>
      <c r="S154" s="59">
        <f>IFERROR(INDEX(TableWRMaster[BYE],MATCH(TableWRCalcPts[[#This Row],[WRRef]],TableWRMaster[WRRef],0)),"")</f>
        <v>6</v>
      </c>
      <c r="T154" s="60">
        <f>IFERROR(INDEX(TableWRMaster[Custom],MATCH(TableWRCalcPts[[#This Row],[WRRef]],TableWRMaster[WRRef],0)),"")</f>
        <v>30.921326519999997</v>
      </c>
      <c r="AI154" s="59" t="s">
        <v>223</v>
      </c>
      <c r="AJ154" s="59">
        <f>IFERROR(RANK(TableWRTECalcPts[[#This Row],[Custom]],TableWRTECalcPts[Custom])+COUNTIF($AP$3:AP154,AP154)-1,"")</f>
        <v>93</v>
      </c>
      <c r="AK154" s="105">
        <v>52</v>
      </c>
      <c r="AL154" s="105" t="str">
        <f>IFERROR(INDEX(TableWRMaster[Player],MATCH(TableWRTECalcPts[[#This Row],[POSRef]],TableWRMaster[WRRef],0)),"")</f>
        <v>Marvin Mims</v>
      </c>
      <c r="AM154" s="105" t="str">
        <f>IFERROR(_xlfn.CONCAT(TableWRTECalcPts[[#This Row],[POS]],INDEX(TableWRRanks[RK],MATCH(TableWRTECalcPts[[#This Row],[PLAYER]],TableWRRanks[Player],0))),"")</f>
        <v>WR76</v>
      </c>
      <c r="AN154" s="105" t="str">
        <f>IFERROR(INDEX(TableWRMaster[TM],MATCH(TableWRTECalcPts[[#This Row],[POSRef]],TableWRMaster[WRRef],0)),"")</f>
        <v>DEN</v>
      </c>
      <c r="AO154" s="105">
        <f>IFERROR(INDEX(TableWRMaster[BYE],MATCH(TableWRTECalcPts[[#This Row],[POSRef]],TableWRMaster[WRRef],0)),"")</f>
        <v>9</v>
      </c>
      <c r="AP154" s="103">
        <f>IFERROR(INDEX(TableWRMaster[Custom],MATCH(TableWRTECalcPts[[#This Row],[POSRef]],TableWRMaster[WRRef],0)),"")</f>
        <v>104.3449333248</v>
      </c>
    </row>
    <row r="155" spans="8:42" x14ac:dyDescent="0.2">
      <c r="H155" s="59" t="str">
        <f>IFERROR(RANK(TableRBCalcPts[[#This Row],[Custom]],TableRBCalcPts[Custom])+COUNTIF($M$3:M155,M155)-1,"")</f>
        <v/>
      </c>
      <c r="I155" s="59">
        <v>153</v>
      </c>
      <c r="J155" s="59" t="str">
        <f>IFERROR(INDEX(TableRBMaster[Player],MATCH(TableRBCalcPts[[#This Row],[RBRef]],TableRBMaster[RBRef],0)),"")</f>
        <v/>
      </c>
      <c r="K155" s="59" t="str">
        <f>IFERROR(INDEX(TableRBMaster[TM],MATCH(TableRBCalcPts[[#This Row],[RBRef]],TableRBMaster[RBRef],0)),"")</f>
        <v/>
      </c>
      <c r="L155" s="59" t="str">
        <f>IFERROR(INDEX(TableRBMaster[BYE],MATCH(TableRBCalcPts[[#This Row],[RBRef]],TableRBMaster[RBRef],0)),"")</f>
        <v/>
      </c>
      <c r="M155" s="60" t="str">
        <f>IFERROR(INDEX(TableRBMaster[Custom],MATCH(TableRBCalcPts[[#This Row],[RBRef]],TableRBMaster[RBRef],0)),"")</f>
        <v/>
      </c>
      <c r="O155" s="59">
        <f>IFERROR(RANK(TableWRCalcPts[[#This Row],[Custom]],TableWRCalcPts[Custom])+COUNTIF($T$3:T155,T155)-1,"")</f>
        <v>154</v>
      </c>
      <c r="P155" s="59">
        <v>153</v>
      </c>
      <c r="Q155" s="59" t="str">
        <f>IFERROR(INDEX(TableWRMaster[Player],MATCH(TableWRCalcPts[[#This Row],[WRRef]],TableWRMaster[WRRef],0)),"")</f>
        <v>Quez Watkins</v>
      </c>
      <c r="R155" s="59" t="str">
        <f>IFERROR(INDEX(TableWRMaster[TM],MATCH(TableWRCalcPts[[#This Row],[WRRef]],TableWRMaster[WRRef],0)),"")</f>
        <v>PIT</v>
      </c>
      <c r="S155" s="59">
        <f>IFERROR(INDEX(TableWRMaster[BYE],MATCH(TableWRCalcPts[[#This Row],[WRRef]],TableWRMaster[WRRef],0)),"")</f>
        <v>6</v>
      </c>
      <c r="T155" s="60">
        <f>IFERROR(INDEX(TableWRMaster[Custom],MATCH(TableWRCalcPts[[#This Row],[WRRef]],TableWRMaster[WRRef],0)),"")</f>
        <v>16.962358077000001</v>
      </c>
      <c r="AI155" s="59" t="s">
        <v>223</v>
      </c>
      <c r="AJ155" s="59">
        <f>IFERROR(RANK(TableWRTECalcPts[[#This Row],[Custom]],TableWRTECalcPts[Custom])+COUNTIF($AP$3:AP155,AP155)-1,"")</f>
        <v>92</v>
      </c>
      <c r="AK155" s="105">
        <v>53</v>
      </c>
      <c r="AL155" s="105" t="str">
        <f>IFERROR(INDEX(TableWRMaster[Player],MATCH(TableWRTECalcPts[[#This Row],[POSRef]],TableWRMaster[WRRef],0)),"")</f>
        <v>Josh Reynolds</v>
      </c>
      <c r="AM155" s="105" t="str">
        <f>IFERROR(_xlfn.CONCAT(TableWRTECalcPts[[#This Row],[POS]],INDEX(TableWRRanks[RK],MATCH(TableWRTECalcPts[[#This Row],[PLAYER]],TableWRRanks[Player],0))),"")</f>
        <v>WR75</v>
      </c>
      <c r="AN155" s="105" t="str">
        <f>IFERROR(INDEX(TableWRMaster[TM],MATCH(TableWRTECalcPts[[#This Row],[POSRef]],TableWRMaster[WRRef],0)),"")</f>
        <v>DEN</v>
      </c>
      <c r="AO155" s="105">
        <f>IFERROR(INDEX(TableWRMaster[BYE],MATCH(TableWRTECalcPts[[#This Row],[POSRef]],TableWRMaster[WRRef],0)),"")</f>
        <v>9</v>
      </c>
      <c r="AP155" s="103">
        <f>IFERROR(INDEX(TableWRMaster[Custom],MATCH(TableWRTECalcPts[[#This Row],[POSRef]],TableWRMaster[WRRef],0)),"")</f>
        <v>105.31443284480997</v>
      </c>
    </row>
    <row r="156" spans="8:42" x14ac:dyDescent="0.2">
      <c r="H156" s="59" t="str">
        <f>IFERROR(RANK(TableRBCalcPts[[#This Row],[Custom]],TableRBCalcPts[Custom])+COUNTIF($M$3:M156,M156)-1,"")</f>
        <v/>
      </c>
      <c r="I156" s="59">
        <v>154</v>
      </c>
      <c r="J156" s="59" t="str">
        <f>IFERROR(INDEX(TableRBMaster[Player],MATCH(TableRBCalcPts[[#This Row],[RBRef]],TableRBMaster[RBRef],0)),"")</f>
        <v/>
      </c>
      <c r="K156" s="59" t="str">
        <f>IFERROR(INDEX(TableRBMaster[TM],MATCH(TableRBCalcPts[[#This Row],[RBRef]],TableRBMaster[RBRef],0)),"")</f>
        <v/>
      </c>
      <c r="L156" s="59" t="str">
        <f>IFERROR(INDEX(TableRBMaster[BYE],MATCH(TableRBCalcPts[[#This Row],[RBRef]],TableRBMaster[RBRef],0)),"")</f>
        <v/>
      </c>
      <c r="M156" s="60" t="str">
        <f>IFERROR(INDEX(TableRBMaster[Custom],MATCH(TableRBCalcPts[[#This Row],[RBRef]],TableRBMaster[RBRef],0)),"")</f>
        <v/>
      </c>
      <c r="O156" s="59">
        <f>IFERROR(RANK(TableWRCalcPts[[#This Row],[Custom]],TableWRCalcPts[Custom])+COUNTIF($T$3:T156,T156)-1,"")</f>
        <v>15</v>
      </c>
      <c r="P156" s="59">
        <v>154</v>
      </c>
      <c r="Q156" s="59" t="str">
        <f>IFERROR(INDEX(TableWRMaster[Player],MATCH(TableWRCalcPts[[#This Row],[WRRef]],TableWRMaster[WRRef],0)),"")</f>
        <v>DK Metcalf</v>
      </c>
      <c r="R156" s="59" t="str">
        <f>IFERROR(INDEX(TableWRMaster[TM],MATCH(TableWRCalcPts[[#This Row],[WRRef]],TableWRMaster[WRRef],0)),"")</f>
        <v>SEA</v>
      </c>
      <c r="S156" s="59">
        <f>IFERROR(INDEX(TableWRMaster[BYE],MATCH(TableWRCalcPts[[#This Row],[WRRef]],TableWRMaster[WRRef],0)),"")</f>
        <v>5</v>
      </c>
      <c r="T156" s="60">
        <f>IFERROR(INDEX(TableWRMaster[Custom],MATCH(TableWRCalcPts[[#This Row],[WRRef]],TableWRMaster[WRRef],0)),"")</f>
        <v>199.92229009247873</v>
      </c>
      <c r="AI156" s="59" t="s">
        <v>223</v>
      </c>
      <c r="AJ156" s="59">
        <f>IFERROR(RANK(TableWRTECalcPts[[#This Row],[Custom]],TableWRTECalcPts[Custom])+COUNTIF($AP$3:AP156,AP156)-1,"")</f>
        <v>102</v>
      </c>
      <c r="AK156" s="105">
        <v>54</v>
      </c>
      <c r="AL156" s="105" t="str">
        <f>IFERROR(INDEX(TableWRMaster[Player],MATCH(TableWRTECalcPts[[#This Row],[POSRef]],TableWRMaster[WRRef],0)),"")</f>
        <v>Troy Franklin</v>
      </c>
      <c r="AM156" s="105" t="str">
        <f>IFERROR(_xlfn.CONCAT(TableWRTECalcPts[[#This Row],[POS]],INDEX(TableWRRanks[RK],MATCH(TableWRTECalcPts[[#This Row],[PLAYER]],TableWRRanks[Player],0))),"")</f>
        <v>WR82</v>
      </c>
      <c r="AN156" s="105" t="str">
        <f>IFERROR(INDEX(TableWRMaster[TM],MATCH(TableWRTECalcPts[[#This Row],[POSRef]],TableWRMaster[WRRef],0)),"")</f>
        <v>DEN</v>
      </c>
      <c r="AO156" s="105">
        <f>IFERROR(INDEX(TableWRMaster[BYE],MATCH(TableWRTECalcPts[[#This Row],[POSRef]],TableWRMaster[WRRef],0)),"")</f>
        <v>9</v>
      </c>
      <c r="AP156" s="103">
        <f>IFERROR(INDEX(TableWRMaster[Custom],MATCH(TableWRTECalcPts[[#This Row],[POSRef]],TableWRMaster[WRRef],0)),"")</f>
        <v>90.119784211379994</v>
      </c>
    </row>
    <row r="157" spans="8:42" x14ac:dyDescent="0.2">
      <c r="H157" s="59" t="str">
        <f>IFERROR(RANK(TableRBCalcPts[[#This Row],[Custom]],TableRBCalcPts[Custom])+COUNTIF($M$3:M157,M157)-1,"")</f>
        <v/>
      </c>
      <c r="I157" s="59">
        <v>155</v>
      </c>
      <c r="J157" s="59" t="str">
        <f>IFERROR(INDEX(TableRBMaster[Player],MATCH(TableRBCalcPts[[#This Row],[RBRef]],TableRBMaster[RBRef],0)),"")</f>
        <v/>
      </c>
      <c r="K157" s="59" t="str">
        <f>IFERROR(INDEX(TableRBMaster[TM],MATCH(TableRBCalcPts[[#This Row],[RBRef]],TableRBMaster[RBRef],0)),"")</f>
        <v/>
      </c>
      <c r="L157" s="59" t="str">
        <f>IFERROR(INDEX(TableRBMaster[BYE],MATCH(TableRBCalcPts[[#This Row],[RBRef]],TableRBMaster[RBRef],0)),"")</f>
        <v/>
      </c>
      <c r="M157" s="60" t="str">
        <f>IFERROR(INDEX(TableRBMaster[Custom],MATCH(TableRBCalcPts[[#This Row],[RBRef]],TableRBMaster[RBRef],0)),"")</f>
        <v/>
      </c>
      <c r="O157" s="59">
        <f>IFERROR(RANK(TableWRCalcPts[[#This Row],[Custom]],TableWRCalcPts[Custom])+COUNTIF($T$3:T157,T157)-1,"")</f>
        <v>53</v>
      </c>
      <c r="P157" s="59">
        <v>155</v>
      </c>
      <c r="Q157" s="59" t="str">
        <f>IFERROR(INDEX(TableWRMaster[Player],MATCH(TableWRCalcPts[[#This Row],[WRRef]],TableWRMaster[WRRef],0)),"")</f>
        <v>Tyler Lockett</v>
      </c>
      <c r="R157" s="59" t="str">
        <f>IFERROR(INDEX(TableWRMaster[TM],MATCH(TableWRCalcPts[[#This Row],[WRRef]],TableWRMaster[WRRef],0)),"")</f>
        <v>SEA</v>
      </c>
      <c r="S157" s="59">
        <f>IFERROR(INDEX(TableWRMaster[BYE],MATCH(TableWRCalcPts[[#This Row],[WRRef]],TableWRMaster[WRRef],0)),"")</f>
        <v>5</v>
      </c>
      <c r="T157" s="60">
        <f>IFERROR(INDEX(TableWRMaster[Custom],MATCH(TableWRCalcPts[[#This Row],[WRRef]],TableWRMaster[WRRef],0)),"")</f>
        <v>149.2854967056096</v>
      </c>
      <c r="AI157" s="59" t="s">
        <v>223</v>
      </c>
      <c r="AJ157" s="59">
        <f>IFERROR(RANK(TableWRTECalcPts[[#This Row],[Custom]],TableWRTECalcPts[Custom])+COUNTIF($AP$3:AP157,AP157)-1,"")</f>
        <v>180</v>
      </c>
      <c r="AK157" s="105">
        <v>55</v>
      </c>
      <c r="AL157" s="105" t="str">
        <f>IFERROR(INDEX(TableWRMaster[Player],MATCH(TableWRTECalcPts[[#This Row],[POSRef]],TableWRMaster[WRRef],0)),"")</f>
        <v>Tim Patrick</v>
      </c>
      <c r="AM157" s="105" t="str">
        <f>IFERROR(_xlfn.CONCAT(TableWRTECalcPts[[#This Row],[POS]],INDEX(TableWRRanks[RK],MATCH(TableWRTECalcPts[[#This Row],[PLAYER]],TableWRRanks[Player],0))),"")</f>
        <v>WR132</v>
      </c>
      <c r="AN157" s="105" t="str">
        <f>IFERROR(INDEX(TableWRMaster[TM],MATCH(TableWRTECalcPts[[#This Row],[POSRef]],TableWRMaster[WRRef],0)),"")</f>
        <v>DEN</v>
      </c>
      <c r="AO157" s="105">
        <f>IFERROR(INDEX(TableWRMaster[BYE],MATCH(TableWRTECalcPts[[#This Row],[POSRef]],TableWRMaster[WRRef],0)),"")</f>
        <v>9</v>
      </c>
      <c r="AP157" s="103">
        <f>IFERROR(INDEX(TableWRMaster[Custom],MATCH(TableWRTECalcPts[[#This Row],[POSRef]],TableWRMaster[WRRef],0)),"")</f>
        <v>27.941771952079996</v>
      </c>
    </row>
    <row r="158" spans="8:42" x14ac:dyDescent="0.2">
      <c r="H158" s="59" t="str">
        <f>IFERROR(RANK(TableRBCalcPts[[#This Row],[Custom]],TableRBCalcPts[Custom])+COUNTIF($M$3:M158,M158)-1,"")</f>
        <v/>
      </c>
      <c r="I158" s="59">
        <v>156</v>
      </c>
      <c r="J158" s="59" t="str">
        <f>IFERROR(INDEX(TableRBMaster[Player],MATCH(TableRBCalcPts[[#This Row],[RBRef]],TableRBMaster[RBRef],0)),"")</f>
        <v/>
      </c>
      <c r="K158" s="59" t="str">
        <f>IFERROR(INDEX(TableRBMaster[TM],MATCH(TableRBCalcPts[[#This Row],[RBRef]],TableRBMaster[RBRef],0)),"")</f>
        <v/>
      </c>
      <c r="L158" s="59" t="str">
        <f>IFERROR(INDEX(TableRBMaster[BYE],MATCH(TableRBCalcPts[[#This Row],[RBRef]],TableRBMaster[RBRef],0)),"")</f>
        <v/>
      </c>
      <c r="M158" s="60" t="str">
        <f>IFERROR(INDEX(TableRBMaster[Custom],MATCH(TableRBCalcPts[[#This Row],[RBRef]],TableRBMaster[RBRef],0)),"")</f>
        <v/>
      </c>
      <c r="O158" s="59">
        <f>IFERROR(RANK(TableWRCalcPts[[#This Row],[Custom]],TableWRCalcPts[Custom])+COUNTIF($T$3:T158,T158)-1,"")</f>
        <v>46</v>
      </c>
      <c r="P158" s="59">
        <v>156</v>
      </c>
      <c r="Q158" s="59" t="str">
        <f>IFERROR(INDEX(TableWRMaster[Player],MATCH(TableWRCalcPts[[#This Row],[WRRef]],TableWRMaster[WRRef],0)),"")</f>
        <v>Jaxon Smith-Njigba</v>
      </c>
      <c r="R158" s="59" t="str">
        <f>IFERROR(INDEX(TableWRMaster[TM],MATCH(TableWRCalcPts[[#This Row],[WRRef]],TableWRMaster[WRRef],0)),"")</f>
        <v>SEA</v>
      </c>
      <c r="S158" s="59">
        <f>IFERROR(INDEX(TableWRMaster[BYE],MATCH(TableWRCalcPts[[#This Row],[WRRef]],TableWRMaster[WRRef],0)),"")</f>
        <v>5</v>
      </c>
      <c r="T158" s="60">
        <f>IFERROR(INDEX(TableWRMaster[Custom],MATCH(TableWRCalcPts[[#This Row],[WRRef]],TableWRMaster[WRRef],0)),"")</f>
        <v>159.726471459072</v>
      </c>
      <c r="AI158" s="59" t="s">
        <v>223</v>
      </c>
      <c r="AJ158" s="59">
        <f>IFERROR(RANK(TableWRTECalcPts[[#This Row],[Custom]],TableWRTECalcPts[Custom])+COUNTIF($AP$3:AP158,AP158)-1,"")</f>
        <v>241</v>
      </c>
      <c r="AK158" s="105">
        <v>56</v>
      </c>
      <c r="AL158" s="105" t="str">
        <f>IFERROR(INDEX(TableWRMaster[Player],MATCH(TableWRTECalcPts[[#This Row],[POSRef]],TableWRMaster[WRRef],0)),"")</f>
        <v>Brandon Johnson</v>
      </c>
      <c r="AM158" s="105" t="str">
        <f>IFERROR(_xlfn.CONCAT(TableWRTECalcPts[[#This Row],[POS]],INDEX(TableWRRanks[RK],MATCH(TableWRTECalcPts[[#This Row],[PLAYER]],TableWRRanks[Player],0))),"")</f>
        <v>WR166</v>
      </c>
      <c r="AN158" s="105" t="str">
        <f>IFERROR(INDEX(TableWRMaster[TM],MATCH(TableWRTECalcPts[[#This Row],[POSRef]],TableWRMaster[WRRef],0)),"")</f>
        <v>DEN</v>
      </c>
      <c r="AO158" s="105">
        <f>IFERROR(INDEX(TableWRMaster[BYE],MATCH(TableWRTECalcPts[[#This Row],[POSRef]],TableWRMaster[WRRef],0)),"")</f>
        <v>9</v>
      </c>
      <c r="AP158" s="103">
        <f>IFERROR(INDEX(TableWRMaster[Custom],MATCH(TableWRTECalcPts[[#This Row],[POSRef]],TableWRMaster[WRRef],0)),"")</f>
        <v>13.243490175300002</v>
      </c>
    </row>
    <row r="159" spans="8:42" x14ac:dyDescent="0.2">
      <c r="H159" s="59" t="str">
        <f>IFERROR(RANK(TableRBCalcPts[[#This Row],[Custom]],TableRBCalcPts[Custom])+COUNTIF($M$3:M159,M159)-1,"")</f>
        <v/>
      </c>
      <c r="I159" s="59">
        <v>157</v>
      </c>
      <c r="J159" s="59" t="str">
        <f>IFERROR(INDEX(TableRBMaster[Player],MATCH(TableRBCalcPts[[#This Row],[RBRef]],TableRBMaster[RBRef],0)),"")</f>
        <v/>
      </c>
      <c r="K159" s="59" t="str">
        <f>IFERROR(INDEX(TableRBMaster[TM],MATCH(TableRBCalcPts[[#This Row],[RBRef]],TableRBMaster[RBRef],0)),"")</f>
        <v/>
      </c>
      <c r="L159" s="59" t="str">
        <f>IFERROR(INDEX(TableRBMaster[BYE],MATCH(TableRBCalcPts[[#This Row],[RBRef]],TableRBMaster[RBRef],0)),"")</f>
        <v/>
      </c>
      <c r="M159" s="60" t="str">
        <f>IFERROR(INDEX(TableRBMaster[Custom],MATCH(TableRBCalcPts[[#This Row],[RBRef]],TableRBMaster[RBRef],0)),"")</f>
        <v/>
      </c>
      <c r="O159" s="59">
        <f>IFERROR(RANK(TableWRCalcPts[[#This Row],[Custom]],TableWRCalcPts[Custom])+COUNTIF($T$3:T159,T159)-1,"")</f>
        <v>109</v>
      </c>
      <c r="P159" s="59">
        <v>157</v>
      </c>
      <c r="Q159" s="59" t="str">
        <f>IFERROR(INDEX(TableWRMaster[Player],MATCH(TableWRCalcPts[[#This Row],[WRRef]],TableWRMaster[WRRef],0)),"")</f>
        <v>Jake Bobo</v>
      </c>
      <c r="R159" s="59" t="str">
        <f>IFERROR(INDEX(TableWRMaster[TM],MATCH(TableWRCalcPts[[#This Row],[WRRef]],TableWRMaster[WRRef],0)),"")</f>
        <v>SEA</v>
      </c>
      <c r="S159" s="59">
        <f>IFERROR(INDEX(TableWRMaster[BYE],MATCH(TableWRCalcPts[[#This Row],[WRRef]],TableWRMaster[WRRef],0)),"")</f>
        <v>5</v>
      </c>
      <c r="T159" s="60">
        <f>IFERROR(INDEX(TableWRMaster[Custom],MATCH(TableWRCalcPts[[#This Row],[WRRef]],TableWRMaster[WRRef],0)),"")</f>
        <v>38.272134722472003</v>
      </c>
      <c r="AI159" s="59" t="s">
        <v>223</v>
      </c>
      <c r="AJ159" s="59">
        <f>IFERROR(RANK(TableWRTECalcPts[[#This Row],[Custom]],TableWRTECalcPts[Custom])+COUNTIF($AP$3:AP159,AP159)-1,"")</f>
        <v>41</v>
      </c>
      <c r="AK159" s="105">
        <v>57</v>
      </c>
      <c r="AL159" s="105" t="str">
        <f>IFERROR(INDEX(TableWRMaster[Player],MATCH(TableWRTECalcPts[[#This Row],[POSRef]],TableWRMaster[WRRef],0)),"")</f>
        <v>Jameson Williams</v>
      </c>
      <c r="AM159" s="105" t="str">
        <f>IFERROR(_xlfn.CONCAT(TableWRTECalcPts[[#This Row],[POS]],INDEX(TableWRRanks[RK],MATCH(TableWRTECalcPts[[#This Row],[PLAYER]],TableWRRanks[Player],0))),"")</f>
        <v>WR38</v>
      </c>
      <c r="AN159" s="105" t="str">
        <f>IFERROR(INDEX(TableWRMaster[TM],MATCH(TableWRTECalcPts[[#This Row],[POSRef]],TableWRMaster[WRRef],0)),"")</f>
        <v>DET</v>
      </c>
      <c r="AO159" s="105">
        <f>IFERROR(INDEX(TableWRMaster[BYE],MATCH(TableWRTECalcPts[[#This Row],[POSRef]],TableWRMaster[WRRef],0)),"")</f>
        <v>9</v>
      </c>
      <c r="AP159" s="103">
        <f>IFERROR(INDEX(TableWRMaster[Custom],MATCH(TableWRTECalcPts[[#This Row],[POSRef]],TableWRMaster[WRRef],0)),"")</f>
        <v>170.67243936779397</v>
      </c>
    </row>
    <row r="160" spans="8:42" x14ac:dyDescent="0.2">
      <c r="H160" s="59" t="str">
        <f>IFERROR(RANK(TableRBCalcPts[[#This Row],[Custom]],TableRBCalcPts[Custom])+COUNTIF($M$3:M160,M160)-1,"")</f>
        <v/>
      </c>
      <c r="I160" s="59">
        <v>158</v>
      </c>
      <c r="J160" s="59" t="str">
        <f>IFERROR(INDEX(TableRBMaster[Player],MATCH(TableRBCalcPts[[#This Row],[RBRef]],TableRBMaster[RBRef],0)),"")</f>
        <v/>
      </c>
      <c r="K160" s="59" t="str">
        <f>IFERROR(INDEX(TableRBMaster[TM],MATCH(TableRBCalcPts[[#This Row],[RBRef]],TableRBMaster[RBRef],0)),"")</f>
        <v/>
      </c>
      <c r="L160" s="59" t="str">
        <f>IFERROR(INDEX(TableRBMaster[BYE],MATCH(TableRBCalcPts[[#This Row],[RBRef]],TableRBMaster[RBRef],0)),"")</f>
        <v/>
      </c>
      <c r="M160" s="60" t="str">
        <f>IFERROR(INDEX(TableRBMaster[Custom],MATCH(TableRBCalcPts[[#This Row],[RBRef]],TableRBMaster[RBRef],0)),"")</f>
        <v/>
      </c>
      <c r="O160" s="59">
        <f>IFERROR(RANK(TableWRCalcPts[[#This Row],[Custom]],TableWRCalcPts[Custom])+COUNTIF($T$3:T160,T160)-1,"")</f>
        <v>143</v>
      </c>
      <c r="P160" s="59">
        <v>158</v>
      </c>
      <c r="Q160" s="59" t="str">
        <f>IFERROR(INDEX(TableWRMaster[Player],MATCH(TableWRCalcPts[[#This Row],[WRRef]],TableWRMaster[WRRef],0)),"")</f>
        <v>Laviska Shenault</v>
      </c>
      <c r="R160" s="59" t="str">
        <f>IFERROR(INDEX(TableWRMaster[TM],MATCH(TableWRCalcPts[[#This Row],[WRRef]],TableWRMaster[WRRef],0)),"")</f>
        <v>SEA</v>
      </c>
      <c r="S160" s="59">
        <f>IFERROR(INDEX(TableWRMaster[BYE],MATCH(TableWRCalcPts[[#This Row],[WRRef]],TableWRMaster[WRRef],0)),"")</f>
        <v>5</v>
      </c>
      <c r="T160" s="60">
        <f>IFERROR(INDEX(TableWRMaster[Custom],MATCH(TableWRCalcPts[[#This Row],[WRRef]],TableWRMaster[WRRef],0)),"")</f>
        <v>22.017378925268996</v>
      </c>
      <c r="AI160" s="59" t="s">
        <v>223</v>
      </c>
      <c r="AJ160" s="59">
        <f>IFERROR(RANK(TableWRTECalcPts[[#This Row],[Custom]],TableWRTECalcPts[Custom])+COUNTIF($AP$3:AP160,AP160)-1,"")</f>
        <v>3</v>
      </c>
      <c r="AK160" s="105">
        <v>58</v>
      </c>
      <c r="AL160" s="105" t="str">
        <f>IFERROR(INDEX(TableWRMaster[Player],MATCH(TableWRTECalcPts[[#This Row],[POSRef]],TableWRMaster[WRRef],0)),"")</f>
        <v>Amon-Ra St. Brown</v>
      </c>
      <c r="AM160" s="105" t="str">
        <f>IFERROR(_xlfn.CONCAT(TableWRTECalcPts[[#This Row],[POS]],INDEX(TableWRRanks[RK],MATCH(TableWRTECalcPts[[#This Row],[PLAYER]],TableWRRanks[Player],0))),"")</f>
        <v>WR3</v>
      </c>
      <c r="AN160" s="105" t="str">
        <f>IFERROR(INDEX(TableWRMaster[TM],MATCH(TableWRTECalcPts[[#This Row],[POSRef]],TableWRMaster[WRRef],0)),"")</f>
        <v>DET</v>
      </c>
      <c r="AO160" s="105">
        <f>IFERROR(INDEX(TableWRMaster[BYE],MATCH(TableWRTECalcPts[[#This Row],[POSRef]],TableWRMaster[WRRef],0)),"")</f>
        <v>9</v>
      </c>
      <c r="AP160" s="103">
        <f>IFERROR(INDEX(TableWRMaster[Custom],MATCH(TableWRTECalcPts[[#This Row],[POSRef]],TableWRMaster[WRRef],0)),"")</f>
        <v>250.73054050100694</v>
      </c>
    </row>
    <row r="161" spans="8:42" x14ac:dyDescent="0.2">
      <c r="H161" s="59" t="str">
        <f>IFERROR(RANK(TableRBCalcPts[[#This Row],[Custom]],TableRBCalcPts[Custom])+COUNTIF($M$3:M161,M161)-1,"")</f>
        <v/>
      </c>
      <c r="I161" s="59">
        <v>159</v>
      </c>
      <c r="J161" s="59" t="str">
        <f>IFERROR(INDEX(TableRBMaster[Player],MATCH(TableRBCalcPts[[#This Row],[RBRef]],TableRBMaster[RBRef],0)),"")</f>
        <v/>
      </c>
      <c r="K161" s="59" t="str">
        <f>IFERROR(INDEX(TableRBMaster[TM],MATCH(TableRBCalcPts[[#This Row],[RBRef]],TableRBMaster[RBRef],0)),"")</f>
        <v/>
      </c>
      <c r="L161" s="59" t="str">
        <f>IFERROR(INDEX(TableRBMaster[BYE],MATCH(TableRBCalcPts[[#This Row],[RBRef]],TableRBMaster[RBRef],0)),"")</f>
        <v/>
      </c>
      <c r="M161" s="60" t="str">
        <f>IFERROR(INDEX(TableRBMaster[Custom],MATCH(TableRBCalcPts[[#This Row],[RBRef]],TableRBMaster[RBRef],0)),"")</f>
        <v/>
      </c>
      <c r="O161" s="59">
        <f>IFERROR(RANK(TableWRCalcPts[[#This Row],[Custom]],TableWRCalcPts[Custom])+COUNTIF($T$3:T161,T161)-1,"")</f>
        <v>7</v>
      </c>
      <c r="P161" s="59">
        <v>159</v>
      </c>
      <c r="Q161" s="59" t="str">
        <f>IFERROR(INDEX(TableWRMaster[Player],MATCH(TableWRCalcPts[[#This Row],[WRRef]],TableWRMaster[WRRef],0)),"")</f>
        <v>Deebo Samuel</v>
      </c>
      <c r="R161" s="59" t="str">
        <f>IFERROR(INDEX(TableWRMaster[TM],MATCH(TableWRCalcPts[[#This Row],[WRRef]],TableWRMaster[WRRef],0)),"")</f>
        <v>SF</v>
      </c>
      <c r="S161" s="59">
        <f>IFERROR(INDEX(TableWRMaster[BYE],MATCH(TableWRCalcPts[[#This Row],[WRRef]],TableWRMaster[WRRef],0)),"")</f>
        <v>9</v>
      </c>
      <c r="T161" s="60">
        <f>IFERROR(INDEX(TableWRMaster[Custom],MATCH(TableWRCalcPts[[#This Row],[WRRef]],TableWRMaster[WRRef],0)),"")</f>
        <v>227.35073229258597</v>
      </c>
      <c r="AI161" s="59" t="s">
        <v>223</v>
      </c>
      <c r="AJ161" s="59">
        <f>IFERROR(RANK(TableWRTECalcPts[[#This Row],[Custom]],TableWRTECalcPts[Custom])+COUNTIF($AP$3:AP161,AP161)-1,"")</f>
        <v>172</v>
      </c>
      <c r="AK161" s="105">
        <v>59</v>
      </c>
      <c r="AL161" s="105" t="str">
        <f>IFERROR(INDEX(TableWRMaster[Player],MATCH(TableWRTECalcPts[[#This Row],[POSRef]],TableWRMaster[WRRef],0)),"")</f>
        <v>Donovan Peoples-Jones</v>
      </c>
      <c r="AM161" s="105" t="str">
        <f>IFERROR(_xlfn.CONCAT(TableWRTECalcPts[[#This Row],[POS]],INDEX(TableWRRanks[RK],MATCH(TableWRTECalcPts[[#This Row],[PLAYER]],TableWRRanks[Player],0))),"")</f>
        <v>WR124</v>
      </c>
      <c r="AN161" s="105" t="str">
        <f>IFERROR(INDEX(TableWRMaster[TM],MATCH(TableWRTECalcPts[[#This Row],[POSRef]],TableWRMaster[WRRef],0)),"")</f>
        <v>DET</v>
      </c>
      <c r="AO161" s="105">
        <f>IFERROR(INDEX(TableWRMaster[BYE],MATCH(TableWRTECalcPts[[#This Row],[POSRef]],TableWRMaster[WRRef],0)),"")</f>
        <v>9</v>
      </c>
      <c r="AP161" s="103">
        <f>IFERROR(INDEX(TableWRMaster[Custom],MATCH(TableWRTECalcPts[[#This Row],[POSRef]],TableWRMaster[WRRef],0)),"")</f>
        <v>30.736910793455994</v>
      </c>
    </row>
    <row r="162" spans="8:42" x14ac:dyDescent="0.2">
      <c r="H162" s="59" t="str">
        <f>IFERROR(RANK(TableRBCalcPts[[#This Row],[Custom]],TableRBCalcPts[Custom])+COUNTIF($M$3:M162,M162)-1,"")</f>
        <v/>
      </c>
      <c r="I162" s="59">
        <v>160</v>
      </c>
      <c r="J162" s="59" t="str">
        <f>IFERROR(INDEX(TableRBMaster[Player],MATCH(TableRBCalcPts[[#This Row],[RBRef]],TableRBMaster[RBRef],0)),"")</f>
        <v/>
      </c>
      <c r="K162" s="59" t="str">
        <f>IFERROR(INDEX(TableRBMaster[TM],MATCH(TableRBCalcPts[[#This Row],[RBRef]],TableRBMaster[RBRef],0)),"")</f>
        <v/>
      </c>
      <c r="L162" s="59" t="str">
        <f>IFERROR(INDEX(TableRBMaster[BYE],MATCH(TableRBCalcPts[[#This Row],[RBRef]],TableRBMaster[RBRef],0)),"")</f>
        <v/>
      </c>
      <c r="M162" s="60" t="str">
        <f>IFERROR(INDEX(TableRBMaster[Custom],MATCH(TableRBCalcPts[[#This Row],[RBRef]],TableRBMaster[RBRef],0)),"")</f>
        <v/>
      </c>
      <c r="O162" s="59">
        <f>IFERROR(RANK(TableWRCalcPts[[#This Row],[Custom]],TableWRCalcPts[Custom])+COUNTIF($T$3:T162,T162)-1,"")</f>
        <v>10</v>
      </c>
      <c r="P162" s="59">
        <v>160</v>
      </c>
      <c r="Q162" s="59" t="str">
        <f>IFERROR(INDEX(TableWRMaster[Player],MATCH(TableWRCalcPts[[#This Row],[WRRef]],TableWRMaster[WRRef],0)),"")</f>
        <v>Brandon Aiyuk</v>
      </c>
      <c r="R162" s="59" t="str">
        <f>IFERROR(INDEX(TableWRMaster[TM],MATCH(TableWRCalcPts[[#This Row],[WRRef]],TableWRMaster[WRRef],0)),"")</f>
        <v>SF</v>
      </c>
      <c r="S162" s="59">
        <f>IFERROR(INDEX(TableWRMaster[BYE],MATCH(TableWRCalcPts[[#This Row],[WRRef]],TableWRMaster[WRRef],0)),"")</f>
        <v>9</v>
      </c>
      <c r="T162" s="60">
        <f>IFERROR(INDEX(TableWRMaster[Custom],MATCH(TableWRCalcPts[[#This Row],[WRRef]],TableWRMaster[WRRef],0)),"")</f>
        <v>209.84308981574395</v>
      </c>
      <c r="AI162" s="59" t="s">
        <v>223</v>
      </c>
      <c r="AJ162" s="59">
        <f>IFERROR(RANK(TableWRTECalcPts[[#This Row],[Custom]],TableWRTECalcPts[Custom])+COUNTIF($AP$3:AP162,AP162)-1,"")</f>
        <v>129</v>
      </c>
      <c r="AK162" s="105">
        <v>60</v>
      </c>
      <c r="AL162" s="105" t="str">
        <f>IFERROR(INDEX(TableWRMaster[Player],MATCH(TableWRTECalcPts[[#This Row],[POSRef]],TableWRMaster[WRRef],0)),"")</f>
        <v>Kalif Raymond</v>
      </c>
      <c r="AM162" s="105" t="str">
        <f>IFERROR(_xlfn.CONCAT(TableWRTECalcPts[[#This Row],[POS]],INDEX(TableWRRanks[RK],MATCH(TableWRTECalcPts[[#This Row],[PLAYER]],TableWRRanks[Player],0))),"")</f>
        <v>WR97</v>
      </c>
      <c r="AN162" s="105" t="str">
        <f>IFERROR(INDEX(TableWRMaster[TM],MATCH(TableWRTECalcPts[[#This Row],[POSRef]],TableWRMaster[WRRef],0)),"")</f>
        <v>DET</v>
      </c>
      <c r="AO162" s="105">
        <f>IFERROR(INDEX(TableWRMaster[BYE],MATCH(TableWRTECalcPts[[#This Row],[POSRef]],TableWRMaster[WRRef],0)),"")</f>
        <v>9</v>
      </c>
      <c r="AP162" s="103">
        <f>IFERROR(INDEX(TableWRMaster[Custom],MATCH(TableWRTECalcPts[[#This Row],[POSRef]],TableWRMaster[WRRef],0)),"")</f>
        <v>60.254049846143992</v>
      </c>
    </row>
    <row r="163" spans="8:42" x14ac:dyDescent="0.2">
      <c r="H163" s="59" t="str">
        <f>IFERROR(RANK(TableRBCalcPts[[#This Row],[Custom]],TableRBCalcPts[Custom])+COUNTIF($M$3:M163,M163)-1,"")</f>
        <v/>
      </c>
      <c r="I163" s="59">
        <v>161</v>
      </c>
      <c r="J163" s="59" t="str">
        <f>IFERROR(INDEX(TableRBMaster[Player],MATCH(TableRBCalcPts[[#This Row],[RBRef]],TableRBMaster[RBRef],0)),"")</f>
        <v/>
      </c>
      <c r="K163" s="59" t="str">
        <f>IFERROR(INDEX(TableRBMaster[TM],MATCH(TableRBCalcPts[[#This Row],[RBRef]],TableRBMaster[RBRef],0)),"")</f>
        <v/>
      </c>
      <c r="L163" s="59" t="str">
        <f>IFERROR(INDEX(TableRBMaster[BYE],MATCH(TableRBCalcPts[[#This Row],[RBRef]],TableRBMaster[RBRef],0)),"")</f>
        <v/>
      </c>
      <c r="M163" s="60" t="str">
        <f>IFERROR(INDEX(TableRBMaster[Custom],MATCH(TableRBCalcPts[[#This Row],[RBRef]],TableRBMaster[RBRef],0)),"")</f>
        <v/>
      </c>
      <c r="O163" s="59">
        <f>IFERROR(RANK(TableWRCalcPts[[#This Row],[Custom]],TableWRCalcPts[Custom])+COUNTIF($T$3:T163,T163)-1,"")</f>
        <v>95</v>
      </c>
      <c r="P163" s="59">
        <v>161</v>
      </c>
      <c r="Q163" s="59" t="str">
        <f>IFERROR(INDEX(TableWRMaster[Player],MATCH(TableWRCalcPts[[#This Row],[WRRef]],TableWRMaster[WRRef],0)),"")</f>
        <v>Ricky Pearsall</v>
      </c>
      <c r="R163" s="59" t="str">
        <f>IFERROR(INDEX(TableWRMaster[TM],MATCH(TableWRCalcPts[[#This Row],[WRRef]],TableWRMaster[WRRef],0)),"")</f>
        <v>SF</v>
      </c>
      <c r="S163" s="59">
        <f>IFERROR(INDEX(TableWRMaster[BYE],MATCH(TableWRCalcPts[[#This Row],[WRRef]],TableWRMaster[WRRef],0)),"")</f>
        <v>9</v>
      </c>
      <c r="T163" s="60">
        <f>IFERROR(INDEX(TableWRMaster[Custom],MATCH(TableWRCalcPts[[#This Row],[WRRef]],TableWRMaster[WRRef],0)),"")</f>
        <v>63.409202041651184</v>
      </c>
      <c r="AI163" s="59" t="s">
        <v>223</v>
      </c>
      <c r="AJ163" s="59">
        <f>IFERROR(RANK(TableWRTECalcPts[[#This Row],[Custom]],TableWRTECalcPts[Custom])+COUNTIF($AP$3:AP163,AP163)-1,"")</f>
        <v>202</v>
      </c>
      <c r="AK163" s="105">
        <v>61</v>
      </c>
      <c r="AL163" s="105" t="str">
        <f>IFERROR(INDEX(TableWRMaster[Player],MATCH(TableWRTECalcPts[[#This Row],[POSRef]],TableWRMaster[WRRef],0)),"")</f>
        <v>Antoine Green</v>
      </c>
      <c r="AM163" s="105" t="str">
        <f>IFERROR(_xlfn.CONCAT(TableWRTECalcPts[[#This Row],[POS]],INDEX(TableWRRanks[RK],MATCH(TableWRTECalcPts[[#This Row],[PLAYER]],TableWRRanks[Player],0))),"")</f>
        <v>WR144</v>
      </c>
      <c r="AN163" s="105" t="str">
        <f>IFERROR(INDEX(TableWRMaster[TM],MATCH(TableWRTECalcPts[[#This Row],[POSRef]],TableWRMaster[WRRef],0)),"")</f>
        <v>DET</v>
      </c>
      <c r="AO163" s="105">
        <f>IFERROR(INDEX(TableWRMaster[BYE],MATCH(TableWRTECalcPts[[#This Row],[POSRef]],TableWRMaster[WRRef],0)),"")</f>
        <v>9</v>
      </c>
      <c r="AP163" s="103">
        <f>IFERROR(INDEX(TableWRMaster[Custom],MATCH(TableWRTECalcPts[[#This Row],[POSRef]],TableWRMaster[WRRef],0)),"")</f>
        <v>21.58698695579999</v>
      </c>
    </row>
    <row r="164" spans="8:42" x14ac:dyDescent="0.2">
      <c r="H164" s="59" t="str">
        <f>IFERROR(RANK(TableRBCalcPts[[#This Row],[Custom]],TableRBCalcPts[Custom])+COUNTIF($M$3:M164,M164)-1,"")</f>
        <v/>
      </c>
      <c r="I164" s="59">
        <v>162</v>
      </c>
      <c r="J164" s="59" t="str">
        <f>IFERROR(INDEX(TableRBMaster[Player],MATCH(TableRBCalcPts[[#This Row],[RBRef]],TableRBMaster[RBRef],0)),"")</f>
        <v/>
      </c>
      <c r="K164" s="59" t="str">
        <f>IFERROR(INDEX(TableRBMaster[TM],MATCH(TableRBCalcPts[[#This Row],[RBRef]],TableRBMaster[RBRef],0)),"")</f>
        <v/>
      </c>
      <c r="L164" s="59" t="str">
        <f>IFERROR(INDEX(TableRBMaster[BYE],MATCH(TableRBCalcPts[[#This Row],[RBRef]],TableRBMaster[RBRef],0)),"")</f>
        <v/>
      </c>
      <c r="M164" s="60" t="str">
        <f>IFERROR(INDEX(TableRBMaster[Custom],MATCH(TableRBCalcPts[[#This Row],[RBRef]],TableRBMaster[RBRef],0)),"")</f>
        <v/>
      </c>
      <c r="O164" s="59">
        <f>IFERROR(RANK(TableWRCalcPts[[#This Row],[Custom]],TableWRCalcPts[Custom])+COUNTIF($T$3:T164,T164)-1,"")</f>
        <v>126</v>
      </c>
      <c r="P164" s="59">
        <v>162</v>
      </c>
      <c r="Q164" s="59" t="str">
        <f>IFERROR(INDEX(TableWRMaster[Player],MATCH(TableWRCalcPts[[#This Row],[WRRef]],TableWRMaster[WRRef],0)),"")</f>
        <v>Jauan Jennings</v>
      </c>
      <c r="R164" s="59" t="str">
        <f>IFERROR(INDEX(TableWRMaster[TM],MATCH(TableWRCalcPts[[#This Row],[WRRef]],TableWRMaster[WRRef],0)),"")</f>
        <v>SF</v>
      </c>
      <c r="S164" s="59">
        <f>IFERROR(INDEX(TableWRMaster[BYE],MATCH(TableWRCalcPts[[#This Row],[WRRef]],TableWRMaster[WRRef],0)),"")</f>
        <v>9</v>
      </c>
      <c r="T164" s="60">
        <f>IFERROR(INDEX(TableWRMaster[Custom],MATCH(TableWRCalcPts[[#This Row],[WRRef]],TableWRMaster[WRRef],0)),"")</f>
        <v>29.207740994611196</v>
      </c>
      <c r="AI164" s="59" t="s">
        <v>223</v>
      </c>
      <c r="AJ164" s="59">
        <f>IFERROR(RANK(TableWRTECalcPts[[#This Row],[Custom]],TableWRTECalcPts[Custom])+COUNTIF($AP$3:AP164,AP164)-1,"")</f>
        <v>46</v>
      </c>
      <c r="AK164" s="105">
        <v>62</v>
      </c>
      <c r="AL164" s="105" t="str">
        <f>IFERROR(INDEX(TableWRMaster[Player],MATCH(TableWRTECalcPts[[#This Row],[POSRef]],TableWRMaster[WRRef],0)),"")</f>
        <v>Christian Watson</v>
      </c>
      <c r="AM164" s="105" t="str">
        <f>IFERROR(_xlfn.CONCAT(TableWRTECalcPts[[#This Row],[POS]],INDEX(TableWRRanks[RK],MATCH(TableWRTECalcPts[[#This Row],[PLAYER]],TableWRRanks[Player],0))),"")</f>
        <v>WR42</v>
      </c>
      <c r="AN164" s="105" t="str">
        <f>IFERROR(INDEX(TableWRMaster[TM],MATCH(TableWRTECalcPts[[#This Row],[POSRef]],TableWRMaster[WRRef],0)),"")</f>
        <v>GB</v>
      </c>
      <c r="AO164" s="105">
        <f>IFERROR(INDEX(TableWRMaster[BYE],MATCH(TableWRTECalcPts[[#This Row],[POSRef]],TableWRMaster[WRRef],0)),"")</f>
        <v>6</v>
      </c>
      <c r="AP164" s="103">
        <f>IFERROR(INDEX(TableWRMaster[Custom],MATCH(TableWRTECalcPts[[#This Row],[POSRef]],TableWRMaster[WRRef],0)),"")</f>
        <v>165.95201752729599</v>
      </c>
    </row>
    <row r="165" spans="8:42" x14ac:dyDescent="0.2">
      <c r="H165" s="59" t="str">
        <f>IFERROR(RANK(TableRBCalcPts[[#This Row],[Custom]],TableRBCalcPts[Custom])+COUNTIF($M$3:M165,M165)-1,"")</f>
        <v/>
      </c>
      <c r="I165" s="59">
        <v>163</v>
      </c>
      <c r="J165" s="59" t="str">
        <f>IFERROR(INDEX(TableRBMaster[Player],MATCH(TableRBCalcPts[[#This Row],[RBRef]],TableRBMaster[RBRef],0)),"")</f>
        <v/>
      </c>
      <c r="K165" s="59" t="str">
        <f>IFERROR(INDEX(TableRBMaster[TM],MATCH(TableRBCalcPts[[#This Row],[RBRef]],TableRBMaster[RBRef],0)),"")</f>
        <v/>
      </c>
      <c r="L165" s="59" t="str">
        <f>IFERROR(INDEX(TableRBMaster[BYE],MATCH(TableRBCalcPts[[#This Row],[RBRef]],TableRBMaster[RBRef],0)),"")</f>
        <v/>
      </c>
      <c r="M165" s="60" t="str">
        <f>IFERROR(INDEX(TableRBMaster[Custom],MATCH(TableRBCalcPts[[#This Row],[RBRef]],TableRBMaster[RBRef],0)),"")</f>
        <v/>
      </c>
      <c r="O165" s="59">
        <f>IFERROR(RANK(TableWRCalcPts[[#This Row],[Custom]],TableWRCalcPts[Custom])+COUNTIF($T$3:T165,T165)-1,"")</f>
        <v>159</v>
      </c>
      <c r="P165" s="59">
        <v>163</v>
      </c>
      <c r="Q165" s="59" t="str">
        <f>IFERROR(INDEX(TableWRMaster[Player],MATCH(TableWRCalcPts[[#This Row],[WRRef]],TableWRMaster[WRRef],0)),"")</f>
        <v>Ronnie Bell</v>
      </c>
      <c r="R165" s="59" t="str">
        <f>IFERROR(INDEX(TableWRMaster[TM],MATCH(TableWRCalcPts[[#This Row],[WRRef]],TableWRMaster[WRRef],0)),"")</f>
        <v>SF</v>
      </c>
      <c r="S165" s="59">
        <f>IFERROR(INDEX(TableWRMaster[BYE],MATCH(TableWRCalcPts[[#This Row],[WRRef]],TableWRMaster[WRRef],0)),"")</f>
        <v>9</v>
      </c>
      <c r="T165" s="60">
        <f>IFERROR(INDEX(TableWRMaster[Custom],MATCH(TableWRCalcPts[[#This Row],[WRRef]],TableWRMaster[WRRef],0)),"")</f>
        <v>14.516737290770401</v>
      </c>
      <c r="AI165" s="59" t="s">
        <v>223</v>
      </c>
      <c r="AJ165" s="59">
        <f>IFERROR(RANK(TableWRTECalcPts[[#This Row],[Custom]],TableWRTECalcPts[Custom])+COUNTIF($AP$3:AP165,AP165)-1,"")</f>
        <v>72</v>
      </c>
      <c r="AK165" s="105">
        <v>63</v>
      </c>
      <c r="AL165" s="105" t="str">
        <f>IFERROR(INDEX(TableWRMaster[Player],MATCH(TableWRTECalcPts[[#This Row],[POSRef]],TableWRMaster[WRRef],0)),"")</f>
        <v>Romeo Doubs</v>
      </c>
      <c r="AM165" s="105" t="str">
        <f>IFERROR(_xlfn.CONCAT(TableWRTECalcPts[[#This Row],[POS]],INDEX(TableWRRanks[RK],MATCH(TableWRTECalcPts[[#This Row],[PLAYER]],TableWRRanks[Player],0))),"")</f>
        <v>WR62</v>
      </c>
      <c r="AN165" s="105" t="str">
        <f>IFERROR(INDEX(TableWRMaster[TM],MATCH(TableWRTECalcPts[[#This Row],[POSRef]],TableWRMaster[WRRef],0)),"")</f>
        <v>GB</v>
      </c>
      <c r="AO165" s="105">
        <f>IFERROR(INDEX(TableWRMaster[BYE],MATCH(TableWRTECalcPts[[#This Row],[POSRef]],TableWRMaster[WRRef],0)),"")</f>
        <v>6</v>
      </c>
      <c r="AP165" s="103">
        <f>IFERROR(INDEX(TableWRMaster[Custom],MATCH(TableWRTECalcPts[[#This Row],[POSRef]],TableWRMaster[WRRef],0)),"")</f>
        <v>136.87196386617603</v>
      </c>
    </row>
    <row r="166" spans="8:42" x14ac:dyDescent="0.2">
      <c r="H166" s="59" t="str">
        <f>IFERROR(RANK(TableRBCalcPts[[#This Row],[Custom]],TableRBCalcPts[Custom])+COUNTIF($M$3:M166,M166)-1,"")</f>
        <v/>
      </c>
      <c r="I166" s="59">
        <v>164</v>
      </c>
      <c r="J166" s="59" t="str">
        <f>IFERROR(INDEX(TableRBMaster[Player],MATCH(TableRBCalcPts[[#This Row],[RBRef]],TableRBMaster[RBRef],0)),"")</f>
        <v/>
      </c>
      <c r="K166" s="59" t="str">
        <f>IFERROR(INDEX(TableRBMaster[TM],MATCH(TableRBCalcPts[[#This Row],[RBRef]],TableRBMaster[RBRef],0)),"")</f>
        <v/>
      </c>
      <c r="L166" s="59" t="str">
        <f>IFERROR(INDEX(TableRBMaster[BYE],MATCH(TableRBCalcPts[[#This Row],[RBRef]],TableRBMaster[RBRef],0)),"")</f>
        <v/>
      </c>
      <c r="M166" s="60" t="str">
        <f>IFERROR(INDEX(TableRBMaster[Custom],MATCH(TableRBCalcPts[[#This Row],[RBRef]],TableRBMaster[RBRef],0)),"")</f>
        <v/>
      </c>
      <c r="O166" s="59">
        <f>IFERROR(RANK(TableWRCalcPts[[#This Row],[Custom]],TableWRCalcPts[Custom])+COUNTIF($T$3:T166,T166)-1,"")</f>
        <v>178</v>
      </c>
      <c r="P166" s="59">
        <v>164</v>
      </c>
      <c r="Q166" s="59" t="str">
        <f>IFERROR(INDEX(TableWRMaster[Player],MATCH(TableWRCalcPts[[#This Row],[WRRef]],TableWRMaster[WRRef],0)),"")</f>
        <v>Danny Gray</v>
      </c>
      <c r="R166" s="59" t="str">
        <f>IFERROR(INDEX(TableWRMaster[TM],MATCH(TableWRCalcPts[[#This Row],[WRRef]],TableWRMaster[WRRef],0)),"")</f>
        <v>SF</v>
      </c>
      <c r="S166" s="59">
        <f>IFERROR(INDEX(TableWRMaster[BYE],MATCH(TableWRCalcPts[[#This Row],[WRRef]],TableWRMaster[WRRef],0)),"")</f>
        <v>9</v>
      </c>
      <c r="T166" s="60">
        <f>IFERROR(INDEX(TableWRMaster[Custom],MATCH(TableWRCalcPts[[#This Row],[WRRef]],TableWRMaster[WRRef],0)),"")</f>
        <v>8.5978939176899996</v>
      </c>
      <c r="AI166" s="59" t="s">
        <v>223</v>
      </c>
      <c r="AJ166" s="59">
        <f>IFERROR(RANK(TableWRTECalcPts[[#This Row],[Custom]],TableWRTECalcPts[Custom])+COUNTIF($AP$3:AP166,AP166)-1,"")</f>
        <v>18</v>
      </c>
      <c r="AK166" s="105">
        <v>64</v>
      </c>
      <c r="AL166" s="105" t="str">
        <f>IFERROR(INDEX(TableWRMaster[Player],MATCH(TableWRTECalcPts[[#This Row],[POSRef]],TableWRMaster[WRRef],0)),"")</f>
        <v>Jayden Reed</v>
      </c>
      <c r="AM166" s="105" t="str">
        <f>IFERROR(_xlfn.CONCAT(TableWRTECalcPts[[#This Row],[POS]],INDEX(TableWRRanks[RK],MATCH(TableWRTECalcPts[[#This Row],[PLAYER]],TableWRRanks[Player],0))),"")</f>
        <v>WR18</v>
      </c>
      <c r="AN166" s="105" t="str">
        <f>IFERROR(INDEX(TableWRMaster[TM],MATCH(TableWRTECalcPts[[#This Row],[POSRef]],TableWRMaster[WRRef],0)),"")</f>
        <v>GB</v>
      </c>
      <c r="AO166" s="105">
        <f>IFERROR(INDEX(TableWRMaster[BYE],MATCH(TableWRTECalcPts[[#This Row],[POSRef]],TableWRMaster[WRRef],0)),"")</f>
        <v>6</v>
      </c>
      <c r="AP166" s="103">
        <f>IFERROR(INDEX(TableWRMaster[Custom],MATCH(TableWRTECalcPts[[#This Row],[POSRef]],TableWRMaster[WRRef],0)),"")</f>
        <v>191.81540749896001</v>
      </c>
    </row>
    <row r="167" spans="8:42" x14ac:dyDescent="0.2">
      <c r="H167" s="59" t="str">
        <f>IFERROR(RANK(TableRBCalcPts[[#This Row],[Custom]],TableRBCalcPts[Custom])+COUNTIF($M$3:M167,M167)-1,"")</f>
        <v/>
      </c>
      <c r="I167" s="59">
        <v>165</v>
      </c>
      <c r="J167" s="59" t="str">
        <f>IFERROR(INDEX(TableRBMaster[Player],MATCH(TableRBCalcPts[[#This Row],[RBRef]],TableRBMaster[RBRef],0)),"")</f>
        <v/>
      </c>
      <c r="K167" s="59" t="str">
        <f>IFERROR(INDEX(TableRBMaster[TM],MATCH(TableRBCalcPts[[#This Row],[RBRef]],TableRBMaster[RBRef],0)),"")</f>
        <v/>
      </c>
      <c r="L167" s="59" t="str">
        <f>IFERROR(INDEX(TableRBMaster[BYE],MATCH(TableRBCalcPts[[#This Row],[RBRef]],TableRBMaster[RBRef],0)),"")</f>
        <v/>
      </c>
      <c r="M167" s="60" t="str">
        <f>IFERROR(INDEX(TableRBMaster[Custom],MATCH(TableRBCalcPts[[#This Row],[RBRef]],TableRBMaster[RBRef],0)),"")</f>
        <v/>
      </c>
      <c r="O167" s="59">
        <f>IFERROR(RANK(TableWRCalcPts[[#This Row],[Custom]],TableWRCalcPts[Custom])+COUNTIF($T$3:T167,T167)-1,"")</f>
        <v>9</v>
      </c>
      <c r="P167" s="59">
        <v>165</v>
      </c>
      <c r="Q167" s="59" t="str">
        <f>IFERROR(INDEX(TableWRMaster[Player],MATCH(TableWRCalcPts[[#This Row],[WRRef]],TableWRMaster[WRRef],0)),"")</f>
        <v>Mike Evans</v>
      </c>
      <c r="R167" s="59" t="str">
        <f>IFERROR(INDEX(TableWRMaster[TM],MATCH(TableWRCalcPts[[#This Row],[WRRef]],TableWRMaster[WRRef],0)),"")</f>
        <v>TB</v>
      </c>
      <c r="S167" s="59">
        <f>IFERROR(INDEX(TableWRMaster[BYE],MATCH(TableWRCalcPts[[#This Row],[WRRef]],TableWRMaster[WRRef],0)),"")</f>
        <v>5</v>
      </c>
      <c r="T167" s="60">
        <f>IFERROR(INDEX(TableWRMaster[Custom],MATCH(TableWRCalcPts[[#This Row],[WRRef]],TableWRMaster[WRRef],0)),"")</f>
        <v>210.90826433402879</v>
      </c>
      <c r="AI167" s="59" t="s">
        <v>223</v>
      </c>
      <c r="AJ167" s="59">
        <f>IFERROR(RANK(TableWRTECalcPts[[#This Row],[Custom]],TableWRTECalcPts[Custom])+COUNTIF($AP$3:AP167,AP167)-1,"")</f>
        <v>131</v>
      </c>
      <c r="AK167" s="105">
        <v>65</v>
      </c>
      <c r="AL167" s="105" t="str">
        <f>IFERROR(INDEX(TableWRMaster[Player],MATCH(TableWRTECalcPts[[#This Row],[POSRef]],TableWRMaster[WRRef],0)),"")</f>
        <v>Dontayvion Wicks</v>
      </c>
      <c r="AM167" s="105" t="str">
        <f>IFERROR(_xlfn.CONCAT(TableWRTECalcPts[[#This Row],[POS]],INDEX(TableWRRanks[RK],MATCH(TableWRTECalcPts[[#This Row],[PLAYER]],TableWRRanks[Player],0))),"")</f>
        <v>WR98</v>
      </c>
      <c r="AN167" s="105" t="str">
        <f>IFERROR(INDEX(TableWRMaster[TM],MATCH(TableWRTECalcPts[[#This Row],[POSRef]],TableWRMaster[WRRef],0)),"")</f>
        <v>GB</v>
      </c>
      <c r="AO167" s="105">
        <f>IFERROR(INDEX(TableWRMaster[BYE],MATCH(TableWRTECalcPts[[#This Row],[POSRef]],TableWRMaster[WRRef],0)),"")</f>
        <v>6</v>
      </c>
      <c r="AP167" s="103">
        <f>IFERROR(INDEX(TableWRMaster[Custom],MATCH(TableWRTECalcPts[[#This Row],[POSRef]],TableWRMaster[WRRef],0)),"")</f>
        <v>59.706570083328018</v>
      </c>
    </row>
    <row r="168" spans="8:42" x14ac:dyDescent="0.2">
      <c r="H168" s="59" t="str">
        <f>IFERROR(RANK(TableRBCalcPts[[#This Row],[Custom]],TableRBCalcPts[Custom])+COUNTIF($M$3:M168,M168)-1,"")</f>
        <v/>
      </c>
      <c r="I168" s="59">
        <v>166</v>
      </c>
      <c r="J168" s="59" t="str">
        <f>IFERROR(INDEX(TableRBMaster[Player],MATCH(TableRBCalcPts[[#This Row],[RBRef]],TableRBMaster[RBRef],0)),"")</f>
        <v/>
      </c>
      <c r="K168" s="59" t="str">
        <f>IFERROR(INDEX(TableRBMaster[TM],MATCH(TableRBCalcPts[[#This Row],[RBRef]],TableRBMaster[RBRef],0)),"")</f>
        <v/>
      </c>
      <c r="L168" s="59" t="str">
        <f>IFERROR(INDEX(TableRBMaster[BYE],MATCH(TableRBCalcPts[[#This Row],[RBRef]],TableRBMaster[RBRef],0)),"")</f>
        <v/>
      </c>
      <c r="M168" s="60" t="str">
        <f>IFERROR(INDEX(TableRBMaster[Custom],MATCH(TableRBCalcPts[[#This Row],[RBRef]],TableRBMaster[RBRef],0)),"")</f>
        <v/>
      </c>
      <c r="O168" s="59">
        <f>IFERROR(RANK(TableWRCalcPts[[#This Row],[Custom]],TableWRCalcPts[Custom])+COUNTIF($T$3:T168,T168)-1,"")</f>
        <v>36</v>
      </c>
      <c r="P168" s="59">
        <v>166</v>
      </c>
      <c r="Q168" s="59" t="str">
        <f>IFERROR(INDEX(TableWRMaster[Player],MATCH(TableWRCalcPts[[#This Row],[WRRef]],TableWRMaster[WRRef],0)),"")</f>
        <v>Chris Godwin</v>
      </c>
      <c r="R168" s="59" t="str">
        <f>IFERROR(INDEX(TableWRMaster[TM],MATCH(TableWRCalcPts[[#This Row],[WRRef]],TableWRMaster[WRRef],0)),"")</f>
        <v>TB</v>
      </c>
      <c r="S168" s="59">
        <f>IFERROR(INDEX(TableWRMaster[BYE],MATCH(TableWRCalcPts[[#This Row],[WRRef]],TableWRMaster[WRRef],0)),"")</f>
        <v>5</v>
      </c>
      <c r="T168" s="60">
        <f>IFERROR(INDEX(TableWRMaster[Custom],MATCH(TableWRCalcPts[[#This Row],[WRRef]],TableWRMaster[WRRef],0)),"")</f>
        <v>172.82871671083197</v>
      </c>
      <c r="AI168" s="59" t="s">
        <v>223</v>
      </c>
      <c r="AJ168" s="59">
        <f>IFERROR(RANK(TableWRTECalcPts[[#This Row],[Custom]],TableWRTECalcPts[Custom])+COUNTIF($AP$3:AP168,AP168)-1,"")</f>
        <v>192</v>
      </c>
      <c r="AK168" s="105">
        <v>66</v>
      </c>
      <c r="AL168" s="105" t="str">
        <f>IFERROR(INDEX(TableWRMaster[Player],MATCH(TableWRTECalcPts[[#This Row],[POSRef]],TableWRMaster[WRRef],0)),"")</f>
        <v>Bo Melton</v>
      </c>
      <c r="AM168" s="105" t="str">
        <f>IFERROR(_xlfn.CONCAT(TableWRTECalcPts[[#This Row],[POS]],INDEX(TableWRRanks[RK],MATCH(TableWRTECalcPts[[#This Row],[PLAYER]],TableWRRanks[Player],0))),"")</f>
        <v>WR138</v>
      </c>
      <c r="AN168" s="105" t="str">
        <f>IFERROR(INDEX(TableWRMaster[TM],MATCH(TableWRTECalcPts[[#This Row],[POSRef]],TableWRMaster[WRRef],0)),"")</f>
        <v>GB</v>
      </c>
      <c r="AO168" s="105">
        <f>IFERROR(INDEX(TableWRMaster[BYE],MATCH(TableWRTECalcPts[[#This Row],[POSRef]],TableWRMaster[WRRef],0)),"")</f>
        <v>6</v>
      </c>
      <c r="AP168" s="103">
        <f>IFERROR(INDEX(TableWRMaster[Custom],MATCH(TableWRTECalcPts[[#This Row],[POSRef]],TableWRMaster[WRRef],0)),"")</f>
        <v>24.724347171887999</v>
      </c>
    </row>
    <row r="169" spans="8:42" x14ac:dyDescent="0.2">
      <c r="H169" s="59" t="str">
        <f>IFERROR(RANK(TableRBCalcPts[[#This Row],[Custom]],TableRBCalcPts[Custom])+COUNTIF($M$3:M169,M169)-1,"")</f>
        <v/>
      </c>
      <c r="I169" s="59">
        <v>167</v>
      </c>
      <c r="J169" s="59" t="str">
        <f>IFERROR(INDEX(TableRBMaster[Player],MATCH(TableRBCalcPts[[#This Row],[RBRef]],TableRBMaster[RBRef],0)),"")</f>
        <v/>
      </c>
      <c r="K169" s="59" t="str">
        <f>IFERROR(INDEX(TableRBMaster[TM],MATCH(TableRBCalcPts[[#This Row],[RBRef]],TableRBMaster[RBRef],0)),"")</f>
        <v/>
      </c>
      <c r="L169" s="59" t="str">
        <f>IFERROR(INDEX(TableRBMaster[BYE],MATCH(TableRBCalcPts[[#This Row],[RBRef]],TableRBMaster[RBRef],0)),"")</f>
        <v/>
      </c>
      <c r="M169" s="60" t="str">
        <f>IFERROR(INDEX(TableRBMaster[Custom],MATCH(TableRBCalcPts[[#This Row],[RBRef]],TableRBMaster[RBRef],0)),"")</f>
        <v/>
      </c>
      <c r="O169" s="59">
        <f>IFERROR(RANK(TableWRCalcPts[[#This Row],[Custom]],TableWRCalcPts[Custom])+COUNTIF($T$3:T169,T169)-1,"")</f>
        <v>90</v>
      </c>
      <c r="P169" s="59">
        <v>167</v>
      </c>
      <c r="Q169" s="59" t="str">
        <f>IFERROR(INDEX(TableWRMaster[Player],MATCH(TableWRCalcPts[[#This Row],[WRRef]],TableWRMaster[WRRef],0)),"")</f>
        <v>Trey Palmer</v>
      </c>
      <c r="R169" s="59" t="str">
        <f>IFERROR(INDEX(TableWRMaster[TM],MATCH(TableWRCalcPts[[#This Row],[WRRef]],TableWRMaster[WRRef],0)),"")</f>
        <v>TB</v>
      </c>
      <c r="S169" s="59">
        <f>IFERROR(INDEX(TableWRMaster[BYE],MATCH(TableWRCalcPts[[#This Row],[WRRef]],TableWRMaster[WRRef],0)),"")</f>
        <v>5</v>
      </c>
      <c r="T169" s="60">
        <f>IFERROR(INDEX(TableWRMaster[Custom],MATCH(TableWRCalcPts[[#This Row],[WRRef]],TableWRMaster[WRRef],0)),"")</f>
        <v>76.730779467434402</v>
      </c>
      <c r="AI169" s="59" t="s">
        <v>223</v>
      </c>
      <c r="AJ169" s="59">
        <f>IFERROR(RANK(TableWRTECalcPts[[#This Row],[Custom]],TableWRTECalcPts[Custom])+COUNTIF($AP$3:AP169,AP169)-1,"")</f>
        <v>28</v>
      </c>
      <c r="AK169" s="105">
        <v>67</v>
      </c>
      <c r="AL169" s="105" t="str">
        <f>IFERROR(INDEX(TableWRMaster[Player],MATCH(TableWRTECalcPts[[#This Row],[POSRef]],TableWRMaster[WRRef],0)),"")</f>
        <v>Stefon Diggs</v>
      </c>
      <c r="AM169" s="105" t="str">
        <f>IFERROR(_xlfn.CONCAT(TableWRTECalcPts[[#This Row],[POS]],INDEX(TableWRRanks[RK],MATCH(TableWRTECalcPts[[#This Row],[PLAYER]],TableWRRanks[Player],0))),"")</f>
        <v>WR25</v>
      </c>
      <c r="AN169" s="105" t="str">
        <f>IFERROR(INDEX(TableWRMaster[TM],MATCH(TableWRTECalcPts[[#This Row],[POSRef]],TableWRMaster[WRRef],0)),"")</f>
        <v>HOU</v>
      </c>
      <c r="AO169" s="105">
        <f>IFERROR(INDEX(TableWRMaster[BYE],MATCH(TableWRTECalcPts[[#This Row],[POSRef]],TableWRMaster[WRRef],0)),"")</f>
        <v>7</v>
      </c>
      <c r="AP169" s="103">
        <f>IFERROR(INDEX(TableWRMaster[Custom],MATCH(TableWRTECalcPts[[#This Row],[POSRef]],TableWRMaster[WRRef],0)),"")</f>
        <v>181.51740331712003</v>
      </c>
    </row>
    <row r="170" spans="8:42" x14ac:dyDescent="0.2">
      <c r="H170" s="59" t="str">
        <f>IFERROR(RANK(TableRBCalcPts[[#This Row],[Custom]],TableRBCalcPts[Custom])+COUNTIF($M$3:M170,M170)-1,"")</f>
        <v/>
      </c>
      <c r="I170" s="59">
        <v>168</v>
      </c>
      <c r="J170" s="59" t="str">
        <f>IFERROR(INDEX(TableRBMaster[Player],MATCH(TableRBCalcPts[[#This Row],[RBRef]],TableRBMaster[RBRef],0)),"")</f>
        <v/>
      </c>
      <c r="K170" s="59" t="str">
        <f>IFERROR(INDEX(TableRBMaster[TM],MATCH(TableRBCalcPts[[#This Row],[RBRef]],TableRBMaster[RBRef],0)),"")</f>
        <v/>
      </c>
      <c r="L170" s="59" t="str">
        <f>IFERROR(INDEX(TableRBMaster[BYE],MATCH(TableRBCalcPts[[#This Row],[RBRef]],TableRBMaster[RBRef],0)),"")</f>
        <v/>
      </c>
      <c r="M170" s="60" t="str">
        <f>IFERROR(INDEX(TableRBMaster[Custom],MATCH(TableRBCalcPts[[#This Row],[RBRef]],TableRBMaster[RBRef],0)),"")</f>
        <v/>
      </c>
      <c r="O170" s="59">
        <f>IFERROR(RANK(TableWRCalcPts[[#This Row],[Custom]],TableWRCalcPts[Custom])+COUNTIF($T$3:T170,T170)-1,"")</f>
        <v>170</v>
      </c>
      <c r="P170" s="59">
        <v>168</v>
      </c>
      <c r="Q170" s="59" t="str">
        <f>IFERROR(INDEX(TableWRMaster[Player],MATCH(TableWRCalcPts[[#This Row],[WRRef]],TableWRMaster[WRRef],0)),"")</f>
        <v>Deven Thompkins</v>
      </c>
      <c r="R170" s="59" t="str">
        <f>IFERROR(INDEX(TableWRMaster[TM],MATCH(TableWRCalcPts[[#This Row],[WRRef]],TableWRMaster[WRRef],0)),"")</f>
        <v>TB</v>
      </c>
      <c r="S170" s="59">
        <f>IFERROR(INDEX(TableWRMaster[BYE],MATCH(TableWRCalcPts[[#This Row],[WRRef]],TableWRMaster[WRRef],0)),"")</f>
        <v>5</v>
      </c>
      <c r="T170" s="60">
        <f>IFERROR(INDEX(TableWRMaster[Custom],MATCH(TableWRCalcPts[[#This Row],[WRRef]],TableWRMaster[WRRef],0)),"")</f>
        <v>12.059571848015997</v>
      </c>
      <c r="AI170" s="59" t="s">
        <v>223</v>
      </c>
      <c r="AJ170" s="59">
        <f>IFERROR(RANK(TableWRTECalcPts[[#This Row],[Custom]],TableWRTECalcPts[Custom])+COUNTIF($AP$3:AP170,AP170)-1,"")</f>
        <v>11</v>
      </c>
      <c r="AK170" s="105">
        <v>68</v>
      </c>
      <c r="AL170" s="105" t="str">
        <f>IFERROR(INDEX(TableWRMaster[Player],MATCH(TableWRTECalcPts[[#This Row],[POSRef]],TableWRMaster[WRRef],0)),"")</f>
        <v>Nico Collins</v>
      </c>
      <c r="AM170" s="105" t="str">
        <f>IFERROR(_xlfn.CONCAT(TableWRTECalcPts[[#This Row],[POS]],INDEX(TableWRRanks[RK],MATCH(TableWRTECalcPts[[#This Row],[PLAYER]],TableWRRanks[Player],0))),"")</f>
        <v>WR11</v>
      </c>
      <c r="AN170" s="105" t="str">
        <f>IFERROR(INDEX(TableWRMaster[TM],MATCH(TableWRTECalcPts[[#This Row],[POSRef]],TableWRMaster[WRRef],0)),"")</f>
        <v>HOU</v>
      </c>
      <c r="AO170" s="105">
        <f>IFERROR(INDEX(TableWRMaster[BYE],MATCH(TableWRTECalcPts[[#This Row],[POSRef]],TableWRMaster[WRRef],0)),"")</f>
        <v>7</v>
      </c>
      <c r="AP170" s="103">
        <f>IFERROR(INDEX(TableWRMaster[Custom],MATCH(TableWRTECalcPts[[#This Row],[POSRef]],TableWRMaster[WRRef],0)),"")</f>
        <v>205.18742284185601</v>
      </c>
    </row>
    <row r="171" spans="8:42" x14ac:dyDescent="0.2">
      <c r="H171" s="59" t="str">
        <f>IFERROR(RANK(TableRBCalcPts[[#This Row],[Custom]],TableRBCalcPts[Custom])+COUNTIF($M$3:M171,M171)-1,"")</f>
        <v/>
      </c>
      <c r="I171" s="59">
        <v>169</v>
      </c>
      <c r="J171" s="59" t="str">
        <f>IFERROR(INDEX(TableRBMaster[Player],MATCH(TableRBCalcPts[[#This Row],[RBRef]],TableRBMaster[RBRef],0)),"")</f>
        <v/>
      </c>
      <c r="K171" s="59" t="str">
        <f>IFERROR(INDEX(TableRBMaster[TM],MATCH(TableRBCalcPts[[#This Row],[RBRef]],TableRBMaster[RBRef],0)),"")</f>
        <v/>
      </c>
      <c r="L171" s="59" t="str">
        <f>IFERROR(INDEX(TableRBMaster[BYE],MATCH(TableRBCalcPts[[#This Row],[RBRef]],TableRBMaster[RBRef],0)),"")</f>
        <v/>
      </c>
      <c r="M171" s="60" t="str">
        <f>IFERROR(INDEX(TableRBMaster[Custom],MATCH(TableRBCalcPts[[#This Row],[RBRef]],TableRBMaster[RBRef],0)),"")</f>
        <v/>
      </c>
      <c r="O171" s="59">
        <f>IFERROR(RANK(TableWRCalcPts[[#This Row],[Custom]],TableWRCalcPts[Custom])+COUNTIF($T$3:T171,T171)-1,"")</f>
        <v>93</v>
      </c>
      <c r="P171" s="59">
        <v>169</v>
      </c>
      <c r="Q171" s="59" t="str">
        <f>IFERROR(INDEX(TableWRMaster[Player],MATCH(TableWRCalcPts[[#This Row],[WRRef]],TableWRMaster[WRRef],0)),"")</f>
        <v>Jalen McMillan</v>
      </c>
      <c r="R171" s="59" t="str">
        <f>IFERROR(INDEX(TableWRMaster[TM],MATCH(TableWRCalcPts[[#This Row],[WRRef]],TableWRMaster[WRRef],0)),"")</f>
        <v>TB</v>
      </c>
      <c r="S171" s="59">
        <f>IFERROR(INDEX(TableWRMaster[BYE],MATCH(TableWRCalcPts[[#This Row],[WRRef]],TableWRMaster[WRRef],0)),"")</f>
        <v>5</v>
      </c>
      <c r="T171" s="60">
        <f>IFERROR(INDEX(TableWRMaster[Custom],MATCH(TableWRCalcPts[[#This Row],[WRRef]],TableWRMaster[WRRef],0)),"")</f>
        <v>68.307723575783996</v>
      </c>
      <c r="AI171" s="59" t="s">
        <v>223</v>
      </c>
      <c r="AJ171" s="59">
        <f>IFERROR(RANK(TableWRTECalcPts[[#This Row],[Custom]],TableWRTECalcPts[Custom])+COUNTIF($AP$3:AP171,AP171)-1,"")</f>
        <v>34</v>
      </c>
      <c r="AK171" s="105">
        <v>69</v>
      </c>
      <c r="AL171" s="105" t="str">
        <f>IFERROR(INDEX(TableWRMaster[Player],MATCH(TableWRTECalcPts[[#This Row],[POSRef]],TableWRMaster[WRRef],0)),"")</f>
        <v>Tank Dell</v>
      </c>
      <c r="AM171" s="105" t="str">
        <f>IFERROR(_xlfn.CONCAT(TableWRTECalcPts[[#This Row],[POS]],INDEX(TableWRRanks[RK],MATCH(TableWRTECalcPts[[#This Row],[PLAYER]],TableWRRanks[Player],0))),"")</f>
        <v>WR31</v>
      </c>
      <c r="AN171" s="105" t="str">
        <f>IFERROR(INDEX(TableWRMaster[TM],MATCH(TableWRTECalcPts[[#This Row],[POSRef]],TableWRMaster[WRRef],0)),"")</f>
        <v>HOU</v>
      </c>
      <c r="AO171" s="105">
        <f>IFERROR(INDEX(TableWRMaster[BYE],MATCH(TableWRTECalcPts[[#This Row],[POSRef]],TableWRMaster[WRRef],0)),"")</f>
        <v>7</v>
      </c>
      <c r="AP171" s="103">
        <f>IFERROR(INDEX(TableWRMaster[Custom],MATCH(TableWRTECalcPts[[#This Row],[POSRef]],TableWRMaster[WRRef],0)),"")</f>
        <v>177.76265426399999</v>
      </c>
    </row>
    <row r="172" spans="8:42" x14ac:dyDescent="0.2">
      <c r="H172" s="59" t="str">
        <f>IFERROR(RANK(TableRBCalcPts[[#This Row],[Custom]],TableRBCalcPts[Custom])+COUNTIF($M$3:M172,M172)-1,"")</f>
        <v/>
      </c>
      <c r="I172" s="59">
        <v>170</v>
      </c>
      <c r="J172" s="59" t="str">
        <f>IFERROR(INDEX(TableRBMaster[Player],MATCH(TableRBCalcPts[[#This Row],[RBRef]],TableRBMaster[RBRef],0)),"")</f>
        <v/>
      </c>
      <c r="K172" s="59" t="str">
        <f>IFERROR(INDEX(TableRBMaster[TM],MATCH(TableRBCalcPts[[#This Row],[RBRef]],TableRBMaster[RBRef],0)),"")</f>
        <v/>
      </c>
      <c r="L172" s="59" t="str">
        <f>IFERROR(INDEX(TableRBMaster[BYE],MATCH(TableRBCalcPts[[#This Row],[RBRef]],TableRBMaster[RBRef],0)),"")</f>
        <v/>
      </c>
      <c r="M172" s="60" t="str">
        <f>IFERROR(INDEX(TableRBMaster[Custom],MATCH(TableRBCalcPts[[#This Row],[RBRef]],TableRBMaster[RBRef],0)),"")</f>
        <v/>
      </c>
      <c r="O172" s="59">
        <f>IFERROR(RANK(TableWRCalcPts[[#This Row],[Custom]],TableWRCalcPts[Custom])+COUNTIF($T$3:T172,T172)-1,"")</f>
        <v>27</v>
      </c>
      <c r="P172" s="59">
        <v>170</v>
      </c>
      <c r="Q172" s="59" t="str">
        <f>IFERROR(INDEX(TableWRMaster[Player],MATCH(TableWRCalcPts[[#This Row],[WRRef]],TableWRMaster[WRRef],0)),"")</f>
        <v>DeAndre Hopkins</v>
      </c>
      <c r="R172" s="59" t="str">
        <f>IFERROR(INDEX(TableWRMaster[TM],MATCH(TableWRCalcPts[[#This Row],[WRRef]],TableWRMaster[WRRef],0)),"")</f>
        <v>TEN</v>
      </c>
      <c r="S172" s="59">
        <f>IFERROR(INDEX(TableWRMaster[BYE],MATCH(TableWRCalcPts[[#This Row],[WRRef]],TableWRMaster[WRRef],0)),"")</f>
        <v>7</v>
      </c>
      <c r="T172" s="60">
        <f>IFERROR(INDEX(TableWRMaster[Custom],MATCH(TableWRCalcPts[[#This Row],[WRRef]],TableWRMaster[WRRef],0)),"")</f>
        <v>180.79272407195992</v>
      </c>
      <c r="AI172" s="59" t="s">
        <v>223</v>
      </c>
      <c r="AJ172" s="59">
        <f>IFERROR(RANK(TableWRTECalcPts[[#This Row],[Custom]],TableWRTECalcPts[Custom])+COUNTIF($AP$3:AP172,AP172)-1,"")</f>
        <v>177</v>
      </c>
      <c r="AK172" s="105">
        <v>70</v>
      </c>
      <c r="AL172" s="105" t="str">
        <f>IFERROR(INDEX(TableWRMaster[Player],MATCH(TableWRTECalcPts[[#This Row],[POSRef]],TableWRMaster[WRRef],0)),"")</f>
        <v>Robert Woods</v>
      </c>
      <c r="AM172" s="105" t="str">
        <f>IFERROR(_xlfn.CONCAT(TableWRTECalcPts[[#This Row],[POS]],INDEX(TableWRRanks[RK],MATCH(TableWRTECalcPts[[#This Row],[PLAYER]],TableWRRanks[Player],0))),"")</f>
        <v>WR129</v>
      </c>
      <c r="AN172" s="105" t="str">
        <f>IFERROR(INDEX(TableWRMaster[TM],MATCH(TableWRTECalcPts[[#This Row],[POSRef]],TableWRMaster[WRRef],0)),"")</f>
        <v>HOU</v>
      </c>
      <c r="AO172" s="105">
        <f>IFERROR(INDEX(TableWRMaster[BYE],MATCH(TableWRTECalcPts[[#This Row],[POSRef]],TableWRMaster[WRRef],0)),"")</f>
        <v>7</v>
      </c>
      <c r="AP172" s="103">
        <f>IFERROR(INDEX(TableWRMaster[Custom],MATCH(TableWRTECalcPts[[#This Row],[POSRef]],TableWRMaster[WRRef],0)),"")</f>
        <v>28.276131659775999</v>
      </c>
    </row>
    <row r="173" spans="8:42" x14ac:dyDescent="0.2">
      <c r="H173" s="59" t="str">
        <f>IFERROR(RANK(TableRBCalcPts[[#This Row],[Custom]],TableRBCalcPts[Custom])+COUNTIF($M$3:M173,M173)-1,"")</f>
        <v/>
      </c>
      <c r="I173" s="59">
        <v>171</v>
      </c>
      <c r="J173" s="59" t="str">
        <f>IFERROR(INDEX(TableRBMaster[Player],MATCH(TableRBCalcPts[[#This Row],[RBRef]],TableRBMaster[RBRef],0)),"")</f>
        <v/>
      </c>
      <c r="K173" s="59" t="str">
        <f>IFERROR(INDEX(TableRBMaster[TM],MATCH(TableRBCalcPts[[#This Row],[RBRef]],TableRBMaster[RBRef],0)),"")</f>
        <v/>
      </c>
      <c r="L173" s="59" t="str">
        <f>IFERROR(INDEX(TableRBMaster[BYE],MATCH(TableRBCalcPts[[#This Row],[RBRef]],TableRBMaster[RBRef],0)),"")</f>
        <v/>
      </c>
      <c r="M173" s="60" t="str">
        <f>IFERROR(INDEX(TableRBMaster[Custom],MATCH(TableRBCalcPts[[#This Row],[RBRef]],TableRBMaster[RBRef],0)),"")</f>
        <v/>
      </c>
      <c r="O173" s="59">
        <f>IFERROR(RANK(TableWRCalcPts[[#This Row],[Custom]],TableWRCalcPts[Custom])+COUNTIF($T$3:T173,T173)-1,"")</f>
        <v>49</v>
      </c>
      <c r="P173" s="59">
        <v>171</v>
      </c>
      <c r="Q173" s="59" t="str">
        <f>IFERROR(INDEX(TableWRMaster[Player],MATCH(TableWRCalcPts[[#This Row],[WRRef]],TableWRMaster[WRRef],0)),"")</f>
        <v>Calvin Ridley</v>
      </c>
      <c r="R173" s="59" t="str">
        <f>IFERROR(INDEX(TableWRMaster[TM],MATCH(TableWRCalcPts[[#This Row],[WRRef]],TableWRMaster[WRRef],0)),"")</f>
        <v>TEN</v>
      </c>
      <c r="S173" s="59">
        <f>IFERROR(INDEX(TableWRMaster[BYE],MATCH(TableWRCalcPts[[#This Row],[WRRef]],TableWRMaster[WRRef],0)),"")</f>
        <v>7</v>
      </c>
      <c r="T173" s="60">
        <f>IFERROR(INDEX(TableWRMaster[Custom],MATCH(TableWRCalcPts[[#This Row],[WRRef]],TableWRMaster[WRRef],0)),"")</f>
        <v>154.50712981703998</v>
      </c>
      <c r="AI173" s="59" t="s">
        <v>223</v>
      </c>
      <c r="AJ173" s="59">
        <f>IFERROR(RANK(TableWRTECalcPts[[#This Row],[Custom]],TableWRTECalcPts[Custom])+COUNTIF($AP$3:AP173,AP173)-1,"")</f>
        <v>171</v>
      </c>
      <c r="AK173" s="105">
        <v>71</v>
      </c>
      <c r="AL173" s="105" t="str">
        <f>IFERROR(INDEX(TableWRMaster[Player],MATCH(TableWRTECalcPts[[#This Row],[POSRef]],TableWRMaster[WRRef],0)),"")</f>
        <v>Noah Brown</v>
      </c>
      <c r="AM173" s="105" t="str">
        <f>IFERROR(_xlfn.CONCAT(TableWRTECalcPts[[#This Row],[POS]],INDEX(TableWRRanks[RK],MATCH(TableWRTECalcPts[[#This Row],[PLAYER]],TableWRRanks[Player],0))),"")</f>
        <v>WR123</v>
      </c>
      <c r="AN173" s="105" t="str">
        <f>IFERROR(INDEX(TableWRMaster[TM],MATCH(TableWRTECalcPts[[#This Row],[POSRef]],TableWRMaster[WRRef],0)),"")</f>
        <v>HOU</v>
      </c>
      <c r="AO173" s="105">
        <f>IFERROR(INDEX(TableWRMaster[BYE],MATCH(TableWRTECalcPts[[#This Row],[POSRef]],TableWRMaster[WRRef],0)),"")</f>
        <v>7</v>
      </c>
      <c r="AP173" s="103">
        <f>IFERROR(INDEX(TableWRMaster[Custom],MATCH(TableWRTECalcPts[[#This Row],[POSRef]],TableWRMaster[WRRef],0)),"")</f>
        <v>30.799941070080006</v>
      </c>
    </row>
    <row r="174" spans="8:42" x14ac:dyDescent="0.2">
      <c r="H174" s="59" t="str">
        <f>IFERROR(RANK(TableRBCalcPts[[#This Row],[Custom]],TableRBCalcPts[Custom])+COUNTIF($M$3:M174,M174)-1,"")</f>
        <v/>
      </c>
      <c r="I174" s="59">
        <v>172</v>
      </c>
      <c r="J174" s="59" t="str">
        <f>IFERROR(INDEX(TableRBMaster[Player],MATCH(TableRBCalcPts[[#This Row],[RBRef]],TableRBMaster[RBRef],0)),"")</f>
        <v/>
      </c>
      <c r="K174" s="59" t="str">
        <f>IFERROR(INDEX(TableRBMaster[TM],MATCH(TableRBCalcPts[[#This Row],[RBRef]],TableRBMaster[RBRef],0)),"")</f>
        <v/>
      </c>
      <c r="L174" s="59" t="str">
        <f>IFERROR(INDEX(TableRBMaster[BYE],MATCH(TableRBCalcPts[[#This Row],[RBRef]],TableRBMaster[RBRef],0)),"")</f>
        <v/>
      </c>
      <c r="M174" s="60" t="str">
        <f>IFERROR(INDEX(TableRBMaster[Custom],MATCH(TableRBCalcPts[[#This Row],[RBRef]],TableRBMaster[RBRef],0)),"")</f>
        <v/>
      </c>
      <c r="O174" s="59">
        <f>IFERROR(RANK(TableWRCalcPts[[#This Row],[Custom]],TableWRCalcPts[Custom])+COUNTIF($T$3:T174,T174)-1,"")</f>
        <v>91</v>
      </c>
      <c r="P174" s="59">
        <v>172</v>
      </c>
      <c r="Q174" s="59" t="str">
        <f>IFERROR(INDEX(TableWRMaster[Player],MATCH(TableWRCalcPts[[#This Row],[WRRef]],TableWRMaster[WRRef],0)),"")</f>
        <v>Tyler Boyd</v>
      </c>
      <c r="R174" s="59" t="str">
        <f>IFERROR(INDEX(TableWRMaster[TM],MATCH(TableWRCalcPts[[#This Row],[WRRef]],TableWRMaster[WRRef],0)),"")</f>
        <v>TEN</v>
      </c>
      <c r="S174" s="59">
        <f>IFERROR(INDEX(TableWRMaster[BYE],MATCH(TableWRCalcPts[[#This Row],[WRRef]],TableWRMaster[WRRef],0)),"")</f>
        <v>7</v>
      </c>
      <c r="T174" s="60">
        <f>IFERROR(INDEX(TableWRMaster[Custom],MATCH(TableWRCalcPts[[#This Row],[WRRef]],TableWRMaster[WRRef],0)),"")</f>
        <v>70.655056034062497</v>
      </c>
      <c r="AI174" s="59" t="s">
        <v>223</v>
      </c>
      <c r="AJ174" s="59">
        <f>IFERROR(RANK(TableWRTECalcPts[[#This Row],[Custom]],TableWRTECalcPts[Custom])+COUNTIF($AP$3:AP174,AP174)-1,"")</f>
        <v>234</v>
      </c>
      <c r="AK174" s="105">
        <v>72</v>
      </c>
      <c r="AL174" s="105" t="str">
        <f>IFERROR(INDEX(TableWRMaster[Player],MATCH(TableWRTECalcPts[[#This Row],[POSRef]],TableWRMaster[WRRef],0)),"")</f>
        <v>Xavier Hutchinson</v>
      </c>
      <c r="AM174" s="105" t="str">
        <f>IFERROR(_xlfn.CONCAT(TableWRTECalcPts[[#This Row],[POS]],INDEX(TableWRRanks[RK],MATCH(TableWRTECalcPts[[#This Row],[PLAYER]],TableWRRanks[Player],0))),"")</f>
        <v>WR162</v>
      </c>
      <c r="AN174" s="105" t="str">
        <f>IFERROR(INDEX(TableWRMaster[TM],MATCH(TableWRTECalcPts[[#This Row],[POSRef]],TableWRMaster[WRRef],0)),"")</f>
        <v>HOU</v>
      </c>
      <c r="AO174" s="105">
        <f>IFERROR(INDEX(TableWRMaster[BYE],MATCH(TableWRTECalcPts[[#This Row],[POSRef]],TableWRMaster[WRRef],0)),"")</f>
        <v>7</v>
      </c>
      <c r="AP174" s="103">
        <f>IFERROR(INDEX(TableWRMaster[Custom],MATCH(TableWRTECalcPts[[#This Row],[POSRef]],TableWRMaster[WRRef],0)),"")</f>
        <v>14.164159959040003</v>
      </c>
    </row>
    <row r="175" spans="8:42" x14ac:dyDescent="0.2">
      <c r="H175" s="59" t="str">
        <f>IFERROR(RANK(TableRBCalcPts[[#This Row],[Custom]],TableRBCalcPts[Custom])+COUNTIF($M$3:M175,M175)-1,"")</f>
        <v/>
      </c>
      <c r="I175" s="59">
        <v>173</v>
      </c>
      <c r="J175" s="59" t="str">
        <f>IFERROR(INDEX(TableRBMaster[Player],MATCH(TableRBCalcPts[[#This Row],[RBRef]],TableRBMaster[RBRef],0)),"")</f>
        <v/>
      </c>
      <c r="K175" s="59" t="str">
        <f>IFERROR(INDEX(TableRBMaster[TM],MATCH(TableRBCalcPts[[#This Row],[RBRef]],TableRBMaster[RBRef],0)),"")</f>
        <v/>
      </c>
      <c r="L175" s="59" t="str">
        <f>IFERROR(INDEX(TableRBMaster[BYE],MATCH(TableRBCalcPts[[#This Row],[RBRef]],TableRBMaster[RBRef],0)),"")</f>
        <v/>
      </c>
      <c r="M175" s="60" t="str">
        <f>IFERROR(INDEX(TableRBMaster[Custom],MATCH(TableRBCalcPts[[#This Row],[RBRef]],TableRBMaster[RBRef],0)),"")</f>
        <v/>
      </c>
      <c r="O175" s="59">
        <f>IFERROR(RANK(TableWRCalcPts[[#This Row],[Custom]],TableWRCalcPts[Custom])+COUNTIF($T$3:T175,T175)-1,"")</f>
        <v>120</v>
      </c>
      <c r="P175" s="59">
        <v>173</v>
      </c>
      <c r="Q175" s="59" t="str">
        <f>IFERROR(INDEX(TableWRMaster[Player],MATCH(TableWRCalcPts[[#This Row],[WRRef]],TableWRMaster[WRRef],0)),"")</f>
        <v>Treylon Burks</v>
      </c>
      <c r="R175" s="59" t="str">
        <f>IFERROR(INDEX(TableWRMaster[TM],MATCH(TableWRCalcPts[[#This Row],[WRRef]],TableWRMaster[WRRef],0)),"")</f>
        <v>TEN</v>
      </c>
      <c r="S175" s="59">
        <f>IFERROR(INDEX(TableWRMaster[BYE],MATCH(TableWRCalcPts[[#This Row],[WRRef]],TableWRMaster[WRRef],0)),"")</f>
        <v>7</v>
      </c>
      <c r="T175" s="60">
        <f>IFERROR(INDEX(TableWRMaster[Custom],MATCH(TableWRCalcPts[[#This Row],[WRRef]],TableWRMaster[WRRef],0)),"")</f>
        <v>31.770527688899989</v>
      </c>
      <c r="AI175" s="59" t="s">
        <v>223</v>
      </c>
      <c r="AJ175" s="59">
        <f>IFERROR(RANK(TableWRTECalcPts[[#This Row],[Custom]],TableWRTECalcPts[Custom])+COUNTIF($AP$3:AP175,AP175)-1,"")</f>
        <v>261</v>
      </c>
      <c r="AK175" s="105">
        <v>73</v>
      </c>
      <c r="AL175" s="105" t="str">
        <f>IFERROR(INDEX(TableWRMaster[Player],MATCH(TableWRTECalcPts[[#This Row],[POSRef]],TableWRMaster[WRRef],0)),"")</f>
        <v>John Metchie</v>
      </c>
      <c r="AM175" s="105" t="str">
        <f>IFERROR(_xlfn.CONCAT(TableWRTECalcPts[[#This Row],[POS]],INDEX(TableWRRanks[RK],MATCH(TableWRTECalcPts[[#This Row],[PLAYER]],TableWRRanks[Player],0))),"")</f>
        <v>WR180</v>
      </c>
      <c r="AN175" s="105" t="str">
        <f>IFERROR(INDEX(TableWRMaster[TM],MATCH(TableWRTECalcPts[[#This Row],[POSRef]],TableWRMaster[WRRef],0)),"")</f>
        <v>HOU</v>
      </c>
      <c r="AO175" s="105">
        <f>IFERROR(INDEX(TableWRMaster[BYE],MATCH(TableWRTECalcPts[[#This Row],[POSRef]],TableWRMaster[WRRef],0)),"")</f>
        <v>7</v>
      </c>
      <c r="AP175" s="103">
        <f>IFERROR(INDEX(TableWRMaster[Custom],MATCH(TableWRTECalcPts[[#This Row],[POSRef]],TableWRMaster[WRRef],0)),"")</f>
        <v>7.2790656556800002</v>
      </c>
    </row>
    <row r="176" spans="8:42" x14ac:dyDescent="0.2">
      <c r="H176" s="59" t="str">
        <f>IFERROR(RANK(TableRBCalcPts[[#This Row],[Custom]],TableRBCalcPts[Custom])+COUNTIF($M$3:M176,M176)-1,"")</f>
        <v/>
      </c>
      <c r="I176" s="59">
        <v>174</v>
      </c>
      <c r="J176" s="59" t="str">
        <f>IFERROR(INDEX(TableRBMaster[Player],MATCH(TableRBCalcPts[[#This Row],[RBRef]],TableRBMaster[RBRef],0)),"")</f>
        <v/>
      </c>
      <c r="K176" s="59" t="str">
        <f>IFERROR(INDEX(TableRBMaster[TM],MATCH(TableRBCalcPts[[#This Row],[RBRef]],TableRBMaster[RBRef],0)),"")</f>
        <v/>
      </c>
      <c r="L176" s="59" t="str">
        <f>IFERROR(INDEX(TableRBMaster[BYE],MATCH(TableRBCalcPts[[#This Row],[RBRef]],TableRBMaster[RBRef],0)),"")</f>
        <v/>
      </c>
      <c r="M176" s="60" t="str">
        <f>IFERROR(INDEX(TableRBMaster[Custom],MATCH(TableRBCalcPts[[#This Row],[RBRef]],TableRBMaster[RBRef],0)),"")</f>
        <v/>
      </c>
      <c r="O176" s="59">
        <f>IFERROR(RANK(TableWRCalcPts[[#This Row],[Custom]],TableWRCalcPts[Custom])+COUNTIF($T$3:T176,T176)-1,"")</f>
        <v>150</v>
      </c>
      <c r="P176" s="59">
        <v>174</v>
      </c>
      <c r="Q176" s="59" t="str">
        <f>IFERROR(INDEX(TableWRMaster[Player],MATCH(TableWRCalcPts[[#This Row],[WRRef]],TableWRMaster[WRRef],0)),"")</f>
        <v>Nick Westbrook-Ikhine</v>
      </c>
      <c r="R176" s="59" t="str">
        <f>IFERROR(INDEX(TableWRMaster[TM],MATCH(TableWRCalcPts[[#This Row],[WRRef]],TableWRMaster[WRRef],0)),"")</f>
        <v>TEN</v>
      </c>
      <c r="S176" s="59">
        <f>IFERROR(INDEX(TableWRMaster[BYE],MATCH(TableWRCalcPts[[#This Row],[WRRef]],TableWRMaster[WRRef],0)),"")</f>
        <v>7</v>
      </c>
      <c r="T176" s="60">
        <f>IFERROR(INDEX(TableWRMaster[Custom],MATCH(TableWRCalcPts[[#This Row],[WRRef]],TableWRMaster[WRRef],0)),"")</f>
        <v>19.367230632749994</v>
      </c>
      <c r="AI176" s="59" t="s">
        <v>223</v>
      </c>
      <c r="AJ176" s="59">
        <f>IFERROR(RANK(TableWRTECalcPts[[#This Row],[Custom]],TableWRTECalcPts[Custom])+COUNTIF($AP$3:AP176,AP176)-1,"")</f>
        <v>49</v>
      </c>
      <c r="AK176" s="105">
        <v>74</v>
      </c>
      <c r="AL176" s="105" t="str">
        <f>IFERROR(INDEX(TableWRMaster[Player],MATCH(TableWRTECalcPts[[#This Row],[POSRef]],TableWRMaster[WRRef],0)),"")</f>
        <v>Michael Pittman</v>
      </c>
      <c r="AM176" s="105" t="str">
        <f>IFERROR(_xlfn.CONCAT(TableWRTECalcPts[[#This Row],[POS]],INDEX(TableWRRanks[RK],MATCH(TableWRTECalcPts[[#This Row],[PLAYER]],TableWRRanks[Player],0))),"")</f>
        <v>WR44</v>
      </c>
      <c r="AN176" s="105" t="str">
        <f>IFERROR(INDEX(TableWRMaster[TM],MATCH(TableWRTECalcPts[[#This Row],[POSRef]],TableWRMaster[WRRef],0)),"")</f>
        <v>IND</v>
      </c>
      <c r="AO176" s="105">
        <f>IFERROR(INDEX(TableWRMaster[BYE],MATCH(TableWRTECalcPts[[#This Row],[POSRef]],TableWRMaster[WRRef],0)),"")</f>
        <v>11</v>
      </c>
      <c r="AP176" s="103">
        <f>IFERROR(INDEX(TableWRMaster[Custom],MATCH(TableWRTECalcPts[[#This Row],[POSRef]],TableWRMaster[WRRef],0)),"")</f>
        <v>161.37858230487842</v>
      </c>
    </row>
    <row r="177" spans="8:42" x14ac:dyDescent="0.2">
      <c r="H177" s="59" t="str">
        <f>IFERROR(RANK(TableRBCalcPts[[#This Row],[Custom]],TableRBCalcPts[Custom])+COUNTIF($M$3:M177,M177)-1,"")</f>
        <v/>
      </c>
      <c r="I177" s="59">
        <v>175</v>
      </c>
      <c r="J177" s="59" t="str">
        <f>IFERROR(INDEX(TableRBMaster[Player],MATCH(TableRBCalcPts[[#This Row],[RBRef]],TableRBMaster[RBRef],0)),"")</f>
        <v/>
      </c>
      <c r="K177" s="59" t="str">
        <f>IFERROR(INDEX(TableRBMaster[TM],MATCH(TableRBCalcPts[[#This Row],[RBRef]],TableRBMaster[RBRef],0)),"")</f>
        <v/>
      </c>
      <c r="L177" s="59" t="str">
        <f>IFERROR(INDEX(TableRBMaster[BYE],MATCH(TableRBCalcPts[[#This Row],[RBRef]],TableRBMaster[RBRef],0)),"")</f>
        <v/>
      </c>
      <c r="M177" s="60" t="str">
        <f>IFERROR(INDEX(TableRBMaster[Custom],MATCH(TableRBCalcPts[[#This Row],[RBRef]],TableRBMaster[RBRef],0)),"")</f>
        <v/>
      </c>
      <c r="O177" s="59">
        <f>IFERROR(RANK(TableWRCalcPts[[#This Row],[Custom]],TableWRCalcPts[Custom])+COUNTIF($T$3:T177,T177)-1,"")</f>
        <v>153</v>
      </c>
      <c r="P177" s="59">
        <v>175</v>
      </c>
      <c r="Q177" s="59" t="str">
        <f>IFERROR(INDEX(TableWRMaster[Player],MATCH(TableWRCalcPts[[#This Row],[WRRef]],TableWRMaster[WRRef],0)),"")</f>
        <v>Kyle Philips</v>
      </c>
      <c r="R177" s="59" t="str">
        <f>IFERROR(INDEX(TableWRMaster[TM],MATCH(TableWRCalcPts[[#This Row],[WRRef]],TableWRMaster[WRRef],0)),"")</f>
        <v>TEN</v>
      </c>
      <c r="S177" s="59">
        <f>IFERROR(INDEX(TableWRMaster[BYE],MATCH(TableWRCalcPts[[#This Row],[WRRef]],TableWRMaster[WRRef],0)),"")</f>
        <v>7</v>
      </c>
      <c r="T177" s="60">
        <f>IFERROR(INDEX(TableWRMaster[Custom],MATCH(TableWRCalcPts[[#This Row],[WRRef]],TableWRMaster[WRRef],0)),"")</f>
        <v>17.676948944654995</v>
      </c>
      <c r="AI177" s="59" t="s">
        <v>223</v>
      </c>
      <c r="AJ177" s="59">
        <f>IFERROR(RANK(TableWRTECalcPts[[#This Row],[Custom]],TableWRTECalcPts[Custom])+COUNTIF($AP$3:AP177,AP177)-1,"")</f>
        <v>86</v>
      </c>
      <c r="AK177" s="105">
        <v>75</v>
      </c>
      <c r="AL177" s="105" t="str">
        <f>IFERROR(INDEX(TableWRMaster[Player],MATCH(TableWRTECalcPts[[#This Row],[POSRef]],TableWRMaster[WRRef],0)),"")</f>
        <v>Adonai Mitchell</v>
      </c>
      <c r="AM177" s="105" t="str">
        <f>IFERROR(_xlfn.CONCAT(TableWRTECalcPts[[#This Row],[POS]],INDEX(TableWRRanks[RK],MATCH(TableWRTECalcPts[[#This Row],[PLAYER]],TableWRRanks[Player],0))),"")</f>
        <v>WR73</v>
      </c>
      <c r="AN177" s="105" t="str">
        <f>IFERROR(INDEX(TableWRMaster[TM],MATCH(TableWRTECalcPts[[#This Row],[POSRef]],TableWRMaster[WRRef],0)),"")</f>
        <v>IND</v>
      </c>
      <c r="AO177" s="105">
        <f>IFERROR(INDEX(TableWRMaster[BYE],MATCH(TableWRTECalcPts[[#This Row],[POSRef]],TableWRMaster[WRRef],0)),"")</f>
        <v>11</v>
      </c>
      <c r="AP177" s="103">
        <f>IFERROR(INDEX(TableWRMaster[Custom],MATCH(TableWRTECalcPts[[#This Row],[POSRef]],TableWRMaster[WRRef],0)),"")</f>
        <v>114.04083314624</v>
      </c>
    </row>
    <row r="178" spans="8:42" x14ac:dyDescent="0.2">
      <c r="M178" s="60"/>
      <c r="O178" s="59">
        <f>IFERROR(RANK(TableWRCalcPts[[#This Row],[Custom]],TableWRCalcPts[Custom])+COUNTIF($T$3:T178,T178)-1,"")</f>
        <v>177</v>
      </c>
      <c r="P178" s="59">
        <v>176</v>
      </c>
      <c r="Q178" s="59" t="str">
        <f>IFERROR(INDEX(TableWRMaster[Player],MATCH(TableWRCalcPts[[#This Row],[WRRef]],TableWRMaster[WRRef],0)),"")</f>
        <v>Jha'Quan Jackson</v>
      </c>
      <c r="R178" s="59" t="str">
        <f>IFERROR(INDEX(TableWRMaster[TM],MATCH(TableWRCalcPts[[#This Row],[WRRef]],TableWRMaster[WRRef],0)),"")</f>
        <v>TEN</v>
      </c>
      <c r="S178" s="59">
        <f>IFERROR(INDEX(TableWRMaster[BYE],MATCH(TableWRCalcPts[[#This Row],[WRRef]],TableWRMaster[WRRef],0)),"")</f>
        <v>7</v>
      </c>
      <c r="T178" s="60">
        <f>IFERROR(INDEX(TableWRMaster[Custom],MATCH(TableWRCalcPts[[#This Row],[WRRef]],TableWRMaster[WRRef],0)),"")</f>
        <v>9.8307059800949972</v>
      </c>
      <c r="AI178" s="59" t="s">
        <v>223</v>
      </c>
      <c r="AJ178" s="59">
        <f>IFERROR(RANK(TableWRTECalcPts[[#This Row],[Custom]],TableWRTECalcPts[Custom])+COUNTIF($AP$3:AP178,AP178)-1,"")</f>
        <v>79</v>
      </c>
      <c r="AK178" s="105">
        <v>76</v>
      </c>
      <c r="AL178" s="105" t="str">
        <f>IFERROR(INDEX(TableWRMaster[Player],MATCH(TableWRTECalcPts[[#This Row],[POSRef]],TableWRMaster[WRRef],0)),"")</f>
        <v>Josh Downs</v>
      </c>
      <c r="AM178" s="105" t="str">
        <f>IFERROR(_xlfn.CONCAT(TableWRTECalcPts[[#This Row],[POS]],INDEX(TableWRRanks[RK],MATCH(TableWRTECalcPts[[#This Row],[PLAYER]],TableWRRanks[Player],0))),"")</f>
        <v>WR67</v>
      </c>
      <c r="AN178" s="105" t="str">
        <f>IFERROR(INDEX(TableWRMaster[TM],MATCH(TableWRTECalcPts[[#This Row],[POSRef]],TableWRMaster[WRRef],0)),"")</f>
        <v>IND</v>
      </c>
      <c r="AO178" s="105">
        <f>IFERROR(INDEX(TableWRMaster[BYE],MATCH(TableWRTECalcPts[[#This Row],[POSRef]],TableWRMaster[WRRef],0)),"")</f>
        <v>11</v>
      </c>
      <c r="AP178" s="103">
        <f>IFERROR(INDEX(TableWRMaster[Custom],MATCH(TableWRTECalcPts[[#This Row],[POSRef]],TableWRMaster[WRRef],0)),"")</f>
        <v>127.45963412582404</v>
      </c>
    </row>
    <row r="179" spans="8:42" x14ac:dyDescent="0.2">
      <c r="M179" s="60"/>
      <c r="O179" s="59">
        <f>IFERROR(RANK(TableWRCalcPts[[#This Row],[Custom]],TableWRCalcPts[Custom])+COUNTIF($T$3:T179,T179)-1,"")</f>
        <v>35</v>
      </c>
      <c r="P179" s="59">
        <v>177</v>
      </c>
      <c r="Q179" s="59" t="str">
        <f>IFERROR(INDEX(TableWRMaster[Player],MATCH(TableWRCalcPts[[#This Row],[WRRef]],TableWRMaster[WRRef],0)),"")</f>
        <v>Terry McLaurin</v>
      </c>
      <c r="R179" s="59" t="str">
        <f>IFERROR(INDEX(TableWRMaster[TM],MATCH(TableWRCalcPts[[#This Row],[WRRef]],TableWRMaster[WRRef],0)),"")</f>
        <v>WSH</v>
      </c>
      <c r="S179" s="59">
        <f>IFERROR(INDEX(TableWRMaster[BYE],MATCH(TableWRCalcPts[[#This Row],[WRRef]],TableWRMaster[WRRef],0)),"")</f>
        <v>14</v>
      </c>
      <c r="T179" s="60">
        <f>IFERROR(INDEX(TableWRMaster[Custom],MATCH(TableWRCalcPts[[#This Row],[WRRef]],TableWRMaster[WRRef],0)),"")</f>
        <v>172.97674860746699</v>
      </c>
      <c r="AI179" s="59" t="s">
        <v>223</v>
      </c>
      <c r="AJ179" s="59">
        <f>IFERROR(RANK(TableWRTECalcPts[[#This Row],[Custom]],TableWRTECalcPts[Custom])+COUNTIF($AP$3:AP179,AP179)-1,"")</f>
        <v>165</v>
      </c>
      <c r="AK179" s="105">
        <v>77</v>
      </c>
      <c r="AL179" s="105" t="str">
        <f>IFERROR(INDEX(TableWRMaster[Player],MATCH(TableWRTECalcPts[[#This Row],[POSRef]],TableWRMaster[WRRef],0)),"")</f>
        <v>Alec Pierce</v>
      </c>
      <c r="AM179" s="105" t="str">
        <f>IFERROR(_xlfn.CONCAT(TableWRTECalcPts[[#This Row],[POS]],INDEX(TableWRRanks[RK],MATCH(TableWRTECalcPts[[#This Row],[PLAYER]],TableWRRanks[Player],0))),"")</f>
        <v>WR119</v>
      </c>
      <c r="AN179" s="105" t="str">
        <f>IFERROR(INDEX(TableWRMaster[TM],MATCH(TableWRTECalcPts[[#This Row],[POSRef]],TableWRMaster[WRRef],0)),"")</f>
        <v>IND</v>
      </c>
      <c r="AO179" s="105">
        <f>IFERROR(INDEX(TableWRMaster[BYE],MATCH(TableWRTECalcPts[[#This Row],[POSRef]],TableWRMaster[WRRef],0)),"")</f>
        <v>11</v>
      </c>
      <c r="AP179" s="103">
        <f>IFERROR(INDEX(TableWRMaster[Custom],MATCH(TableWRTECalcPts[[#This Row],[POSRef]],TableWRMaster[WRRef],0)),"")</f>
        <v>32.196362429000004</v>
      </c>
    </row>
    <row r="180" spans="8:42" x14ac:dyDescent="0.2">
      <c r="M180" s="60"/>
      <c r="O180" s="59">
        <f>IFERROR(RANK(TableWRCalcPts[[#This Row],[Custom]],TableWRCalcPts[Custom])+COUNTIF($T$3:T180,T180)-1,"")</f>
        <v>58</v>
      </c>
      <c r="P180" s="59">
        <v>178</v>
      </c>
      <c r="Q180" s="59" t="str">
        <f>IFERROR(INDEX(TableWRMaster[Player],MATCH(TableWRCalcPts[[#This Row],[WRRef]],TableWRMaster[WRRef],0)),"")</f>
        <v>Jahan Dotson</v>
      </c>
      <c r="R180" s="59" t="str">
        <f>IFERROR(INDEX(TableWRMaster[TM],MATCH(TableWRCalcPts[[#This Row],[WRRef]],TableWRMaster[WRRef],0)),"")</f>
        <v>WSH</v>
      </c>
      <c r="S180" s="59">
        <f>IFERROR(INDEX(TableWRMaster[BYE],MATCH(TableWRCalcPts[[#This Row],[WRRef]],TableWRMaster[WRRef],0)),"")</f>
        <v>14</v>
      </c>
      <c r="T180" s="60">
        <f>IFERROR(INDEX(TableWRMaster[Custom],MATCH(TableWRCalcPts[[#This Row],[WRRef]],TableWRMaster[WRRef],0)),"")</f>
        <v>139.82779951274537</v>
      </c>
      <c r="AI180" s="59" t="s">
        <v>223</v>
      </c>
      <c r="AJ180" s="59">
        <f>IFERROR(RANK(TableWRTECalcPts[[#This Row],[Custom]],TableWRTECalcPts[Custom])+COUNTIF($AP$3:AP180,AP180)-1,"")</f>
        <v>188</v>
      </c>
      <c r="AK180" s="105">
        <v>78</v>
      </c>
      <c r="AL180" s="105" t="str">
        <f>IFERROR(INDEX(TableWRMaster[Player],MATCH(TableWRTECalcPts[[#This Row],[POSRef]],TableWRMaster[WRRef],0)),"")</f>
        <v>Anthony Gould</v>
      </c>
      <c r="AM180" s="105" t="str">
        <f>IFERROR(_xlfn.CONCAT(TableWRTECalcPts[[#This Row],[POS]],INDEX(TableWRRanks[RK],MATCH(TableWRTECalcPts[[#This Row],[PLAYER]],TableWRRanks[Player],0))),"")</f>
        <v>WR135</v>
      </c>
      <c r="AN180" s="105" t="str">
        <f>IFERROR(INDEX(TableWRMaster[TM],MATCH(TableWRTECalcPts[[#This Row],[POSRef]],TableWRMaster[WRRef],0)),"")</f>
        <v>IND</v>
      </c>
      <c r="AO180" s="105">
        <f>IFERROR(INDEX(TableWRMaster[BYE],MATCH(TableWRTECalcPts[[#This Row],[POSRef]],TableWRMaster[WRRef],0)),"")</f>
        <v>11</v>
      </c>
      <c r="AP180" s="103">
        <f>IFERROR(INDEX(TableWRMaster[Custom],MATCH(TableWRTECalcPts[[#This Row],[POSRef]],TableWRMaster[WRRef],0)),"")</f>
        <v>25.634266435008001</v>
      </c>
    </row>
    <row r="181" spans="8:42" x14ac:dyDescent="0.2">
      <c r="M181" s="60"/>
      <c r="O181" s="59">
        <f>IFERROR(RANK(TableWRCalcPts[[#This Row],[Custom]],TableWRCalcPts[Custom])+COUNTIF($T$3:T181,T181)-1,"")</f>
        <v>88</v>
      </c>
      <c r="P181" s="59">
        <v>179</v>
      </c>
      <c r="Q181" s="59" t="str">
        <f>IFERROR(INDEX(TableWRMaster[Player],MATCH(TableWRCalcPts[[#This Row],[WRRef]],TableWRMaster[WRRef],0)),"")</f>
        <v>Luke McCaffrey</v>
      </c>
      <c r="R181" s="59" t="str">
        <f>IFERROR(INDEX(TableWRMaster[TM],MATCH(TableWRCalcPts[[#This Row],[WRRef]],TableWRMaster[WRRef],0)),"")</f>
        <v>WSH</v>
      </c>
      <c r="S181" s="59">
        <f>IFERROR(INDEX(TableWRMaster[BYE],MATCH(TableWRCalcPts[[#This Row],[WRRef]],TableWRMaster[WRRef],0)),"")</f>
        <v>14</v>
      </c>
      <c r="T181" s="60">
        <f>IFERROR(INDEX(TableWRMaster[Custom],MATCH(TableWRCalcPts[[#This Row],[WRRef]],TableWRMaster[WRRef],0)),"")</f>
        <v>82.713069507515968</v>
      </c>
      <c r="AI181" s="59" t="s">
        <v>223</v>
      </c>
      <c r="AJ181" s="59">
        <f>IFERROR(RANK(TableWRTECalcPts[[#This Row],[Custom]],TableWRTECalcPts[Custom])+COUNTIF($AP$3:AP181,AP181)-1,"")</f>
        <v>35</v>
      </c>
      <c r="AK181" s="105">
        <v>79</v>
      </c>
      <c r="AL181" s="105" t="str">
        <f>IFERROR(INDEX(TableWRMaster[Player],MATCH(TableWRTECalcPts[[#This Row],[POSRef]],TableWRMaster[WRRef],0)),"")</f>
        <v>Brian Thomas</v>
      </c>
      <c r="AM181" s="105" t="str">
        <f>IFERROR(_xlfn.CONCAT(TableWRTECalcPts[[#This Row],[POS]],INDEX(TableWRRanks[RK],MATCH(TableWRTECalcPts[[#This Row],[PLAYER]],TableWRRanks[Player],0))),"")</f>
        <v>WR32</v>
      </c>
      <c r="AN181" s="105" t="str">
        <f>IFERROR(INDEX(TableWRMaster[TM],MATCH(TableWRTECalcPts[[#This Row],[POSRef]],TableWRMaster[WRRef],0)),"")</f>
        <v>JAX</v>
      </c>
      <c r="AO181" s="105">
        <f>IFERROR(INDEX(TableWRMaster[BYE],MATCH(TableWRTECalcPts[[#This Row],[POSRef]],TableWRMaster[WRRef],0)),"")</f>
        <v>9</v>
      </c>
      <c r="AP181" s="103">
        <f>IFERROR(INDEX(TableWRMaster[Custom],MATCH(TableWRTECalcPts[[#This Row],[POSRef]],TableWRMaster[WRRef],0)),"")</f>
        <v>177.04765259999994</v>
      </c>
    </row>
    <row r="182" spans="8:42" x14ac:dyDescent="0.2">
      <c r="M182" s="60"/>
      <c r="O182" s="59">
        <f>IFERROR(RANK(TableWRCalcPts[[#This Row],[Custom]],TableWRCalcPts[Custom])+COUNTIF($T$3:T182,T182)-1,"")</f>
        <v>103</v>
      </c>
      <c r="P182" s="59">
        <v>180</v>
      </c>
      <c r="Q182" s="59" t="str">
        <f>IFERROR(INDEX(TableWRMaster[Player],MATCH(TableWRCalcPts[[#This Row],[WRRef]],TableWRMaster[WRRef],0)),"")</f>
        <v>Jamison Crowder</v>
      </c>
      <c r="R182" s="59" t="str">
        <f>IFERROR(INDEX(TableWRMaster[TM],MATCH(TableWRCalcPts[[#This Row],[WRRef]],TableWRMaster[WRRef],0)),"")</f>
        <v>WSH</v>
      </c>
      <c r="S182" s="59">
        <f>IFERROR(INDEX(TableWRMaster[BYE],MATCH(TableWRCalcPts[[#This Row],[WRRef]],TableWRMaster[WRRef],0)),"")</f>
        <v>14</v>
      </c>
      <c r="T182" s="60">
        <f>IFERROR(INDEX(TableWRMaster[Custom],MATCH(TableWRCalcPts[[#This Row],[WRRef]],TableWRMaster[WRRef],0)),"")</f>
        <v>45.974796266700011</v>
      </c>
      <c r="AI182" s="59" t="s">
        <v>223</v>
      </c>
      <c r="AJ182" s="59">
        <f>IFERROR(RANK(TableWRTECalcPts[[#This Row],[Custom]],TableWRTECalcPts[Custom])+COUNTIF($AP$3:AP182,AP182)-1,"")</f>
        <v>33</v>
      </c>
      <c r="AK182" s="105">
        <v>80</v>
      </c>
      <c r="AL182" s="105" t="str">
        <f>IFERROR(INDEX(TableWRMaster[Player],MATCH(TableWRTECalcPts[[#This Row],[POSRef]],TableWRMaster[WRRef],0)),"")</f>
        <v>Christian Kirk</v>
      </c>
      <c r="AM182" s="105" t="str">
        <f>IFERROR(_xlfn.CONCAT(TableWRTECalcPts[[#This Row],[POS]],INDEX(TableWRRanks[RK],MATCH(TableWRTECalcPts[[#This Row],[PLAYER]],TableWRRanks[Player],0))),"")</f>
        <v>WR30</v>
      </c>
      <c r="AN182" s="105" t="str">
        <f>IFERROR(INDEX(TableWRMaster[TM],MATCH(TableWRTECalcPts[[#This Row],[POSRef]],TableWRMaster[WRRef],0)),"")</f>
        <v>JAX</v>
      </c>
      <c r="AO182" s="105">
        <f>IFERROR(INDEX(TableWRMaster[BYE],MATCH(TableWRTECalcPts[[#This Row],[POSRef]],TableWRMaster[WRRef],0)),"")</f>
        <v>9</v>
      </c>
      <c r="AP182" s="103">
        <f>IFERROR(INDEX(TableWRMaster[Custom],MATCH(TableWRTECalcPts[[#This Row],[POSRef]],TableWRMaster[WRRef],0)),"")</f>
        <v>178.08309643672794</v>
      </c>
    </row>
    <row r="183" spans="8:42" x14ac:dyDescent="0.2">
      <c r="M183" s="60"/>
      <c r="O183" s="59">
        <f>IFERROR(RANK(TableWRCalcPts[[#This Row],[Custom]],TableWRCalcPts[Custom])+COUNTIF($T$3:T183,T183)-1,"")</f>
        <v>149</v>
      </c>
      <c r="P183" s="59">
        <v>181</v>
      </c>
      <c r="Q183" s="59" t="str">
        <f>IFERROR(INDEX(TableWRMaster[Player],MATCH(TableWRCalcPts[[#This Row],[WRRef]],TableWRMaster[WRRef],0)),"")</f>
        <v>Olamide Zaccheaus</v>
      </c>
      <c r="R183" s="59" t="str">
        <f>IFERROR(INDEX(TableWRMaster[TM],MATCH(TableWRCalcPts[[#This Row],[WRRef]],TableWRMaster[WRRef],0)),"")</f>
        <v>WSH</v>
      </c>
      <c r="S183" s="59">
        <f>IFERROR(INDEX(TableWRMaster[BYE],MATCH(TableWRCalcPts[[#This Row],[WRRef]],TableWRMaster[WRRef],0)),"")</f>
        <v>14</v>
      </c>
      <c r="T183" s="60">
        <f>IFERROR(INDEX(TableWRMaster[Custom],MATCH(TableWRCalcPts[[#This Row],[WRRef]],TableWRMaster[WRRef],0)),"")</f>
        <v>19.369401620183996</v>
      </c>
      <c r="AI183" s="59" t="s">
        <v>223</v>
      </c>
      <c r="AJ183" s="59">
        <f>IFERROR(RANK(TableWRTECalcPts[[#This Row],[Custom]],TableWRTECalcPts[Custom])+COUNTIF($AP$3:AP183,AP183)-1,"")</f>
        <v>75</v>
      </c>
      <c r="AK183" s="105">
        <v>81</v>
      </c>
      <c r="AL183" s="105" t="str">
        <f>IFERROR(INDEX(TableWRMaster[Player],MATCH(TableWRTECalcPts[[#This Row],[POSRef]],TableWRMaster[WRRef],0)),"")</f>
        <v>Gabe Davis</v>
      </c>
      <c r="AM183" s="105" t="str">
        <f>IFERROR(_xlfn.CONCAT(TableWRTECalcPts[[#This Row],[POS]],INDEX(TableWRRanks[RK],MATCH(TableWRTECalcPts[[#This Row],[PLAYER]],TableWRRanks[Player],0))),"")</f>
        <v>WR65</v>
      </c>
      <c r="AN183" s="105" t="str">
        <f>IFERROR(INDEX(TableWRMaster[TM],MATCH(TableWRTECalcPts[[#This Row],[POSRef]],TableWRMaster[WRRef],0)),"")</f>
        <v>JAX</v>
      </c>
      <c r="AO183" s="105">
        <f>IFERROR(INDEX(TableWRMaster[BYE],MATCH(TableWRTECalcPts[[#This Row],[POSRef]],TableWRMaster[WRRef],0)),"")</f>
        <v>9</v>
      </c>
      <c r="AP183" s="103">
        <f>IFERROR(INDEX(TableWRMaster[Custom],MATCH(TableWRTECalcPts[[#This Row],[POSRef]],TableWRMaster[WRRef],0)),"")</f>
        <v>134.01963469439997</v>
      </c>
    </row>
    <row r="184" spans="8:42" x14ac:dyDescent="0.2">
      <c r="M184" s="60"/>
      <c r="O184" s="59">
        <f>IFERROR(RANK(TableWRCalcPts[[#This Row],[Custom]],TableWRCalcPts[Custom])+COUNTIF($T$3:T184,T184)-1,"")</f>
        <v>173</v>
      </c>
      <c r="P184" s="59">
        <v>182</v>
      </c>
      <c r="Q184" s="59" t="str">
        <f>IFERROR(INDEX(TableWRMaster[Player],MATCH(TableWRCalcPts[[#This Row],[WRRef]],TableWRMaster[WRRef],0)),"")</f>
        <v>Dyami Brown</v>
      </c>
      <c r="R184" s="59" t="str">
        <f>IFERROR(INDEX(TableWRMaster[TM],MATCH(TableWRCalcPts[[#This Row],[WRRef]],TableWRMaster[WRRef],0)),"")</f>
        <v>WSH</v>
      </c>
      <c r="S184" s="59">
        <f>IFERROR(INDEX(TableWRMaster[BYE],MATCH(TableWRCalcPts[[#This Row],[WRRef]],TableWRMaster[WRRef],0)),"")</f>
        <v>14</v>
      </c>
      <c r="T184" s="60">
        <f>IFERROR(INDEX(TableWRMaster[Custom],MATCH(TableWRCalcPts[[#This Row],[WRRef]],TableWRMaster[WRRef],0)),"")</f>
        <v>10.908131822153999</v>
      </c>
      <c r="AI184" s="59" t="s">
        <v>223</v>
      </c>
      <c r="AJ184" s="59">
        <f>IFERROR(RANK(TableWRTECalcPts[[#This Row],[Custom]],TableWRTECalcPts[Custom])+COUNTIF($AP$3:AP184,AP184)-1,"")</f>
        <v>169</v>
      </c>
      <c r="AK184" s="105">
        <v>82</v>
      </c>
      <c r="AL184" s="105" t="str">
        <f>IFERROR(INDEX(TableWRMaster[Player],MATCH(TableWRTECalcPts[[#This Row],[POSRef]],TableWRMaster[WRRef],0)),"")</f>
        <v>Parker Washington</v>
      </c>
      <c r="AM184" s="105" t="str">
        <f>IFERROR(_xlfn.CONCAT(TableWRTECalcPts[[#This Row],[POS]],INDEX(TableWRRanks[RK],MATCH(TableWRTECalcPts[[#This Row],[PLAYER]],TableWRRanks[Player],0))),"")</f>
        <v>WR121</v>
      </c>
      <c r="AN184" s="105" t="str">
        <f>IFERROR(INDEX(TableWRMaster[TM],MATCH(TableWRTECalcPts[[#This Row],[POSRef]],TableWRMaster[WRRef],0)),"")</f>
        <v>JAX</v>
      </c>
      <c r="AO184" s="105">
        <f>IFERROR(INDEX(TableWRMaster[BYE],MATCH(TableWRTECalcPts[[#This Row],[POSRef]],TableWRMaster[WRRef],0)),"")</f>
        <v>9</v>
      </c>
      <c r="AP184" s="103">
        <f>IFERROR(INDEX(TableWRMaster[Custom],MATCH(TableWRTECalcPts[[#This Row],[POSRef]],TableWRMaster[WRRef],0)),"")</f>
        <v>30.994095000959987</v>
      </c>
    </row>
    <row r="185" spans="8:42" x14ac:dyDescent="0.2">
      <c r="M185" s="60"/>
      <c r="O185" s="59" t="str">
        <f>IFERROR(RANK(TableWRCalcPts[[#This Row],[Custom]],TableWRCalcPts[Custom])+COUNTIF($T$3:T185,T185)-1,"")</f>
        <v/>
      </c>
      <c r="P185" s="59">
        <v>183</v>
      </c>
      <c r="Q185" s="59" t="str">
        <f>IFERROR(INDEX(TableWRMaster[Player],MATCH(TableWRCalcPts[[#This Row],[WRRef]],TableWRMaster[WRRef],0)),"")</f>
        <v/>
      </c>
      <c r="R185" s="59" t="str">
        <f>IFERROR(INDEX(TableWRMaster[TM],MATCH(TableWRCalcPts[[#This Row],[WRRef]],TableWRMaster[WRRef],0)),"")</f>
        <v/>
      </c>
      <c r="S185" s="59" t="str">
        <f>IFERROR(INDEX(TableWRMaster[BYE],MATCH(TableWRCalcPts[[#This Row],[WRRef]],TableWRMaster[WRRef],0)),"")</f>
        <v/>
      </c>
      <c r="T185" s="60" t="str">
        <f>IFERROR(INDEX(TableWRMaster[Custom],MATCH(TableWRCalcPts[[#This Row],[WRRef]],TableWRMaster[WRRef],0)),"")</f>
        <v/>
      </c>
      <c r="AI185" s="59" t="s">
        <v>223</v>
      </c>
      <c r="AJ185" s="59">
        <f>IFERROR(RANK(TableWRTECalcPts[[#This Row],[Custom]],TableWRTECalcPts[Custom])+COUNTIF($AP$3:AP185,AP185)-1,"")</f>
        <v>239</v>
      </c>
      <c r="AK185" s="105">
        <v>83</v>
      </c>
      <c r="AL185" s="105" t="str">
        <f>IFERROR(INDEX(TableWRMaster[Player],MATCH(TableWRTECalcPts[[#This Row],[POSRef]],TableWRMaster[WRRef],0)),"")</f>
        <v>Tim Jones</v>
      </c>
      <c r="AM185" s="105" t="str">
        <f>IFERROR(_xlfn.CONCAT(TableWRTECalcPts[[#This Row],[POS]],INDEX(TableWRRanks[RK],MATCH(TableWRTECalcPts[[#This Row],[PLAYER]],TableWRRanks[Player],0))),"")</f>
        <v>WR165</v>
      </c>
      <c r="AN185" s="105" t="str">
        <f>IFERROR(INDEX(TableWRMaster[TM],MATCH(TableWRTECalcPts[[#This Row],[POSRef]],TableWRMaster[WRRef],0)),"")</f>
        <v>JAX</v>
      </c>
      <c r="AO185" s="105">
        <f>IFERROR(INDEX(TableWRMaster[BYE],MATCH(TableWRTECalcPts[[#This Row],[POSRef]],TableWRMaster[WRRef],0)),"")</f>
        <v>9</v>
      </c>
      <c r="AP185" s="103">
        <f>IFERROR(INDEX(TableWRMaster[Custom],MATCH(TableWRTECalcPts[[#This Row],[POSRef]],TableWRMaster[WRRef],0)),"")</f>
        <v>13.501545220799994</v>
      </c>
    </row>
    <row r="186" spans="8:42" x14ac:dyDescent="0.2">
      <c r="M186" s="60"/>
      <c r="O186" s="59" t="str">
        <f>IFERROR(RANK(TableWRCalcPts[[#This Row],[Custom]],TableWRCalcPts[Custom])+COUNTIF($T$3:T186,T186)-1,"")</f>
        <v/>
      </c>
      <c r="P186" s="59">
        <v>184</v>
      </c>
      <c r="Q186" s="59" t="str">
        <f>IFERROR(INDEX(TableWRMaster[Player],MATCH(TableWRCalcPts[[#This Row],[WRRef]],TableWRMaster[WRRef],0)),"")</f>
        <v/>
      </c>
      <c r="R186" s="59" t="str">
        <f>IFERROR(INDEX(TableWRMaster[TM],MATCH(TableWRCalcPts[[#This Row],[WRRef]],TableWRMaster[WRRef],0)),"")</f>
        <v/>
      </c>
      <c r="S186" s="59" t="str">
        <f>IFERROR(INDEX(TableWRMaster[BYE],MATCH(TableWRCalcPts[[#This Row],[WRRef]],TableWRMaster[WRRef],0)),"")</f>
        <v/>
      </c>
      <c r="T186" s="60" t="str">
        <f>IFERROR(INDEX(TableWRMaster[Custom],MATCH(TableWRCalcPts[[#This Row],[WRRef]],TableWRMaster[WRRef],0)),"")</f>
        <v/>
      </c>
      <c r="AI186" s="59" t="s">
        <v>223</v>
      </c>
      <c r="AJ186" s="59">
        <f>IFERROR(RANK(TableWRTECalcPts[[#This Row],[Custom]],TableWRTECalcPts[Custom])+COUNTIF($AP$3:AP186,AP186)-1,"")</f>
        <v>259</v>
      </c>
      <c r="AK186" s="105">
        <v>84</v>
      </c>
      <c r="AL186" s="105" t="str">
        <f>IFERROR(INDEX(TableWRMaster[Player],MATCH(TableWRTECalcPts[[#This Row],[POSRef]],TableWRMaster[WRRef],0)),"")</f>
        <v>Devin Duvernay</v>
      </c>
      <c r="AM186" s="105" t="str">
        <f>IFERROR(_xlfn.CONCAT(TableWRTECalcPts[[#This Row],[POS]],INDEX(TableWRRanks[RK],MATCH(TableWRTECalcPts[[#This Row],[PLAYER]],TableWRRanks[Player],0))),"")</f>
        <v>WR179</v>
      </c>
      <c r="AN186" s="105" t="str">
        <f>IFERROR(INDEX(TableWRMaster[TM],MATCH(TableWRTECalcPts[[#This Row],[POSRef]],TableWRMaster[WRRef],0)),"")</f>
        <v>JAX</v>
      </c>
      <c r="AO186" s="105">
        <f>IFERROR(INDEX(TableWRMaster[BYE],MATCH(TableWRTECalcPts[[#This Row],[POSRef]],TableWRMaster[WRRef],0)),"")</f>
        <v>9</v>
      </c>
      <c r="AP186" s="103">
        <f>IFERROR(INDEX(TableWRMaster[Custom],MATCH(TableWRTECalcPts[[#This Row],[POSRef]],TableWRMaster[WRRef],0)),"")</f>
        <v>7.4510595235439983</v>
      </c>
    </row>
    <row r="187" spans="8:42" x14ac:dyDescent="0.2">
      <c r="M187" s="60"/>
      <c r="O187" s="59" t="str">
        <f>IFERROR(RANK(TableWRCalcPts[[#This Row],[Custom]],TableWRCalcPts[Custom])+COUNTIF($T$3:T187,T187)-1,"")</f>
        <v/>
      </c>
      <c r="P187" s="59">
        <v>185</v>
      </c>
      <c r="Q187" s="59" t="str">
        <f>IFERROR(INDEX(TableWRMaster[Player],MATCH(TableWRCalcPts[[#This Row],[WRRef]],TableWRMaster[WRRef],0)),"")</f>
        <v/>
      </c>
      <c r="R187" s="59" t="str">
        <f>IFERROR(INDEX(TableWRMaster[TM],MATCH(TableWRCalcPts[[#This Row],[WRRef]],TableWRMaster[WRRef],0)),"")</f>
        <v/>
      </c>
      <c r="S187" s="59" t="str">
        <f>IFERROR(INDEX(TableWRMaster[BYE],MATCH(TableWRCalcPts[[#This Row],[WRRef]],TableWRMaster[WRRef],0)),"")</f>
        <v/>
      </c>
      <c r="T187" s="60" t="str">
        <f>IFERROR(INDEX(TableWRMaster[Custom],MATCH(TableWRCalcPts[[#This Row],[WRRef]],TableWRMaster[WRRef],0)),"")</f>
        <v/>
      </c>
      <c r="AI187" s="59" t="s">
        <v>223</v>
      </c>
      <c r="AJ187" s="59">
        <f>IFERROR(RANK(TableWRTECalcPts[[#This Row],[Custom]],TableWRTECalcPts[Custom])+COUNTIF($AP$3:AP187,AP187)-1,"")</f>
        <v>37</v>
      </c>
      <c r="AK187" s="105">
        <v>85</v>
      </c>
      <c r="AL187" s="105" t="str">
        <f>IFERROR(INDEX(TableWRMaster[Player],MATCH(TableWRTECalcPts[[#This Row],[POSRef]],TableWRMaster[WRRef],0)),"")</f>
        <v>Rashee Rice</v>
      </c>
      <c r="AM187" s="105" t="str">
        <f>IFERROR(_xlfn.CONCAT(TableWRTECalcPts[[#This Row],[POS]],INDEX(TableWRRanks[RK],MATCH(TableWRTECalcPts[[#This Row],[PLAYER]],TableWRRanks[Player],0))),"")</f>
        <v>WR34</v>
      </c>
      <c r="AN187" s="105" t="str">
        <f>IFERROR(INDEX(TableWRMaster[TM],MATCH(TableWRTECalcPts[[#This Row],[POSRef]],TableWRMaster[WRRef],0)),"")</f>
        <v>KC</v>
      </c>
      <c r="AO187" s="105">
        <f>IFERROR(INDEX(TableWRMaster[BYE],MATCH(TableWRTECalcPts[[#This Row],[POSRef]],TableWRMaster[WRRef],0)),"")</f>
        <v>10</v>
      </c>
      <c r="AP187" s="103">
        <f>IFERROR(INDEX(TableWRMaster[Custom],MATCH(TableWRTECalcPts[[#This Row],[POSRef]],TableWRMaster[WRRef],0)),"")</f>
        <v>174.33131313919995</v>
      </c>
    </row>
    <row r="188" spans="8:42" x14ac:dyDescent="0.2">
      <c r="M188" s="60"/>
      <c r="O188" s="59" t="str">
        <f>IFERROR(RANK(TableWRCalcPts[[#This Row],[Custom]],TableWRCalcPts[Custom])+COUNTIF($T$3:T188,T188)-1,"")</f>
        <v/>
      </c>
      <c r="P188" s="59">
        <v>186</v>
      </c>
      <c r="Q188" s="59" t="str">
        <f>IFERROR(INDEX(TableWRMaster[Player],MATCH(TableWRCalcPts[[#This Row],[WRRef]],TableWRMaster[WRRef],0)),"")</f>
        <v/>
      </c>
      <c r="R188" s="59" t="str">
        <f>IFERROR(INDEX(TableWRMaster[TM],MATCH(TableWRCalcPts[[#This Row],[WRRef]],TableWRMaster[WRRef],0)),"")</f>
        <v/>
      </c>
      <c r="S188" s="59" t="str">
        <f>IFERROR(INDEX(TableWRMaster[BYE],MATCH(TableWRCalcPts[[#This Row],[WRRef]],TableWRMaster[WRRef],0)),"")</f>
        <v/>
      </c>
      <c r="T188" s="60" t="str">
        <f>IFERROR(INDEX(TableWRMaster[Custom],MATCH(TableWRCalcPts[[#This Row],[WRRef]],TableWRMaster[WRRef],0)),"")</f>
        <v/>
      </c>
      <c r="AI188" s="59" t="s">
        <v>223</v>
      </c>
      <c r="AJ188" s="59">
        <f>IFERROR(RANK(TableWRTECalcPts[[#This Row],[Custom]],TableWRTECalcPts[Custom])+COUNTIF($AP$3:AP188,AP188)-1,"")</f>
        <v>52</v>
      </c>
      <c r="AK188" s="105">
        <v>86</v>
      </c>
      <c r="AL188" s="105" t="str">
        <f>IFERROR(INDEX(TableWRMaster[Player],MATCH(TableWRTECalcPts[[#This Row],[POSRef]],TableWRMaster[WRRef],0)),"")</f>
        <v>Xavier Worthy</v>
      </c>
      <c r="AM188" s="105" t="str">
        <f>IFERROR(_xlfn.CONCAT(TableWRTECalcPts[[#This Row],[POS]],INDEX(TableWRRanks[RK],MATCH(TableWRTECalcPts[[#This Row],[PLAYER]],TableWRRanks[Player],0))),"")</f>
        <v>WR47</v>
      </c>
      <c r="AN188" s="105" t="str">
        <f>IFERROR(INDEX(TableWRMaster[TM],MATCH(TableWRTECalcPts[[#This Row],[POSRef]],TableWRMaster[WRRef],0)),"")</f>
        <v>KC</v>
      </c>
      <c r="AO188" s="105">
        <f>IFERROR(INDEX(TableWRMaster[BYE],MATCH(TableWRTECalcPts[[#This Row],[POSRef]],TableWRMaster[WRRef],0)),"")</f>
        <v>10</v>
      </c>
      <c r="AP188" s="103">
        <f>IFERROR(INDEX(TableWRMaster[Custom],MATCH(TableWRTECalcPts[[#This Row],[POSRef]],TableWRMaster[WRRef],0)),"")</f>
        <v>159.24169963519995</v>
      </c>
    </row>
    <row r="189" spans="8:42" x14ac:dyDescent="0.2">
      <c r="M189" s="60"/>
      <c r="O189" s="59" t="str">
        <f>IFERROR(RANK(TableWRCalcPts[[#This Row],[Custom]],TableWRCalcPts[Custom])+COUNTIF($T$3:T189,T189)-1,"")</f>
        <v/>
      </c>
      <c r="P189" s="59">
        <v>187</v>
      </c>
      <c r="Q189" s="59" t="str">
        <f>IFERROR(INDEX(TableWRMaster[Player],MATCH(TableWRCalcPts[[#This Row],[WRRef]],TableWRMaster[WRRef],0)),"")</f>
        <v/>
      </c>
      <c r="R189" s="59" t="str">
        <f>IFERROR(INDEX(TableWRMaster[TM],MATCH(TableWRCalcPts[[#This Row],[WRRef]],TableWRMaster[WRRef],0)),"")</f>
        <v/>
      </c>
      <c r="S189" s="59" t="str">
        <f>IFERROR(INDEX(TableWRMaster[BYE],MATCH(TableWRCalcPts[[#This Row],[WRRef]],TableWRMaster[WRRef],0)),"")</f>
        <v/>
      </c>
      <c r="T189" s="60" t="str">
        <f>IFERROR(INDEX(TableWRMaster[Custom],MATCH(TableWRCalcPts[[#This Row],[WRRef]],TableWRMaster[WRRef],0)),"")</f>
        <v/>
      </c>
      <c r="AI189" s="59" t="s">
        <v>223</v>
      </c>
      <c r="AJ189" s="59">
        <f>IFERROR(RANK(TableWRTECalcPts[[#This Row],[Custom]],TableWRTECalcPts[Custom])+COUNTIF($AP$3:AP189,AP189)-1,"")</f>
        <v>61</v>
      </c>
      <c r="AK189" s="105">
        <v>87</v>
      </c>
      <c r="AL189" s="105" t="str">
        <f>IFERROR(INDEX(TableWRMaster[Player],MATCH(TableWRTECalcPts[[#This Row],[POSRef]],TableWRMaster[WRRef],0)),"")</f>
        <v>Marquise Brown</v>
      </c>
      <c r="AM189" s="105" t="str">
        <f>IFERROR(_xlfn.CONCAT(TableWRTECalcPts[[#This Row],[POS]],INDEX(TableWRRanks[RK],MATCH(TableWRTECalcPts[[#This Row],[PLAYER]],TableWRRanks[Player],0))),"")</f>
        <v>WR54</v>
      </c>
      <c r="AN189" s="105" t="str">
        <f>IFERROR(INDEX(TableWRMaster[TM],MATCH(TableWRTECalcPts[[#This Row],[POSRef]],TableWRMaster[WRRef],0)),"")</f>
        <v>KC</v>
      </c>
      <c r="AO189" s="105">
        <f>IFERROR(INDEX(TableWRMaster[BYE],MATCH(TableWRTECalcPts[[#This Row],[POSRef]],TableWRMaster[WRRef],0)),"")</f>
        <v>10</v>
      </c>
      <c r="AP189" s="103">
        <f>IFERROR(INDEX(TableWRMaster[Custom],MATCH(TableWRTECalcPts[[#This Row],[POSRef]],TableWRMaster[WRRef],0)),"")</f>
        <v>147.63615491071997</v>
      </c>
    </row>
    <row r="190" spans="8:42" x14ac:dyDescent="0.2">
      <c r="M190" s="60"/>
      <c r="O190" s="59" t="str">
        <f>IFERROR(RANK(TableWRCalcPts[[#This Row],[Custom]],TableWRCalcPts[Custom])+COUNTIF($T$3:T190,T190)-1,"")</f>
        <v/>
      </c>
      <c r="P190" s="59">
        <v>188</v>
      </c>
      <c r="Q190" s="59" t="str">
        <f>IFERROR(INDEX(TableWRMaster[Player],MATCH(TableWRCalcPts[[#This Row],[WRRef]],TableWRMaster[WRRef],0)),"")</f>
        <v/>
      </c>
      <c r="R190" s="59" t="str">
        <f>IFERROR(INDEX(TableWRMaster[TM],MATCH(TableWRCalcPts[[#This Row],[WRRef]],TableWRMaster[WRRef],0)),"")</f>
        <v/>
      </c>
      <c r="S190" s="59" t="str">
        <f>IFERROR(INDEX(TableWRMaster[BYE],MATCH(TableWRCalcPts[[#This Row],[WRRef]],TableWRMaster[WRRef],0)),"")</f>
        <v/>
      </c>
      <c r="T190" s="60" t="str">
        <f>IFERROR(INDEX(TableWRMaster[Custom],MATCH(TableWRCalcPts[[#This Row],[WRRef]],TableWRMaster[WRRef],0)),"")</f>
        <v/>
      </c>
      <c r="AI190" s="59" t="s">
        <v>223</v>
      </c>
      <c r="AJ190" s="59">
        <f>IFERROR(RANK(TableWRTECalcPts[[#This Row],[Custom]],TableWRTECalcPts[Custom])+COUNTIF($AP$3:AP190,AP190)-1,"")</f>
        <v>140</v>
      </c>
      <c r="AK190" s="105">
        <v>88</v>
      </c>
      <c r="AL190" s="105" t="str">
        <f>IFERROR(INDEX(TableWRMaster[Player],MATCH(TableWRTECalcPts[[#This Row],[POSRef]],TableWRMaster[WRRef],0)),"")</f>
        <v>Kadarius Toney</v>
      </c>
      <c r="AM190" s="105" t="str">
        <f>IFERROR(_xlfn.CONCAT(TableWRTECalcPts[[#This Row],[POS]],INDEX(TableWRRanks[RK],MATCH(TableWRTECalcPts[[#This Row],[PLAYER]],TableWRRanks[Player],0))),"")</f>
        <v>WR101</v>
      </c>
      <c r="AN190" s="105" t="str">
        <f>IFERROR(INDEX(TableWRMaster[TM],MATCH(TableWRTECalcPts[[#This Row],[POSRef]],TableWRMaster[WRRef],0)),"")</f>
        <v>KC</v>
      </c>
      <c r="AO190" s="105">
        <f>IFERROR(INDEX(TableWRMaster[BYE],MATCH(TableWRTECalcPts[[#This Row],[POSRef]],TableWRMaster[WRRef],0)),"")</f>
        <v>10</v>
      </c>
      <c r="AP190" s="103">
        <f>IFERROR(INDEX(TableWRMaster[Custom],MATCH(TableWRTECalcPts[[#This Row],[POSRef]],TableWRMaster[WRRef],0)),"")</f>
        <v>54.303811994879979</v>
      </c>
    </row>
    <row r="191" spans="8:42" x14ac:dyDescent="0.2">
      <c r="M191" s="60"/>
      <c r="O191" s="59" t="str">
        <f>IFERROR(RANK(TableWRCalcPts[[#This Row],[Custom]],TableWRCalcPts[Custom])+COUNTIF($T$3:T191,T191)-1,"")</f>
        <v/>
      </c>
      <c r="P191" s="59">
        <v>189</v>
      </c>
      <c r="Q191" s="59" t="str">
        <f>IFERROR(INDEX(TableWRMaster[Player],MATCH(TableWRCalcPts[[#This Row],[WRRef]],TableWRMaster[WRRef],0)),"")</f>
        <v/>
      </c>
      <c r="R191" s="59" t="str">
        <f>IFERROR(INDEX(TableWRMaster[TM],MATCH(TableWRCalcPts[[#This Row],[WRRef]],TableWRMaster[WRRef],0)),"")</f>
        <v/>
      </c>
      <c r="S191" s="59" t="str">
        <f>IFERROR(INDEX(TableWRMaster[BYE],MATCH(TableWRCalcPts[[#This Row],[WRRef]],TableWRMaster[WRRef],0)),"")</f>
        <v/>
      </c>
      <c r="T191" s="60" t="str">
        <f>IFERROR(INDEX(TableWRMaster[Custom],MATCH(TableWRCalcPts[[#This Row],[WRRef]],TableWRMaster[WRRef],0)),"")</f>
        <v/>
      </c>
      <c r="AI191" s="59" t="s">
        <v>223</v>
      </c>
      <c r="AJ191" s="59">
        <f>IFERROR(RANK(TableWRTECalcPts[[#This Row],[Custom]],TableWRTECalcPts[Custom])+COUNTIF($AP$3:AP191,AP191)-1,"")</f>
        <v>155</v>
      </c>
      <c r="AK191" s="105">
        <v>89</v>
      </c>
      <c r="AL191" s="105" t="str">
        <f>IFERROR(INDEX(TableWRMaster[Player],MATCH(TableWRTECalcPts[[#This Row],[POSRef]],TableWRMaster[WRRef],0)),"")</f>
        <v>Justin Watson</v>
      </c>
      <c r="AM191" s="105" t="str">
        <f>IFERROR(_xlfn.CONCAT(TableWRTECalcPts[[#This Row],[POS]],INDEX(TableWRRanks[RK],MATCH(TableWRTECalcPts[[#This Row],[PLAYER]],TableWRRanks[Player],0))),"")</f>
        <v>WR110</v>
      </c>
      <c r="AN191" s="105" t="str">
        <f>IFERROR(INDEX(TableWRMaster[TM],MATCH(TableWRTECalcPts[[#This Row],[POSRef]],TableWRMaster[WRRef],0)),"")</f>
        <v>KC</v>
      </c>
      <c r="AO191" s="105">
        <f>IFERROR(INDEX(TableWRMaster[BYE],MATCH(TableWRTECalcPts[[#This Row],[POSRef]],TableWRMaster[WRRef],0)),"")</f>
        <v>10</v>
      </c>
      <c r="AP191" s="103">
        <f>IFERROR(INDEX(TableWRMaster[Custom],MATCH(TableWRTECalcPts[[#This Row],[POSRef]],TableWRMaster[WRRef],0)),"")</f>
        <v>37.446326628479994</v>
      </c>
    </row>
    <row r="192" spans="8:42" x14ac:dyDescent="0.2">
      <c r="M192" s="60"/>
      <c r="O192" s="59" t="str">
        <f>IFERROR(RANK(TableWRCalcPts[[#This Row],[Custom]],TableWRCalcPts[Custom])+COUNTIF($T$3:T192,T192)-1,"")</f>
        <v/>
      </c>
      <c r="P192" s="59">
        <v>190</v>
      </c>
      <c r="Q192" s="59" t="str">
        <f>IFERROR(INDEX(TableWRMaster[Player],MATCH(TableWRCalcPts[[#This Row],[WRRef]],TableWRMaster[WRRef],0)),"")</f>
        <v/>
      </c>
      <c r="R192" s="59" t="str">
        <f>IFERROR(INDEX(TableWRMaster[TM],MATCH(TableWRCalcPts[[#This Row],[WRRef]],TableWRMaster[WRRef],0)),"")</f>
        <v/>
      </c>
      <c r="S192" s="59" t="str">
        <f>IFERROR(INDEX(TableWRMaster[BYE],MATCH(TableWRCalcPts[[#This Row],[WRRef]],TableWRMaster[WRRef],0)),"")</f>
        <v/>
      </c>
      <c r="T192" s="60" t="str">
        <f>IFERROR(INDEX(TableWRMaster[Custom],MATCH(TableWRCalcPts[[#This Row],[WRRef]],TableWRMaster[WRRef],0)),"")</f>
        <v/>
      </c>
      <c r="AI192" s="59" t="s">
        <v>223</v>
      </c>
      <c r="AJ192" s="59">
        <f>IFERROR(RANK(TableWRTECalcPts[[#This Row],[Custom]],TableWRTECalcPts[Custom])+COUNTIF($AP$3:AP192,AP192)-1,"")</f>
        <v>175</v>
      </c>
      <c r="AK192" s="105">
        <v>90</v>
      </c>
      <c r="AL192" s="105" t="str">
        <f>IFERROR(INDEX(TableWRMaster[Player],MATCH(TableWRTECalcPts[[#This Row],[POSRef]],TableWRMaster[WRRef],0)),"")</f>
        <v>Skyy Moore</v>
      </c>
      <c r="AM192" s="105" t="str">
        <f>IFERROR(_xlfn.CONCAT(TableWRTECalcPts[[#This Row],[POS]],INDEX(TableWRRanks[RK],MATCH(TableWRTECalcPts[[#This Row],[PLAYER]],TableWRRanks[Player],0))),"")</f>
        <v>WR127</v>
      </c>
      <c r="AN192" s="105" t="str">
        <f>IFERROR(INDEX(TableWRMaster[TM],MATCH(TableWRTECalcPts[[#This Row],[POSRef]],TableWRMaster[WRRef],0)),"")</f>
        <v>KC</v>
      </c>
      <c r="AO192" s="105">
        <f>IFERROR(INDEX(TableWRMaster[BYE],MATCH(TableWRTECalcPts[[#This Row],[POSRef]],TableWRMaster[WRRef],0)),"")</f>
        <v>10</v>
      </c>
      <c r="AP192" s="103">
        <f>IFERROR(INDEX(TableWRMaster[Custom],MATCH(TableWRTECalcPts[[#This Row],[POSRef]],TableWRMaster[WRRef],0)),"")</f>
        <v>29.163992088000001</v>
      </c>
    </row>
    <row r="193" spans="13:42" x14ac:dyDescent="0.2">
      <c r="M193" s="60"/>
      <c r="O193" s="59" t="str">
        <f>IFERROR(RANK(TableWRCalcPts[[#This Row],[Custom]],TableWRCalcPts[Custom])+COUNTIF($T$3:T193,T193)-1,"")</f>
        <v/>
      </c>
      <c r="P193" s="59">
        <v>191</v>
      </c>
      <c r="Q193" s="59" t="str">
        <f>IFERROR(INDEX(TableWRMaster[Player],MATCH(TableWRCalcPts[[#This Row],[WRRef]],TableWRMaster[WRRef],0)),"")</f>
        <v/>
      </c>
      <c r="R193" s="59" t="str">
        <f>IFERROR(INDEX(TableWRMaster[TM],MATCH(TableWRCalcPts[[#This Row],[WRRef]],TableWRMaster[WRRef],0)),"")</f>
        <v/>
      </c>
      <c r="S193" s="59" t="str">
        <f>IFERROR(INDEX(TableWRMaster[BYE],MATCH(TableWRCalcPts[[#This Row],[WRRef]],TableWRMaster[WRRef],0)),"")</f>
        <v/>
      </c>
      <c r="T193" s="60" t="str">
        <f>IFERROR(INDEX(TableWRMaster[Custom],MATCH(TableWRCalcPts[[#This Row],[WRRef]],TableWRMaster[WRRef],0)),"")</f>
        <v/>
      </c>
      <c r="AI193" s="59" t="s">
        <v>223</v>
      </c>
      <c r="AJ193" s="59">
        <f>IFERROR(RANK(TableWRTECalcPts[[#This Row],[Custom]],TableWRTECalcPts[Custom])+COUNTIF($AP$3:AP193,AP193)-1,"")</f>
        <v>45</v>
      </c>
      <c r="AK193" s="105">
        <v>91</v>
      </c>
      <c r="AL193" s="105" t="str">
        <f>IFERROR(INDEX(TableWRMaster[Player],MATCH(TableWRTECalcPts[[#This Row],[POSRef]],TableWRMaster[WRRef],0)),"")</f>
        <v>Ladd McConkey</v>
      </c>
      <c r="AM193" s="105" t="str">
        <f>IFERROR(_xlfn.CONCAT(TableWRTECalcPts[[#This Row],[POS]],INDEX(TableWRRanks[RK],MATCH(TableWRTECalcPts[[#This Row],[PLAYER]],TableWRRanks[Player],0))),"")</f>
        <v>WR41</v>
      </c>
      <c r="AN193" s="105" t="str">
        <f>IFERROR(INDEX(TableWRMaster[TM],MATCH(TableWRTECalcPts[[#This Row],[POSRef]],TableWRMaster[WRRef],0)),"")</f>
        <v>LAC</v>
      </c>
      <c r="AO193" s="105">
        <f>IFERROR(INDEX(TableWRMaster[BYE],MATCH(TableWRTECalcPts[[#This Row],[POSRef]],TableWRMaster[WRRef],0)),"")</f>
        <v>5</v>
      </c>
      <c r="AP193" s="103">
        <f>IFERROR(INDEX(TableWRMaster[Custom],MATCH(TableWRTECalcPts[[#This Row],[POSRef]],TableWRMaster[WRRef],0)),"")</f>
        <v>166.25112709127995</v>
      </c>
    </row>
    <row r="194" spans="13:42" x14ac:dyDescent="0.2">
      <c r="M194" s="60"/>
      <c r="O194" s="59" t="str">
        <f>IFERROR(RANK(TableWRCalcPts[[#This Row],[Custom]],TableWRCalcPts[Custom])+COUNTIF($T$3:T194,T194)-1,"")</f>
        <v/>
      </c>
      <c r="P194" s="59">
        <v>192</v>
      </c>
      <c r="Q194" s="59" t="str">
        <f>IFERROR(INDEX(TableWRMaster[Player],MATCH(TableWRCalcPts[[#This Row],[WRRef]],TableWRMaster[WRRef],0)),"")</f>
        <v/>
      </c>
      <c r="R194" s="59" t="str">
        <f>IFERROR(INDEX(TableWRMaster[TM],MATCH(TableWRCalcPts[[#This Row],[WRRef]],TableWRMaster[WRRef],0)),"")</f>
        <v/>
      </c>
      <c r="S194" s="59" t="str">
        <f>IFERROR(INDEX(TableWRMaster[BYE],MATCH(TableWRCalcPts[[#This Row],[WRRef]],TableWRMaster[WRRef],0)),"")</f>
        <v/>
      </c>
      <c r="T194" s="60" t="str">
        <f>IFERROR(INDEX(TableWRMaster[Custom],MATCH(TableWRCalcPts[[#This Row],[WRRef]],TableWRMaster[WRRef],0)),"")</f>
        <v/>
      </c>
      <c r="AI194" s="59" t="s">
        <v>223</v>
      </c>
      <c r="AJ194" s="59">
        <f>IFERROR(RANK(TableWRTECalcPts[[#This Row],[Custom]],TableWRTECalcPts[Custom])+COUNTIF($AP$3:AP194,AP194)-1,"")</f>
        <v>80</v>
      </c>
      <c r="AK194" s="105">
        <v>92</v>
      </c>
      <c r="AL194" s="105" t="str">
        <f>IFERROR(INDEX(TableWRMaster[Player],MATCH(TableWRTECalcPts[[#This Row],[POSRef]],TableWRMaster[WRRef],0)),"")</f>
        <v>Quentin Johnston</v>
      </c>
      <c r="AM194" s="105" t="str">
        <f>IFERROR(_xlfn.CONCAT(TableWRTECalcPts[[#This Row],[POS]],INDEX(TableWRRanks[RK],MATCH(TableWRTECalcPts[[#This Row],[PLAYER]],TableWRRanks[Player],0))),"")</f>
        <v>WR68</v>
      </c>
      <c r="AN194" s="105" t="str">
        <f>IFERROR(INDEX(TableWRMaster[TM],MATCH(TableWRTECalcPts[[#This Row],[POSRef]],TableWRMaster[WRRef],0)),"")</f>
        <v>LAC</v>
      </c>
      <c r="AO194" s="105">
        <f>IFERROR(INDEX(TableWRMaster[BYE],MATCH(TableWRTECalcPts[[#This Row],[POSRef]],TableWRMaster[WRRef],0)),"")</f>
        <v>5</v>
      </c>
      <c r="AP194" s="103">
        <f>IFERROR(INDEX(TableWRMaster[Custom],MATCH(TableWRTECalcPts[[#This Row],[POSRef]],TableWRMaster[WRRef],0)),"")</f>
        <v>126.53990116431299</v>
      </c>
    </row>
    <row r="195" spans="13:42" x14ac:dyDescent="0.2">
      <c r="M195" s="60"/>
      <c r="O195" s="59" t="str">
        <f>IFERROR(RANK(TableWRCalcPts[[#This Row],[Custom]],TableWRCalcPts[Custom])+COUNTIF($T$3:T195,T195)-1,"")</f>
        <v/>
      </c>
      <c r="P195" s="59">
        <v>193</v>
      </c>
      <c r="Q195" s="59" t="str">
        <f>IFERROR(INDEX(TableWRMaster[Player],MATCH(TableWRCalcPts[[#This Row],[WRRef]],TableWRMaster[WRRef],0)),"")</f>
        <v/>
      </c>
      <c r="R195" s="59" t="str">
        <f>IFERROR(INDEX(TableWRMaster[TM],MATCH(TableWRCalcPts[[#This Row],[WRRef]],TableWRMaster[WRRef],0)),"")</f>
        <v/>
      </c>
      <c r="S195" s="59" t="str">
        <f>IFERROR(INDEX(TableWRMaster[BYE],MATCH(TableWRCalcPts[[#This Row],[WRRef]],TableWRMaster[WRRef],0)),"")</f>
        <v/>
      </c>
      <c r="T195" s="60" t="str">
        <f>IFERROR(INDEX(TableWRMaster[Custom],MATCH(TableWRCalcPts[[#This Row],[WRRef]],TableWRMaster[WRRef],0)),"")</f>
        <v/>
      </c>
      <c r="AI195" s="59" t="s">
        <v>223</v>
      </c>
      <c r="AJ195" s="59">
        <f>IFERROR(RANK(TableWRTECalcPts[[#This Row],[Custom]],TableWRTECalcPts[Custom])+COUNTIF($AP$3:AP195,AP195)-1,"")</f>
        <v>74</v>
      </c>
      <c r="AK195" s="105">
        <v>93</v>
      </c>
      <c r="AL195" s="105" t="str">
        <f>IFERROR(INDEX(TableWRMaster[Player],MATCH(TableWRTECalcPts[[#This Row],[POSRef]],TableWRMaster[WRRef],0)),"")</f>
        <v>Joshua Palmer</v>
      </c>
      <c r="AM195" s="105" t="str">
        <f>IFERROR(_xlfn.CONCAT(TableWRTECalcPts[[#This Row],[POS]],INDEX(TableWRRanks[RK],MATCH(TableWRTECalcPts[[#This Row],[PLAYER]],TableWRRanks[Player],0))),"")</f>
        <v>WR64</v>
      </c>
      <c r="AN195" s="105" t="str">
        <f>IFERROR(INDEX(TableWRMaster[TM],MATCH(TableWRTECalcPts[[#This Row],[POSRef]],TableWRMaster[WRRef],0)),"")</f>
        <v>LAC</v>
      </c>
      <c r="AO195" s="105">
        <f>IFERROR(INDEX(TableWRMaster[BYE],MATCH(TableWRTECalcPts[[#This Row],[POSRef]],TableWRMaster[WRRef],0)),"")</f>
        <v>5</v>
      </c>
      <c r="AP195" s="103">
        <f>IFERROR(INDEX(TableWRMaster[Custom],MATCH(TableWRTECalcPts[[#This Row],[POSRef]],TableWRMaster[WRRef],0)),"")</f>
        <v>135.15931644627722</v>
      </c>
    </row>
    <row r="196" spans="13:42" x14ac:dyDescent="0.2">
      <c r="M196" s="60"/>
      <c r="O196" s="59" t="str">
        <f>IFERROR(RANK(TableWRCalcPts[[#This Row],[Custom]],TableWRCalcPts[Custom])+COUNTIF($T$3:T196,T196)-1,"")</f>
        <v/>
      </c>
      <c r="P196" s="59">
        <v>194</v>
      </c>
      <c r="Q196" s="59" t="str">
        <f>IFERROR(INDEX(TableWRMaster[Player],MATCH(TableWRCalcPts[[#This Row],[WRRef]],TableWRMaster[WRRef],0)),"")</f>
        <v/>
      </c>
      <c r="R196" s="59" t="str">
        <f>IFERROR(INDEX(TableWRMaster[TM],MATCH(TableWRCalcPts[[#This Row],[WRRef]],TableWRMaster[WRRef],0)),"")</f>
        <v/>
      </c>
      <c r="S196" s="59" t="str">
        <f>IFERROR(INDEX(TableWRMaster[BYE],MATCH(TableWRCalcPts[[#This Row],[WRRef]],TableWRMaster[WRRef],0)),"")</f>
        <v/>
      </c>
      <c r="T196" s="60" t="str">
        <f>IFERROR(INDEX(TableWRMaster[Custom],MATCH(TableWRCalcPts[[#This Row],[WRRef]],TableWRMaster[WRRef],0)),"")</f>
        <v/>
      </c>
      <c r="AI196" s="59" t="s">
        <v>223</v>
      </c>
      <c r="AJ196" s="59">
        <f>IFERROR(RANK(TableWRTECalcPts[[#This Row],[Custom]],TableWRTECalcPts[Custom])+COUNTIF($AP$3:AP196,AP196)-1,"")</f>
        <v>156</v>
      </c>
      <c r="AK196" s="105">
        <v>94</v>
      </c>
      <c r="AL196" s="105" t="str">
        <f>IFERROR(INDEX(TableWRMaster[Player],MATCH(TableWRTECalcPts[[#This Row],[POSRef]],TableWRMaster[WRRef],0)),"")</f>
        <v>Derius Davis</v>
      </c>
      <c r="AM196" s="105" t="str">
        <f>IFERROR(_xlfn.CONCAT(TableWRTECalcPts[[#This Row],[POS]],INDEX(TableWRRanks[RK],MATCH(TableWRTECalcPts[[#This Row],[PLAYER]],TableWRRanks[Player],0))),"")</f>
        <v>WR111</v>
      </c>
      <c r="AN196" s="105" t="str">
        <f>IFERROR(INDEX(TableWRMaster[TM],MATCH(TableWRTECalcPts[[#This Row],[POSRef]],TableWRMaster[WRRef],0)),"")</f>
        <v>LAC</v>
      </c>
      <c r="AO196" s="105">
        <f>IFERROR(INDEX(TableWRMaster[BYE],MATCH(TableWRTECalcPts[[#This Row],[POSRef]],TableWRMaster[WRRef],0)),"")</f>
        <v>5</v>
      </c>
      <c r="AP196" s="103">
        <f>IFERROR(INDEX(TableWRMaster[Custom],MATCH(TableWRTECalcPts[[#This Row],[POSRef]],TableWRMaster[WRRef],0)),"")</f>
        <v>37.035053368172989</v>
      </c>
    </row>
    <row r="197" spans="13:42" x14ac:dyDescent="0.2">
      <c r="M197" s="60"/>
      <c r="O197" s="59" t="str">
        <f>IFERROR(RANK(TableWRCalcPts[[#This Row],[Custom]],TableWRCalcPts[Custom])+COUNTIF($T$3:T197,T197)-1,"")</f>
        <v/>
      </c>
      <c r="P197" s="59">
        <v>195</v>
      </c>
      <c r="Q197" s="59" t="str">
        <f>IFERROR(INDEX(TableWRMaster[Player],MATCH(TableWRCalcPts[[#This Row],[WRRef]],TableWRMaster[WRRef],0)),"")</f>
        <v/>
      </c>
      <c r="R197" s="59" t="str">
        <f>IFERROR(INDEX(TableWRMaster[TM],MATCH(TableWRCalcPts[[#This Row],[WRRef]],TableWRMaster[WRRef],0)),"")</f>
        <v/>
      </c>
      <c r="S197" s="59" t="str">
        <f>IFERROR(INDEX(TableWRMaster[BYE],MATCH(TableWRCalcPts[[#This Row],[WRRef]],TableWRMaster[WRRef],0)),"")</f>
        <v/>
      </c>
      <c r="T197" s="60" t="str">
        <f>IFERROR(INDEX(TableWRMaster[Custom],MATCH(TableWRCalcPts[[#This Row],[WRRef]],TableWRMaster[WRRef],0)),"")</f>
        <v/>
      </c>
      <c r="AI197" s="59" t="s">
        <v>223</v>
      </c>
      <c r="AJ197" s="59">
        <f>IFERROR(RANK(TableWRTECalcPts[[#This Row],[Custom]],TableWRTECalcPts[Custom])+COUNTIF($AP$3:AP197,AP197)-1,"")</f>
        <v>163</v>
      </c>
      <c r="AK197" s="105">
        <v>95</v>
      </c>
      <c r="AL197" s="105" t="str">
        <f>IFERROR(INDEX(TableWRMaster[Player],MATCH(TableWRTECalcPts[[#This Row],[POSRef]],TableWRMaster[WRRef],0)),"")</f>
        <v>Brenden Rice</v>
      </c>
      <c r="AM197" s="105" t="str">
        <f>IFERROR(_xlfn.CONCAT(TableWRTECalcPts[[#This Row],[POS]],INDEX(TableWRRanks[RK],MATCH(TableWRTECalcPts[[#This Row],[PLAYER]],TableWRRanks[Player],0))),"")</f>
        <v>WR117</v>
      </c>
      <c r="AN197" s="105" t="str">
        <f>IFERROR(INDEX(TableWRMaster[TM],MATCH(TableWRTECalcPts[[#This Row],[POSRef]],TableWRMaster[WRRef],0)),"")</f>
        <v>LAC</v>
      </c>
      <c r="AO197" s="105">
        <f>IFERROR(INDEX(TableWRMaster[BYE],MATCH(TableWRTECalcPts[[#This Row],[POSRef]],TableWRMaster[WRRef],0)),"")</f>
        <v>5</v>
      </c>
      <c r="AP197" s="103">
        <f>IFERROR(INDEX(TableWRMaster[Custom],MATCH(TableWRTECalcPts[[#This Row],[POSRef]],TableWRMaster[WRRef],0)),"")</f>
        <v>33.838571310137993</v>
      </c>
    </row>
    <row r="198" spans="13:42" x14ac:dyDescent="0.2">
      <c r="M198" s="60"/>
      <c r="O198" s="59" t="str">
        <f>IFERROR(RANK(TableWRCalcPts[[#This Row],[Custom]],TableWRCalcPts[Custom])+COUNTIF($T$3:T198,T198)-1,"")</f>
        <v/>
      </c>
      <c r="P198" s="59">
        <v>196</v>
      </c>
      <c r="Q198" s="59" t="str">
        <f>IFERROR(INDEX(TableWRMaster[Player],MATCH(TableWRCalcPts[[#This Row],[WRRef]],TableWRMaster[WRRef],0)),"")</f>
        <v/>
      </c>
      <c r="R198" s="59" t="str">
        <f>IFERROR(INDEX(TableWRMaster[TM],MATCH(TableWRCalcPts[[#This Row],[WRRef]],TableWRMaster[WRRef],0)),"")</f>
        <v/>
      </c>
      <c r="S198" s="59" t="str">
        <f>IFERROR(INDEX(TableWRMaster[BYE],MATCH(TableWRCalcPts[[#This Row],[WRRef]],TableWRMaster[WRRef],0)),"")</f>
        <v/>
      </c>
      <c r="T198" s="60" t="str">
        <f>IFERROR(INDEX(TableWRMaster[Custom],MATCH(TableWRCalcPts[[#This Row],[WRRef]],TableWRMaster[WRRef],0)),"")</f>
        <v/>
      </c>
      <c r="AI198" s="59" t="s">
        <v>223</v>
      </c>
      <c r="AJ198" s="59">
        <f>IFERROR(RANK(TableWRTECalcPts[[#This Row],[Custom]],TableWRTECalcPts[Custom])+COUNTIF($AP$3:AP198,AP198)-1,"")</f>
        <v>158</v>
      </c>
      <c r="AK198" s="105">
        <v>96</v>
      </c>
      <c r="AL198" s="105" t="str">
        <f>IFERROR(INDEX(TableWRMaster[Player],MATCH(TableWRTECalcPts[[#This Row],[POSRef]],TableWRMaster[WRRef],0)),"")</f>
        <v>Cornelius Johnson</v>
      </c>
      <c r="AM198" s="105" t="str">
        <f>IFERROR(_xlfn.CONCAT(TableWRTECalcPts[[#This Row],[POS]],INDEX(TableWRRanks[RK],MATCH(TableWRTECalcPts[[#This Row],[PLAYER]],TableWRRanks[Player],0))),"")</f>
        <v>WR113</v>
      </c>
      <c r="AN198" s="105" t="str">
        <f>IFERROR(INDEX(TableWRMaster[TM],MATCH(TableWRTECalcPts[[#This Row],[POSRef]],TableWRMaster[WRRef],0)),"")</f>
        <v>LAC</v>
      </c>
      <c r="AO198" s="105">
        <f>IFERROR(INDEX(TableWRMaster[BYE],MATCH(TableWRTECalcPts[[#This Row],[POSRef]],TableWRMaster[WRRef],0)),"")</f>
        <v>5</v>
      </c>
      <c r="AP198" s="103">
        <f>IFERROR(INDEX(TableWRMaster[Custom],MATCH(TableWRTECalcPts[[#This Row],[POSRef]],TableWRMaster[WRRef],0)),"")</f>
        <v>36.689399458739992</v>
      </c>
    </row>
    <row r="199" spans="13:42" x14ac:dyDescent="0.2">
      <c r="M199" s="60"/>
      <c r="O199" s="59" t="str">
        <f>IFERROR(RANK(TableWRCalcPts[[#This Row],[Custom]],TableWRCalcPts[Custom])+COUNTIF($T$3:T199,T199)-1,"")</f>
        <v/>
      </c>
      <c r="P199" s="59">
        <v>197</v>
      </c>
      <c r="Q199" s="59" t="str">
        <f>IFERROR(INDEX(TableWRMaster[Player],MATCH(TableWRCalcPts[[#This Row],[WRRef]],TableWRMaster[WRRef],0)),"")</f>
        <v/>
      </c>
      <c r="R199" s="59" t="str">
        <f>IFERROR(INDEX(TableWRMaster[TM],MATCH(TableWRCalcPts[[#This Row],[WRRef]],TableWRMaster[WRRef],0)),"")</f>
        <v/>
      </c>
      <c r="S199" s="59" t="str">
        <f>IFERROR(INDEX(TableWRMaster[BYE],MATCH(TableWRCalcPts[[#This Row],[WRRef]],TableWRMaster[WRRef],0)),"")</f>
        <v/>
      </c>
      <c r="T199" s="60" t="str">
        <f>IFERROR(INDEX(TableWRMaster[Custom],MATCH(TableWRCalcPts[[#This Row],[WRRef]],TableWRMaster[WRRef],0)),"")</f>
        <v/>
      </c>
      <c r="AI199" s="59" t="s">
        <v>223</v>
      </c>
      <c r="AJ199" s="59">
        <f>IFERROR(RANK(TableWRTECalcPts[[#This Row],[Custom]],TableWRTECalcPts[Custom])+COUNTIF($AP$3:AP199,AP199)-1,"")</f>
        <v>32</v>
      </c>
      <c r="AK199" s="105">
        <v>97</v>
      </c>
      <c r="AL199" s="105" t="str">
        <f>IFERROR(INDEX(TableWRMaster[Player],MATCH(TableWRTECalcPts[[#This Row],[POSRef]],TableWRMaster[WRRef],0)),"")</f>
        <v>Cooper Kupp</v>
      </c>
      <c r="AM199" s="105" t="str">
        <f>IFERROR(_xlfn.CONCAT(TableWRTECalcPts[[#This Row],[POS]],INDEX(TableWRRanks[RK],MATCH(TableWRTECalcPts[[#This Row],[PLAYER]],TableWRRanks[Player],0))),"")</f>
        <v>WR29</v>
      </c>
      <c r="AN199" s="105" t="str">
        <f>IFERROR(INDEX(TableWRMaster[TM],MATCH(TableWRTECalcPts[[#This Row],[POSRef]],TableWRMaster[WRRef],0)),"")</f>
        <v>LAR</v>
      </c>
      <c r="AO199" s="105">
        <f>IFERROR(INDEX(TableWRMaster[BYE],MATCH(TableWRTECalcPts[[#This Row],[POSRef]],TableWRMaster[WRRef],0)),"")</f>
        <v>10</v>
      </c>
      <c r="AP199" s="103">
        <f>IFERROR(INDEX(TableWRMaster[Custom],MATCH(TableWRTECalcPts[[#This Row],[POSRef]],TableWRMaster[WRRef],0)),"")</f>
        <v>178.52334044159994</v>
      </c>
    </row>
    <row r="200" spans="13:42" x14ac:dyDescent="0.2">
      <c r="M200" s="60"/>
      <c r="O200" s="59" t="str">
        <f>IFERROR(RANK(TableWRCalcPts[[#This Row],[Custom]],TableWRCalcPts[Custom])+COUNTIF($T$3:T200,T200)-1,"")</f>
        <v/>
      </c>
      <c r="P200" s="59">
        <v>198</v>
      </c>
      <c r="Q200" s="59" t="str">
        <f>IFERROR(INDEX(TableWRMaster[Player],MATCH(TableWRCalcPts[[#This Row],[WRRef]],TableWRMaster[WRRef],0)),"")</f>
        <v/>
      </c>
      <c r="R200" s="59" t="str">
        <f>IFERROR(INDEX(TableWRMaster[TM],MATCH(TableWRCalcPts[[#This Row],[WRRef]],TableWRMaster[WRRef],0)),"")</f>
        <v/>
      </c>
      <c r="S200" s="59" t="str">
        <f>IFERROR(INDEX(TableWRMaster[BYE],MATCH(TableWRCalcPts[[#This Row],[WRRef]],TableWRMaster[WRRef],0)),"")</f>
        <v/>
      </c>
      <c r="T200" s="60" t="str">
        <f>IFERROR(INDEX(TableWRMaster[Custom],MATCH(TableWRCalcPts[[#This Row],[WRRef]],TableWRMaster[WRRef],0)),"")</f>
        <v/>
      </c>
      <c r="AI200" s="59" t="s">
        <v>223</v>
      </c>
      <c r="AJ200" s="59">
        <f>IFERROR(RANK(TableWRTECalcPts[[#This Row],[Custom]],TableWRTECalcPts[Custom])+COUNTIF($AP$3:AP200,AP200)-1,"")</f>
        <v>6</v>
      </c>
      <c r="AK200" s="105">
        <v>98</v>
      </c>
      <c r="AL200" s="105" t="str">
        <f>IFERROR(INDEX(TableWRMaster[Player],MATCH(TableWRTECalcPts[[#This Row],[POSRef]],TableWRMaster[WRRef],0)),"")</f>
        <v>Puka Nacua</v>
      </c>
      <c r="AM200" s="105" t="str">
        <f>IFERROR(_xlfn.CONCAT(TableWRTECalcPts[[#This Row],[POS]],INDEX(TableWRRanks[RK],MATCH(TableWRTECalcPts[[#This Row],[PLAYER]],TableWRRanks[Player],0))),"")</f>
        <v>WR6</v>
      </c>
      <c r="AN200" s="105" t="str">
        <f>IFERROR(INDEX(TableWRMaster[TM],MATCH(TableWRTECalcPts[[#This Row],[POSRef]],TableWRMaster[WRRef],0)),"")</f>
        <v>LAR</v>
      </c>
      <c r="AO200" s="105">
        <f>IFERROR(INDEX(TableWRMaster[BYE],MATCH(TableWRTECalcPts[[#This Row],[POSRef]],TableWRMaster[WRRef],0)),"")</f>
        <v>10</v>
      </c>
      <c r="AP200" s="103">
        <f>IFERROR(INDEX(TableWRMaster[Custom],MATCH(TableWRTECalcPts[[#This Row],[POSRef]],TableWRMaster[WRRef],0)),"")</f>
        <v>229.36045052313952</v>
      </c>
    </row>
    <row r="201" spans="13:42" x14ac:dyDescent="0.2">
      <c r="M201" s="60"/>
      <c r="O201" s="59" t="str">
        <f>IFERROR(RANK(TableWRCalcPts[[#This Row],[Custom]],TableWRCalcPts[Custom])+COUNTIF($T$3:T201,T201)-1,"")</f>
        <v/>
      </c>
      <c r="P201" s="59">
        <v>199</v>
      </c>
      <c r="Q201" s="59" t="str">
        <f>IFERROR(INDEX(TableWRMaster[Player],MATCH(TableWRCalcPts[[#This Row],[WRRef]],TableWRMaster[WRRef],0)),"")</f>
        <v/>
      </c>
      <c r="R201" s="59" t="str">
        <f>IFERROR(INDEX(TableWRMaster[TM],MATCH(TableWRCalcPts[[#This Row],[WRRef]],TableWRMaster[WRRef],0)),"")</f>
        <v/>
      </c>
      <c r="S201" s="59" t="str">
        <f>IFERROR(INDEX(TableWRMaster[BYE],MATCH(TableWRCalcPts[[#This Row],[WRRef]],TableWRMaster[WRRef],0)),"")</f>
        <v/>
      </c>
      <c r="T201" s="60" t="str">
        <f>IFERROR(INDEX(TableWRMaster[Custom],MATCH(TableWRCalcPts[[#This Row],[WRRef]],TableWRMaster[WRRef],0)),"")</f>
        <v/>
      </c>
      <c r="AI201" s="59" t="s">
        <v>223</v>
      </c>
      <c r="AJ201" s="59">
        <f>IFERROR(RANK(TableWRTECalcPts[[#This Row],[Custom]],TableWRTECalcPts[Custom])+COUNTIF($AP$3:AP201,AP201)-1,"")</f>
        <v>66</v>
      </c>
      <c r="AK201" s="105">
        <v>99</v>
      </c>
      <c r="AL201" s="105" t="str">
        <f>IFERROR(INDEX(TableWRMaster[Player],MATCH(TableWRTECalcPts[[#This Row],[POSRef]],TableWRMaster[WRRef],0)),"")</f>
        <v>Demarcus Robinson</v>
      </c>
      <c r="AM201" s="105" t="str">
        <f>IFERROR(_xlfn.CONCAT(TableWRTECalcPts[[#This Row],[POS]],INDEX(TableWRRanks[RK],MATCH(TableWRTECalcPts[[#This Row],[PLAYER]],TableWRRanks[Player],0))),"")</f>
        <v>WR57</v>
      </c>
      <c r="AN201" s="105" t="str">
        <f>IFERROR(INDEX(TableWRMaster[TM],MATCH(TableWRTECalcPts[[#This Row],[POSRef]],TableWRMaster[WRRef],0)),"")</f>
        <v>LAR</v>
      </c>
      <c r="AO201" s="105">
        <f>IFERROR(INDEX(TableWRMaster[BYE],MATCH(TableWRTECalcPts[[#This Row],[POSRef]],TableWRMaster[WRRef],0)),"")</f>
        <v>10</v>
      </c>
      <c r="AP201" s="103">
        <f>IFERROR(INDEX(TableWRMaster[Custom],MATCH(TableWRTECalcPts[[#This Row],[POSRef]],TableWRMaster[WRRef],0)),"")</f>
        <v>144.40266851009997</v>
      </c>
    </row>
    <row r="202" spans="13:42" x14ac:dyDescent="0.2">
      <c r="M202" s="60"/>
      <c r="O202" s="59" t="str">
        <f>IFERROR(RANK(TableWRCalcPts[[#This Row],[Custom]],TableWRCalcPts[Custom])+COUNTIF($T$3:T202,T202)-1,"")</f>
        <v/>
      </c>
      <c r="P202" s="59">
        <v>200</v>
      </c>
      <c r="Q202" s="59" t="str">
        <f>IFERROR(INDEX(TableWRMaster[Player],MATCH(TableWRCalcPts[[#This Row],[WRRef]],TableWRMaster[WRRef],0)),"")</f>
        <v/>
      </c>
      <c r="R202" s="59" t="str">
        <f>IFERROR(INDEX(TableWRMaster[TM],MATCH(TableWRCalcPts[[#This Row],[WRRef]],TableWRMaster[WRRef],0)),"")</f>
        <v/>
      </c>
      <c r="S202" s="59" t="str">
        <f>IFERROR(INDEX(TableWRMaster[BYE],MATCH(TableWRCalcPts[[#This Row],[WRRef]],TableWRMaster[WRRef],0)),"")</f>
        <v/>
      </c>
      <c r="T202" s="60" t="str">
        <f>IFERROR(INDEX(TableWRMaster[Custom],MATCH(TableWRCalcPts[[#This Row],[WRRef]],TableWRMaster[WRRef],0)),"")</f>
        <v/>
      </c>
      <c r="AI202" s="59" t="s">
        <v>223</v>
      </c>
      <c r="AJ202" s="59">
        <f>IFERROR(RANK(TableWRTECalcPts[[#This Row],[Custom]],TableWRTECalcPts[Custom])+COUNTIF($AP$3:AP202,AP202)-1,"")</f>
        <v>179</v>
      </c>
      <c r="AK202" s="105">
        <v>100</v>
      </c>
      <c r="AL202" s="105" t="str">
        <f>IFERROR(INDEX(TableWRMaster[Player],MATCH(TableWRTECalcPts[[#This Row],[POSRef]],TableWRMaster[WRRef],0)),"")</f>
        <v>Ben Skowronek</v>
      </c>
      <c r="AM202" s="105" t="str">
        <f>IFERROR(_xlfn.CONCAT(TableWRTECalcPts[[#This Row],[POS]],INDEX(TableWRRanks[RK],MATCH(TableWRTECalcPts[[#This Row],[PLAYER]],TableWRRanks[Player],0))),"")</f>
        <v>WR131</v>
      </c>
      <c r="AN202" s="105" t="str">
        <f>IFERROR(INDEX(TableWRMaster[TM],MATCH(TableWRTECalcPts[[#This Row],[POSRef]],TableWRMaster[WRRef],0)),"")</f>
        <v>LAR</v>
      </c>
      <c r="AO202" s="105">
        <f>IFERROR(INDEX(TableWRMaster[BYE],MATCH(TableWRTECalcPts[[#This Row],[POSRef]],TableWRMaster[WRRef],0)),"")</f>
        <v>10</v>
      </c>
      <c r="AP202" s="103">
        <f>IFERROR(INDEX(TableWRMaster[Custom],MATCH(TableWRTECalcPts[[#This Row],[POSRef]],TableWRMaster[WRRef],0)),"")</f>
        <v>28.195674986303992</v>
      </c>
    </row>
    <row r="203" spans="13:42" x14ac:dyDescent="0.2">
      <c r="M203" s="60"/>
      <c r="O203" s="59" t="str">
        <f>IFERROR(RANK(TableWRCalcPts[[#This Row],[Custom]],TableWRCalcPts[Custom])+COUNTIF($T$3:T203,T203)-1,"")</f>
        <v/>
      </c>
      <c r="P203" s="59">
        <v>201</v>
      </c>
      <c r="Q203" s="59" t="str">
        <f>IFERROR(INDEX(TableWRMaster[Player],MATCH(TableWRCalcPts[[#This Row],[WRRef]],TableWRMaster[WRRef],0)),"")</f>
        <v/>
      </c>
      <c r="R203" s="59" t="str">
        <f>IFERROR(INDEX(TableWRMaster[TM],MATCH(TableWRCalcPts[[#This Row],[WRRef]],TableWRMaster[WRRef],0)),"")</f>
        <v/>
      </c>
      <c r="S203" s="59" t="str">
        <f>IFERROR(INDEX(TableWRMaster[BYE],MATCH(TableWRCalcPts[[#This Row],[WRRef]],TableWRMaster[WRRef],0)),"")</f>
        <v/>
      </c>
      <c r="T203" s="60" t="str">
        <f>IFERROR(INDEX(TableWRMaster[Custom],MATCH(TableWRCalcPts[[#This Row],[WRRef]],TableWRMaster[WRRef],0)),"")</f>
        <v/>
      </c>
      <c r="AI203" s="59" t="s">
        <v>223</v>
      </c>
      <c r="AJ203" s="59">
        <f>IFERROR(RANK(TableWRTECalcPts[[#This Row],[Custom]],TableWRTECalcPts[Custom])+COUNTIF($AP$3:AP203,AP203)-1,"")</f>
        <v>189</v>
      </c>
      <c r="AK203" s="105">
        <v>101</v>
      </c>
      <c r="AL203" s="105" t="str">
        <f>IFERROR(INDEX(TableWRMaster[Player],MATCH(TableWRTECalcPts[[#This Row],[POSRef]],TableWRMaster[WRRef],0)),"")</f>
        <v>Tutu Atwell</v>
      </c>
      <c r="AM203" s="105" t="str">
        <f>IFERROR(_xlfn.CONCAT(TableWRTECalcPts[[#This Row],[POS]],INDEX(TableWRRanks[RK],MATCH(TableWRTECalcPts[[#This Row],[PLAYER]],TableWRRanks[Player],0))),"")</f>
        <v>WR136</v>
      </c>
      <c r="AN203" s="105" t="str">
        <f>IFERROR(INDEX(TableWRMaster[TM],MATCH(TableWRTECalcPts[[#This Row],[POSRef]],TableWRMaster[WRRef],0)),"")</f>
        <v>LAR</v>
      </c>
      <c r="AO203" s="105">
        <f>IFERROR(INDEX(TableWRMaster[BYE],MATCH(TableWRTECalcPts[[#This Row],[POSRef]],TableWRMaster[WRRef],0)),"")</f>
        <v>10</v>
      </c>
      <c r="AP203" s="103">
        <f>IFERROR(INDEX(TableWRMaster[Custom],MATCH(TableWRTECalcPts[[#This Row],[POSRef]],TableWRMaster[WRRef],0)),"")</f>
        <v>25.364281713758388</v>
      </c>
    </row>
    <row r="204" spans="13:42" x14ac:dyDescent="0.2">
      <c r="M204" s="60"/>
      <c r="O204" s="59" t="str">
        <f>IFERROR(RANK(TableWRCalcPts[[#This Row],[Custom]],TableWRCalcPts[Custom])+COUNTIF($T$3:T204,T204)-1,"")</f>
        <v/>
      </c>
      <c r="P204" s="59">
        <v>202</v>
      </c>
      <c r="Q204" s="59" t="str">
        <f>IFERROR(INDEX(TableWRMaster[Player],MATCH(TableWRCalcPts[[#This Row],[WRRef]],TableWRMaster[WRRef],0)),"")</f>
        <v/>
      </c>
      <c r="R204" s="59" t="str">
        <f>IFERROR(INDEX(TableWRMaster[TM],MATCH(TableWRCalcPts[[#This Row],[WRRef]],TableWRMaster[WRRef],0)),"")</f>
        <v/>
      </c>
      <c r="S204" s="59" t="str">
        <f>IFERROR(INDEX(TableWRMaster[BYE],MATCH(TableWRCalcPts[[#This Row],[WRRef]],TableWRMaster[WRRef],0)),"")</f>
        <v/>
      </c>
      <c r="T204" s="60" t="str">
        <f>IFERROR(INDEX(TableWRMaster[Custom],MATCH(TableWRCalcPts[[#This Row],[WRRef]],TableWRMaster[WRRef],0)),"")</f>
        <v/>
      </c>
      <c r="AI204" s="59" t="s">
        <v>223</v>
      </c>
      <c r="AJ204" s="59">
        <f>IFERROR(RANK(TableWRTECalcPts[[#This Row],[Custom]],TableWRTECalcPts[Custom])+COUNTIF($AP$3:AP204,AP204)-1,"")</f>
        <v>222</v>
      </c>
      <c r="AK204" s="105">
        <v>102</v>
      </c>
      <c r="AL204" s="105" t="str">
        <f>IFERROR(INDEX(TableWRMaster[Player],MATCH(TableWRTECalcPts[[#This Row],[POSRef]],TableWRMaster[WRRef],0)),"")</f>
        <v>Jordan Whittington</v>
      </c>
      <c r="AM204" s="105" t="str">
        <f>IFERROR(_xlfn.CONCAT(TableWRTECalcPts[[#This Row],[POS]],INDEX(TableWRRanks[RK],MATCH(TableWRTECalcPts[[#This Row],[PLAYER]],TableWRRanks[Player],0))),"")</f>
        <v>WR155</v>
      </c>
      <c r="AN204" s="105" t="str">
        <f>IFERROR(INDEX(TableWRMaster[TM],MATCH(TableWRTECalcPts[[#This Row],[POSRef]],TableWRMaster[WRRef],0)),"")</f>
        <v>LAR</v>
      </c>
      <c r="AO204" s="105">
        <f>IFERROR(INDEX(TableWRMaster[BYE],MATCH(TableWRTECalcPts[[#This Row],[POSRef]],TableWRMaster[WRRef],0)),"")</f>
        <v>10</v>
      </c>
      <c r="AP204" s="103">
        <f>IFERROR(INDEX(TableWRMaster[Custom],MATCH(TableWRTECalcPts[[#This Row],[POSRef]],TableWRMaster[WRRef],0)),"")</f>
        <v>15.955668457276795</v>
      </c>
    </row>
    <row r="205" spans="13:42" x14ac:dyDescent="0.2">
      <c r="M205" s="60"/>
      <c r="O205" s="59" t="str">
        <f>IFERROR(RANK(TableWRCalcPts[[#This Row],[Custom]],TableWRCalcPts[Custom])+COUNTIF($T$3:T205,T205)-1,"")</f>
        <v/>
      </c>
      <c r="P205" s="59">
        <v>203</v>
      </c>
      <c r="Q205" s="59" t="str">
        <f>IFERROR(INDEX(TableWRMaster[Player],MATCH(TableWRCalcPts[[#This Row],[WRRef]],TableWRMaster[WRRef],0)),"")</f>
        <v/>
      </c>
      <c r="R205" s="59" t="str">
        <f>IFERROR(INDEX(TableWRMaster[TM],MATCH(TableWRCalcPts[[#This Row],[WRRef]],TableWRMaster[WRRef],0)),"")</f>
        <v/>
      </c>
      <c r="S205" s="59" t="str">
        <f>IFERROR(INDEX(TableWRMaster[BYE],MATCH(TableWRCalcPts[[#This Row],[WRRef]],TableWRMaster[WRRef],0)),"")</f>
        <v/>
      </c>
      <c r="T205" s="60" t="str">
        <f>IFERROR(INDEX(TableWRMaster[Custom],MATCH(TableWRCalcPts[[#This Row],[WRRef]],TableWRMaster[WRRef],0)),"")</f>
        <v/>
      </c>
      <c r="AI205" s="59" t="s">
        <v>223</v>
      </c>
      <c r="AJ205" s="59">
        <f>IFERROR(RANK(TableWRTECalcPts[[#This Row],[Custom]],TableWRTECalcPts[Custom])+COUNTIF($AP$3:AP205,AP205)-1,"")</f>
        <v>29</v>
      </c>
      <c r="AK205" s="105">
        <v>103</v>
      </c>
      <c r="AL205" s="105" t="str">
        <f>IFERROR(INDEX(TableWRMaster[Player],MATCH(TableWRTECalcPts[[#This Row],[POSRef]],TableWRMaster[WRRef],0)),"")</f>
        <v>Davante Adams</v>
      </c>
      <c r="AM205" s="105" t="str">
        <f>IFERROR(_xlfn.CONCAT(TableWRTECalcPts[[#This Row],[POS]],INDEX(TableWRRanks[RK],MATCH(TableWRTECalcPts[[#This Row],[PLAYER]],TableWRRanks[Player],0))),"")</f>
        <v>WR26</v>
      </c>
      <c r="AN205" s="105" t="str">
        <f>IFERROR(INDEX(TableWRMaster[TM],MATCH(TableWRTECalcPts[[#This Row],[POSRef]],TableWRMaster[WRRef],0)),"")</f>
        <v>LV</v>
      </c>
      <c r="AO205" s="105">
        <f>IFERROR(INDEX(TableWRMaster[BYE],MATCH(TableWRTECalcPts[[#This Row],[POSRef]],TableWRMaster[WRRef],0)),"")</f>
        <v>13</v>
      </c>
      <c r="AP205" s="103">
        <f>IFERROR(INDEX(TableWRMaster[Custom],MATCH(TableWRTECalcPts[[#This Row],[POSRef]],TableWRMaster[WRRef],0)),"")</f>
        <v>181.43058009999996</v>
      </c>
    </row>
    <row r="206" spans="13:42" x14ac:dyDescent="0.2">
      <c r="M206" s="60"/>
      <c r="O206" s="59" t="str">
        <f>IFERROR(RANK(TableWRCalcPts[[#This Row],[Custom]],TableWRCalcPts[Custom])+COUNTIF($T$3:T206,T206)-1,"")</f>
        <v/>
      </c>
      <c r="P206" s="59">
        <v>204</v>
      </c>
      <c r="Q206" s="59" t="str">
        <f>IFERROR(INDEX(TableWRMaster[Player],MATCH(TableWRCalcPts[[#This Row],[WRRef]],TableWRMaster[WRRef],0)),"")</f>
        <v/>
      </c>
      <c r="R206" s="59" t="str">
        <f>IFERROR(INDEX(TableWRMaster[TM],MATCH(TableWRCalcPts[[#This Row],[WRRef]],TableWRMaster[WRRef],0)),"")</f>
        <v/>
      </c>
      <c r="S206" s="59" t="str">
        <f>IFERROR(INDEX(TableWRMaster[BYE],MATCH(TableWRCalcPts[[#This Row],[WRRef]],TableWRMaster[WRRef],0)),"")</f>
        <v/>
      </c>
      <c r="T206" s="60" t="str">
        <f>IFERROR(INDEX(TableWRMaster[Custom],MATCH(TableWRCalcPts[[#This Row],[WRRef]],TableWRMaster[WRRef],0)),"")</f>
        <v/>
      </c>
      <c r="AI206" s="59" t="s">
        <v>223</v>
      </c>
      <c r="AJ206" s="59">
        <f>IFERROR(RANK(TableWRTECalcPts[[#This Row],[Custom]],TableWRTECalcPts[Custom])+COUNTIF($AP$3:AP206,AP206)-1,"")</f>
        <v>58</v>
      </c>
      <c r="AK206" s="105">
        <v>104</v>
      </c>
      <c r="AL206" s="105" t="str">
        <f>IFERROR(INDEX(TableWRMaster[Player],MATCH(TableWRTECalcPts[[#This Row],[POSRef]],TableWRMaster[WRRef],0)),"")</f>
        <v>Jakobi Meyers</v>
      </c>
      <c r="AM206" s="105" t="str">
        <f>IFERROR(_xlfn.CONCAT(TableWRTECalcPts[[#This Row],[POS]],INDEX(TableWRRanks[RK],MATCH(TableWRTECalcPts[[#This Row],[PLAYER]],TableWRRanks[Player],0))),"")</f>
        <v>WR51</v>
      </c>
      <c r="AN206" s="105" t="str">
        <f>IFERROR(INDEX(TableWRMaster[TM],MATCH(TableWRTECalcPts[[#This Row],[POSRef]],TableWRMaster[WRRef],0)),"")</f>
        <v>LV</v>
      </c>
      <c r="AO206" s="105">
        <f>IFERROR(INDEX(TableWRMaster[BYE],MATCH(TableWRTECalcPts[[#This Row],[POSRef]],TableWRMaster[WRRef],0)),"")</f>
        <v>13</v>
      </c>
      <c r="AP206" s="103">
        <f>IFERROR(INDEX(TableWRMaster[Custom],MATCH(TableWRTECalcPts[[#This Row],[POSRef]],TableWRMaster[WRRef],0)),"")</f>
        <v>152.92230757999994</v>
      </c>
    </row>
    <row r="207" spans="13:42" x14ac:dyDescent="0.2">
      <c r="M207" s="60"/>
      <c r="O207" s="59" t="str">
        <f>IFERROR(RANK(TableWRCalcPts[[#This Row],[Custom]],TableWRCalcPts[Custom])+COUNTIF($T$3:T207,T207)-1,"")</f>
        <v/>
      </c>
      <c r="P207" s="59">
        <v>205</v>
      </c>
      <c r="Q207" s="59" t="str">
        <f>IFERROR(INDEX(TableWRMaster[Player],MATCH(TableWRCalcPts[[#This Row],[WRRef]],TableWRMaster[WRRef],0)),"")</f>
        <v/>
      </c>
      <c r="R207" s="59" t="str">
        <f>IFERROR(INDEX(TableWRMaster[TM],MATCH(TableWRCalcPts[[#This Row],[WRRef]],TableWRMaster[WRRef],0)),"")</f>
        <v/>
      </c>
      <c r="S207" s="59" t="str">
        <f>IFERROR(INDEX(TableWRMaster[BYE],MATCH(TableWRCalcPts[[#This Row],[WRRef]],TableWRMaster[WRRef],0)),"")</f>
        <v/>
      </c>
      <c r="T207" s="60" t="str">
        <f>IFERROR(INDEX(TableWRMaster[Custom],MATCH(TableWRCalcPts[[#This Row],[WRRef]],TableWRMaster[WRRef],0)),"")</f>
        <v/>
      </c>
      <c r="AI207" s="59" t="s">
        <v>223</v>
      </c>
      <c r="AJ207" s="59">
        <f>IFERROR(RANK(TableWRTECalcPts[[#This Row],[Custom]],TableWRTECalcPts[Custom])+COUNTIF($AP$3:AP207,AP207)-1,"")</f>
        <v>153</v>
      </c>
      <c r="AK207" s="105">
        <v>105</v>
      </c>
      <c r="AL207" s="105" t="str">
        <f>IFERROR(INDEX(TableWRMaster[Player],MATCH(TableWRTECalcPts[[#This Row],[POSRef]],TableWRMaster[WRRef],0)),"")</f>
        <v>Tre Tucker</v>
      </c>
      <c r="AM207" s="105" t="str">
        <f>IFERROR(_xlfn.CONCAT(TableWRTECalcPts[[#This Row],[POS]],INDEX(TableWRRanks[RK],MATCH(TableWRTECalcPts[[#This Row],[PLAYER]],TableWRRanks[Player],0))),"")</f>
        <v>WR108</v>
      </c>
      <c r="AN207" s="105" t="str">
        <f>IFERROR(INDEX(TableWRMaster[TM],MATCH(TableWRTECalcPts[[#This Row],[POSRef]],TableWRMaster[WRRef],0)),"")</f>
        <v>LV</v>
      </c>
      <c r="AO207" s="105">
        <f>IFERROR(INDEX(TableWRMaster[BYE],MATCH(TableWRTECalcPts[[#This Row],[POSRef]],TableWRMaster[WRRef],0)),"")</f>
        <v>13</v>
      </c>
      <c r="AP207" s="103">
        <f>IFERROR(INDEX(TableWRMaster[Custom],MATCH(TableWRTECalcPts[[#This Row],[POSRef]],TableWRMaster[WRRef],0)),"")</f>
        <v>38.374922018159985</v>
      </c>
    </row>
    <row r="208" spans="13:42" x14ac:dyDescent="0.2">
      <c r="M208" s="60"/>
      <c r="O208" s="59" t="str">
        <f>IFERROR(RANK(TableWRCalcPts[[#This Row],[Custom]],TableWRCalcPts[Custom])+COUNTIF($T$3:T208,T208)-1,"")</f>
        <v/>
      </c>
      <c r="P208" s="59">
        <v>206</v>
      </c>
      <c r="Q208" s="59" t="str">
        <f>IFERROR(INDEX(TableWRMaster[Player],MATCH(TableWRCalcPts[[#This Row],[WRRef]],TableWRMaster[WRRef],0)),"")</f>
        <v/>
      </c>
      <c r="R208" s="59" t="str">
        <f>IFERROR(INDEX(TableWRMaster[TM],MATCH(TableWRCalcPts[[#This Row],[WRRef]],TableWRMaster[WRRef],0)),"")</f>
        <v/>
      </c>
      <c r="S208" s="59" t="str">
        <f>IFERROR(INDEX(TableWRMaster[BYE],MATCH(TableWRCalcPts[[#This Row],[WRRef]],TableWRMaster[WRRef],0)),"")</f>
        <v/>
      </c>
      <c r="T208" s="60" t="str">
        <f>IFERROR(INDEX(TableWRMaster[Custom],MATCH(TableWRCalcPts[[#This Row],[WRRef]],TableWRMaster[WRRef],0)),"")</f>
        <v/>
      </c>
      <c r="AI208" s="59" t="s">
        <v>223</v>
      </c>
      <c r="AJ208" s="59">
        <f>IFERROR(RANK(TableWRTECalcPts[[#This Row],[Custom]],TableWRTECalcPts[Custom])+COUNTIF($AP$3:AP208,AP208)-1,"")</f>
        <v>143</v>
      </c>
      <c r="AK208" s="105">
        <v>106</v>
      </c>
      <c r="AL208" s="105" t="str">
        <f>IFERROR(INDEX(TableWRMaster[Player],MATCH(TableWRTECalcPts[[#This Row],[POSRef]],TableWRMaster[WRRef],0)),"")</f>
        <v>Michael Gallup</v>
      </c>
      <c r="AM208" s="105" t="str">
        <f>IFERROR(_xlfn.CONCAT(TableWRTECalcPts[[#This Row],[POS]],INDEX(TableWRRanks[RK],MATCH(TableWRTECalcPts[[#This Row],[PLAYER]],TableWRRanks[Player],0))),"")</f>
        <v>WR102</v>
      </c>
      <c r="AN208" s="105" t="str">
        <f>IFERROR(INDEX(TableWRMaster[TM],MATCH(TableWRTECalcPts[[#This Row],[POSRef]],TableWRMaster[WRRef],0)),"")</f>
        <v>LV</v>
      </c>
      <c r="AO208" s="105">
        <f>IFERROR(INDEX(TableWRMaster[BYE],MATCH(TableWRTECalcPts[[#This Row],[POSRef]],TableWRMaster[WRRef],0)),"")</f>
        <v>13</v>
      </c>
      <c r="AP208" s="103">
        <f>IFERROR(INDEX(TableWRMaster[Custom],MATCH(TableWRTECalcPts[[#This Row],[POSRef]],TableWRMaster[WRRef],0)),"")</f>
        <v>48.195139829759995</v>
      </c>
    </row>
    <row r="209" spans="13:42" x14ac:dyDescent="0.2">
      <c r="M209" s="60"/>
      <c r="O209" s="59" t="str">
        <f>IFERROR(RANK(TableWRCalcPts[[#This Row],[Custom]],TableWRCalcPts[Custom])+COUNTIF($T$3:T209,T209)-1,"")</f>
        <v/>
      </c>
      <c r="P209" s="59">
        <v>207</v>
      </c>
      <c r="Q209" s="59" t="str">
        <f>IFERROR(INDEX(TableWRMaster[Player],MATCH(TableWRCalcPts[[#This Row],[WRRef]],TableWRMaster[WRRef],0)),"")</f>
        <v/>
      </c>
      <c r="R209" s="59" t="str">
        <f>IFERROR(INDEX(TableWRMaster[TM],MATCH(TableWRCalcPts[[#This Row],[WRRef]],TableWRMaster[WRRef],0)),"")</f>
        <v/>
      </c>
      <c r="S209" s="59" t="str">
        <f>IFERROR(INDEX(TableWRMaster[BYE],MATCH(TableWRCalcPts[[#This Row],[WRRef]],TableWRMaster[WRRef],0)),"")</f>
        <v/>
      </c>
      <c r="T209" s="60" t="str">
        <f>IFERROR(INDEX(TableWRMaster[Custom],MATCH(TableWRCalcPts[[#This Row],[WRRef]],TableWRMaster[WRRef],0)),"")</f>
        <v/>
      </c>
      <c r="AI209" s="59" t="s">
        <v>223</v>
      </c>
      <c r="AJ209" s="59">
        <f>IFERROR(RANK(TableWRTECalcPts[[#This Row],[Custom]],TableWRTECalcPts[Custom])+COUNTIF($AP$3:AP209,AP209)-1,"")</f>
        <v>249</v>
      </c>
      <c r="AK209" s="105">
        <v>107</v>
      </c>
      <c r="AL209" s="105" t="str">
        <f>IFERROR(INDEX(TableWRMaster[Player],MATCH(TableWRTECalcPts[[#This Row],[POSRef]],TableWRMaster[WRRef],0)),"")</f>
        <v>Jalen Guyton</v>
      </c>
      <c r="AM209" s="105" t="str">
        <f>IFERROR(_xlfn.CONCAT(TableWRTECalcPts[[#This Row],[POS]],INDEX(TableWRRanks[RK],MATCH(TableWRTECalcPts[[#This Row],[PLAYER]],TableWRRanks[Player],0))),"")</f>
        <v>WR171</v>
      </c>
      <c r="AN209" s="105" t="str">
        <f>IFERROR(INDEX(TableWRMaster[TM],MATCH(TableWRTECalcPts[[#This Row],[POSRef]],TableWRMaster[WRRef],0)),"")</f>
        <v>LV</v>
      </c>
      <c r="AO209" s="105">
        <f>IFERROR(INDEX(TableWRMaster[BYE],MATCH(TableWRTECalcPts[[#This Row],[POSRef]],TableWRMaster[WRRef],0)),"")</f>
        <v>13</v>
      </c>
      <c r="AP209" s="103">
        <f>IFERROR(INDEX(TableWRMaster[Custom],MATCH(TableWRTECalcPts[[#This Row],[POSRef]],TableWRMaster[WRRef],0)),"")</f>
        <v>11.151155399999997</v>
      </c>
    </row>
    <row r="210" spans="13:42" x14ac:dyDescent="0.2">
      <c r="M210" s="60"/>
      <c r="O210" s="59" t="str">
        <f>IFERROR(RANK(TableWRCalcPts[[#This Row],[Custom]],TableWRCalcPts[Custom])+COUNTIF($T$3:T210,T210)-1,"")</f>
        <v/>
      </c>
      <c r="P210" s="59">
        <v>208</v>
      </c>
      <c r="Q210" s="59" t="str">
        <f>IFERROR(INDEX(TableWRMaster[Player],MATCH(TableWRCalcPts[[#This Row],[WRRef]],TableWRMaster[WRRef],0)),"")</f>
        <v/>
      </c>
      <c r="R210" s="59" t="str">
        <f>IFERROR(INDEX(TableWRMaster[TM],MATCH(TableWRCalcPts[[#This Row],[WRRef]],TableWRMaster[WRRef],0)),"")</f>
        <v/>
      </c>
      <c r="S210" s="59" t="str">
        <f>IFERROR(INDEX(TableWRMaster[BYE],MATCH(TableWRCalcPts[[#This Row],[WRRef]],TableWRMaster[WRRef],0)),"")</f>
        <v/>
      </c>
      <c r="T210" s="60" t="str">
        <f>IFERROR(INDEX(TableWRMaster[Custom],MATCH(TableWRCalcPts[[#This Row],[WRRef]],TableWRMaster[WRRef],0)),"")</f>
        <v/>
      </c>
      <c r="AI210" s="59" t="s">
        <v>223</v>
      </c>
      <c r="AJ210" s="59">
        <f>IFERROR(RANK(TableWRTECalcPts[[#This Row],[Custom]],TableWRTECalcPts[Custom])+COUNTIF($AP$3:AP210,AP210)-1,"")</f>
        <v>1</v>
      </c>
      <c r="AK210" s="105">
        <v>108</v>
      </c>
      <c r="AL210" s="105" t="str">
        <f>IFERROR(INDEX(TableWRMaster[Player],MATCH(TableWRTECalcPts[[#This Row],[POSRef]],TableWRMaster[WRRef],0)),"")</f>
        <v>Tyreek Hill</v>
      </c>
      <c r="AM210" s="105" t="str">
        <f>IFERROR(_xlfn.CONCAT(TableWRTECalcPts[[#This Row],[POS]],INDEX(TableWRRanks[RK],MATCH(TableWRTECalcPts[[#This Row],[PLAYER]],TableWRRanks[Player],0))),"")</f>
        <v>WR1</v>
      </c>
      <c r="AN210" s="105" t="str">
        <f>IFERROR(INDEX(TableWRMaster[TM],MATCH(TableWRTECalcPts[[#This Row],[POSRef]],TableWRMaster[WRRef],0)),"")</f>
        <v>MIA</v>
      </c>
      <c r="AO210" s="105">
        <f>IFERROR(INDEX(TableWRMaster[BYE],MATCH(TableWRTECalcPts[[#This Row],[POSRef]],TableWRMaster[WRRef],0)),"")</f>
        <v>10</v>
      </c>
      <c r="AP210" s="103">
        <f>IFERROR(INDEX(TableWRMaster[Custom],MATCH(TableWRTECalcPts[[#This Row],[POSRef]],TableWRMaster[WRRef],0)),"")</f>
        <v>276.05461827121923</v>
      </c>
    </row>
    <row r="211" spans="13:42" x14ac:dyDescent="0.2">
      <c r="M211" s="60"/>
      <c r="O211" s="59" t="str">
        <f>IFERROR(RANK(TableWRCalcPts[[#This Row],[Custom]],TableWRCalcPts[Custom])+COUNTIF($T$3:T211,T211)-1,"")</f>
        <v/>
      </c>
      <c r="P211" s="59">
        <v>209</v>
      </c>
      <c r="Q211" s="59" t="str">
        <f>IFERROR(INDEX(TableWRMaster[Player],MATCH(TableWRCalcPts[[#This Row],[WRRef]],TableWRMaster[WRRef],0)),"")</f>
        <v/>
      </c>
      <c r="R211" s="59" t="str">
        <f>IFERROR(INDEX(TableWRMaster[TM],MATCH(TableWRCalcPts[[#This Row],[WRRef]],TableWRMaster[WRRef],0)),"")</f>
        <v/>
      </c>
      <c r="S211" s="59" t="str">
        <f>IFERROR(INDEX(TableWRMaster[BYE],MATCH(TableWRCalcPts[[#This Row],[WRRef]],TableWRMaster[WRRef],0)),"")</f>
        <v/>
      </c>
      <c r="T211" s="60" t="str">
        <f>IFERROR(INDEX(TableWRMaster[Custom],MATCH(TableWRCalcPts[[#This Row],[WRRef]],TableWRMaster[WRRef],0)),"")</f>
        <v/>
      </c>
      <c r="AI211" s="59" t="s">
        <v>223</v>
      </c>
      <c r="AJ211" s="59">
        <f>IFERROR(RANK(TableWRTECalcPts[[#This Row],[Custom]],TableWRTECalcPts[Custom])+COUNTIF($AP$3:AP211,AP211)-1,"")</f>
        <v>13</v>
      </c>
      <c r="AK211" s="105">
        <v>109</v>
      </c>
      <c r="AL211" s="105" t="str">
        <f>IFERROR(INDEX(TableWRMaster[Player],MATCH(TableWRTECalcPts[[#This Row],[POSRef]],TableWRMaster[WRRef],0)),"")</f>
        <v>Jaylen Waddle</v>
      </c>
      <c r="AM211" s="105" t="str">
        <f>IFERROR(_xlfn.CONCAT(TableWRTECalcPts[[#This Row],[POS]],INDEX(TableWRRanks[RK],MATCH(TableWRTECalcPts[[#This Row],[PLAYER]],TableWRRanks[Player],0))),"")</f>
        <v>WR13</v>
      </c>
      <c r="AN211" s="105" t="str">
        <f>IFERROR(INDEX(TableWRMaster[TM],MATCH(TableWRTECalcPts[[#This Row],[POSRef]],TableWRMaster[WRRef],0)),"")</f>
        <v>MIA</v>
      </c>
      <c r="AO211" s="105">
        <f>IFERROR(INDEX(TableWRMaster[BYE],MATCH(TableWRTECalcPts[[#This Row],[POSRef]],TableWRMaster[WRRef],0)),"")</f>
        <v>10</v>
      </c>
      <c r="AP211" s="103">
        <f>IFERROR(INDEX(TableWRMaster[Custom],MATCH(TableWRTECalcPts[[#This Row],[POSRef]],TableWRMaster[WRRef],0)),"")</f>
        <v>201.51482224375039</v>
      </c>
    </row>
    <row r="212" spans="13:42" x14ac:dyDescent="0.2">
      <c r="M212" s="60"/>
      <c r="O212" s="59" t="str">
        <f>IFERROR(RANK(TableWRCalcPts[[#This Row],[Custom]],TableWRCalcPts[Custom])+COUNTIF($T$3:T212,T212)-1,"")</f>
        <v/>
      </c>
      <c r="P212" s="59">
        <v>210</v>
      </c>
      <c r="Q212" s="59" t="str">
        <f>IFERROR(INDEX(TableWRMaster[Player],MATCH(TableWRCalcPts[[#This Row],[WRRef]],TableWRMaster[WRRef],0)),"")</f>
        <v/>
      </c>
      <c r="R212" s="59" t="str">
        <f>IFERROR(INDEX(TableWRMaster[TM],MATCH(TableWRCalcPts[[#This Row],[WRRef]],TableWRMaster[WRRef],0)),"")</f>
        <v/>
      </c>
      <c r="S212" s="59" t="str">
        <f>IFERROR(INDEX(TableWRMaster[BYE],MATCH(TableWRCalcPts[[#This Row],[WRRef]],TableWRMaster[WRRef],0)),"")</f>
        <v/>
      </c>
      <c r="T212" s="60" t="str">
        <f>IFERROR(INDEX(TableWRMaster[Custom],MATCH(TableWRCalcPts[[#This Row],[WRRef]],TableWRMaster[WRRef],0)),"")</f>
        <v/>
      </c>
      <c r="AI212" s="59" t="s">
        <v>223</v>
      </c>
      <c r="AJ212" s="59">
        <f>IFERROR(RANK(TableWRTECalcPts[[#This Row],[Custom]],TableWRTECalcPts[Custom])+COUNTIF($AP$3:AP212,AP212)-1,"")</f>
        <v>134</v>
      </c>
      <c r="AK212" s="105">
        <v>110</v>
      </c>
      <c r="AL212" s="105" t="str">
        <f>IFERROR(INDEX(TableWRMaster[Player],MATCH(TableWRTECalcPts[[#This Row],[POSRef]],TableWRMaster[WRRef],0)),"")</f>
        <v>Odell Beckham</v>
      </c>
      <c r="AM212" s="105" t="str">
        <f>IFERROR(_xlfn.CONCAT(TableWRTECalcPts[[#This Row],[POS]],INDEX(TableWRRanks[RK],MATCH(TableWRTECalcPts[[#This Row],[PLAYER]],TableWRRanks[Player],0))),"")</f>
        <v>WR99</v>
      </c>
      <c r="AN212" s="105" t="str">
        <f>IFERROR(INDEX(TableWRMaster[TM],MATCH(TableWRTECalcPts[[#This Row],[POSRef]],TableWRMaster[WRRef],0)),"")</f>
        <v>MIA</v>
      </c>
      <c r="AO212" s="105">
        <f>IFERROR(INDEX(TableWRMaster[BYE],MATCH(TableWRTECalcPts[[#This Row],[POSRef]],TableWRMaster[WRRef],0)),"")</f>
        <v>10</v>
      </c>
      <c r="AP212" s="103">
        <f>IFERROR(INDEX(TableWRMaster[Custom],MATCH(TableWRTECalcPts[[#This Row],[POSRef]],TableWRMaster[WRRef],0)),"")</f>
        <v>57.496219514294395</v>
      </c>
    </row>
    <row r="213" spans="13:42" x14ac:dyDescent="0.2">
      <c r="M213" s="60"/>
      <c r="O213" s="59" t="str">
        <f>IFERROR(RANK(TableWRCalcPts[[#This Row],[Custom]],TableWRCalcPts[Custom])+COUNTIF($T$3:T213,T213)-1,"")</f>
        <v/>
      </c>
      <c r="P213" s="59">
        <v>211</v>
      </c>
      <c r="Q213" s="59" t="str">
        <f>IFERROR(INDEX(TableWRMaster[Player],MATCH(TableWRCalcPts[[#This Row],[WRRef]],TableWRMaster[WRRef],0)),"")</f>
        <v/>
      </c>
      <c r="R213" s="59" t="str">
        <f>IFERROR(INDEX(TableWRMaster[TM],MATCH(TableWRCalcPts[[#This Row],[WRRef]],TableWRMaster[WRRef],0)),"")</f>
        <v/>
      </c>
      <c r="S213" s="59" t="str">
        <f>IFERROR(INDEX(TableWRMaster[BYE],MATCH(TableWRCalcPts[[#This Row],[WRRef]],TableWRMaster[WRRef],0)),"")</f>
        <v/>
      </c>
      <c r="T213" s="60" t="str">
        <f>IFERROR(INDEX(TableWRMaster[Custom],MATCH(TableWRCalcPts[[#This Row],[WRRef]],TableWRMaster[WRRef],0)),"")</f>
        <v/>
      </c>
      <c r="AI213" s="59" t="s">
        <v>223</v>
      </c>
      <c r="AJ213" s="59">
        <f>IFERROR(RANK(TableWRTECalcPts[[#This Row],[Custom]],TableWRTECalcPts[Custom])+COUNTIF($AP$3:AP213,AP213)-1,"")</f>
        <v>224</v>
      </c>
      <c r="AK213" s="105">
        <v>111</v>
      </c>
      <c r="AL213" s="105" t="str">
        <f>IFERROR(INDEX(TableWRMaster[Player],MATCH(TableWRTECalcPts[[#This Row],[POSRef]],TableWRMaster[WRRef],0)),"")</f>
        <v>Braxton Berrios</v>
      </c>
      <c r="AM213" s="105" t="str">
        <f>IFERROR(_xlfn.CONCAT(TableWRTECalcPts[[#This Row],[POS]],INDEX(TableWRRanks[RK],MATCH(TableWRTECalcPts[[#This Row],[PLAYER]],TableWRRanks[Player],0))),"")</f>
        <v>WR157</v>
      </c>
      <c r="AN213" s="105" t="str">
        <f>IFERROR(INDEX(TableWRMaster[TM],MATCH(TableWRTECalcPts[[#This Row],[POSRef]],TableWRMaster[WRRef],0)),"")</f>
        <v>MIA</v>
      </c>
      <c r="AO213" s="105">
        <f>IFERROR(INDEX(TableWRMaster[BYE],MATCH(TableWRTECalcPts[[#This Row],[POSRef]],TableWRMaster[WRRef],0)),"")</f>
        <v>10</v>
      </c>
      <c r="AP213" s="103">
        <f>IFERROR(INDEX(TableWRMaster[Custom],MATCH(TableWRTECalcPts[[#This Row],[POSRef]],TableWRMaster[WRRef],0)),"")</f>
        <v>15.83091216</v>
      </c>
    </row>
    <row r="214" spans="13:42" x14ac:dyDescent="0.2">
      <c r="M214" s="60"/>
      <c r="O214" s="59" t="str">
        <f>IFERROR(RANK(TableWRCalcPts[[#This Row],[Custom]],TableWRCalcPts[Custom])+COUNTIF($T$3:T214,T214)-1,"")</f>
        <v/>
      </c>
      <c r="P214" s="59">
        <v>212</v>
      </c>
      <c r="Q214" s="59" t="str">
        <f>IFERROR(INDEX(TableWRMaster[Player],MATCH(TableWRCalcPts[[#This Row],[WRRef]],TableWRMaster[WRRef],0)),"")</f>
        <v/>
      </c>
      <c r="R214" s="59" t="str">
        <f>IFERROR(INDEX(TableWRMaster[TM],MATCH(TableWRCalcPts[[#This Row],[WRRef]],TableWRMaster[WRRef],0)),"")</f>
        <v/>
      </c>
      <c r="S214" s="59" t="str">
        <f>IFERROR(INDEX(TableWRMaster[BYE],MATCH(TableWRCalcPts[[#This Row],[WRRef]],TableWRMaster[WRRef],0)),"")</f>
        <v/>
      </c>
      <c r="T214" s="60" t="str">
        <f>IFERROR(INDEX(TableWRMaster[Custom],MATCH(TableWRCalcPts[[#This Row],[WRRef]],TableWRMaster[WRRef],0)),"")</f>
        <v/>
      </c>
      <c r="AI214" s="59" t="s">
        <v>223</v>
      </c>
      <c r="AJ214" s="59">
        <f>IFERROR(RANK(TableWRTECalcPts[[#This Row],[Custom]],TableWRTECalcPts[Custom])+COUNTIF($AP$3:AP214,AP214)-1,"")</f>
        <v>191</v>
      </c>
      <c r="AK214" s="105">
        <v>112</v>
      </c>
      <c r="AL214" s="105" t="str">
        <f>IFERROR(INDEX(TableWRMaster[Player],MATCH(TableWRTECalcPts[[#This Row],[POSRef]],TableWRMaster[WRRef],0)),"")</f>
        <v>Malik Washington</v>
      </c>
      <c r="AM214" s="105" t="str">
        <f>IFERROR(_xlfn.CONCAT(TableWRTECalcPts[[#This Row],[POS]],INDEX(TableWRRanks[RK],MATCH(TableWRTECalcPts[[#This Row],[PLAYER]],TableWRRanks[Player],0))),"")</f>
        <v>WR137</v>
      </c>
      <c r="AN214" s="105" t="str">
        <f>IFERROR(INDEX(TableWRMaster[TM],MATCH(TableWRTECalcPts[[#This Row],[POSRef]],TableWRMaster[WRRef],0)),"")</f>
        <v>MIA</v>
      </c>
      <c r="AO214" s="105">
        <f>IFERROR(INDEX(TableWRMaster[BYE],MATCH(TableWRTECalcPts[[#This Row],[POSRef]],TableWRMaster[WRRef],0)),"")</f>
        <v>10</v>
      </c>
      <c r="AP214" s="103">
        <f>IFERROR(INDEX(TableWRMaster[Custom],MATCH(TableWRTECalcPts[[#This Row],[POSRef]],TableWRMaster[WRRef],0)),"")</f>
        <v>25.1969371313184</v>
      </c>
    </row>
    <row r="215" spans="13:42" x14ac:dyDescent="0.2">
      <c r="M215" s="60"/>
      <c r="O215" s="59" t="str">
        <f>IFERROR(RANK(TableWRCalcPts[[#This Row],[Custom]],TableWRCalcPts[Custom])+COUNTIF($T$3:T215,T215)-1,"")</f>
        <v/>
      </c>
      <c r="P215" s="59">
        <v>213</v>
      </c>
      <c r="Q215" s="59" t="str">
        <f>IFERROR(INDEX(TableWRMaster[Player],MATCH(TableWRCalcPts[[#This Row],[WRRef]],TableWRMaster[WRRef],0)),"")</f>
        <v/>
      </c>
      <c r="R215" s="59" t="str">
        <f>IFERROR(INDEX(TableWRMaster[TM],MATCH(TableWRCalcPts[[#This Row],[WRRef]],TableWRMaster[WRRef],0)),"")</f>
        <v/>
      </c>
      <c r="S215" s="59" t="str">
        <f>IFERROR(INDEX(TableWRMaster[BYE],MATCH(TableWRCalcPts[[#This Row],[WRRef]],TableWRMaster[WRRef],0)),"")</f>
        <v/>
      </c>
      <c r="T215" s="60" t="str">
        <f>IFERROR(INDEX(TableWRMaster[Custom],MATCH(TableWRCalcPts[[#This Row],[WRRef]],TableWRMaster[WRRef],0)),"")</f>
        <v/>
      </c>
      <c r="AI215" s="59" t="s">
        <v>223</v>
      </c>
      <c r="AJ215" s="59">
        <f>IFERROR(RANK(TableWRTECalcPts[[#This Row],[Custom]],TableWRTECalcPts[Custom])+COUNTIF($AP$3:AP215,AP215)-1,"")</f>
        <v>235</v>
      </c>
      <c r="AK215" s="105">
        <v>113</v>
      </c>
      <c r="AL215" s="105" t="str">
        <f>IFERROR(INDEX(TableWRMaster[Player],MATCH(TableWRTECalcPts[[#This Row],[POSRef]],TableWRMaster[WRRef],0)),"")</f>
        <v>Tahj Washington</v>
      </c>
      <c r="AM215" s="105" t="str">
        <f>IFERROR(_xlfn.CONCAT(TableWRTECalcPts[[#This Row],[POS]],INDEX(TableWRRanks[RK],MATCH(TableWRTECalcPts[[#This Row],[PLAYER]],TableWRRanks[Player],0))),"")</f>
        <v>WR163</v>
      </c>
      <c r="AN215" s="105" t="str">
        <f>IFERROR(INDEX(TableWRMaster[TM],MATCH(TableWRTECalcPts[[#This Row],[POSRef]],TableWRMaster[WRRef],0)),"")</f>
        <v>MIA</v>
      </c>
      <c r="AO215" s="105">
        <f>IFERROR(INDEX(TableWRMaster[BYE],MATCH(TableWRTECalcPts[[#This Row],[POSRef]],TableWRMaster[WRRef],0)),"")</f>
        <v>10</v>
      </c>
      <c r="AP215" s="103">
        <f>IFERROR(INDEX(TableWRMaster[Custom],MATCH(TableWRTECalcPts[[#This Row],[POSRef]],TableWRMaster[WRRef],0)),"")</f>
        <v>14.071921919999998</v>
      </c>
    </row>
    <row r="216" spans="13:42" x14ac:dyDescent="0.2">
      <c r="M216" s="60"/>
      <c r="O216" s="59" t="str">
        <f>IFERROR(RANK(TableWRCalcPts[[#This Row],[Custom]],TableWRCalcPts[Custom])+COUNTIF($T$3:T216,T216)-1,"")</f>
        <v/>
      </c>
      <c r="P216" s="59">
        <v>214</v>
      </c>
      <c r="Q216" s="59" t="str">
        <f>IFERROR(INDEX(TableWRMaster[Player],MATCH(TableWRCalcPts[[#This Row],[WRRef]],TableWRMaster[WRRef],0)),"")</f>
        <v/>
      </c>
      <c r="R216" s="59" t="str">
        <f>IFERROR(INDEX(TableWRMaster[TM],MATCH(TableWRCalcPts[[#This Row],[WRRef]],TableWRMaster[WRRef],0)),"")</f>
        <v/>
      </c>
      <c r="S216" s="59" t="str">
        <f>IFERROR(INDEX(TableWRMaster[BYE],MATCH(TableWRCalcPts[[#This Row],[WRRef]],TableWRMaster[WRRef],0)),"")</f>
        <v/>
      </c>
      <c r="T216" s="60" t="str">
        <f>IFERROR(INDEX(TableWRMaster[Custom],MATCH(TableWRCalcPts[[#This Row],[WRRef]],TableWRMaster[WRRef],0)),"")</f>
        <v/>
      </c>
      <c r="AI216" s="59" t="s">
        <v>223</v>
      </c>
      <c r="AJ216" s="59">
        <f>IFERROR(RANK(TableWRTECalcPts[[#This Row],[Custom]],TableWRTECalcPts[Custom])+COUNTIF($AP$3:AP216,AP216)-1,"")</f>
        <v>4</v>
      </c>
      <c r="AK216" s="105">
        <v>114</v>
      </c>
      <c r="AL216" s="105" t="str">
        <f>IFERROR(INDEX(TableWRMaster[Player],MATCH(TableWRTECalcPts[[#This Row],[POSRef]],TableWRMaster[WRRef],0)),"")</f>
        <v>Justin Jefferson</v>
      </c>
      <c r="AM216" s="105" t="str">
        <f>IFERROR(_xlfn.CONCAT(TableWRTECalcPts[[#This Row],[POS]],INDEX(TableWRRanks[RK],MATCH(TableWRTECalcPts[[#This Row],[PLAYER]],TableWRRanks[Player],0))),"")</f>
        <v>WR4</v>
      </c>
      <c r="AN216" s="105" t="str">
        <f>IFERROR(INDEX(TableWRMaster[TM],MATCH(TableWRTECalcPts[[#This Row],[POSRef]],TableWRMaster[WRRef],0)),"")</f>
        <v>MIN</v>
      </c>
      <c r="AO216" s="105">
        <f>IFERROR(INDEX(TableWRMaster[BYE],MATCH(TableWRTECalcPts[[#This Row],[POSRef]],TableWRMaster[WRRef],0)),"")</f>
        <v>13</v>
      </c>
      <c r="AP216" s="103">
        <f>IFERROR(INDEX(TableWRMaster[Custom],MATCH(TableWRTECalcPts[[#This Row],[POSRef]],TableWRMaster[WRRef],0)),"")</f>
        <v>244.5777406576</v>
      </c>
    </row>
    <row r="217" spans="13:42" x14ac:dyDescent="0.2">
      <c r="M217" s="60"/>
      <c r="O217" s="59" t="str">
        <f>IFERROR(RANK(TableWRCalcPts[[#This Row],[Custom]],TableWRCalcPts[Custom])+COUNTIF($T$3:T217,T217)-1,"")</f>
        <v/>
      </c>
      <c r="P217" s="59">
        <v>215</v>
      </c>
      <c r="Q217" s="59" t="str">
        <f>IFERROR(INDEX(TableWRMaster[Player],MATCH(TableWRCalcPts[[#This Row],[WRRef]],TableWRMaster[WRRef],0)),"")</f>
        <v/>
      </c>
      <c r="R217" s="59" t="str">
        <f>IFERROR(INDEX(TableWRMaster[TM],MATCH(TableWRCalcPts[[#This Row],[WRRef]],TableWRMaster[WRRef],0)),"")</f>
        <v/>
      </c>
      <c r="S217" s="59" t="str">
        <f>IFERROR(INDEX(TableWRMaster[BYE],MATCH(TableWRCalcPts[[#This Row],[WRRef]],TableWRMaster[WRRef],0)),"")</f>
        <v/>
      </c>
      <c r="T217" s="60" t="str">
        <f>IFERROR(INDEX(TableWRMaster[Custom],MATCH(TableWRCalcPts[[#This Row],[WRRef]],TableWRMaster[WRRef],0)),"")</f>
        <v/>
      </c>
      <c r="AI217" s="59" t="s">
        <v>223</v>
      </c>
      <c r="AJ217" s="59">
        <f>IFERROR(RANK(TableWRTECalcPts[[#This Row],[Custom]],TableWRTECalcPts[Custom])+COUNTIF($AP$3:AP217,AP217)-1,"")</f>
        <v>31</v>
      </c>
      <c r="AK217" s="105">
        <v>115</v>
      </c>
      <c r="AL217" s="105" t="str">
        <f>IFERROR(INDEX(TableWRMaster[Player],MATCH(TableWRTECalcPts[[#This Row],[POSRef]],TableWRMaster[WRRef],0)),"")</f>
        <v>Jordan Addison</v>
      </c>
      <c r="AM217" s="105" t="str">
        <f>IFERROR(_xlfn.CONCAT(TableWRTECalcPts[[#This Row],[POS]],INDEX(TableWRRanks[RK],MATCH(TableWRTECalcPts[[#This Row],[PLAYER]],TableWRRanks[Player],0))),"")</f>
        <v>WR28</v>
      </c>
      <c r="AN217" s="105" t="str">
        <f>IFERROR(INDEX(TableWRMaster[TM],MATCH(TableWRTECalcPts[[#This Row],[POSRef]],TableWRMaster[WRRef],0)),"")</f>
        <v>MIN</v>
      </c>
      <c r="AO217" s="105">
        <f>IFERROR(INDEX(TableWRMaster[BYE],MATCH(TableWRTECalcPts[[#This Row],[POSRef]],TableWRMaster[WRRef],0)),"")</f>
        <v>13</v>
      </c>
      <c r="AP217" s="103">
        <f>IFERROR(INDEX(TableWRMaster[Custom],MATCH(TableWRTECalcPts[[#This Row],[POSRef]],TableWRMaster[WRRef],0)),"")</f>
        <v>179.59176974591995</v>
      </c>
    </row>
    <row r="218" spans="13:42" x14ac:dyDescent="0.2">
      <c r="M218" s="60"/>
      <c r="O218" s="59" t="str">
        <f>IFERROR(RANK(TableWRCalcPts[[#This Row],[Custom]],TableWRCalcPts[Custom])+COUNTIF($T$3:T218,T218)-1,"")</f>
        <v/>
      </c>
      <c r="P218" s="59">
        <v>216</v>
      </c>
      <c r="Q218" s="59" t="str">
        <f>IFERROR(INDEX(TableWRMaster[Player],MATCH(TableWRCalcPts[[#This Row],[WRRef]],TableWRMaster[WRRef],0)),"")</f>
        <v/>
      </c>
      <c r="R218" s="59" t="str">
        <f>IFERROR(INDEX(TableWRMaster[TM],MATCH(TableWRCalcPts[[#This Row],[WRRef]],TableWRMaster[WRRef],0)),"")</f>
        <v/>
      </c>
      <c r="S218" s="59" t="str">
        <f>IFERROR(INDEX(TableWRMaster[BYE],MATCH(TableWRCalcPts[[#This Row],[WRRef]],TableWRMaster[WRRef],0)),"")</f>
        <v/>
      </c>
      <c r="T218" s="60" t="str">
        <f>IFERROR(INDEX(TableWRMaster[Custom],MATCH(TableWRCalcPts[[#This Row],[WRRef]],TableWRMaster[WRRef],0)),"")</f>
        <v/>
      </c>
      <c r="AI218" s="59" t="s">
        <v>223</v>
      </c>
      <c r="AJ218" s="59">
        <f>IFERROR(RANK(TableWRTECalcPts[[#This Row],[Custom]],TableWRTECalcPts[Custom])+COUNTIF($AP$3:AP218,AP218)-1,"")</f>
        <v>128</v>
      </c>
      <c r="AK218" s="105">
        <v>116</v>
      </c>
      <c r="AL218" s="105" t="str">
        <f>IFERROR(INDEX(TableWRMaster[Player],MATCH(TableWRTECalcPts[[#This Row],[POSRef]],TableWRMaster[WRRef],0)),"")</f>
        <v>Brandon Powell</v>
      </c>
      <c r="AM218" s="105" t="str">
        <f>IFERROR(_xlfn.CONCAT(TableWRTECalcPts[[#This Row],[POS]],INDEX(TableWRRanks[RK],MATCH(TableWRTECalcPts[[#This Row],[PLAYER]],TableWRRanks[Player],0))),"")</f>
        <v>WR96</v>
      </c>
      <c r="AN218" s="105" t="str">
        <f>IFERROR(INDEX(TableWRMaster[TM],MATCH(TableWRTECalcPts[[#This Row],[POSRef]],TableWRMaster[WRRef],0)),"")</f>
        <v>MIN</v>
      </c>
      <c r="AO218" s="105">
        <f>IFERROR(INDEX(TableWRMaster[BYE],MATCH(TableWRTECalcPts[[#This Row],[POSRef]],TableWRMaster[WRRef],0)),"")</f>
        <v>13</v>
      </c>
      <c r="AP218" s="103">
        <f>IFERROR(INDEX(TableWRMaster[Custom],MATCH(TableWRTECalcPts[[#This Row],[POSRef]],TableWRMaster[WRRef],0)),"")</f>
        <v>60.938819423999995</v>
      </c>
    </row>
    <row r="219" spans="13:42" x14ac:dyDescent="0.2">
      <c r="M219" s="60"/>
      <c r="O219" s="59" t="str">
        <f>IFERROR(RANK(TableWRCalcPts[[#This Row],[Custom]],TableWRCalcPts[Custom])+COUNTIF($T$3:T219,T219)-1,"")</f>
        <v/>
      </c>
      <c r="P219" s="59">
        <v>217</v>
      </c>
      <c r="Q219" s="59" t="str">
        <f>IFERROR(INDEX(TableWRMaster[Player],MATCH(TableWRCalcPts[[#This Row],[WRRef]],TableWRMaster[WRRef],0)),"")</f>
        <v/>
      </c>
      <c r="R219" s="59" t="str">
        <f>IFERROR(INDEX(TableWRMaster[TM],MATCH(TableWRCalcPts[[#This Row],[WRRef]],TableWRMaster[WRRef],0)),"")</f>
        <v/>
      </c>
      <c r="S219" s="59" t="str">
        <f>IFERROR(INDEX(TableWRMaster[BYE],MATCH(TableWRCalcPts[[#This Row],[WRRef]],TableWRMaster[WRRef],0)),"")</f>
        <v/>
      </c>
      <c r="T219" s="60" t="str">
        <f>IFERROR(INDEX(TableWRMaster[Custom],MATCH(TableWRCalcPts[[#This Row],[WRRef]],TableWRMaster[WRRef],0)),"")</f>
        <v/>
      </c>
      <c r="AI219" s="59" t="s">
        <v>223</v>
      </c>
      <c r="AJ219" s="59">
        <f>IFERROR(RANK(TableWRTECalcPts[[#This Row],[Custom]],TableWRTECalcPts[Custom])+COUNTIF($AP$3:AP219,AP219)-1,"")</f>
        <v>231</v>
      </c>
      <c r="AK219" s="105">
        <v>117</v>
      </c>
      <c r="AL219" s="105" t="str">
        <f>IFERROR(INDEX(TableWRMaster[Player],MATCH(TableWRTECalcPts[[#This Row],[POSRef]],TableWRMaster[WRRef],0)),"")</f>
        <v>Trent Sherfield</v>
      </c>
      <c r="AM219" s="105" t="str">
        <f>IFERROR(_xlfn.CONCAT(TableWRTECalcPts[[#This Row],[POS]],INDEX(TableWRRanks[RK],MATCH(TableWRTECalcPts[[#This Row],[PLAYER]],TableWRRanks[Player],0))),"")</f>
        <v>WR160</v>
      </c>
      <c r="AN219" s="105" t="str">
        <f>IFERROR(INDEX(TableWRMaster[TM],MATCH(TableWRTECalcPts[[#This Row],[POSRef]],TableWRMaster[WRRef],0)),"")</f>
        <v>MIN</v>
      </c>
      <c r="AO219" s="105">
        <f>IFERROR(INDEX(TableWRMaster[BYE],MATCH(TableWRTECalcPts[[#This Row],[POSRef]],TableWRMaster[WRRef],0)),"")</f>
        <v>13</v>
      </c>
      <c r="AP219" s="103">
        <f>IFERROR(INDEX(TableWRMaster[Custom],MATCH(TableWRTECalcPts[[#This Row],[POSRef]],TableWRMaster[WRRef],0)),"")</f>
        <v>14.387896891199997</v>
      </c>
    </row>
    <row r="220" spans="13:42" x14ac:dyDescent="0.2">
      <c r="M220" s="60"/>
      <c r="O220" s="59" t="str">
        <f>IFERROR(RANK(TableWRCalcPts[[#This Row],[Custom]],TableWRCalcPts[Custom])+COUNTIF($T$3:T220,T220)-1,"")</f>
        <v/>
      </c>
      <c r="P220" s="59">
        <v>218</v>
      </c>
      <c r="Q220" s="59" t="str">
        <f>IFERROR(INDEX(TableWRMaster[Player],MATCH(TableWRCalcPts[[#This Row],[WRRef]],TableWRMaster[WRRef],0)),"")</f>
        <v/>
      </c>
      <c r="R220" s="59" t="str">
        <f>IFERROR(INDEX(TableWRMaster[TM],MATCH(TableWRCalcPts[[#This Row],[WRRef]],TableWRMaster[WRRef],0)),"")</f>
        <v/>
      </c>
      <c r="S220" s="59" t="str">
        <f>IFERROR(INDEX(TableWRMaster[BYE],MATCH(TableWRCalcPts[[#This Row],[WRRef]],TableWRMaster[WRRef],0)),"")</f>
        <v/>
      </c>
      <c r="T220" s="60" t="str">
        <f>IFERROR(INDEX(TableWRMaster[Custom],MATCH(TableWRCalcPts[[#This Row],[WRRef]],TableWRMaster[WRRef],0)),"")</f>
        <v/>
      </c>
      <c r="AI220" s="59" t="s">
        <v>223</v>
      </c>
      <c r="AJ220" s="59">
        <f>IFERROR(RANK(TableWRTECalcPts[[#This Row],[Custom]],TableWRTECalcPts[Custom])+COUNTIF($AP$3:AP220,AP220)-1,"")</f>
        <v>243</v>
      </c>
      <c r="AK220" s="105">
        <v>118</v>
      </c>
      <c r="AL220" s="105" t="str">
        <f>IFERROR(INDEX(TableWRMaster[Player],MATCH(TableWRTECalcPts[[#This Row],[POSRef]],TableWRMaster[WRRef],0)),"")</f>
        <v>Jalen Nailor</v>
      </c>
      <c r="AM220" s="105" t="str">
        <f>IFERROR(_xlfn.CONCAT(TableWRTECalcPts[[#This Row],[POS]],INDEX(TableWRRanks[RK],MATCH(TableWRTECalcPts[[#This Row],[PLAYER]],TableWRRanks[Player],0))),"")</f>
        <v>WR167</v>
      </c>
      <c r="AN220" s="105" t="str">
        <f>IFERROR(INDEX(TableWRMaster[TM],MATCH(TableWRTECalcPts[[#This Row],[POSRef]],TableWRMaster[WRRef],0)),"")</f>
        <v>MIN</v>
      </c>
      <c r="AO220" s="105">
        <f>IFERROR(INDEX(TableWRMaster[BYE],MATCH(TableWRTECalcPts[[#This Row],[POSRef]],TableWRMaster[WRRef],0)),"")</f>
        <v>13</v>
      </c>
      <c r="AP220" s="103">
        <f>IFERROR(INDEX(TableWRMaster[Custom],MATCH(TableWRTECalcPts[[#This Row],[POSRef]],TableWRMaster[WRRef],0)),"")</f>
        <v>13.011927264000001</v>
      </c>
    </row>
    <row r="221" spans="13:42" x14ac:dyDescent="0.2">
      <c r="M221" s="60"/>
      <c r="O221" s="59" t="str">
        <f>IFERROR(RANK(TableWRCalcPts[[#This Row],[Custom]],TableWRCalcPts[Custom])+COUNTIF($T$3:T221,T221)-1,"")</f>
        <v/>
      </c>
      <c r="P221" s="59">
        <v>219</v>
      </c>
      <c r="Q221" s="59" t="str">
        <f>IFERROR(INDEX(TableWRMaster[Player],MATCH(TableWRCalcPts[[#This Row],[WRRef]],TableWRMaster[WRRef],0)),"")</f>
        <v/>
      </c>
      <c r="R221" s="59" t="str">
        <f>IFERROR(INDEX(TableWRMaster[TM],MATCH(TableWRCalcPts[[#This Row],[WRRef]],TableWRMaster[WRRef],0)),"")</f>
        <v/>
      </c>
      <c r="S221" s="59" t="str">
        <f>IFERROR(INDEX(TableWRMaster[BYE],MATCH(TableWRCalcPts[[#This Row],[WRRef]],TableWRMaster[WRRef],0)),"")</f>
        <v/>
      </c>
      <c r="T221" s="60" t="str">
        <f>IFERROR(INDEX(TableWRMaster[Custom],MATCH(TableWRCalcPts[[#This Row],[WRRef]],TableWRMaster[WRRef],0)),"")</f>
        <v/>
      </c>
      <c r="AI221" s="59" t="s">
        <v>223</v>
      </c>
      <c r="AJ221" s="59">
        <f>IFERROR(RANK(TableWRTECalcPts[[#This Row],[Custom]],TableWRTECalcPts[Custom])+COUNTIF($AP$3:AP221,AP221)-1,"")</f>
        <v>99</v>
      </c>
      <c r="AK221" s="105">
        <v>119</v>
      </c>
      <c r="AL221" s="105" t="str">
        <f>IFERROR(INDEX(TableWRMaster[Player],MATCH(TableWRTECalcPts[[#This Row],[POSRef]],TableWRMaster[WRRef],0)),"")</f>
        <v>Ja'Lynn Polk</v>
      </c>
      <c r="AM221" s="105" t="str">
        <f>IFERROR(_xlfn.CONCAT(TableWRTECalcPts[[#This Row],[POS]],INDEX(TableWRRanks[RK],MATCH(TableWRTECalcPts[[#This Row],[PLAYER]],TableWRRanks[Player],0))),"")</f>
        <v>WR80</v>
      </c>
      <c r="AN221" s="105" t="str">
        <f>IFERROR(INDEX(TableWRMaster[TM],MATCH(TableWRTECalcPts[[#This Row],[POSRef]],TableWRMaster[WRRef],0)),"")</f>
        <v>NE</v>
      </c>
      <c r="AO221" s="105">
        <f>IFERROR(INDEX(TableWRMaster[BYE],MATCH(TableWRTECalcPts[[#This Row],[POSRef]],TableWRMaster[WRRef],0)),"")</f>
        <v>11</v>
      </c>
      <c r="AP221" s="103">
        <f>IFERROR(INDEX(TableWRMaster[Custom],MATCH(TableWRTECalcPts[[#This Row],[POSRef]],TableWRMaster[WRRef],0)),"")</f>
        <v>96.756904450096812</v>
      </c>
    </row>
    <row r="222" spans="13:42" x14ac:dyDescent="0.2">
      <c r="M222" s="60"/>
      <c r="O222" s="59" t="str">
        <f>IFERROR(RANK(TableWRCalcPts[[#This Row],[Custom]],TableWRCalcPts[Custom])+COUNTIF($T$3:T222,T222)-1,"")</f>
        <v/>
      </c>
      <c r="P222" s="59">
        <v>220</v>
      </c>
      <c r="Q222" s="59" t="str">
        <f>IFERROR(INDEX(TableWRMaster[Player],MATCH(TableWRCalcPts[[#This Row],[WRRef]],TableWRMaster[WRRef],0)),"")</f>
        <v/>
      </c>
      <c r="R222" s="59" t="str">
        <f>IFERROR(INDEX(TableWRMaster[TM],MATCH(TableWRCalcPts[[#This Row],[WRRef]],TableWRMaster[WRRef],0)),"")</f>
        <v/>
      </c>
      <c r="S222" s="59" t="str">
        <f>IFERROR(INDEX(TableWRMaster[BYE],MATCH(TableWRCalcPts[[#This Row],[WRRef]],TableWRMaster[WRRef],0)),"")</f>
        <v/>
      </c>
      <c r="T222" s="60" t="str">
        <f>IFERROR(INDEX(TableWRMaster[Custom],MATCH(TableWRCalcPts[[#This Row],[WRRef]],TableWRMaster[WRRef],0)),"")</f>
        <v/>
      </c>
      <c r="AI222" s="59" t="s">
        <v>223</v>
      </c>
      <c r="AJ222" s="59">
        <f>IFERROR(RANK(TableWRTECalcPts[[#This Row],[Custom]],TableWRTECalcPts[Custom])+COUNTIF($AP$3:AP222,AP222)-1,"")</f>
        <v>90</v>
      </c>
      <c r="AK222" s="105">
        <v>120</v>
      </c>
      <c r="AL222" s="105" t="str">
        <f>IFERROR(INDEX(TableWRMaster[Player],MATCH(TableWRTECalcPts[[#This Row],[POSRef]],TableWRMaster[WRRef],0)),"")</f>
        <v>Demario Douglas</v>
      </c>
      <c r="AM222" s="105" t="str">
        <f>IFERROR(_xlfn.CONCAT(TableWRTECalcPts[[#This Row],[POS]],INDEX(TableWRRanks[RK],MATCH(TableWRTECalcPts[[#This Row],[PLAYER]],TableWRRanks[Player],0))),"")</f>
        <v>WR74</v>
      </c>
      <c r="AN222" s="105" t="str">
        <f>IFERROR(INDEX(TableWRMaster[TM],MATCH(TableWRTECalcPts[[#This Row],[POSRef]],TableWRMaster[WRRef],0)),"")</f>
        <v>NE</v>
      </c>
      <c r="AO222" s="105">
        <f>IFERROR(INDEX(TableWRMaster[BYE],MATCH(TableWRTECalcPts[[#This Row],[POSRef]],TableWRMaster[WRRef],0)),"")</f>
        <v>11</v>
      </c>
      <c r="AP222" s="103">
        <f>IFERROR(INDEX(TableWRMaster[Custom],MATCH(TableWRTECalcPts[[#This Row],[POSRef]],TableWRMaster[WRRef],0)),"")</f>
        <v>106.29055499999998</v>
      </c>
    </row>
    <row r="223" spans="13:42" x14ac:dyDescent="0.2">
      <c r="M223" s="60"/>
      <c r="O223" s="59" t="str">
        <f>IFERROR(RANK(TableWRCalcPts[[#This Row],[Custom]],TableWRCalcPts[Custom])+COUNTIF($T$3:T223,T223)-1,"")</f>
        <v/>
      </c>
      <c r="P223" s="59">
        <v>221</v>
      </c>
      <c r="Q223" s="59" t="str">
        <f>IFERROR(INDEX(TableWRMaster[Player],MATCH(TableWRCalcPts[[#This Row],[WRRef]],TableWRMaster[WRRef],0)),"")</f>
        <v/>
      </c>
      <c r="R223" s="59" t="str">
        <f>IFERROR(INDEX(TableWRMaster[TM],MATCH(TableWRCalcPts[[#This Row],[WRRef]],TableWRMaster[WRRef],0)),"")</f>
        <v/>
      </c>
      <c r="S223" s="59" t="str">
        <f>IFERROR(INDEX(TableWRMaster[BYE],MATCH(TableWRCalcPts[[#This Row],[WRRef]],TableWRMaster[WRRef],0)),"")</f>
        <v/>
      </c>
      <c r="T223" s="60" t="str">
        <f>IFERROR(INDEX(TableWRMaster[Custom],MATCH(TableWRCalcPts[[#This Row],[WRRef]],TableWRMaster[WRRef],0)),"")</f>
        <v/>
      </c>
      <c r="AI223" s="59" t="s">
        <v>223</v>
      </c>
      <c r="AJ223" s="59">
        <f>IFERROR(RANK(TableWRTECalcPts[[#This Row],[Custom]],TableWRTECalcPts[Custom])+COUNTIF($AP$3:AP223,AP223)-1,"")</f>
        <v>97</v>
      </c>
      <c r="AK223" s="105">
        <v>121</v>
      </c>
      <c r="AL223" s="105" t="str">
        <f>IFERROR(INDEX(TableWRMaster[Player],MATCH(TableWRTECalcPts[[#This Row],[POSRef]],TableWRMaster[WRRef],0)),"")</f>
        <v>Kendrick Bourne</v>
      </c>
      <c r="AM223" s="105" t="str">
        <f>IFERROR(_xlfn.CONCAT(TableWRTECalcPts[[#This Row],[POS]],INDEX(TableWRRanks[RK],MATCH(TableWRTECalcPts[[#This Row],[PLAYER]],TableWRRanks[Player],0))),"")</f>
        <v>WR79</v>
      </c>
      <c r="AN223" s="105" t="str">
        <f>IFERROR(INDEX(TableWRMaster[TM],MATCH(TableWRTECalcPts[[#This Row],[POSRef]],TableWRMaster[WRRef],0)),"")</f>
        <v>NE</v>
      </c>
      <c r="AO223" s="105">
        <f>IFERROR(INDEX(TableWRMaster[BYE],MATCH(TableWRTECalcPts[[#This Row],[POSRef]],TableWRMaster[WRRef],0)),"")</f>
        <v>11</v>
      </c>
      <c r="AP223" s="103">
        <f>IFERROR(INDEX(TableWRMaster[Custom],MATCH(TableWRTECalcPts[[#This Row],[POSRef]],TableWRMaster[WRRef],0)),"")</f>
        <v>98.874365364095979</v>
      </c>
    </row>
    <row r="224" spans="13:42" x14ac:dyDescent="0.2">
      <c r="M224" s="60"/>
      <c r="O224" s="59" t="str">
        <f>IFERROR(RANK(TableWRCalcPts[[#This Row],[Custom]],TableWRCalcPts[Custom])+COUNTIF($T$3:T224,T224)-1,"")</f>
        <v/>
      </c>
      <c r="P224" s="59">
        <v>222</v>
      </c>
      <c r="Q224" s="59" t="str">
        <f>IFERROR(INDEX(TableWRMaster[Player],MATCH(TableWRCalcPts[[#This Row],[WRRef]],TableWRMaster[WRRef],0)),"")</f>
        <v/>
      </c>
      <c r="R224" s="59" t="str">
        <f>IFERROR(INDEX(TableWRMaster[TM],MATCH(TableWRCalcPts[[#This Row],[WRRef]],TableWRMaster[WRRef],0)),"")</f>
        <v/>
      </c>
      <c r="S224" s="59" t="str">
        <f>IFERROR(INDEX(TableWRMaster[BYE],MATCH(TableWRCalcPts[[#This Row],[WRRef]],TableWRMaster[WRRef],0)),"")</f>
        <v/>
      </c>
      <c r="T224" s="60" t="str">
        <f>IFERROR(INDEX(TableWRMaster[Custom],MATCH(TableWRCalcPts[[#This Row],[WRRef]],TableWRMaster[WRRef],0)),"")</f>
        <v/>
      </c>
      <c r="AI224" s="59" t="s">
        <v>223</v>
      </c>
      <c r="AJ224" s="59">
        <f>IFERROR(RANK(TableWRTECalcPts[[#This Row],[Custom]],TableWRTECalcPts[Custom])+COUNTIF($AP$3:AP224,AP224)-1,"")</f>
        <v>162</v>
      </c>
      <c r="AK224" s="105">
        <v>122</v>
      </c>
      <c r="AL224" s="105" t="str">
        <f>IFERROR(INDEX(TableWRMaster[Player],MATCH(TableWRTECalcPts[[#This Row],[POSRef]],TableWRMaster[WRRef],0)),"")</f>
        <v>K.J. Osborn</v>
      </c>
      <c r="AM224" s="105" t="str">
        <f>IFERROR(_xlfn.CONCAT(TableWRTECalcPts[[#This Row],[POS]],INDEX(TableWRRanks[RK],MATCH(TableWRTECalcPts[[#This Row],[PLAYER]],TableWRRanks[Player],0))),"")</f>
        <v>WR116</v>
      </c>
      <c r="AN224" s="105" t="str">
        <f>IFERROR(INDEX(TableWRMaster[TM],MATCH(TableWRTECalcPts[[#This Row],[POSRef]],TableWRMaster[WRRef],0)),"")</f>
        <v>NE</v>
      </c>
      <c r="AO224" s="105">
        <f>IFERROR(INDEX(TableWRMaster[BYE],MATCH(TableWRTECalcPts[[#This Row],[POSRef]],TableWRMaster[WRRef],0)),"")</f>
        <v>11</v>
      </c>
      <c r="AP224" s="103">
        <f>IFERROR(INDEX(TableWRMaster[Custom],MATCH(TableWRTECalcPts[[#This Row],[POSRef]],TableWRMaster[WRRef],0)),"")</f>
        <v>34.604123150687997</v>
      </c>
    </row>
    <row r="225" spans="13:42" x14ac:dyDescent="0.2">
      <c r="M225" s="60"/>
      <c r="O225" s="59" t="str">
        <f>IFERROR(RANK(TableWRCalcPts[[#This Row],[Custom]],TableWRCalcPts[Custom])+COUNTIF($T$3:T225,T225)-1,"")</f>
        <v/>
      </c>
      <c r="P225" s="59">
        <v>223</v>
      </c>
      <c r="Q225" s="59" t="str">
        <f>IFERROR(INDEX(TableWRMaster[Player],MATCH(TableWRCalcPts[[#This Row],[WRRef]],TableWRMaster[WRRef],0)),"")</f>
        <v/>
      </c>
      <c r="R225" s="59" t="str">
        <f>IFERROR(INDEX(TableWRMaster[TM],MATCH(TableWRCalcPts[[#This Row],[WRRef]],TableWRMaster[WRRef],0)),"")</f>
        <v/>
      </c>
      <c r="S225" s="59" t="str">
        <f>IFERROR(INDEX(TableWRMaster[BYE],MATCH(TableWRCalcPts[[#This Row],[WRRef]],TableWRMaster[WRRef],0)),"")</f>
        <v/>
      </c>
      <c r="T225" s="60" t="str">
        <f>IFERROR(INDEX(TableWRMaster[Custom],MATCH(TableWRCalcPts[[#This Row],[WRRef]],TableWRMaster[WRRef],0)),"")</f>
        <v/>
      </c>
      <c r="AI225" s="59" t="s">
        <v>223</v>
      </c>
      <c r="AJ225" s="59">
        <f>IFERROR(RANK(TableWRTECalcPts[[#This Row],[Custom]],TableWRTECalcPts[Custom])+COUNTIF($AP$3:AP225,AP225)-1,"")</f>
        <v>125</v>
      </c>
      <c r="AK225" s="105">
        <v>123</v>
      </c>
      <c r="AL225" s="105" t="str">
        <f>IFERROR(INDEX(TableWRMaster[Player],MATCH(TableWRTECalcPts[[#This Row],[POSRef]],TableWRMaster[WRRef],0)),"")</f>
        <v>JuJu Smith-Schuster</v>
      </c>
      <c r="AM225" s="105" t="str">
        <f>IFERROR(_xlfn.CONCAT(TableWRTECalcPts[[#This Row],[POS]],INDEX(TableWRRanks[RK],MATCH(TableWRTECalcPts[[#This Row],[PLAYER]],TableWRRanks[Player],0))),"")</f>
        <v>WR94</v>
      </c>
      <c r="AN225" s="105" t="str">
        <f>IFERROR(INDEX(TableWRMaster[TM],MATCH(TableWRTECalcPts[[#This Row],[POSRef]],TableWRMaster[WRRef],0)),"")</f>
        <v>NE</v>
      </c>
      <c r="AO225" s="105">
        <f>IFERROR(INDEX(TableWRMaster[BYE],MATCH(TableWRTECalcPts[[#This Row],[POSRef]],TableWRMaster[WRRef],0)),"")</f>
        <v>11</v>
      </c>
      <c r="AP225" s="103">
        <f>IFERROR(INDEX(TableWRMaster[Custom],MATCH(TableWRTECalcPts[[#This Row],[POSRef]],TableWRMaster[WRRef],0)),"")</f>
        <v>64.556631484799979</v>
      </c>
    </row>
    <row r="226" spans="13:42" x14ac:dyDescent="0.2">
      <c r="M226" s="60"/>
      <c r="O226" s="59" t="str">
        <f>IFERROR(RANK(TableWRCalcPts[[#This Row],[Custom]],TableWRCalcPts[Custom])+COUNTIF($T$3:T226,T226)-1,"")</f>
        <v/>
      </c>
      <c r="P226" s="59">
        <v>224</v>
      </c>
      <c r="Q226" s="59" t="str">
        <f>IFERROR(INDEX(TableWRMaster[Player],MATCH(TableWRCalcPts[[#This Row],[WRRef]],TableWRMaster[WRRef],0)),"")</f>
        <v/>
      </c>
      <c r="R226" s="59" t="str">
        <f>IFERROR(INDEX(TableWRMaster[TM],MATCH(TableWRCalcPts[[#This Row],[WRRef]],TableWRMaster[WRRef],0)),"")</f>
        <v/>
      </c>
      <c r="S226" s="59" t="str">
        <f>IFERROR(INDEX(TableWRMaster[BYE],MATCH(TableWRCalcPts[[#This Row],[WRRef]],TableWRMaster[WRRef],0)),"")</f>
        <v/>
      </c>
      <c r="T226" s="60" t="str">
        <f>IFERROR(INDEX(TableWRMaster[Custom],MATCH(TableWRCalcPts[[#This Row],[WRRef]],TableWRMaster[WRRef],0)),"")</f>
        <v/>
      </c>
      <c r="AI226" s="59" t="s">
        <v>223</v>
      </c>
      <c r="AJ226" s="59">
        <f>IFERROR(RANK(TableWRTECalcPts[[#This Row],[Custom]],TableWRTECalcPts[Custom])+COUNTIF($AP$3:AP226,AP226)-1,"")</f>
        <v>160</v>
      </c>
      <c r="AK226" s="105">
        <v>124</v>
      </c>
      <c r="AL226" s="105" t="str">
        <f>IFERROR(INDEX(TableWRMaster[Player],MATCH(TableWRTECalcPts[[#This Row],[POSRef]],TableWRMaster[WRRef],0)),"")</f>
        <v>Javon Baker</v>
      </c>
      <c r="AM226" s="105" t="str">
        <f>IFERROR(_xlfn.CONCAT(TableWRTECalcPts[[#This Row],[POS]],INDEX(TableWRRanks[RK],MATCH(TableWRTECalcPts[[#This Row],[PLAYER]],TableWRRanks[Player],0))),"")</f>
        <v>WR114</v>
      </c>
      <c r="AN226" s="105" t="str">
        <f>IFERROR(INDEX(TableWRMaster[TM],MATCH(TableWRTECalcPts[[#This Row],[POSRef]],TableWRMaster[WRRef],0)),"")</f>
        <v>NE</v>
      </c>
      <c r="AO226" s="105">
        <f>IFERROR(INDEX(TableWRMaster[BYE],MATCH(TableWRTECalcPts[[#This Row],[POSRef]],TableWRMaster[WRRef],0)),"")</f>
        <v>11</v>
      </c>
      <c r="AP226" s="103">
        <f>IFERROR(INDEX(TableWRMaster[Custom],MATCH(TableWRTECalcPts[[#This Row],[POSRef]],TableWRMaster[WRRef],0)),"")</f>
        <v>36.585038966111988</v>
      </c>
    </row>
    <row r="227" spans="13:42" x14ac:dyDescent="0.2">
      <c r="M227" s="60"/>
      <c r="O227" s="59" t="str">
        <f>IFERROR(RANK(TableWRCalcPts[[#This Row],[Custom]],TableWRCalcPts[Custom])+COUNTIF($T$3:T227,T227)-1,"")</f>
        <v/>
      </c>
      <c r="P227" s="59">
        <v>225</v>
      </c>
      <c r="Q227" s="59" t="str">
        <f>IFERROR(INDEX(TableWRMaster[Player],MATCH(TableWRCalcPts[[#This Row],[WRRef]],TableWRMaster[WRRef],0)),"")</f>
        <v/>
      </c>
      <c r="R227" s="59" t="str">
        <f>IFERROR(INDEX(TableWRMaster[TM],MATCH(TableWRCalcPts[[#This Row],[WRRef]],TableWRMaster[WRRef],0)),"")</f>
        <v/>
      </c>
      <c r="S227" s="59" t="str">
        <f>IFERROR(INDEX(TableWRMaster[BYE],MATCH(TableWRCalcPts[[#This Row],[WRRef]],TableWRMaster[WRRef],0)),"")</f>
        <v/>
      </c>
      <c r="T227" s="60" t="str">
        <f>IFERROR(INDEX(TableWRMaster[Custom],MATCH(TableWRCalcPts[[#This Row],[WRRef]],TableWRMaster[WRRef],0)),"")</f>
        <v/>
      </c>
      <c r="AI227" s="59" t="s">
        <v>223</v>
      </c>
      <c r="AJ227" s="59">
        <f>IFERROR(RANK(TableWRTECalcPts[[#This Row],[Custom]],TableWRTECalcPts[Custom])+COUNTIF($AP$3:AP227,AP227)-1,"")</f>
        <v>21</v>
      </c>
      <c r="AK227" s="105">
        <v>125</v>
      </c>
      <c r="AL227" s="105" t="str">
        <f>IFERROR(INDEX(TableWRMaster[Player],MATCH(TableWRTECalcPts[[#This Row],[POSRef]],TableWRMaster[WRRef],0)),"")</f>
        <v>Chris Olave</v>
      </c>
      <c r="AM227" s="105" t="str">
        <f>IFERROR(_xlfn.CONCAT(TableWRTECalcPts[[#This Row],[POS]],INDEX(TableWRRanks[RK],MATCH(TableWRTECalcPts[[#This Row],[PLAYER]],TableWRRanks[Player],0))),"")</f>
        <v>WR20</v>
      </c>
      <c r="AN227" s="105" t="str">
        <f>IFERROR(INDEX(TableWRMaster[TM],MATCH(TableWRTECalcPts[[#This Row],[POSRef]],TableWRMaster[WRRef],0)),"")</f>
        <v>NO</v>
      </c>
      <c r="AO227" s="105">
        <f>IFERROR(INDEX(TableWRMaster[BYE],MATCH(TableWRTECalcPts[[#This Row],[POSRef]],TableWRMaster[WRRef],0)),"")</f>
        <v>11</v>
      </c>
      <c r="AP227" s="103">
        <f>IFERROR(INDEX(TableWRMaster[Custom],MATCH(TableWRTECalcPts[[#This Row],[POSRef]],TableWRMaster[WRRef],0)),"")</f>
        <v>190.09510405256719</v>
      </c>
    </row>
    <row r="228" spans="13:42" x14ac:dyDescent="0.2">
      <c r="M228" s="60"/>
      <c r="T228" s="60"/>
      <c r="AI228" s="59" t="s">
        <v>223</v>
      </c>
      <c r="AJ228" s="59">
        <f>IFERROR(RANK(TableWRTECalcPts[[#This Row],[Custom]],TableWRTECalcPts[Custom])+COUNTIF($AP$3:AP228,AP228)-1,"")</f>
        <v>71</v>
      </c>
      <c r="AK228" s="105">
        <v>126</v>
      </c>
      <c r="AL228" s="105" t="str">
        <f>IFERROR(INDEX(TableWRMaster[Player],MATCH(TableWRTECalcPts[[#This Row],[POSRef]],TableWRMaster[WRRef],0)),"")</f>
        <v>Rashid Shaheed</v>
      </c>
      <c r="AM228" s="105" t="str">
        <f>IFERROR(_xlfn.CONCAT(TableWRTECalcPts[[#This Row],[POS]],INDEX(TableWRRanks[RK],MATCH(TableWRTECalcPts[[#This Row],[PLAYER]],TableWRRanks[Player],0))),"")</f>
        <v>WR61</v>
      </c>
      <c r="AN228" s="105" t="str">
        <f>IFERROR(INDEX(TableWRMaster[TM],MATCH(TableWRTECalcPts[[#This Row],[POSRef]],TableWRMaster[WRRef],0)),"")</f>
        <v>NO</v>
      </c>
      <c r="AO228" s="105">
        <f>IFERROR(INDEX(TableWRMaster[BYE],MATCH(TableWRTECalcPts[[#This Row],[POSRef]],TableWRMaster[WRRef],0)),"")</f>
        <v>11</v>
      </c>
      <c r="AP228" s="103">
        <f>IFERROR(INDEX(TableWRMaster[Custom],MATCH(TableWRTECalcPts[[#This Row],[POSRef]],TableWRMaster[WRRef],0)),"")</f>
        <v>137.90885669345585</v>
      </c>
    </row>
    <row r="229" spans="13:42" x14ac:dyDescent="0.2">
      <c r="M229" s="60"/>
      <c r="T229" s="60"/>
      <c r="AI229" s="59" t="s">
        <v>223</v>
      </c>
      <c r="AJ229" s="59">
        <f>IFERROR(RANK(TableWRTECalcPts[[#This Row],[Custom]],TableWRTECalcPts[Custom])+COUNTIF($AP$3:AP229,AP229)-1,"")</f>
        <v>119</v>
      </c>
      <c r="AK229" s="105">
        <v>127</v>
      </c>
      <c r="AL229" s="105" t="str">
        <f>IFERROR(INDEX(TableWRMaster[Player],MATCH(TableWRTECalcPts[[#This Row],[POSRef]],TableWRMaster[WRRef],0)),"")</f>
        <v>Cedrick Wilson</v>
      </c>
      <c r="AM229" s="105" t="str">
        <f>IFERROR(_xlfn.CONCAT(TableWRTECalcPts[[#This Row],[POS]],INDEX(TableWRRanks[RK],MATCH(TableWRTECalcPts[[#This Row],[PLAYER]],TableWRRanks[Player],0))),"")</f>
        <v>WR92</v>
      </c>
      <c r="AN229" s="105" t="str">
        <f>IFERROR(INDEX(TableWRMaster[TM],MATCH(TableWRTECalcPts[[#This Row],[POSRef]],TableWRMaster[WRRef],0)),"")</f>
        <v>NO</v>
      </c>
      <c r="AO229" s="105">
        <f>IFERROR(INDEX(TableWRMaster[BYE],MATCH(TableWRTECalcPts[[#This Row],[POSRef]],TableWRMaster[WRRef],0)),"")</f>
        <v>11</v>
      </c>
      <c r="AP229" s="103">
        <f>IFERROR(INDEX(TableWRMaster[Custom],MATCH(TableWRTECalcPts[[#This Row],[POSRef]],TableWRMaster[WRRef],0)),"")</f>
        <v>69.911023376409588</v>
      </c>
    </row>
    <row r="230" spans="13:42" x14ac:dyDescent="0.2">
      <c r="M230" s="60"/>
      <c r="T230" s="60"/>
      <c r="AI230" s="59" t="s">
        <v>223</v>
      </c>
      <c r="AJ230" s="59">
        <f>IFERROR(RANK(TableWRTECalcPts[[#This Row],[Custom]],TableWRTECalcPts[Custom])+COUNTIF($AP$3:AP230,AP230)-1,"")</f>
        <v>148</v>
      </c>
      <c r="AK230" s="105">
        <v>128</v>
      </c>
      <c r="AL230" s="105" t="str">
        <f>IFERROR(INDEX(TableWRMaster[Player],MATCH(TableWRTECalcPts[[#This Row],[POSRef]],TableWRMaster[WRRef],0)),"")</f>
        <v>A.T. Perry</v>
      </c>
      <c r="AM230" s="105" t="str">
        <f>IFERROR(_xlfn.CONCAT(TableWRTECalcPts[[#This Row],[POS]],INDEX(TableWRRanks[RK],MATCH(TableWRTECalcPts[[#This Row],[PLAYER]],TableWRRanks[Player],0))),"")</f>
        <v>WR104</v>
      </c>
      <c r="AN230" s="105" t="str">
        <f>IFERROR(INDEX(TableWRMaster[TM],MATCH(TableWRTECalcPts[[#This Row],[POSRef]],TableWRMaster[WRRef],0)),"")</f>
        <v>NO</v>
      </c>
      <c r="AO230" s="105">
        <f>IFERROR(INDEX(TableWRMaster[BYE],MATCH(TableWRTECalcPts[[#This Row],[POSRef]],TableWRMaster[WRRef],0)),"")</f>
        <v>11</v>
      </c>
      <c r="AP230" s="103">
        <f>IFERROR(INDEX(TableWRMaster[Custom],MATCH(TableWRTECalcPts[[#This Row],[POSRef]],TableWRMaster[WRRef],0)),"")</f>
        <v>45.816955573996985</v>
      </c>
    </row>
    <row r="231" spans="13:42" x14ac:dyDescent="0.2">
      <c r="M231" s="60"/>
      <c r="T231" s="60"/>
      <c r="AI231" s="59" t="s">
        <v>223</v>
      </c>
      <c r="AJ231" s="59">
        <f>IFERROR(RANK(TableWRTECalcPts[[#This Row],[Custom]],TableWRTECalcPts[Custom])+COUNTIF($AP$3:AP231,AP231)-1,"")</f>
        <v>226</v>
      </c>
      <c r="AK231" s="105">
        <v>129</v>
      </c>
      <c r="AL231" s="105" t="str">
        <f>IFERROR(INDEX(TableWRMaster[Player],MATCH(TableWRTECalcPts[[#This Row],[POSRef]],TableWRMaster[WRRef],0)),"")</f>
        <v>Bub Means</v>
      </c>
      <c r="AM231" s="105" t="str">
        <f>IFERROR(_xlfn.CONCAT(TableWRTECalcPts[[#This Row],[POS]],INDEX(TableWRRanks[RK],MATCH(TableWRTECalcPts[[#This Row],[PLAYER]],TableWRRanks[Player],0))),"")</f>
        <v>WR158</v>
      </c>
      <c r="AN231" s="105" t="str">
        <f>IFERROR(INDEX(TableWRMaster[TM],MATCH(TableWRTECalcPts[[#This Row],[POSRef]],TableWRMaster[WRRef],0)),"")</f>
        <v>NO</v>
      </c>
      <c r="AO231" s="105">
        <f>IFERROR(INDEX(TableWRMaster[BYE],MATCH(TableWRTECalcPts[[#This Row],[POSRef]],TableWRMaster[WRRef],0)),"")</f>
        <v>11</v>
      </c>
      <c r="AP231" s="103">
        <f>IFERROR(INDEX(TableWRMaster[Custom],MATCH(TableWRTECalcPts[[#This Row],[POSRef]],TableWRMaster[WRRef],0)),"")</f>
        <v>15.27545624248336</v>
      </c>
    </row>
    <row r="232" spans="13:42" x14ac:dyDescent="0.2">
      <c r="M232" s="60"/>
      <c r="T232" s="60"/>
      <c r="AI232" s="59" t="s">
        <v>223</v>
      </c>
      <c r="AJ232" s="59">
        <f>IFERROR(RANK(TableWRTECalcPts[[#This Row],[Custom]],TableWRTECalcPts[Custom])+COUNTIF($AP$3:AP232,AP232)-1,"")</f>
        <v>245</v>
      </c>
      <c r="AK232" s="105">
        <v>130</v>
      </c>
      <c r="AL232" s="105" t="str">
        <f>IFERROR(INDEX(TableWRMaster[Player],MATCH(TableWRTECalcPts[[#This Row],[POSRef]],TableWRMaster[WRRef],0)),"")</f>
        <v>Stanley Morgan</v>
      </c>
      <c r="AM232" s="105" t="str">
        <f>IFERROR(_xlfn.CONCAT(TableWRTECalcPts[[#This Row],[POS]],INDEX(TableWRRanks[RK],MATCH(TableWRTECalcPts[[#This Row],[PLAYER]],TableWRRanks[Player],0))),"")</f>
        <v>WR169</v>
      </c>
      <c r="AN232" s="105" t="str">
        <f>IFERROR(INDEX(TableWRMaster[TM],MATCH(TableWRTECalcPts[[#This Row],[POSRef]],TableWRMaster[WRRef],0)),"")</f>
        <v>NO</v>
      </c>
      <c r="AO232" s="105">
        <f>IFERROR(INDEX(TableWRMaster[BYE],MATCH(TableWRTECalcPts[[#This Row],[POSRef]],TableWRMaster[WRRef],0)),"")</f>
        <v>11</v>
      </c>
      <c r="AP232" s="103">
        <f>IFERROR(INDEX(TableWRMaster[Custom],MATCH(TableWRTECalcPts[[#This Row],[POSRef]],TableWRMaster[WRRef],0)),"")</f>
        <v>12.684391177919998</v>
      </c>
    </row>
    <row r="233" spans="13:42" x14ac:dyDescent="0.2">
      <c r="M233" s="60"/>
      <c r="T233" s="60"/>
      <c r="AI233" s="59" t="s">
        <v>223</v>
      </c>
      <c r="AJ233" s="59">
        <f>IFERROR(RANK(TableWRTECalcPts[[#This Row],[Custom]],TableWRTECalcPts[Custom])+COUNTIF($AP$3:AP233,AP233)-1,"")</f>
        <v>26</v>
      </c>
      <c r="AK233" s="105">
        <v>131</v>
      </c>
      <c r="AL233" s="105" t="str">
        <f>IFERROR(INDEX(TableWRMaster[Player],MATCH(TableWRTECalcPts[[#This Row],[POSRef]],TableWRMaster[WRRef],0)),"")</f>
        <v>Malik Nabers</v>
      </c>
      <c r="AM233" s="105" t="str">
        <f>IFERROR(_xlfn.CONCAT(TableWRTECalcPts[[#This Row],[POS]],INDEX(TableWRRanks[RK],MATCH(TableWRTECalcPts[[#This Row],[PLAYER]],TableWRRanks[Player],0))),"")</f>
        <v>WR24</v>
      </c>
      <c r="AN233" s="105" t="str">
        <f>IFERROR(INDEX(TableWRMaster[TM],MATCH(TableWRTECalcPts[[#This Row],[POSRef]],TableWRMaster[WRRef],0)),"")</f>
        <v>NYG</v>
      </c>
      <c r="AO233" s="105">
        <f>IFERROR(INDEX(TableWRMaster[BYE],MATCH(TableWRTECalcPts[[#This Row],[POSRef]],TableWRMaster[WRRef],0)),"")</f>
        <v>13</v>
      </c>
      <c r="AP233" s="103">
        <f>IFERROR(INDEX(TableWRMaster[Custom],MATCH(TableWRTECalcPts[[#This Row],[POSRef]],TableWRMaster[WRRef],0)),"")</f>
        <v>183.31286653088634</v>
      </c>
    </row>
    <row r="234" spans="13:42" x14ac:dyDescent="0.2">
      <c r="M234" s="60"/>
      <c r="T234" s="60"/>
      <c r="AI234" s="59" t="s">
        <v>223</v>
      </c>
      <c r="AJ234" s="59">
        <f>IFERROR(RANK(TableWRTECalcPts[[#This Row],[Custom]],TableWRTECalcPts[Custom])+COUNTIF($AP$3:AP234,AP234)-1,"")</f>
        <v>81</v>
      </c>
      <c r="AK234" s="105">
        <v>132</v>
      </c>
      <c r="AL234" s="105" t="str">
        <f>IFERROR(INDEX(TableWRMaster[Player],MATCH(TableWRTECalcPts[[#This Row],[POSRef]],TableWRMaster[WRRef],0)),"")</f>
        <v>Wan'Dale Robinson</v>
      </c>
      <c r="AM234" s="105" t="str">
        <f>IFERROR(_xlfn.CONCAT(TableWRTECalcPts[[#This Row],[POS]],INDEX(TableWRRanks[RK],MATCH(TableWRTECalcPts[[#This Row],[PLAYER]],TableWRRanks[Player],0))),"")</f>
        <v>WR69</v>
      </c>
      <c r="AN234" s="105" t="str">
        <f>IFERROR(INDEX(TableWRMaster[TM],MATCH(TableWRTECalcPts[[#This Row],[POSRef]],TableWRMaster[WRRef],0)),"")</f>
        <v>NYG</v>
      </c>
      <c r="AO234" s="105">
        <f>IFERROR(INDEX(TableWRMaster[BYE],MATCH(TableWRTECalcPts[[#This Row],[POSRef]],TableWRMaster[WRRef],0)),"")</f>
        <v>13</v>
      </c>
      <c r="AP234" s="103">
        <f>IFERROR(INDEX(TableWRMaster[Custom],MATCH(TableWRTECalcPts[[#This Row],[POSRef]],TableWRMaster[WRRef],0)),"")</f>
        <v>124.97569762585596</v>
      </c>
    </row>
    <row r="235" spans="13:42" x14ac:dyDescent="0.2">
      <c r="M235" s="60"/>
      <c r="T235" s="60"/>
      <c r="AI235" s="59" t="s">
        <v>223</v>
      </c>
      <c r="AJ235" s="59">
        <f>IFERROR(RANK(TableWRTECalcPts[[#This Row],[Custom]],TableWRTECalcPts[Custom])+COUNTIF($AP$3:AP235,AP235)-1,"")</f>
        <v>96</v>
      </c>
      <c r="AK235" s="105">
        <v>133</v>
      </c>
      <c r="AL235" s="105" t="str">
        <f>IFERROR(INDEX(TableWRMaster[Player],MATCH(TableWRTECalcPts[[#This Row],[POSRef]],TableWRMaster[WRRef],0)),"")</f>
        <v>Darius Slayton</v>
      </c>
      <c r="AM235" s="105" t="str">
        <f>IFERROR(_xlfn.CONCAT(TableWRTECalcPts[[#This Row],[POS]],INDEX(TableWRRanks[RK],MATCH(TableWRTECalcPts[[#This Row],[PLAYER]],TableWRRanks[Player],0))),"")</f>
        <v>WR78</v>
      </c>
      <c r="AN235" s="105" t="str">
        <f>IFERROR(INDEX(TableWRMaster[TM],MATCH(TableWRTECalcPts[[#This Row],[POSRef]],TableWRMaster[WRRef],0)),"")</f>
        <v>NYG</v>
      </c>
      <c r="AO235" s="105">
        <f>IFERROR(INDEX(TableWRMaster[BYE],MATCH(TableWRTECalcPts[[#This Row],[POSRef]],TableWRMaster[WRRef],0)),"")</f>
        <v>13</v>
      </c>
      <c r="AP235" s="103">
        <f>IFERROR(INDEX(TableWRMaster[Custom],MATCH(TableWRTECalcPts[[#This Row],[POSRef]],TableWRMaster[WRRef],0)),"")</f>
        <v>99.916945872307195</v>
      </c>
    </row>
    <row r="236" spans="13:42" x14ac:dyDescent="0.2">
      <c r="M236" s="60"/>
      <c r="T236" s="60"/>
      <c r="AI236" s="59" t="s">
        <v>223</v>
      </c>
      <c r="AJ236" s="59">
        <f>IFERROR(RANK(TableWRTECalcPts[[#This Row],[Custom]],TableWRTECalcPts[Custom])+COUNTIF($AP$3:AP236,AP236)-1,"")</f>
        <v>157</v>
      </c>
      <c r="AK236" s="105">
        <v>134</v>
      </c>
      <c r="AL236" s="105" t="str">
        <f>IFERROR(INDEX(TableWRMaster[Player],MATCH(TableWRTECalcPts[[#This Row],[POSRef]],TableWRMaster[WRRef],0)),"")</f>
        <v>Jalin Hyatt</v>
      </c>
      <c r="AM236" s="105" t="str">
        <f>IFERROR(_xlfn.CONCAT(TableWRTECalcPts[[#This Row],[POS]],INDEX(TableWRRanks[RK],MATCH(TableWRTECalcPts[[#This Row],[PLAYER]],TableWRRanks[Player],0))),"")</f>
        <v>WR112</v>
      </c>
      <c r="AN236" s="105" t="str">
        <f>IFERROR(INDEX(TableWRMaster[TM],MATCH(TableWRTECalcPts[[#This Row],[POSRef]],TableWRMaster[WRRef],0)),"")</f>
        <v>NYG</v>
      </c>
      <c r="AO236" s="105">
        <f>IFERROR(INDEX(TableWRMaster[BYE],MATCH(TableWRTECalcPts[[#This Row],[POSRef]],TableWRMaster[WRRef],0)),"")</f>
        <v>13</v>
      </c>
      <c r="AP236" s="103">
        <f>IFERROR(INDEX(TableWRMaster[Custom],MATCH(TableWRTECalcPts[[#This Row],[POSRef]],TableWRMaster[WRRef],0)),"")</f>
        <v>36.976249981439992</v>
      </c>
    </row>
    <row r="237" spans="13:42" x14ac:dyDescent="0.2">
      <c r="M237" s="60"/>
      <c r="T237" s="60"/>
      <c r="AI237" s="59" t="s">
        <v>223</v>
      </c>
      <c r="AJ237" s="59">
        <f>IFERROR(RANK(TableWRTECalcPts[[#This Row],[Custom]],TableWRTECalcPts[Custom])+COUNTIF($AP$3:AP237,AP237)-1,"")</f>
        <v>213</v>
      </c>
      <c r="AK237" s="105">
        <v>135</v>
      </c>
      <c r="AL237" s="105" t="str">
        <f>IFERROR(INDEX(TableWRMaster[Player],MATCH(TableWRTECalcPts[[#This Row],[POSRef]],TableWRMaster[WRRef],0)),"")</f>
        <v>Isaiah McKenzie</v>
      </c>
      <c r="AM237" s="105" t="str">
        <f>IFERROR(_xlfn.CONCAT(TableWRTECalcPts[[#This Row],[POS]],INDEX(TableWRRanks[RK],MATCH(TableWRTECalcPts[[#This Row],[PLAYER]],TableWRRanks[Player],0))),"")</f>
        <v>WR151</v>
      </c>
      <c r="AN237" s="105" t="str">
        <f>IFERROR(INDEX(TableWRMaster[TM],MATCH(TableWRTECalcPts[[#This Row],[POSRef]],TableWRMaster[WRRef],0)),"")</f>
        <v>NYG</v>
      </c>
      <c r="AO237" s="105">
        <f>IFERROR(INDEX(TableWRMaster[BYE],MATCH(TableWRTECalcPts[[#This Row],[POSRef]],TableWRMaster[WRRef],0)),"")</f>
        <v>13</v>
      </c>
      <c r="AP237" s="103">
        <f>IFERROR(INDEX(TableWRMaster[Custom],MATCH(TableWRTECalcPts[[#This Row],[POSRef]],TableWRMaster[WRRef],0)),"")</f>
        <v>18.749416291199992</v>
      </c>
    </row>
    <row r="238" spans="13:42" x14ac:dyDescent="0.2">
      <c r="M238" s="60"/>
      <c r="T238" s="60"/>
      <c r="AI238" s="59" t="s">
        <v>223</v>
      </c>
      <c r="AJ238" s="59">
        <f>IFERROR(RANK(TableWRTECalcPts[[#This Row],[Custom]],TableWRTECalcPts[Custom])+COUNTIF($AP$3:AP238,AP238)-1,"")</f>
        <v>214</v>
      </c>
      <c r="AK238" s="105">
        <v>136</v>
      </c>
      <c r="AL238" s="105" t="str">
        <f>IFERROR(INDEX(TableWRMaster[Player],MATCH(TableWRTECalcPts[[#This Row],[POSRef]],TableWRMaster[WRRef],0)),"")</f>
        <v>Gunner Olszewski</v>
      </c>
      <c r="AM238" s="105" t="str">
        <f>IFERROR(_xlfn.CONCAT(TableWRTECalcPts[[#This Row],[POS]],INDEX(TableWRRanks[RK],MATCH(TableWRTECalcPts[[#This Row],[PLAYER]],TableWRRanks[Player],0))),"")</f>
        <v>WR152</v>
      </c>
      <c r="AN238" s="105" t="str">
        <f>IFERROR(INDEX(TableWRMaster[TM],MATCH(TableWRTECalcPts[[#This Row],[POSRef]],TableWRMaster[WRRef],0)),"")</f>
        <v>NYG</v>
      </c>
      <c r="AO238" s="105">
        <f>IFERROR(INDEX(TableWRMaster[BYE],MATCH(TableWRTECalcPts[[#This Row],[POSRef]],TableWRMaster[WRRef],0)),"")</f>
        <v>13</v>
      </c>
      <c r="AP238" s="103">
        <f>IFERROR(INDEX(TableWRMaster[Custom],MATCH(TableWRTECalcPts[[#This Row],[POSRef]],TableWRMaster[WRRef],0)),"")</f>
        <v>18.156214419839991</v>
      </c>
    </row>
    <row r="239" spans="13:42" x14ac:dyDescent="0.2">
      <c r="M239" s="60"/>
      <c r="T239" s="60"/>
      <c r="AI239" s="59" t="s">
        <v>223</v>
      </c>
      <c r="AJ239" s="59">
        <f>IFERROR(RANK(TableWRTECalcPts[[#This Row],[Custom]],TableWRTECalcPts[Custom])+COUNTIF($AP$3:AP239,AP239)-1,"")</f>
        <v>17</v>
      </c>
      <c r="AK239" s="105">
        <v>137</v>
      </c>
      <c r="AL239" s="105" t="str">
        <f>IFERROR(INDEX(TableWRMaster[Player],MATCH(TableWRTECalcPts[[#This Row],[POSRef]],TableWRMaster[WRRef],0)),"")</f>
        <v>Garrett Wilson</v>
      </c>
      <c r="AM239" s="105" t="str">
        <f>IFERROR(_xlfn.CONCAT(TableWRTECalcPts[[#This Row],[POS]],INDEX(TableWRRanks[RK],MATCH(TableWRTECalcPts[[#This Row],[PLAYER]],TableWRRanks[Player],0))),"")</f>
        <v>WR17</v>
      </c>
      <c r="AN239" s="105" t="str">
        <f>IFERROR(INDEX(TableWRMaster[TM],MATCH(TableWRTECalcPts[[#This Row],[POSRef]],TableWRMaster[WRRef],0)),"")</f>
        <v>NYJ</v>
      </c>
      <c r="AO239" s="105">
        <f>IFERROR(INDEX(TableWRMaster[BYE],MATCH(TableWRTECalcPts[[#This Row],[POSRef]],TableWRMaster[WRRef],0)),"")</f>
        <v>7</v>
      </c>
      <c r="AP239" s="103">
        <f>IFERROR(INDEX(TableWRMaster[Custom],MATCH(TableWRTECalcPts[[#This Row],[POSRef]],TableWRMaster[WRRef],0)),"")</f>
        <v>193.57599061120317</v>
      </c>
    </row>
    <row r="240" spans="13:42" x14ac:dyDescent="0.2">
      <c r="M240" s="60"/>
      <c r="T240" s="60"/>
      <c r="AI240" s="59" t="s">
        <v>223</v>
      </c>
      <c r="AJ240" s="59">
        <f>IFERROR(RANK(TableWRTECalcPts[[#This Row],[Custom]],TableWRTECalcPts[Custom])+COUNTIF($AP$3:AP240,AP240)-1,"")</f>
        <v>57</v>
      </c>
      <c r="AK240" s="105">
        <v>138</v>
      </c>
      <c r="AL240" s="105" t="str">
        <f>IFERROR(INDEX(TableWRMaster[Player],MATCH(TableWRTECalcPts[[#This Row],[POSRef]],TableWRMaster[WRRef],0)),"")</f>
        <v>Mike Williams</v>
      </c>
      <c r="AM240" s="105" t="str">
        <f>IFERROR(_xlfn.CONCAT(TableWRTECalcPts[[#This Row],[POS]],INDEX(TableWRRanks[RK],MATCH(TableWRTECalcPts[[#This Row],[PLAYER]],TableWRRanks[Player],0))),"")</f>
        <v>WR50</v>
      </c>
      <c r="AN240" s="105" t="str">
        <f>IFERROR(INDEX(TableWRMaster[TM],MATCH(TableWRTECalcPts[[#This Row],[POSRef]],TableWRMaster[WRRef],0)),"")</f>
        <v>NYJ</v>
      </c>
      <c r="AO240" s="105">
        <f>IFERROR(INDEX(TableWRMaster[BYE],MATCH(TableWRTECalcPts[[#This Row],[POSRef]],TableWRMaster[WRRef],0)),"")</f>
        <v>7</v>
      </c>
      <c r="AP240" s="103">
        <f>IFERROR(INDEX(TableWRMaster[Custom],MATCH(TableWRTECalcPts[[#This Row],[POSRef]],TableWRMaster[WRRef],0)),"")</f>
        <v>154.22685332053999</v>
      </c>
    </row>
    <row r="241" spans="13:42" x14ac:dyDescent="0.2">
      <c r="M241" s="60"/>
      <c r="T241" s="60"/>
      <c r="AI241" s="59" t="s">
        <v>223</v>
      </c>
      <c r="AJ241" s="59">
        <f>IFERROR(RANK(TableWRTECalcPts[[#This Row],[Custom]],TableWRTECalcPts[Custom])+COUNTIF($AP$3:AP241,AP241)-1,"")</f>
        <v>85</v>
      </c>
      <c r="AK241" s="105">
        <v>139</v>
      </c>
      <c r="AL241" s="105" t="str">
        <f>IFERROR(INDEX(TableWRMaster[Player],MATCH(TableWRTECalcPts[[#This Row],[POSRef]],TableWRMaster[WRRef],0)),"")</f>
        <v>Malachi Corley</v>
      </c>
      <c r="AM241" s="105" t="str">
        <f>IFERROR(_xlfn.CONCAT(TableWRTECalcPts[[#This Row],[POS]],INDEX(TableWRRanks[RK],MATCH(TableWRTECalcPts[[#This Row],[PLAYER]],TableWRRanks[Player],0))),"")</f>
        <v>WR72</v>
      </c>
      <c r="AN241" s="105" t="str">
        <f>IFERROR(INDEX(TableWRMaster[TM],MATCH(TableWRTECalcPts[[#This Row],[POSRef]],TableWRMaster[WRRef],0)),"")</f>
        <v>NYJ</v>
      </c>
      <c r="AO241" s="105">
        <f>IFERROR(INDEX(TableWRMaster[BYE],MATCH(TableWRTECalcPts[[#This Row],[POSRef]],TableWRMaster[WRRef],0)),"")</f>
        <v>7</v>
      </c>
      <c r="AP241" s="103">
        <f>IFERROR(INDEX(TableWRMaster[Custom],MATCH(TableWRTECalcPts[[#This Row],[POSRef]],TableWRMaster[WRRef],0)),"")</f>
        <v>115.7540979246848</v>
      </c>
    </row>
    <row r="242" spans="13:42" x14ac:dyDescent="0.2">
      <c r="M242" s="60"/>
      <c r="T242" s="60"/>
      <c r="AI242" s="59" t="s">
        <v>223</v>
      </c>
      <c r="AJ242" s="59">
        <f>IFERROR(RANK(TableWRTECalcPts[[#This Row],[Custom]],TableWRTECalcPts[Custom])+COUNTIF($AP$3:AP242,AP242)-1,"")</f>
        <v>151</v>
      </c>
      <c r="AK242" s="105">
        <v>140</v>
      </c>
      <c r="AL242" s="105" t="str">
        <f>IFERROR(INDEX(TableWRMaster[Player],MATCH(TableWRTECalcPts[[#This Row],[POSRef]],TableWRMaster[WRRef],0)),"")</f>
        <v>Allen Lazard</v>
      </c>
      <c r="AM242" s="105" t="str">
        <f>IFERROR(_xlfn.CONCAT(TableWRTECalcPts[[#This Row],[POS]],INDEX(TableWRRanks[RK],MATCH(TableWRTECalcPts[[#This Row],[PLAYER]],TableWRRanks[Player],0))),"")</f>
        <v>WR106</v>
      </c>
      <c r="AN242" s="105" t="str">
        <f>IFERROR(INDEX(TableWRMaster[TM],MATCH(TableWRTECalcPts[[#This Row],[POSRef]],TableWRMaster[WRRef],0)),"")</f>
        <v>NYJ</v>
      </c>
      <c r="AO242" s="105">
        <f>IFERROR(INDEX(TableWRMaster[BYE],MATCH(TableWRTECalcPts[[#This Row],[POSRef]],TableWRMaster[WRRef],0)),"")</f>
        <v>7</v>
      </c>
      <c r="AP242" s="103">
        <f>IFERROR(INDEX(TableWRMaster[Custom],MATCH(TableWRTECalcPts[[#This Row],[POSRef]],TableWRMaster[WRRef],0)),"")</f>
        <v>41.839992226031995</v>
      </c>
    </row>
    <row r="243" spans="13:42" x14ac:dyDescent="0.2">
      <c r="AI243" s="59" t="s">
        <v>223</v>
      </c>
      <c r="AJ243" s="59">
        <f>IFERROR(RANK(TableWRTECalcPts[[#This Row],[Custom]],TableWRTECalcPts[Custom])+COUNTIF($AP$3:AP243,AP243)-1,"")</f>
        <v>198</v>
      </c>
      <c r="AK243" s="105">
        <v>141</v>
      </c>
      <c r="AL243" s="105" t="str">
        <f>IFERROR(INDEX(TableWRMaster[Player],MATCH(TableWRTECalcPts[[#This Row],[POSRef]],TableWRMaster[WRRef],0)),"")</f>
        <v>Jason Brownlee</v>
      </c>
      <c r="AM243" s="105" t="str">
        <f>IFERROR(_xlfn.CONCAT(TableWRTECalcPts[[#This Row],[POS]],INDEX(TableWRRanks[RK],MATCH(TableWRTECalcPts[[#This Row],[PLAYER]],TableWRRanks[Player],0))),"")</f>
        <v>WR142</v>
      </c>
      <c r="AN243" s="105" t="str">
        <f>IFERROR(INDEX(TableWRMaster[TM],MATCH(TableWRTECalcPts[[#This Row],[POSRef]],TableWRMaster[WRRef],0)),"")</f>
        <v>NYJ</v>
      </c>
      <c r="AO243" s="105">
        <f>IFERROR(INDEX(TableWRMaster[BYE],MATCH(TableWRTECalcPts[[#This Row],[POSRef]],TableWRMaster[WRRef],0)),"")</f>
        <v>7</v>
      </c>
      <c r="AP243" s="103">
        <f>IFERROR(INDEX(TableWRMaster[Custom],MATCH(TableWRTECalcPts[[#This Row],[POSRef]],TableWRMaster[WRRef],0)),"")</f>
        <v>22.503602721599997</v>
      </c>
    </row>
    <row r="244" spans="13:42" x14ac:dyDescent="0.2">
      <c r="AI244" s="59" t="s">
        <v>223</v>
      </c>
      <c r="AJ244" s="59">
        <f>IFERROR(RANK(TableWRTECalcPts[[#This Row],[Custom]],TableWRTECalcPts[Custom])+COUNTIF($AP$3:AP244,AP244)-1,"")</f>
        <v>197</v>
      </c>
      <c r="AK244" s="105">
        <v>142</v>
      </c>
      <c r="AL244" s="105" t="str">
        <f>IFERROR(INDEX(TableWRMaster[Player],MATCH(TableWRTECalcPts[[#This Row],[POSRef]],TableWRMaster[WRRef],0)),"")</f>
        <v>Xavier Gipson</v>
      </c>
      <c r="AM244" s="105" t="str">
        <f>IFERROR(_xlfn.CONCAT(TableWRTECalcPts[[#This Row],[POS]],INDEX(TableWRRanks[RK],MATCH(TableWRTECalcPts[[#This Row],[PLAYER]],TableWRRanks[Player],0))),"")</f>
        <v>WR141</v>
      </c>
      <c r="AN244" s="105" t="str">
        <f>IFERROR(INDEX(TableWRMaster[TM],MATCH(TableWRTECalcPts[[#This Row],[POSRef]],TableWRMaster[WRRef],0)),"")</f>
        <v>NYJ</v>
      </c>
      <c r="AO244" s="105">
        <f>IFERROR(INDEX(TableWRMaster[BYE],MATCH(TableWRTECalcPts[[#This Row],[POSRef]],TableWRMaster[WRRef],0)),"")</f>
        <v>7</v>
      </c>
      <c r="AP244" s="103">
        <f>IFERROR(INDEX(TableWRMaster[Custom],MATCH(TableWRTECalcPts[[#This Row],[POSRef]],TableWRMaster[WRRef],0)),"")</f>
        <v>22.511850487526392</v>
      </c>
    </row>
    <row r="245" spans="13:42" x14ac:dyDescent="0.2">
      <c r="AI245" s="59" t="s">
        <v>223</v>
      </c>
      <c r="AJ245" s="59">
        <f>IFERROR(RANK(TableWRTECalcPts[[#This Row],[Custom]],TableWRTECalcPts[Custom])+COUNTIF($AP$3:AP245,AP245)-1,"")</f>
        <v>8</v>
      </c>
      <c r="AK245" s="105">
        <v>143</v>
      </c>
      <c r="AL245" s="105" t="str">
        <f>IFERROR(INDEX(TableWRMaster[Player],MATCH(TableWRTECalcPts[[#This Row],[POSRef]],TableWRMaster[WRRef],0)),"")</f>
        <v>A.J. Brown</v>
      </c>
      <c r="AM245" s="105" t="str">
        <f>IFERROR(_xlfn.CONCAT(TableWRTECalcPts[[#This Row],[POS]],INDEX(TableWRRanks[RK],MATCH(TableWRTECalcPts[[#This Row],[PLAYER]],TableWRRanks[Player],0))),"")</f>
        <v>WR8</v>
      </c>
      <c r="AN245" s="105" t="str">
        <f>IFERROR(INDEX(TableWRMaster[TM],MATCH(TableWRTECalcPts[[#This Row],[POSRef]],TableWRMaster[WRRef],0)),"")</f>
        <v>PHI</v>
      </c>
      <c r="AO245" s="105">
        <f>IFERROR(INDEX(TableWRMaster[BYE],MATCH(TableWRTECalcPts[[#This Row],[POSRef]],TableWRMaster[WRRef],0)),"")</f>
        <v>10</v>
      </c>
      <c r="AP245" s="103">
        <f>IFERROR(INDEX(TableWRMaster[Custom],MATCH(TableWRTECalcPts[[#This Row],[POSRef]],TableWRMaster[WRRef],0)),"")</f>
        <v>216.54967608681122</v>
      </c>
    </row>
    <row r="246" spans="13:42" x14ac:dyDescent="0.2">
      <c r="AI246" s="59" t="s">
        <v>223</v>
      </c>
      <c r="AJ246" s="59">
        <f>IFERROR(RANK(TableWRTECalcPts[[#This Row],[Custom]],TableWRTECalcPts[Custom])+COUNTIF($AP$3:AP246,AP246)-1,"")</f>
        <v>24</v>
      </c>
      <c r="AK246" s="105">
        <v>144</v>
      </c>
      <c r="AL246" s="105" t="str">
        <f>IFERROR(INDEX(TableWRMaster[Player],MATCH(TableWRTECalcPts[[#This Row],[POSRef]],TableWRMaster[WRRef],0)),"")</f>
        <v>DeVonta Smith</v>
      </c>
      <c r="AM246" s="105" t="str">
        <f>IFERROR(_xlfn.CONCAT(TableWRTECalcPts[[#This Row],[POS]],INDEX(TableWRRanks[RK],MATCH(TableWRTECalcPts[[#This Row],[PLAYER]],TableWRRanks[Player],0))),"")</f>
        <v>WR23</v>
      </c>
      <c r="AN246" s="105" t="str">
        <f>IFERROR(INDEX(TableWRMaster[TM],MATCH(TableWRTECalcPts[[#This Row],[POSRef]],TableWRMaster[WRRef],0)),"")</f>
        <v>PHI</v>
      </c>
      <c r="AO246" s="105">
        <f>IFERROR(INDEX(TableWRMaster[BYE],MATCH(TableWRTECalcPts[[#This Row],[POSRef]],TableWRMaster[WRRef],0)),"")</f>
        <v>10</v>
      </c>
      <c r="AP246" s="103">
        <f>IFERROR(INDEX(TableWRMaster[Custom],MATCH(TableWRTECalcPts[[#This Row],[POSRef]],TableWRMaster[WRRef],0)),"")</f>
        <v>184.12883214768004</v>
      </c>
    </row>
    <row r="247" spans="13:42" x14ac:dyDescent="0.2">
      <c r="AI247" s="59" t="s">
        <v>223</v>
      </c>
      <c r="AJ247" s="59">
        <f>IFERROR(RANK(TableWRTECalcPts[[#This Row],[Custom]],TableWRTECalcPts[Custom])+COUNTIF($AP$3:AP247,AP247)-1,"")</f>
        <v>135</v>
      </c>
      <c r="AK247" s="105">
        <v>145</v>
      </c>
      <c r="AL247" s="105" t="str">
        <f>IFERROR(INDEX(TableWRMaster[Player],MATCH(TableWRTECalcPts[[#This Row],[POSRef]],TableWRMaster[WRRef],0)),"")</f>
        <v>DeVante Parker</v>
      </c>
      <c r="AM247" s="105" t="str">
        <f>IFERROR(_xlfn.CONCAT(TableWRTECalcPts[[#This Row],[POS]],INDEX(TableWRRanks[RK],MATCH(TableWRTECalcPts[[#This Row],[PLAYER]],TableWRRanks[Player],0))),"")</f>
        <v>WR100</v>
      </c>
      <c r="AN247" s="105" t="str">
        <f>IFERROR(INDEX(TableWRMaster[TM],MATCH(TableWRTECalcPts[[#This Row],[POSRef]],TableWRMaster[WRRef],0)),"")</f>
        <v>PHI</v>
      </c>
      <c r="AO247" s="105">
        <f>IFERROR(INDEX(TableWRMaster[BYE],MATCH(TableWRTECalcPts[[#This Row],[POSRef]],TableWRMaster[WRRef],0)),"")</f>
        <v>10</v>
      </c>
      <c r="AP247" s="103">
        <f>IFERROR(INDEX(TableWRMaster[Custom],MATCH(TableWRTECalcPts[[#This Row],[POSRef]],TableWRMaster[WRRef],0)),"")</f>
        <v>56.040648476400008</v>
      </c>
    </row>
    <row r="248" spans="13:42" x14ac:dyDescent="0.2">
      <c r="AI248" s="59" t="s">
        <v>223</v>
      </c>
      <c r="AJ248" s="59">
        <f>IFERROR(RANK(TableWRTECalcPts[[#This Row],[Custom]],TableWRTECalcPts[Custom])+COUNTIF($AP$3:AP248,AP248)-1,"")</f>
        <v>223</v>
      </c>
      <c r="AK248" s="105">
        <v>146</v>
      </c>
      <c r="AL248" s="105" t="str">
        <f>IFERROR(INDEX(TableWRMaster[Player],MATCH(TableWRTECalcPts[[#This Row],[POSRef]],TableWRMaster[WRRef],0)),"")</f>
        <v>Parris Campbell</v>
      </c>
      <c r="AM248" s="105" t="str">
        <f>IFERROR(_xlfn.CONCAT(TableWRTECalcPts[[#This Row],[POS]],INDEX(TableWRRanks[RK],MATCH(TableWRTECalcPts[[#This Row],[PLAYER]],TableWRRanks[Player],0))),"")</f>
        <v>WR156</v>
      </c>
      <c r="AN248" s="105" t="str">
        <f>IFERROR(INDEX(TableWRMaster[TM],MATCH(TableWRTECalcPts[[#This Row],[POSRef]],TableWRMaster[WRRef],0)),"")</f>
        <v>PHI</v>
      </c>
      <c r="AO248" s="105">
        <f>IFERROR(INDEX(TableWRMaster[BYE],MATCH(TableWRTECalcPts[[#This Row],[POSRef]],TableWRMaster[WRRef],0)),"")</f>
        <v>10</v>
      </c>
      <c r="AP248" s="103">
        <f>IFERROR(INDEX(TableWRMaster[Custom],MATCH(TableWRTECalcPts[[#This Row],[POSRef]],TableWRMaster[WRRef],0)),"")</f>
        <v>15.950864272896006</v>
      </c>
    </row>
    <row r="249" spans="13:42" x14ac:dyDescent="0.2">
      <c r="AI249" s="59" t="s">
        <v>223</v>
      </c>
      <c r="AJ249" s="59">
        <f>IFERROR(RANK(TableWRTECalcPts[[#This Row],[Custom]],TableWRTECalcPts[Custom])+COUNTIF($AP$3:AP249,AP249)-1,"")</f>
        <v>255</v>
      </c>
      <c r="AK249" s="105">
        <v>147</v>
      </c>
      <c r="AL249" s="105" t="str">
        <f>IFERROR(INDEX(TableWRMaster[Player],MATCH(TableWRTECalcPts[[#This Row],[POSRef]],TableWRMaster[WRRef],0)),"")</f>
        <v>Ainias Smith</v>
      </c>
      <c r="AM249" s="105" t="str">
        <f>IFERROR(_xlfn.CONCAT(TableWRTECalcPts[[#This Row],[POS]],INDEX(TableWRRanks[RK],MATCH(TableWRTECalcPts[[#This Row],[PLAYER]],TableWRRanks[Player],0))),"")</f>
        <v>WR176</v>
      </c>
      <c r="AN249" s="105" t="str">
        <f>IFERROR(INDEX(TableWRMaster[TM],MATCH(TableWRTECalcPts[[#This Row],[POSRef]],TableWRMaster[WRRef],0)),"")</f>
        <v>PHI</v>
      </c>
      <c r="AO249" s="105">
        <f>IFERROR(INDEX(TableWRMaster[BYE],MATCH(TableWRTECalcPts[[#This Row],[POSRef]],TableWRMaster[WRRef],0)),"")</f>
        <v>10</v>
      </c>
      <c r="AP249" s="103">
        <f>IFERROR(INDEX(TableWRMaster[Custom],MATCH(TableWRTECalcPts[[#This Row],[POSRef]],TableWRMaster[WRRef],0)),"")</f>
        <v>9.9783691363440035</v>
      </c>
    </row>
    <row r="250" spans="13:42" x14ac:dyDescent="0.2">
      <c r="AI250" s="59" t="s">
        <v>223</v>
      </c>
      <c r="AJ250" s="59">
        <f>IFERROR(RANK(TableWRTECalcPts[[#This Row],[Custom]],TableWRTECalcPts[Custom])+COUNTIF($AP$3:AP250,AP250)-1,"")</f>
        <v>250</v>
      </c>
      <c r="AK250" s="105">
        <v>148</v>
      </c>
      <c r="AL250" s="105" t="str">
        <f>IFERROR(INDEX(TableWRMaster[Player],MATCH(TableWRTECalcPts[[#This Row],[POSRef]],TableWRMaster[WRRef],0)),"")</f>
        <v>Johnny Wilson</v>
      </c>
      <c r="AM250" s="105" t="str">
        <f>IFERROR(_xlfn.CONCAT(TableWRTECalcPts[[#This Row],[POS]],INDEX(TableWRRanks[RK],MATCH(TableWRTECalcPts[[#This Row],[PLAYER]],TableWRRanks[Player],0))),"")</f>
        <v>WR172</v>
      </c>
      <c r="AN250" s="105" t="str">
        <f>IFERROR(INDEX(TableWRMaster[TM],MATCH(TableWRTECalcPts[[#This Row],[POSRef]],TableWRMaster[WRRef],0)),"")</f>
        <v>PHI</v>
      </c>
      <c r="AO250" s="105">
        <f>IFERROR(INDEX(TableWRMaster[BYE],MATCH(TableWRTECalcPts[[#This Row],[POSRef]],TableWRMaster[WRRef],0)),"")</f>
        <v>10</v>
      </c>
      <c r="AP250" s="103">
        <f>IFERROR(INDEX(TableWRMaster[Custom],MATCH(TableWRTECalcPts[[#This Row],[POSRef]],TableWRMaster[WRRef],0)),"")</f>
        <v>10.9824441780816</v>
      </c>
    </row>
    <row r="251" spans="13:42" x14ac:dyDescent="0.2">
      <c r="AI251" s="59" t="s">
        <v>223</v>
      </c>
      <c r="AJ251" s="59">
        <f>IFERROR(RANK(TableWRTECalcPts[[#This Row],[Custom]],TableWRTECalcPts[Custom])+COUNTIF($AP$3:AP251,AP251)-1,"")</f>
        <v>22</v>
      </c>
      <c r="AK251" s="105">
        <v>149</v>
      </c>
      <c r="AL251" s="105" t="str">
        <f>IFERROR(INDEX(TableWRMaster[Player],MATCH(TableWRTECalcPts[[#This Row],[POSRef]],TableWRMaster[WRRef],0)),"")</f>
        <v>George Pickens</v>
      </c>
      <c r="AM251" s="105" t="str">
        <f>IFERROR(_xlfn.CONCAT(TableWRTECalcPts[[#This Row],[POS]],INDEX(TableWRRanks[RK],MATCH(TableWRTECalcPts[[#This Row],[PLAYER]],TableWRRanks[Player],0))),"")</f>
        <v>WR21</v>
      </c>
      <c r="AN251" s="105" t="str">
        <f>IFERROR(INDEX(TableWRMaster[TM],MATCH(TableWRTECalcPts[[#This Row],[POSRef]],TableWRMaster[WRRef],0)),"")</f>
        <v>PIT</v>
      </c>
      <c r="AO251" s="105">
        <f>IFERROR(INDEX(TableWRMaster[BYE],MATCH(TableWRTECalcPts[[#This Row],[POSRef]],TableWRMaster[WRRef],0)),"")</f>
        <v>6</v>
      </c>
      <c r="AP251" s="103">
        <f>IFERROR(INDEX(TableWRMaster[Custom],MATCH(TableWRTECalcPts[[#This Row],[POSRef]],TableWRMaster[WRRef],0)),"")</f>
        <v>189.09800485379998</v>
      </c>
    </row>
    <row r="252" spans="13:42" x14ac:dyDescent="0.2">
      <c r="AI252" s="59" t="s">
        <v>223</v>
      </c>
      <c r="AJ252" s="59">
        <f>IFERROR(RANK(TableWRTECalcPts[[#This Row],[Custom]],TableWRTECalcPts[Custom])+COUNTIF($AP$3:AP252,AP252)-1,"")</f>
        <v>65</v>
      </c>
      <c r="AK252" s="105">
        <v>150</v>
      </c>
      <c r="AL252" s="105" t="str">
        <f>IFERROR(INDEX(TableWRMaster[Player],MATCH(TableWRTECalcPts[[#This Row],[POSRef]],TableWRMaster[WRRef],0)),"")</f>
        <v>Roman Wilson</v>
      </c>
      <c r="AM252" s="105" t="str">
        <f>IFERROR(_xlfn.CONCAT(TableWRTECalcPts[[#This Row],[POS]],INDEX(TableWRRanks[RK],MATCH(TableWRTECalcPts[[#This Row],[PLAYER]],TableWRRanks[Player],0))),"")</f>
        <v>WR56</v>
      </c>
      <c r="AN252" s="105" t="str">
        <f>IFERROR(INDEX(TableWRMaster[TM],MATCH(TableWRTECalcPts[[#This Row],[POSRef]],TableWRMaster[WRRef],0)),"")</f>
        <v>PIT</v>
      </c>
      <c r="AO252" s="105">
        <f>IFERROR(INDEX(TableWRMaster[BYE],MATCH(TableWRTECalcPts[[#This Row],[POSRef]],TableWRMaster[WRRef],0)),"")</f>
        <v>6</v>
      </c>
      <c r="AP252" s="103">
        <f>IFERROR(INDEX(TableWRMaster[Custom],MATCH(TableWRTECalcPts[[#This Row],[POSRef]],TableWRMaster[WRRef],0)),"")</f>
        <v>144.40403499564002</v>
      </c>
    </row>
    <row r="253" spans="13:42" x14ac:dyDescent="0.2">
      <c r="AI253" s="59" t="s">
        <v>223</v>
      </c>
      <c r="AJ253" s="59">
        <f>IFERROR(RANK(TableWRTECalcPts[[#This Row],[Custom]],TableWRTECalcPts[Custom])+COUNTIF($AP$3:AP253,AP253)-1,"")</f>
        <v>115</v>
      </c>
      <c r="AK253" s="105">
        <v>151</v>
      </c>
      <c r="AL253" s="105" t="str">
        <f>IFERROR(INDEX(TableWRMaster[Player],MATCH(TableWRTECalcPts[[#This Row],[POSRef]],TableWRMaster[WRRef],0)),"")</f>
        <v>Van Jefferson</v>
      </c>
      <c r="AM253" s="105" t="str">
        <f>IFERROR(_xlfn.CONCAT(TableWRTECalcPts[[#This Row],[POS]],INDEX(TableWRRanks[RK],MATCH(TableWRTECalcPts[[#This Row],[PLAYER]],TableWRRanks[Player],0))),"")</f>
        <v>WR89</v>
      </c>
      <c r="AN253" s="105" t="str">
        <f>IFERROR(INDEX(TableWRMaster[TM],MATCH(TableWRTECalcPts[[#This Row],[POSRef]],TableWRMaster[WRRef],0)),"")</f>
        <v>PIT</v>
      </c>
      <c r="AO253" s="105">
        <f>IFERROR(INDEX(TableWRMaster[BYE],MATCH(TableWRTECalcPts[[#This Row],[POSRef]],TableWRMaster[WRRef],0)),"")</f>
        <v>6</v>
      </c>
      <c r="AP253" s="103">
        <f>IFERROR(INDEX(TableWRMaster[Custom],MATCH(TableWRTECalcPts[[#This Row],[POSRef]],TableWRMaster[WRRef],0)),"")</f>
        <v>82.556850116160007</v>
      </c>
    </row>
    <row r="254" spans="13:42" x14ac:dyDescent="0.2">
      <c r="AI254" s="59" t="s">
        <v>223</v>
      </c>
      <c r="AJ254" s="59">
        <f>IFERROR(RANK(TableWRTECalcPts[[#This Row],[Custom]],TableWRTECalcPts[Custom])+COUNTIF($AP$3:AP254,AP254)-1,"")</f>
        <v>170</v>
      </c>
      <c r="AK254" s="105">
        <v>152</v>
      </c>
      <c r="AL254" s="105" t="str">
        <f>IFERROR(INDEX(TableWRMaster[Player],MATCH(TableWRTECalcPts[[#This Row],[POSRef]],TableWRMaster[WRRef],0)),"")</f>
        <v>Calvin Austin</v>
      </c>
      <c r="AM254" s="105" t="str">
        <f>IFERROR(_xlfn.CONCAT(TableWRTECalcPts[[#This Row],[POS]],INDEX(TableWRRanks[RK],MATCH(TableWRTECalcPts[[#This Row],[PLAYER]],TableWRRanks[Player],0))),"")</f>
        <v>WR122</v>
      </c>
      <c r="AN254" s="105" t="str">
        <f>IFERROR(INDEX(TableWRMaster[TM],MATCH(TableWRTECalcPts[[#This Row],[POSRef]],TableWRMaster[WRRef],0)),"")</f>
        <v>PIT</v>
      </c>
      <c r="AO254" s="105">
        <f>IFERROR(INDEX(TableWRMaster[BYE],MATCH(TableWRTECalcPts[[#This Row],[POSRef]],TableWRMaster[WRRef],0)),"")</f>
        <v>6</v>
      </c>
      <c r="AP254" s="103">
        <f>IFERROR(INDEX(TableWRMaster[Custom],MATCH(TableWRTECalcPts[[#This Row],[POSRef]],TableWRMaster[WRRef],0)),"")</f>
        <v>30.921326519999997</v>
      </c>
    </row>
    <row r="255" spans="13:42" x14ac:dyDescent="0.2">
      <c r="AI255" s="59" t="s">
        <v>223</v>
      </c>
      <c r="AJ255" s="59">
        <f>IFERROR(RANK(TableWRTECalcPts[[#This Row],[Custom]],TableWRTECalcPts[Custom])+COUNTIF($AP$3:AP255,AP255)-1,"")</f>
        <v>218</v>
      </c>
      <c r="AK255" s="105">
        <v>153</v>
      </c>
      <c r="AL255" s="105" t="str">
        <f>IFERROR(INDEX(TableWRMaster[Player],MATCH(TableWRTECalcPts[[#This Row],[POSRef]],TableWRMaster[WRRef],0)),"")</f>
        <v>Quez Watkins</v>
      </c>
      <c r="AM255" s="105" t="str">
        <f>IFERROR(_xlfn.CONCAT(TableWRTECalcPts[[#This Row],[POS]],INDEX(TableWRRanks[RK],MATCH(TableWRTECalcPts[[#This Row],[PLAYER]],TableWRRanks[Player],0))),"")</f>
        <v>WR154</v>
      </c>
      <c r="AN255" s="105" t="str">
        <f>IFERROR(INDEX(TableWRMaster[TM],MATCH(TableWRTECalcPts[[#This Row],[POSRef]],TableWRMaster[WRRef],0)),"")</f>
        <v>PIT</v>
      </c>
      <c r="AO255" s="105">
        <f>IFERROR(INDEX(TableWRMaster[BYE],MATCH(TableWRTECalcPts[[#This Row],[POSRef]],TableWRMaster[WRRef],0)),"")</f>
        <v>6</v>
      </c>
      <c r="AP255" s="103">
        <f>IFERROR(INDEX(TableWRMaster[Custom],MATCH(TableWRTECalcPts[[#This Row],[POSRef]],TableWRMaster[WRRef],0)),"")</f>
        <v>16.962358077000001</v>
      </c>
    </row>
    <row r="256" spans="13:42" x14ac:dyDescent="0.2">
      <c r="AI256" s="59" t="s">
        <v>223</v>
      </c>
      <c r="AJ256" s="59">
        <f>IFERROR(RANK(TableWRTECalcPts[[#This Row],[Custom]],TableWRTECalcPts[Custom])+COUNTIF($AP$3:AP256,AP256)-1,"")</f>
        <v>15</v>
      </c>
      <c r="AK256" s="105">
        <v>154</v>
      </c>
      <c r="AL256" s="105" t="str">
        <f>IFERROR(INDEX(TableWRMaster[Player],MATCH(TableWRTECalcPts[[#This Row],[POSRef]],TableWRMaster[WRRef],0)),"")</f>
        <v>DK Metcalf</v>
      </c>
      <c r="AM256" s="105" t="str">
        <f>IFERROR(_xlfn.CONCAT(TableWRTECalcPts[[#This Row],[POS]],INDEX(TableWRRanks[RK],MATCH(TableWRTECalcPts[[#This Row],[PLAYER]],TableWRRanks[Player],0))),"")</f>
        <v>WR15</v>
      </c>
      <c r="AN256" s="105" t="str">
        <f>IFERROR(INDEX(TableWRMaster[TM],MATCH(TableWRTECalcPts[[#This Row],[POSRef]],TableWRMaster[WRRef],0)),"")</f>
        <v>SEA</v>
      </c>
      <c r="AO256" s="105">
        <f>IFERROR(INDEX(TableWRMaster[BYE],MATCH(TableWRTECalcPts[[#This Row],[POSRef]],TableWRMaster[WRRef],0)),"")</f>
        <v>5</v>
      </c>
      <c r="AP256" s="103">
        <f>IFERROR(INDEX(TableWRMaster[Custom],MATCH(TableWRTECalcPts[[#This Row],[POSRef]],TableWRMaster[WRRef],0)),"")</f>
        <v>199.92229009247873</v>
      </c>
    </row>
    <row r="257" spans="35:42" x14ac:dyDescent="0.2">
      <c r="AI257" s="59" t="s">
        <v>223</v>
      </c>
      <c r="AJ257" s="59">
        <f>IFERROR(RANK(TableWRTECalcPts[[#This Row],[Custom]],TableWRTECalcPts[Custom])+COUNTIF($AP$3:AP257,AP257)-1,"")</f>
        <v>60</v>
      </c>
      <c r="AK257" s="105">
        <v>155</v>
      </c>
      <c r="AL257" s="105" t="str">
        <f>IFERROR(INDEX(TableWRMaster[Player],MATCH(TableWRTECalcPts[[#This Row],[POSRef]],TableWRMaster[WRRef],0)),"")</f>
        <v>Tyler Lockett</v>
      </c>
      <c r="AM257" s="105" t="str">
        <f>IFERROR(_xlfn.CONCAT(TableWRTECalcPts[[#This Row],[POS]],INDEX(TableWRRanks[RK],MATCH(TableWRTECalcPts[[#This Row],[PLAYER]],TableWRRanks[Player],0))),"")</f>
        <v>WR53</v>
      </c>
      <c r="AN257" s="105" t="str">
        <f>IFERROR(INDEX(TableWRMaster[TM],MATCH(TableWRTECalcPts[[#This Row],[POSRef]],TableWRMaster[WRRef],0)),"")</f>
        <v>SEA</v>
      </c>
      <c r="AO257" s="105">
        <f>IFERROR(INDEX(TableWRMaster[BYE],MATCH(TableWRTECalcPts[[#This Row],[POSRef]],TableWRMaster[WRRef],0)),"")</f>
        <v>5</v>
      </c>
      <c r="AP257" s="103">
        <f>IFERROR(INDEX(TableWRMaster[Custom],MATCH(TableWRTECalcPts[[#This Row],[POSRef]],TableWRMaster[WRRef],0)),"")</f>
        <v>149.2854967056096</v>
      </c>
    </row>
    <row r="258" spans="35:42" x14ac:dyDescent="0.2">
      <c r="AI258" s="59" t="s">
        <v>223</v>
      </c>
      <c r="AJ258" s="59">
        <f>IFERROR(RANK(TableWRTECalcPts[[#This Row],[Custom]],TableWRTECalcPts[Custom])+COUNTIF($AP$3:AP258,AP258)-1,"")</f>
        <v>51</v>
      </c>
      <c r="AK258" s="105">
        <v>156</v>
      </c>
      <c r="AL258" s="105" t="str">
        <f>IFERROR(INDEX(TableWRMaster[Player],MATCH(TableWRTECalcPts[[#This Row],[POSRef]],TableWRMaster[WRRef],0)),"")</f>
        <v>Jaxon Smith-Njigba</v>
      </c>
      <c r="AM258" s="105" t="str">
        <f>IFERROR(_xlfn.CONCAT(TableWRTECalcPts[[#This Row],[POS]],INDEX(TableWRRanks[RK],MATCH(TableWRTECalcPts[[#This Row],[PLAYER]],TableWRRanks[Player],0))),"")</f>
        <v>WR46</v>
      </c>
      <c r="AN258" s="105" t="str">
        <f>IFERROR(INDEX(TableWRMaster[TM],MATCH(TableWRTECalcPts[[#This Row],[POSRef]],TableWRMaster[WRRef],0)),"")</f>
        <v>SEA</v>
      </c>
      <c r="AO258" s="105">
        <f>IFERROR(INDEX(TableWRMaster[BYE],MATCH(TableWRTECalcPts[[#This Row],[POSRef]],TableWRMaster[WRRef],0)),"")</f>
        <v>5</v>
      </c>
      <c r="AP258" s="103">
        <f>IFERROR(INDEX(TableWRMaster[Custom],MATCH(TableWRTECalcPts[[#This Row],[POSRef]],TableWRMaster[WRRef],0)),"")</f>
        <v>159.726471459072</v>
      </c>
    </row>
    <row r="259" spans="35:42" x14ac:dyDescent="0.2">
      <c r="AI259" s="59" t="s">
        <v>223</v>
      </c>
      <c r="AJ259" s="59">
        <f>IFERROR(RANK(TableWRTECalcPts[[#This Row],[Custom]],TableWRTECalcPts[Custom])+COUNTIF($AP$3:AP259,AP259)-1,"")</f>
        <v>154</v>
      </c>
      <c r="AK259" s="105">
        <v>157</v>
      </c>
      <c r="AL259" s="105" t="str">
        <f>IFERROR(INDEX(TableWRMaster[Player],MATCH(TableWRTECalcPts[[#This Row],[POSRef]],TableWRMaster[WRRef],0)),"")</f>
        <v>Jake Bobo</v>
      </c>
      <c r="AM259" s="105" t="str">
        <f>IFERROR(_xlfn.CONCAT(TableWRTECalcPts[[#This Row],[POS]],INDEX(TableWRRanks[RK],MATCH(TableWRTECalcPts[[#This Row],[PLAYER]],TableWRRanks[Player],0))),"")</f>
        <v>WR109</v>
      </c>
      <c r="AN259" s="105" t="str">
        <f>IFERROR(INDEX(TableWRMaster[TM],MATCH(TableWRTECalcPts[[#This Row],[POSRef]],TableWRMaster[WRRef],0)),"")</f>
        <v>SEA</v>
      </c>
      <c r="AO259" s="105">
        <f>IFERROR(INDEX(TableWRMaster[BYE],MATCH(TableWRTECalcPts[[#This Row],[POSRef]],TableWRMaster[WRRef],0)),"")</f>
        <v>5</v>
      </c>
      <c r="AP259" s="103">
        <f>IFERROR(INDEX(TableWRMaster[Custom],MATCH(TableWRTECalcPts[[#This Row],[POSRef]],TableWRMaster[WRRef],0)),"")</f>
        <v>38.272134722472003</v>
      </c>
    </row>
    <row r="260" spans="35:42" x14ac:dyDescent="0.2">
      <c r="AI260" s="59" t="s">
        <v>223</v>
      </c>
      <c r="AJ260" s="59">
        <f>IFERROR(RANK(TableWRTECalcPts[[#This Row],[Custom]],TableWRTECalcPts[Custom])+COUNTIF($AP$3:AP260,AP260)-1,"")</f>
        <v>200</v>
      </c>
      <c r="AK260" s="105">
        <v>158</v>
      </c>
      <c r="AL260" s="105" t="str">
        <f>IFERROR(INDEX(TableWRMaster[Player],MATCH(TableWRTECalcPts[[#This Row],[POSRef]],TableWRMaster[WRRef],0)),"")</f>
        <v>Laviska Shenault</v>
      </c>
      <c r="AM260" s="105" t="str">
        <f>IFERROR(_xlfn.CONCAT(TableWRTECalcPts[[#This Row],[POS]],INDEX(TableWRRanks[RK],MATCH(TableWRTECalcPts[[#This Row],[PLAYER]],TableWRRanks[Player],0))),"")</f>
        <v>WR143</v>
      </c>
      <c r="AN260" s="105" t="str">
        <f>IFERROR(INDEX(TableWRMaster[TM],MATCH(TableWRTECalcPts[[#This Row],[POSRef]],TableWRMaster[WRRef],0)),"")</f>
        <v>SEA</v>
      </c>
      <c r="AO260" s="105">
        <f>IFERROR(INDEX(TableWRMaster[BYE],MATCH(TableWRTECalcPts[[#This Row],[POSRef]],TableWRMaster[WRRef],0)),"")</f>
        <v>5</v>
      </c>
      <c r="AP260" s="103">
        <f>IFERROR(INDEX(TableWRMaster[Custom],MATCH(TableWRTECalcPts[[#This Row],[POSRef]],TableWRMaster[WRRef],0)),"")</f>
        <v>22.017378925268996</v>
      </c>
    </row>
    <row r="261" spans="35:42" x14ac:dyDescent="0.2">
      <c r="AI261" s="59" t="s">
        <v>223</v>
      </c>
      <c r="AJ261" s="59">
        <f>IFERROR(RANK(TableWRTECalcPts[[#This Row],[Custom]],TableWRTECalcPts[Custom])+COUNTIF($AP$3:AP261,AP261)-1,"")</f>
        <v>7</v>
      </c>
      <c r="AK261" s="105">
        <v>159</v>
      </c>
      <c r="AL261" s="105" t="str">
        <f>IFERROR(INDEX(TableWRMaster[Player],MATCH(TableWRTECalcPts[[#This Row],[POSRef]],TableWRMaster[WRRef],0)),"")</f>
        <v>Deebo Samuel</v>
      </c>
      <c r="AM261" s="105" t="str">
        <f>IFERROR(_xlfn.CONCAT(TableWRTECalcPts[[#This Row],[POS]],INDEX(TableWRRanks[RK],MATCH(TableWRTECalcPts[[#This Row],[PLAYER]],TableWRRanks[Player],0))),"")</f>
        <v>WR7</v>
      </c>
      <c r="AN261" s="105" t="str">
        <f>IFERROR(INDEX(TableWRMaster[TM],MATCH(TableWRTECalcPts[[#This Row],[POSRef]],TableWRMaster[WRRef],0)),"")</f>
        <v>SF</v>
      </c>
      <c r="AO261" s="105">
        <f>IFERROR(INDEX(TableWRMaster[BYE],MATCH(TableWRTECalcPts[[#This Row],[POSRef]],TableWRMaster[WRRef],0)),"")</f>
        <v>9</v>
      </c>
      <c r="AP261" s="103">
        <f>IFERROR(INDEX(TableWRMaster[Custom],MATCH(TableWRTECalcPts[[#This Row],[POSRef]],TableWRMaster[WRRef],0)),"")</f>
        <v>227.35073229258597</v>
      </c>
    </row>
    <row r="262" spans="35:42" x14ac:dyDescent="0.2">
      <c r="AI262" s="59" t="s">
        <v>223</v>
      </c>
      <c r="AJ262" s="59">
        <f>IFERROR(RANK(TableWRTECalcPts[[#This Row],[Custom]],TableWRTECalcPts[Custom])+COUNTIF($AP$3:AP262,AP262)-1,"")</f>
        <v>10</v>
      </c>
      <c r="AK262" s="105">
        <v>160</v>
      </c>
      <c r="AL262" s="105" t="str">
        <f>IFERROR(INDEX(TableWRMaster[Player],MATCH(TableWRTECalcPts[[#This Row],[POSRef]],TableWRMaster[WRRef],0)),"")</f>
        <v>Brandon Aiyuk</v>
      </c>
      <c r="AM262" s="105" t="str">
        <f>IFERROR(_xlfn.CONCAT(TableWRTECalcPts[[#This Row],[POS]],INDEX(TableWRRanks[RK],MATCH(TableWRTECalcPts[[#This Row],[PLAYER]],TableWRRanks[Player],0))),"")</f>
        <v>WR10</v>
      </c>
      <c r="AN262" s="105" t="str">
        <f>IFERROR(INDEX(TableWRMaster[TM],MATCH(TableWRTECalcPts[[#This Row],[POSRef]],TableWRMaster[WRRef],0)),"")</f>
        <v>SF</v>
      </c>
      <c r="AO262" s="105">
        <f>IFERROR(INDEX(TableWRMaster[BYE],MATCH(TableWRTECalcPts[[#This Row],[POSRef]],TableWRMaster[WRRef],0)),"")</f>
        <v>9</v>
      </c>
      <c r="AP262" s="103">
        <f>IFERROR(INDEX(TableWRMaster[Custom],MATCH(TableWRTECalcPts[[#This Row],[POSRef]],TableWRMaster[WRRef],0)),"")</f>
        <v>209.84308981574395</v>
      </c>
    </row>
    <row r="263" spans="35:42" x14ac:dyDescent="0.2">
      <c r="AI263" s="59" t="s">
        <v>223</v>
      </c>
      <c r="AJ263" s="59">
        <f>IFERROR(RANK(TableWRTECalcPts[[#This Row],[Custom]],TableWRTECalcPts[Custom])+COUNTIF($AP$3:AP263,AP263)-1,"")</f>
        <v>126</v>
      </c>
      <c r="AK263" s="105">
        <v>161</v>
      </c>
      <c r="AL263" s="105" t="str">
        <f>IFERROR(INDEX(TableWRMaster[Player],MATCH(TableWRTECalcPts[[#This Row],[POSRef]],TableWRMaster[WRRef],0)),"")</f>
        <v>Ricky Pearsall</v>
      </c>
      <c r="AM263" s="105" t="str">
        <f>IFERROR(_xlfn.CONCAT(TableWRTECalcPts[[#This Row],[POS]],INDEX(TableWRRanks[RK],MATCH(TableWRTECalcPts[[#This Row],[PLAYER]],TableWRRanks[Player],0))),"")</f>
        <v>WR95</v>
      </c>
      <c r="AN263" s="105" t="str">
        <f>IFERROR(INDEX(TableWRMaster[TM],MATCH(TableWRTECalcPts[[#This Row],[POSRef]],TableWRMaster[WRRef],0)),"")</f>
        <v>SF</v>
      </c>
      <c r="AO263" s="105">
        <f>IFERROR(INDEX(TableWRMaster[BYE],MATCH(TableWRTECalcPts[[#This Row],[POSRef]],TableWRMaster[WRRef],0)),"")</f>
        <v>9</v>
      </c>
      <c r="AP263" s="103">
        <f>IFERROR(INDEX(TableWRMaster[Custom],MATCH(TableWRTECalcPts[[#This Row],[POSRef]],TableWRMaster[WRRef],0)),"")</f>
        <v>63.409202041651184</v>
      </c>
    </row>
    <row r="264" spans="35:42" x14ac:dyDescent="0.2">
      <c r="AI264" s="59" t="s">
        <v>223</v>
      </c>
      <c r="AJ264" s="59">
        <f>IFERROR(RANK(TableWRTECalcPts[[#This Row],[Custom]],TableWRTECalcPts[Custom])+COUNTIF($AP$3:AP264,AP264)-1,"")</f>
        <v>174</v>
      </c>
      <c r="AK264" s="105">
        <v>162</v>
      </c>
      <c r="AL264" s="105" t="str">
        <f>IFERROR(INDEX(TableWRMaster[Player],MATCH(TableWRTECalcPts[[#This Row],[POSRef]],TableWRMaster[WRRef],0)),"")</f>
        <v>Jauan Jennings</v>
      </c>
      <c r="AM264" s="105" t="str">
        <f>IFERROR(_xlfn.CONCAT(TableWRTECalcPts[[#This Row],[POS]],INDEX(TableWRRanks[RK],MATCH(TableWRTECalcPts[[#This Row],[PLAYER]],TableWRRanks[Player],0))),"")</f>
        <v>WR126</v>
      </c>
      <c r="AN264" s="105" t="str">
        <f>IFERROR(INDEX(TableWRMaster[TM],MATCH(TableWRTECalcPts[[#This Row],[POSRef]],TableWRMaster[WRRef],0)),"")</f>
        <v>SF</v>
      </c>
      <c r="AO264" s="105">
        <f>IFERROR(INDEX(TableWRMaster[BYE],MATCH(TableWRTECalcPts[[#This Row],[POSRef]],TableWRMaster[WRRef],0)),"")</f>
        <v>9</v>
      </c>
      <c r="AP264" s="103">
        <f>IFERROR(INDEX(TableWRMaster[Custom],MATCH(TableWRTECalcPts[[#This Row],[POSRef]],TableWRMaster[WRRef],0)),"")</f>
        <v>29.207740994611196</v>
      </c>
    </row>
    <row r="265" spans="35:42" x14ac:dyDescent="0.2">
      <c r="AI265" s="59" t="s">
        <v>223</v>
      </c>
      <c r="AJ265" s="59">
        <f>IFERROR(RANK(TableWRTECalcPts[[#This Row],[Custom]],TableWRTECalcPts[Custom])+COUNTIF($AP$3:AP265,AP265)-1,"")</f>
        <v>230</v>
      </c>
      <c r="AK265" s="105">
        <v>163</v>
      </c>
      <c r="AL265" s="105" t="str">
        <f>IFERROR(INDEX(TableWRMaster[Player],MATCH(TableWRTECalcPts[[#This Row],[POSRef]],TableWRMaster[WRRef],0)),"")</f>
        <v>Ronnie Bell</v>
      </c>
      <c r="AM265" s="105" t="str">
        <f>IFERROR(_xlfn.CONCAT(TableWRTECalcPts[[#This Row],[POS]],INDEX(TableWRRanks[RK],MATCH(TableWRTECalcPts[[#This Row],[PLAYER]],TableWRRanks[Player],0))),"")</f>
        <v>WR159</v>
      </c>
      <c r="AN265" s="105" t="str">
        <f>IFERROR(INDEX(TableWRMaster[TM],MATCH(TableWRTECalcPts[[#This Row],[POSRef]],TableWRMaster[WRRef],0)),"")</f>
        <v>SF</v>
      </c>
      <c r="AO265" s="105">
        <f>IFERROR(INDEX(TableWRMaster[BYE],MATCH(TableWRTECalcPts[[#This Row],[POSRef]],TableWRMaster[WRRef],0)),"")</f>
        <v>9</v>
      </c>
      <c r="AP265" s="103">
        <f>IFERROR(INDEX(TableWRMaster[Custom],MATCH(TableWRTECalcPts[[#This Row],[POSRef]],TableWRMaster[WRRef],0)),"")</f>
        <v>14.516737290770401</v>
      </c>
    </row>
    <row r="266" spans="35:42" x14ac:dyDescent="0.2">
      <c r="AI266" s="59" t="s">
        <v>223</v>
      </c>
      <c r="AJ266" s="59">
        <f>IFERROR(RANK(TableWRTECalcPts[[#This Row],[Custom]],TableWRTECalcPts[Custom])+COUNTIF($AP$3:AP266,AP266)-1,"")</f>
        <v>257</v>
      </c>
      <c r="AK266" s="105">
        <v>164</v>
      </c>
      <c r="AL266" s="105" t="str">
        <f>IFERROR(INDEX(TableWRMaster[Player],MATCH(TableWRTECalcPts[[#This Row],[POSRef]],TableWRMaster[WRRef],0)),"")</f>
        <v>Danny Gray</v>
      </c>
      <c r="AM266" s="105" t="str">
        <f>IFERROR(_xlfn.CONCAT(TableWRTECalcPts[[#This Row],[POS]],INDEX(TableWRRanks[RK],MATCH(TableWRTECalcPts[[#This Row],[PLAYER]],TableWRRanks[Player],0))),"")</f>
        <v>WR178</v>
      </c>
      <c r="AN266" s="105" t="str">
        <f>IFERROR(INDEX(TableWRMaster[TM],MATCH(TableWRTECalcPts[[#This Row],[POSRef]],TableWRMaster[WRRef],0)),"")</f>
        <v>SF</v>
      </c>
      <c r="AO266" s="105">
        <f>IFERROR(INDEX(TableWRMaster[BYE],MATCH(TableWRTECalcPts[[#This Row],[POSRef]],TableWRMaster[WRRef],0)),"")</f>
        <v>9</v>
      </c>
      <c r="AP266" s="103">
        <f>IFERROR(INDEX(TableWRMaster[Custom],MATCH(TableWRTECalcPts[[#This Row],[POSRef]],TableWRMaster[WRRef],0)),"")</f>
        <v>8.5978939176899996</v>
      </c>
    </row>
    <row r="267" spans="35:42" x14ac:dyDescent="0.2">
      <c r="AI267" s="59" t="s">
        <v>223</v>
      </c>
      <c r="AJ267" s="59">
        <f>IFERROR(RANK(TableWRTECalcPts[[#This Row],[Custom]],TableWRTECalcPts[Custom])+COUNTIF($AP$3:AP267,AP267)-1,"")</f>
        <v>9</v>
      </c>
      <c r="AK267" s="105">
        <v>165</v>
      </c>
      <c r="AL267" s="105" t="str">
        <f>IFERROR(INDEX(TableWRMaster[Player],MATCH(TableWRTECalcPts[[#This Row],[POSRef]],TableWRMaster[WRRef],0)),"")</f>
        <v>Mike Evans</v>
      </c>
      <c r="AM267" s="105" t="str">
        <f>IFERROR(_xlfn.CONCAT(TableWRTECalcPts[[#This Row],[POS]],INDEX(TableWRRanks[RK],MATCH(TableWRTECalcPts[[#This Row],[PLAYER]],TableWRRanks[Player],0))),"")</f>
        <v>WR9</v>
      </c>
      <c r="AN267" s="105" t="str">
        <f>IFERROR(INDEX(TableWRMaster[TM],MATCH(TableWRTECalcPts[[#This Row],[POSRef]],TableWRMaster[WRRef],0)),"")</f>
        <v>TB</v>
      </c>
      <c r="AO267" s="105">
        <f>IFERROR(INDEX(TableWRMaster[BYE],MATCH(TableWRTECalcPts[[#This Row],[POSRef]],TableWRMaster[WRRef],0)),"")</f>
        <v>5</v>
      </c>
      <c r="AP267" s="103">
        <f>IFERROR(INDEX(TableWRMaster[Custom],MATCH(TableWRTECalcPts[[#This Row],[POSRef]],TableWRMaster[WRRef],0)),"")</f>
        <v>210.90826433402879</v>
      </c>
    </row>
    <row r="268" spans="35:42" x14ac:dyDescent="0.2">
      <c r="AI268" s="59" t="s">
        <v>223</v>
      </c>
      <c r="AJ268" s="59">
        <f>IFERROR(RANK(TableWRTECalcPts[[#This Row],[Custom]],TableWRTECalcPts[Custom])+COUNTIF($AP$3:AP268,AP268)-1,"")</f>
        <v>39</v>
      </c>
      <c r="AK268" s="105">
        <v>166</v>
      </c>
      <c r="AL268" s="105" t="str">
        <f>IFERROR(INDEX(TableWRMaster[Player],MATCH(TableWRTECalcPts[[#This Row],[POSRef]],TableWRMaster[WRRef],0)),"")</f>
        <v>Chris Godwin</v>
      </c>
      <c r="AM268" s="105" t="str">
        <f>IFERROR(_xlfn.CONCAT(TableWRTECalcPts[[#This Row],[POS]],INDEX(TableWRRanks[RK],MATCH(TableWRTECalcPts[[#This Row],[PLAYER]],TableWRRanks[Player],0))),"")</f>
        <v>WR36</v>
      </c>
      <c r="AN268" s="105" t="str">
        <f>IFERROR(INDEX(TableWRMaster[TM],MATCH(TableWRTECalcPts[[#This Row],[POSRef]],TableWRMaster[WRRef],0)),"")</f>
        <v>TB</v>
      </c>
      <c r="AO268" s="105">
        <f>IFERROR(INDEX(TableWRMaster[BYE],MATCH(TableWRTECalcPts[[#This Row],[POSRef]],TableWRMaster[WRRef],0)),"")</f>
        <v>5</v>
      </c>
      <c r="AP268" s="103">
        <f>IFERROR(INDEX(TableWRMaster[Custom],MATCH(TableWRTECalcPts[[#This Row],[POSRef]],TableWRMaster[WRRef],0)),"")</f>
        <v>172.82871671083197</v>
      </c>
    </row>
    <row r="269" spans="35:42" x14ac:dyDescent="0.2">
      <c r="AI269" s="59" t="s">
        <v>223</v>
      </c>
      <c r="AJ269" s="59">
        <f>IFERROR(RANK(TableWRTECalcPts[[#This Row],[Custom]],TableWRTECalcPts[Custom])+COUNTIF($AP$3:AP269,AP269)-1,"")</f>
        <v>117</v>
      </c>
      <c r="AK269" s="105">
        <v>167</v>
      </c>
      <c r="AL269" s="105" t="str">
        <f>IFERROR(INDEX(TableWRMaster[Player],MATCH(TableWRTECalcPts[[#This Row],[POSRef]],TableWRMaster[WRRef],0)),"")</f>
        <v>Trey Palmer</v>
      </c>
      <c r="AM269" s="105" t="str">
        <f>IFERROR(_xlfn.CONCAT(TableWRTECalcPts[[#This Row],[POS]],INDEX(TableWRRanks[RK],MATCH(TableWRTECalcPts[[#This Row],[PLAYER]],TableWRRanks[Player],0))),"")</f>
        <v>WR90</v>
      </c>
      <c r="AN269" s="105" t="str">
        <f>IFERROR(INDEX(TableWRMaster[TM],MATCH(TableWRTECalcPts[[#This Row],[POSRef]],TableWRMaster[WRRef],0)),"")</f>
        <v>TB</v>
      </c>
      <c r="AO269" s="105">
        <f>IFERROR(INDEX(TableWRMaster[BYE],MATCH(TableWRTECalcPts[[#This Row],[POSRef]],TableWRMaster[WRRef],0)),"")</f>
        <v>5</v>
      </c>
      <c r="AP269" s="103">
        <f>IFERROR(INDEX(TableWRMaster[Custom],MATCH(TableWRTECalcPts[[#This Row],[POSRef]],TableWRMaster[WRRef],0)),"")</f>
        <v>76.730779467434402</v>
      </c>
    </row>
    <row r="270" spans="35:42" x14ac:dyDescent="0.2">
      <c r="AI270" s="59" t="s">
        <v>223</v>
      </c>
      <c r="AJ270" s="59">
        <f>IFERROR(RANK(TableWRTECalcPts[[#This Row],[Custom]],TableWRTECalcPts[Custom])+COUNTIF($AP$3:AP270,AP270)-1,"")</f>
        <v>247</v>
      </c>
      <c r="AK270" s="105">
        <v>168</v>
      </c>
      <c r="AL270" s="105" t="str">
        <f>IFERROR(INDEX(TableWRMaster[Player],MATCH(TableWRTECalcPts[[#This Row],[POSRef]],TableWRMaster[WRRef],0)),"")</f>
        <v>Deven Thompkins</v>
      </c>
      <c r="AM270" s="105" t="str">
        <f>IFERROR(_xlfn.CONCAT(TableWRTECalcPts[[#This Row],[POS]],INDEX(TableWRRanks[RK],MATCH(TableWRTECalcPts[[#This Row],[PLAYER]],TableWRRanks[Player],0))),"")</f>
        <v>WR170</v>
      </c>
      <c r="AN270" s="105" t="str">
        <f>IFERROR(INDEX(TableWRMaster[TM],MATCH(TableWRTECalcPts[[#This Row],[POSRef]],TableWRMaster[WRRef],0)),"")</f>
        <v>TB</v>
      </c>
      <c r="AO270" s="105">
        <f>IFERROR(INDEX(TableWRMaster[BYE],MATCH(TableWRTECalcPts[[#This Row],[POSRef]],TableWRMaster[WRRef],0)),"")</f>
        <v>5</v>
      </c>
      <c r="AP270" s="103">
        <f>IFERROR(INDEX(TableWRMaster[Custom],MATCH(TableWRTECalcPts[[#This Row],[POSRef]],TableWRMaster[WRRef],0)),"")</f>
        <v>12.059571848015997</v>
      </c>
    </row>
    <row r="271" spans="35:42" x14ac:dyDescent="0.2">
      <c r="AI271" s="59" t="s">
        <v>223</v>
      </c>
      <c r="AJ271" s="59">
        <f>IFERROR(RANK(TableWRTECalcPts[[#This Row],[Custom]],TableWRTECalcPts[Custom])+COUNTIF($AP$3:AP271,AP271)-1,"")</f>
        <v>122</v>
      </c>
      <c r="AK271" s="105">
        <v>169</v>
      </c>
      <c r="AL271" s="105" t="str">
        <f>IFERROR(INDEX(TableWRMaster[Player],MATCH(TableWRTECalcPts[[#This Row],[POSRef]],TableWRMaster[WRRef],0)),"")</f>
        <v>Jalen McMillan</v>
      </c>
      <c r="AM271" s="105" t="str">
        <f>IFERROR(_xlfn.CONCAT(TableWRTECalcPts[[#This Row],[POS]],INDEX(TableWRRanks[RK],MATCH(TableWRTECalcPts[[#This Row],[PLAYER]],TableWRRanks[Player],0))),"")</f>
        <v>WR93</v>
      </c>
      <c r="AN271" s="105" t="str">
        <f>IFERROR(INDEX(TableWRMaster[TM],MATCH(TableWRTECalcPts[[#This Row],[POSRef]],TableWRMaster[WRRef],0)),"")</f>
        <v>TB</v>
      </c>
      <c r="AO271" s="105">
        <f>IFERROR(INDEX(TableWRMaster[BYE],MATCH(TableWRTECalcPts[[#This Row],[POSRef]],TableWRMaster[WRRef],0)),"")</f>
        <v>5</v>
      </c>
      <c r="AP271" s="103">
        <f>IFERROR(INDEX(TableWRMaster[Custom],MATCH(TableWRTECalcPts[[#This Row],[POSRef]],TableWRMaster[WRRef],0)),"")</f>
        <v>68.307723575783996</v>
      </c>
    </row>
    <row r="272" spans="35:42" x14ac:dyDescent="0.2">
      <c r="AI272" s="59" t="s">
        <v>223</v>
      </c>
      <c r="AJ272" s="59">
        <f>IFERROR(RANK(TableWRTECalcPts[[#This Row],[Custom]],TableWRTECalcPts[Custom])+COUNTIF($AP$3:AP272,AP272)-1,"")</f>
        <v>30</v>
      </c>
      <c r="AK272" s="105">
        <v>170</v>
      </c>
      <c r="AL272" s="105" t="str">
        <f>IFERROR(INDEX(TableWRMaster[Player],MATCH(TableWRTECalcPts[[#This Row],[POSRef]],TableWRMaster[WRRef],0)),"")</f>
        <v>DeAndre Hopkins</v>
      </c>
      <c r="AM272" s="105" t="str">
        <f>IFERROR(_xlfn.CONCAT(TableWRTECalcPts[[#This Row],[POS]],INDEX(TableWRRanks[RK],MATCH(TableWRTECalcPts[[#This Row],[PLAYER]],TableWRRanks[Player],0))),"")</f>
        <v>WR27</v>
      </c>
      <c r="AN272" s="105" t="str">
        <f>IFERROR(INDEX(TableWRMaster[TM],MATCH(TableWRTECalcPts[[#This Row],[POSRef]],TableWRMaster[WRRef],0)),"")</f>
        <v>TEN</v>
      </c>
      <c r="AO272" s="105">
        <f>IFERROR(INDEX(TableWRMaster[BYE],MATCH(TableWRTECalcPts[[#This Row],[POSRef]],TableWRMaster[WRRef],0)),"")</f>
        <v>7</v>
      </c>
      <c r="AP272" s="103">
        <f>IFERROR(INDEX(TableWRMaster[Custom],MATCH(TableWRTECalcPts[[#This Row],[POSRef]],TableWRMaster[WRRef],0)),"")</f>
        <v>180.79272407195992</v>
      </c>
    </row>
    <row r="273" spans="35:42" x14ac:dyDescent="0.2">
      <c r="AI273" s="59" t="s">
        <v>223</v>
      </c>
      <c r="AJ273" s="59">
        <f>IFERROR(RANK(TableWRTECalcPts[[#This Row],[Custom]],TableWRTECalcPts[Custom])+COUNTIF($AP$3:AP273,AP273)-1,"")</f>
        <v>56</v>
      </c>
      <c r="AK273" s="105">
        <v>171</v>
      </c>
      <c r="AL273" s="105" t="str">
        <f>IFERROR(INDEX(TableWRMaster[Player],MATCH(TableWRTECalcPts[[#This Row],[POSRef]],TableWRMaster[WRRef],0)),"")</f>
        <v>Calvin Ridley</v>
      </c>
      <c r="AM273" s="105" t="str">
        <f>IFERROR(_xlfn.CONCAT(TableWRTECalcPts[[#This Row],[POS]],INDEX(TableWRRanks[RK],MATCH(TableWRTECalcPts[[#This Row],[PLAYER]],TableWRRanks[Player],0))),"")</f>
        <v>WR49</v>
      </c>
      <c r="AN273" s="105" t="str">
        <f>IFERROR(INDEX(TableWRMaster[TM],MATCH(TableWRTECalcPts[[#This Row],[POSRef]],TableWRMaster[WRRef],0)),"")</f>
        <v>TEN</v>
      </c>
      <c r="AO273" s="105">
        <f>IFERROR(INDEX(TableWRMaster[BYE],MATCH(TableWRTECalcPts[[#This Row],[POSRef]],TableWRMaster[WRRef],0)),"")</f>
        <v>7</v>
      </c>
      <c r="AP273" s="103">
        <f>IFERROR(INDEX(TableWRMaster[Custom],MATCH(TableWRTECalcPts[[#This Row],[POSRef]],TableWRMaster[WRRef],0)),"")</f>
        <v>154.50712981703998</v>
      </c>
    </row>
    <row r="274" spans="35:42" x14ac:dyDescent="0.2">
      <c r="AI274" s="59" t="s">
        <v>223</v>
      </c>
      <c r="AJ274" s="59">
        <f>IFERROR(RANK(TableWRTECalcPts[[#This Row],[Custom]],TableWRTECalcPts[Custom])+COUNTIF($AP$3:AP274,AP274)-1,"")</f>
        <v>118</v>
      </c>
      <c r="AK274" s="105">
        <v>172</v>
      </c>
      <c r="AL274" s="105" t="str">
        <f>IFERROR(INDEX(TableWRMaster[Player],MATCH(TableWRTECalcPts[[#This Row],[POSRef]],TableWRMaster[WRRef],0)),"")</f>
        <v>Tyler Boyd</v>
      </c>
      <c r="AM274" s="105" t="str">
        <f>IFERROR(_xlfn.CONCAT(TableWRTECalcPts[[#This Row],[POS]],INDEX(TableWRRanks[RK],MATCH(TableWRTECalcPts[[#This Row],[PLAYER]],TableWRRanks[Player],0))),"")</f>
        <v>WR91</v>
      </c>
      <c r="AN274" s="105" t="str">
        <f>IFERROR(INDEX(TableWRMaster[TM],MATCH(TableWRTECalcPts[[#This Row],[POSRef]],TableWRMaster[WRRef],0)),"")</f>
        <v>TEN</v>
      </c>
      <c r="AO274" s="105">
        <f>IFERROR(INDEX(TableWRMaster[BYE],MATCH(TableWRTECalcPts[[#This Row],[POSRef]],TableWRMaster[WRRef],0)),"")</f>
        <v>7</v>
      </c>
      <c r="AP274" s="103">
        <f>IFERROR(INDEX(TableWRMaster[Custom],MATCH(TableWRTECalcPts[[#This Row],[POSRef]],TableWRMaster[WRRef],0)),"")</f>
        <v>70.655056034062497</v>
      </c>
    </row>
    <row r="275" spans="35:42" x14ac:dyDescent="0.2">
      <c r="AI275" s="59" t="s">
        <v>223</v>
      </c>
      <c r="AJ275" s="59">
        <f>IFERROR(RANK(TableWRTECalcPts[[#This Row],[Custom]],TableWRTECalcPts[Custom])+COUNTIF($AP$3:AP275,AP275)-1,"")</f>
        <v>167</v>
      </c>
      <c r="AK275" s="105">
        <v>173</v>
      </c>
      <c r="AL275" s="105" t="str">
        <f>IFERROR(INDEX(TableWRMaster[Player],MATCH(TableWRTECalcPts[[#This Row],[POSRef]],TableWRMaster[WRRef],0)),"")</f>
        <v>Treylon Burks</v>
      </c>
      <c r="AM275" s="105" t="str">
        <f>IFERROR(_xlfn.CONCAT(TableWRTECalcPts[[#This Row],[POS]],INDEX(TableWRRanks[RK],MATCH(TableWRTECalcPts[[#This Row],[PLAYER]],TableWRRanks[Player],0))),"")</f>
        <v>WR120</v>
      </c>
      <c r="AN275" s="105" t="str">
        <f>IFERROR(INDEX(TableWRMaster[TM],MATCH(TableWRTECalcPts[[#This Row],[POSRef]],TableWRMaster[WRRef],0)),"")</f>
        <v>TEN</v>
      </c>
      <c r="AO275" s="105">
        <f>IFERROR(INDEX(TableWRMaster[BYE],MATCH(TableWRTECalcPts[[#This Row],[POSRef]],TableWRMaster[WRRef],0)),"")</f>
        <v>7</v>
      </c>
      <c r="AP275" s="103">
        <f>IFERROR(INDEX(TableWRMaster[Custom],MATCH(TableWRTECalcPts[[#This Row],[POSRef]],TableWRMaster[WRRef],0)),"")</f>
        <v>31.770527688899989</v>
      </c>
    </row>
    <row r="276" spans="35:42" x14ac:dyDescent="0.2">
      <c r="AI276" s="59" t="s">
        <v>223</v>
      </c>
      <c r="AJ276" s="59">
        <f>IFERROR(RANK(TableWRTECalcPts[[#This Row],[Custom]],TableWRTECalcPts[Custom])+COUNTIF($AP$3:AP276,AP276)-1,"")</f>
        <v>212</v>
      </c>
      <c r="AK276" s="105">
        <v>174</v>
      </c>
      <c r="AL276" s="105" t="str">
        <f>IFERROR(INDEX(TableWRMaster[Player],MATCH(TableWRTECalcPts[[#This Row],[POSRef]],TableWRMaster[WRRef],0)),"")</f>
        <v>Nick Westbrook-Ikhine</v>
      </c>
      <c r="AM276" s="105" t="str">
        <f>IFERROR(_xlfn.CONCAT(TableWRTECalcPts[[#This Row],[POS]],INDEX(TableWRRanks[RK],MATCH(TableWRTECalcPts[[#This Row],[PLAYER]],TableWRRanks[Player],0))),"")</f>
        <v>WR150</v>
      </c>
      <c r="AN276" s="105" t="str">
        <f>IFERROR(INDEX(TableWRMaster[TM],MATCH(TableWRTECalcPts[[#This Row],[POSRef]],TableWRMaster[WRRef],0)),"")</f>
        <v>TEN</v>
      </c>
      <c r="AO276" s="105">
        <f>IFERROR(INDEX(TableWRMaster[BYE],MATCH(TableWRTECalcPts[[#This Row],[POSRef]],TableWRMaster[WRRef],0)),"")</f>
        <v>7</v>
      </c>
      <c r="AP276" s="103">
        <f>IFERROR(INDEX(TableWRMaster[Custom],MATCH(TableWRTECalcPts[[#This Row],[POSRef]],TableWRMaster[WRRef],0)),"")</f>
        <v>19.367230632749994</v>
      </c>
    </row>
    <row r="277" spans="35:42" x14ac:dyDescent="0.2">
      <c r="AI277" s="59" t="s">
        <v>223</v>
      </c>
      <c r="AJ277" s="59">
        <f>IFERROR(RANK(TableWRTECalcPts[[#This Row],[Custom]],TableWRTECalcPts[Custom])+COUNTIF($AP$3:AP277,AP277)-1,"")</f>
        <v>216</v>
      </c>
      <c r="AK277" s="105">
        <v>175</v>
      </c>
      <c r="AL277" s="105" t="str">
        <f>IFERROR(INDEX(TableWRMaster[Player],MATCH(TableWRTECalcPts[[#This Row],[POSRef]],TableWRMaster[WRRef],0)),"")</f>
        <v>Kyle Philips</v>
      </c>
      <c r="AM277" s="105" t="str">
        <f>IFERROR(_xlfn.CONCAT(TableWRTECalcPts[[#This Row],[POS]],INDEX(TableWRRanks[RK],MATCH(TableWRTECalcPts[[#This Row],[PLAYER]],TableWRRanks[Player],0))),"")</f>
        <v>WR153</v>
      </c>
      <c r="AN277" s="105" t="str">
        <f>IFERROR(INDEX(TableWRMaster[TM],MATCH(TableWRTECalcPts[[#This Row],[POSRef]],TableWRMaster[WRRef],0)),"")</f>
        <v>TEN</v>
      </c>
      <c r="AO277" s="105">
        <f>IFERROR(INDEX(TableWRMaster[BYE],MATCH(TableWRTECalcPts[[#This Row],[POSRef]],TableWRMaster[WRRef],0)),"")</f>
        <v>7</v>
      </c>
      <c r="AP277" s="103">
        <f>IFERROR(INDEX(TableWRMaster[Custom],MATCH(TableWRTECalcPts[[#This Row],[POSRef]],TableWRMaster[WRRef],0)),"")</f>
        <v>17.676948944654995</v>
      </c>
    </row>
    <row r="278" spans="35:42" x14ac:dyDescent="0.2">
      <c r="AI278" s="59" t="s">
        <v>223</v>
      </c>
      <c r="AJ278" s="59">
        <f>IFERROR(RANK(TableWRTECalcPts[[#This Row],[Custom]],TableWRTECalcPts[Custom])+COUNTIF($AP$3:AP278,AP278)-1,"")</f>
        <v>256</v>
      </c>
      <c r="AK278" s="105">
        <v>176</v>
      </c>
      <c r="AL278" s="105" t="str">
        <f>IFERROR(INDEX(TableWRMaster[Player],MATCH(TableWRTECalcPts[[#This Row],[POSRef]],TableWRMaster[WRRef],0)),"")</f>
        <v>Jha'Quan Jackson</v>
      </c>
      <c r="AM278" s="105" t="str">
        <f>IFERROR(_xlfn.CONCAT(TableWRTECalcPts[[#This Row],[POS]],INDEX(TableWRRanks[RK],MATCH(TableWRTECalcPts[[#This Row],[PLAYER]],TableWRRanks[Player],0))),"")</f>
        <v>WR177</v>
      </c>
      <c r="AN278" s="105" t="str">
        <f>IFERROR(INDEX(TableWRMaster[TM],MATCH(TableWRTECalcPts[[#This Row],[POSRef]],TableWRMaster[WRRef],0)),"")</f>
        <v>TEN</v>
      </c>
      <c r="AO278" s="105">
        <f>IFERROR(INDEX(TableWRMaster[BYE],MATCH(TableWRTECalcPts[[#This Row],[POSRef]],TableWRMaster[WRRef],0)),"")</f>
        <v>7</v>
      </c>
      <c r="AP278" s="103">
        <f>IFERROR(INDEX(TableWRMaster[Custom],MATCH(TableWRTECalcPts[[#This Row],[POSRef]],TableWRMaster[WRRef],0)),"")</f>
        <v>9.8307059800949972</v>
      </c>
    </row>
    <row r="279" spans="35:42" x14ac:dyDescent="0.2">
      <c r="AI279" s="59" t="s">
        <v>223</v>
      </c>
      <c r="AJ279" s="59">
        <f>IFERROR(RANK(TableWRTECalcPts[[#This Row],[Custom]],TableWRTECalcPts[Custom])+COUNTIF($AP$3:AP279,AP279)-1,"")</f>
        <v>38</v>
      </c>
      <c r="AK279" s="105">
        <v>177</v>
      </c>
      <c r="AL279" s="105" t="str">
        <f>IFERROR(INDEX(TableWRMaster[Player],MATCH(TableWRTECalcPts[[#This Row],[POSRef]],TableWRMaster[WRRef],0)),"")</f>
        <v>Terry McLaurin</v>
      </c>
      <c r="AM279" s="105" t="str">
        <f>IFERROR(_xlfn.CONCAT(TableWRTECalcPts[[#This Row],[POS]],INDEX(TableWRRanks[RK],MATCH(TableWRTECalcPts[[#This Row],[PLAYER]],TableWRRanks[Player],0))),"")</f>
        <v>WR35</v>
      </c>
      <c r="AN279" s="105" t="str">
        <f>IFERROR(INDEX(TableWRMaster[TM],MATCH(TableWRTECalcPts[[#This Row],[POSRef]],TableWRMaster[WRRef],0)),"")</f>
        <v>WSH</v>
      </c>
      <c r="AO279" s="105">
        <f>IFERROR(INDEX(TableWRMaster[BYE],MATCH(TableWRTECalcPts[[#This Row],[POSRef]],TableWRMaster[WRRef],0)),"")</f>
        <v>14</v>
      </c>
      <c r="AP279" s="103">
        <f>IFERROR(INDEX(TableWRMaster[Custom],MATCH(TableWRTECalcPts[[#This Row],[POSRef]],TableWRMaster[WRRef],0)),"")</f>
        <v>172.97674860746699</v>
      </c>
    </row>
    <row r="280" spans="35:42" x14ac:dyDescent="0.2">
      <c r="AI280" s="59" t="s">
        <v>223</v>
      </c>
      <c r="AJ280" s="59">
        <f>IFERROR(RANK(TableWRTECalcPts[[#This Row],[Custom]],TableWRTECalcPts[Custom])+COUNTIF($AP$3:AP280,AP280)-1,"")</f>
        <v>68</v>
      </c>
      <c r="AK280" s="105">
        <v>178</v>
      </c>
      <c r="AL280" s="105" t="str">
        <f>IFERROR(INDEX(TableWRMaster[Player],MATCH(TableWRTECalcPts[[#This Row],[POSRef]],TableWRMaster[WRRef],0)),"")</f>
        <v>Jahan Dotson</v>
      </c>
      <c r="AM280" s="105" t="str">
        <f>IFERROR(_xlfn.CONCAT(TableWRTECalcPts[[#This Row],[POS]],INDEX(TableWRRanks[RK],MATCH(TableWRTECalcPts[[#This Row],[PLAYER]],TableWRRanks[Player],0))),"")</f>
        <v>WR58</v>
      </c>
      <c r="AN280" s="105" t="str">
        <f>IFERROR(INDEX(TableWRMaster[TM],MATCH(TableWRTECalcPts[[#This Row],[POSRef]],TableWRMaster[WRRef],0)),"")</f>
        <v>WSH</v>
      </c>
      <c r="AO280" s="105">
        <f>IFERROR(INDEX(TableWRMaster[BYE],MATCH(TableWRTECalcPts[[#This Row],[POSRef]],TableWRMaster[WRRef],0)),"")</f>
        <v>14</v>
      </c>
      <c r="AP280" s="103">
        <f>IFERROR(INDEX(TableWRMaster[Custom],MATCH(TableWRTECalcPts[[#This Row],[POSRef]],TableWRMaster[WRRef],0)),"")</f>
        <v>139.82779951274537</v>
      </c>
    </row>
    <row r="281" spans="35:42" x14ac:dyDescent="0.2">
      <c r="AI281" s="59" t="s">
        <v>223</v>
      </c>
      <c r="AJ281" s="59">
        <f>IFERROR(RANK(TableWRTECalcPts[[#This Row],[Custom]],TableWRTECalcPts[Custom])+COUNTIF($AP$3:AP281,AP281)-1,"")</f>
        <v>113</v>
      </c>
      <c r="AK281" s="105">
        <v>179</v>
      </c>
      <c r="AL281" s="105" t="str">
        <f>IFERROR(INDEX(TableWRMaster[Player],MATCH(TableWRTECalcPts[[#This Row],[POSRef]],TableWRMaster[WRRef],0)),"")</f>
        <v>Luke McCaffrey</v>
      </c>
      <c r="AM281" s="105" t="str">
        <f>IFERROR(_xlfn.CONCAT(TableWRTECalcPts[[#This Row],[POS]],INDEX(TableWRRanks[RK],MATCH(TableWRTECalcPts[[#This Row],[PLAYER]],TableWRRanks[Player],0))),"")</f>
        <v>WR88</v>
      </c>
      <c r="AN281" s="105" t="str">
        <f>IFERROR(INDEX(TableWRMaster[TM],MATCH(TableWRTECalcPts[[#This Row],[POSRef]],TableWRMaster[WRRef],0)),"")</f>
        <v>WSH</v>
      </c>
      <c r="AO281" s="105">
        <f>IFERROR(INDEX(TableWRMaster[BYE],MATCH(TableWRTECalcPts[[#This Row],[POSRef]],TableWRMaster[WRRef],0)),"")</f>
        <v>14</v>
      </c>
      <c r="AP281" s="103">
        <f>IFERROR(INDEX(TableWRMaster[Custom],MATCH(TableWRTECalcPts[[#This Row],[POSRef]],TableWRMaster[WRRef],0)),"")</f>
        <v>82.713069507515968</v>
      </c>
    </row>
    <row r="282" spans="35:42" x14ac:dyDescent="0.2">
      <c r="AI282" s="59" t="s">
        <v>223</v>
      </c>
      <c r="AJ282" s="59">
        <f>IFERROR(RANK(TableWRTECalcPts[[#This Row],[Custom]],TableWRTECalcPts[Custom])+COUNTIF($AP$3:AP282,AP282)-1,"")</f>
        <v>147</v>
      </c>
      <c r="AK282" s="105">
        <v>180</v>
      </c>
      <c r="AL282" s="105" t="str">
        <f>IFERROR(INDEX(TableWRMaster[Player],MATCH(TableWRTECalcPts[[#This Row],[POSRef]],TableWRMaster[WRRef],0)),"")</f>
        <v>Jamison Crowder</v>
      </c>
      <c r="AM282" s="105" t="str">
        <f>IFERROR(_xlfn.CONCAT(TableWRTECalcPts[[#This Row],[POS]],INDEX(TableWRRanks[RK],MATCH(TableWRTECalcPts[[#This Row],[PLAYER]],TableWRRanks[Player],0))),"")</f>
        <v>WR103</v>
      </c>
      <c r="AN282" s="105" t="str">
        <f>IFERROR(INDEX(TableWRMaster[TM],MATCH(TableWRTECalcPts[[#This Row],[POSRef]],TableWRMaster[WRRef],0)),"")</f>
        <v>WSH</v>
      </c>
      <c r="AO282" s="105">
        <f>IFERROR(INDEX(TableWRMaster[BYE],MATCH(TableWRTECalcPts[[#This Row],[POSRef]],TableWRMaster[WRRef],0)),"")</f>
        <v>14</v>
      </c>
      <c r="AP282" s="103">
        <f>IFERROR(INDEX(TableWRMaster[Custom],MATCH(TableWRTECalcPts[[#This Row],[POSRef]],TableWRMaster[WRRef],0)),"")</f>
        <v>45.974796266700011</v>
      </c>
    </row>
    <row r="283" spans="35:42" x14ac:dyDescent="0.2">
      <c r="AI283" s="59" t="s">
        <v>223</v>
      </c>
      <c r="AJ283" s="59">
        <f>IFERROR(RANK(TableWRTECalcPts[[#This Row],[Custom]],TableWRTECalcPts[Custom])+COUNTIF($AP$3:AP283,AP283)-1,"")</f>
        <v>211</v>
      </c>
      <c r="AK283" s="105">
        <v>181</v>
      </c>
      <c r="AL283" s="105" t="str">
        <f>IFERROR(INDEX(TableWRMaster[Player],MATCH(TableWRTECalcPts[[#This Row],[POSRef]],TableWRMaster[WRRef],0)),"")</f>
        <v>Olamide Zaccheaus</v>
      </c>
      <c r="AM283" s="105" t="str">
        <f>IFERROR(_xlfn.CONCAT(TableWRTECalcPts[[#This Row],[POS]],INDEX(TableWRRanks[RK],MATCH(TableWRTECalcPts[[#This Row],[PLAYER]],TableWRRanks[Player],0))),"")</f>
        <v>WR149</v>
      </c>
      <c r="AN283" s="105" t="str">
        <f>IFERROR(INDEX(TableWRMaster[TM],MATCH(TableWRTECalcPts[[#This Row],[POSRef]],TableWRMaster[WRRef],0)),"")</f>
        <v>WSH</v>
      </c>
      <c r="AO283" s="105">
        <f>IFERROR(INDEX(TableWRMaster[BYE],MATCH(TableWRTECalcPts[[#This Row],[POSRef]],TableWRMaster[WRRef],0)),"")</f>
        <v>14</v>
      </c>
      <c r="AP283" s="103">
        <f>IFERROR(INDEX(TableWRMaster[Custom],MATCH(TableWRTECalcPts[[#This Row],[POSRef]],TableWRMaster[WRRef],0)),"")</f>
        <v>19.369401620183996</v>
      </c>
    </row>
    <row r="284" spans="35:42" x14ac:dyDescent="0.2">
      <c r="AI284" s="59" t="s">
        <v>223</v>
      </c>
      <c r="AJ284" s="59">
        <f>IFERROR(RANK(TableWRTECalcPts[[#This Row],[Custom]],TableWRTECalcPts[Custom])+COUNTIF($AP$3:AP284,AP284)-1,"")</f>
        <v>251</v>
      </c>
      <c r="AK284" s="105">
        <v>182</v>
      </c>
      <c r="AL284" s="105" t="str">
        <f>IFERROR(INDEX(TableWRMaster[Player],MATCH(TableWRTECalcPts[[#This Row],[POSRef]],TableWRMaster[WRRef],0)),"")</f>
        <v>Dyami Brown</v>
      </c>
      <c r="AM284" s="105" t="str">
        <f>IFERROR(_xlfn.CONCAT(TableWRTECalcPts[[#This Row],[POS]],INDEX(TableWRRanks[RK],MATCH(TableWRTECalcPts[[#This Row],[PLAYER]],TableWRRanks[Player],0))),"")</f>
        <v>WR173</v>
      </c>
      <c r="AN284" s="105" t="str">
        <f>IFERROR(INDEX(TableWRMaster[TM],MATCH(TableWRTECalcPts[[#This Row],[POSRef]],TableWRMaster[WRRef],0)),"")</f>
        <v>WSH</v>
      </c>
      <c r="AO284" s="105">
        <f>IFERROR(INDEX(TableWRMaster[BYE],MATCH(TableWRTECalcPts[[#This Row],[POSRef]],TableWRMaster[WRRef],0)),"")</f>
        <v>14</v>
      </c>
      <c r="AP284" s="103">
        <f>IFERROR(INDEX(TableWRMaster[Custom],MATCH(TableWRTECalcPts[[#This Row],[POSRef]],TableWRMaster[WRRef],0)),"")</f>
        <v>10.908131822153999</v>
      </c>
    </row>
    <row r="285" spans="35:42" x14ac:dyDescent="0.2">
      <c r="AI285" s="59" t="s">
        <v>223</v>
      </c>
      <c r="AJ285" s="59" t="str">
        <f>IFERROR(RANK(TableWRTECalcPts[[#This Row],[Custom]],TableWRTECalcPts[Custom])+COUNTIF($AP$3:AP285,AP285)-1,"")</f>
        <v/>
      </c>
      <c r="AK285" s="105">
        <v>183</v>
      </c>
      <c r="AL285" s="105" t="str">
        <f>IFERROR(INDEX(TableWRMaster[Player],MATCH(TableWRTECalcPts[[#This Row],[POSRef]],TableWRMaster[WRRef],0)),"")</f>
        <v/>
      </c>
      <c r="AM285" s="105" t="str">
        <f>IFERROR(_xlfn.CONCAT(TableWRTECalcPts[[#This Row],[POS]],INDEX(TableWRRanks[RK],MATCH(TableWRTECalcPts[[#This Row],[PLAYER]],TableWRRanks[Player],0))),"")</f>
        <v>WR183</v>
      </c>
      <c r="AN285" s="105" t="str">
        <f>IFERROR(INDEX(TableWRMaster[TM],MATCH(TableWRTECalcPts[[#This Row],[POSRef]],TableWRMaster[WRRef],0)),"")</f>
        <v/>
      </c>
      <c r="AO285" s="105" t="str">
        <f>IFERROR(INDEX(TableWRMaster[BYE],MATCH(TableWRTECalcPts[[#This Row],[POSRef]],TableWRMaster[WRRef],0)),"")</f>
        <v/>
      </c>
      <c r="AP285" s="103" t="str">
        <f>IFERROR(INDEX(TableWRMaster[Custom],MATCH(TableWRTECalcPts[[#This Row],[POSRef]],TableWRMaster[WRRef],0)),"")</f>
        <v/>
      </c>
    </row>
    <row r="286" spans="35:42" x14ac:dyDescent="0.2">
      <c r="AI286" s="59" t="s">
        <v>223</v>
      </c>
      <c r="AJ286" s="59" t="str">
        <f>IFERROR(RANK(TableWRTECalcPts[[#This Row],[Custom]],TableWRTECalcPts[Custom])+COUNTIF($AP$3:AP286,AP286)-1,"")</f>
        <v/>
      </c>
      <c r="AK286" s="105">
        <v>184</v>
      </c>
      <c r="AL286" s="105" t="str">
        <f>IFERROR(INDEX(TableWRMaster[Player],MATCH(TableWRTECalcPts[[#This Row],[POSRef]],TableWRMaster[WRRef],0)),"")</f>
        <v/>
      </c>
      <c r="AM286" s="105" t="str">
        <f>IFERROR(_xlfn.CONCAT(TableWRTECalcPts[[#This Row],[POS]],INDEX(TableWRRanks[RK],MATCH(TableWRTECalcPts[[#This Row],[PLAYER]],TableWRRanks[Player],0))),"")</f>
        <v>WR183</v>
      </c>
      <c r="AN286" s="105" t="str">
        <f>IFERROR(INDEX(TableWRMaster[TM],MATCH(TableWRTECalcPts[[#This Row],[POSRef]],TableWRMaster[WRRef],0)),"")</f>
        <v/>
      </c>
      <c r="AO286" s="105" t="str">
        <f>IFERROR(INDEX(TableWRMaster[BYE],MATCH(TableWRTECalcPts[[#This Row],[POSRef]],TableWRMaster[WRRef],0)),"")</f>
        <v/>
      </c>
      <c r="AP286" s="103" t="str">
        <f>IFERROR(INDEX(TableWRMaster[Custom],MATCH(TableWRTECalcPts[[#This Row],[POSRef]],TableWRMaster[WRRef],0)),"")</f>
        <v/>
      </c>
    </row>
    <row r="287" spans="35:42" x14ac:dyDescent="0.2">
      <c r="AI287" s="59" t="s">
        <v>223</v>
      </c>
      <c r="AJ287" s="59" t="str">
        <f>IFERROR(RANK(TableWRTECalcPts[[#This Row],[Custom]],TableWRTECalcPts[Custom])+COUNTIF($AP$3:AP287,AP287)-1,"")</f>
        <v/>
      </c>
      <c r="AK287" s="105">
        <v>185</v>
      </c>
      <c r="AL287" s="105" t="str">
        <f>IFERROR(INDEX(TableWRMaster[Player],MATCH(TableWRTECalcPts[[#This Row],[POSRef]],TableWRMaster[WRRef],0)),"")</f>
        <v/>
      </c>
      <c r="AM287" s="105" t="str">
        <f>IFERROR(_xlfn.CONCAT(TableWRTECalcPts[[#This Row],[POS]],INDEX(TableWRRanks[RK],MATCH(TableWRTECalcPts[[#This Row],[PLAYER]],TableWRRanks[Player],0))),"")</f>
        <v>WR183</v>
      </c>
      <c r="AN287" s="105" t="str">
        <f>IFERROR(INDEX(TableWRMaster[TM],MATCH(TableWRTECalcPts[[#This Row],[POSRef]],TableWRMaster[WRRef],0)),"")</f>
        <v/>
      </c>
      <c r="AO287" s="105" t="str">
        <f>IFERROR(INDEX(TableWRMaster[BYE],MATCH(TableWRTECalcPts[[#This Row],[POSRef]],TableWRMaster[WRRef],0)),"")</f>
        <v/>
      </c>
      <c r="AP287" s="103" t="str">
        <f>IFERROR(INDEX(TableWRMaster[Custom],MATCH(TableWRTECalcPts[[#This Row],[POSRef]],TableWRMaster[WRRef],0)),"")</f>
        <v/>
      </c>
    </row>
    <row r="288" spans="35:42" x14ac:dyDescent="0.2">
      <c r="AI288" s="59" t="s">
        <v>223</v>
      </c>
      <c r="AJ288" s="59" t="str">
        <f>IFERROR(RANK(TableWRTECalcPts[[#This Row],[Custom]],TableWRTECalcPts[Custom])+COUNTIF($AP$3:AP288,AP288)-1,"")</f>
        <v/>
      </c>
      <c r="AK288" s="105">
        <v>186</v>
      </c>
      <c r="AL288" s="105" t="str">
        <f>IFERROR(INDEX(TableWRMaster[Player],MATCH(TableWRTECalcPts[[#This Row],[POSRef]],TableWRMaster[WRRef],0)),"")</f>
        <v/>
      </c>
      <c r="AM288" s="105" t="str">
        <f>IFERROR(_xlfn.CONCAT(TableWRTECalcPts[[#This Row],[POS]],INDEX(TableWRRanks[RK],MATCH(TableWRTECalcPts[[#This Row],[PLAYER]],TableWRRanks[Player],0))),"")</f>
        <v>WR183</v>
      </c>
      <c r="AN288" s="105" t="str">
        <f>IFERROR(INDEX(TableWRMaster[TM],MATCH(TableWRTECalcPts[[#This Row],[POSRef]],TableWRMaster[WRRef],0)),"")</f>
        <v/>
      </c>
      <c r="AO288" s="105" t="str">
        <f>IFERROR(INDEX(TableWRMaster[BYE],MATCH(TableWRTECalcPts[[#This Row],[POSRef]],TableWRMaster[WRRef],0)),"")</f>
        <v/>
      </c>
      <c r="AP288" s="103" t="str">
        <f>IFERROR(INDEX(TableWRMaster[Custom],MATCH(TableWRTECalcPts[[#This Row],[POSRef]],TableWRMaster[WRRef],0)),"")</f>
        <v/>
      </c>
    </row>
    <row r="289" spans="35:42" x14ac:dyDescent="0.2">
      <c r="AI289" s="59" t="s">
        <v>223</v>
      </c>
      <c r="AJ289" s="59" t="str">
        <f>IFERROR(RANK(TableWRTECalcPts[[#This Row],[Custom]],TableWRTECalcPts[Custom])+COUNTIF($AP$3:AP289,AP289)-1,"")</f>
        <v/>
      </c>
      <c r="AK289" s="105">
        <v>187</v>
      </c>
      <c r="AL289" s="105" t="str">
        <f>IFERROR(INDEX(TableWRMaster[Player],MATCH(TableWRTECalcPts[[#This Row],[POSRef]],TableWRMaster[WRRef],0)),"")</f>
        <v/>
      </c>
      <c r="AM289" s="105" t="str">
        <f>IFERROR(_xlfn.CONCAT(TableWRTECalcPts[[#This Row],[POS]],INDEX(TableWRRanks[RK],MATCH(TableWRTECalcPts[[#This Row],[PLAYER]],TableWRRanks[Player],0))),"")</f>
        <v>WR183</v>
      </c>
      <c r="AN289" s="105" t="str">
        <f>IFERROR(INDEX(TableWRMaster[TM],MATCH(TableWRTECalcPts[[#This Row],[POSRef]],TableWRMaster[WRRef],0)),"")</f>
        <v/>
      </c>
      <c r="AO289" s="105" t="str">
        <f>IFERROR(INDEX(TableWRMaster[BYE],MATCH(TableWRTECalcPts[[#This Row],[POSRef]],TableWRMaster[WRRef],0)),"")</f>
        <v/>
      </c>
      <c r="AP289" s="103" t="str">
        <f>IFERROR(INDEX(TableWRMaster[Custom],MATCH(TableWRTECalcPts[[#This Row],[POSRef]],TableWRMaster[WRRef],0)),"")</f>
        <v/>
      </c>
    </row>
    <row r="290" spans="35:42" x14ac:dyDescent="0.2">
      <c r="AI290" s="59" t="s">
        <v>223</v>
      </c>
      <c r="AJ290" s="59" t="str">
        <f>IFERROR(RANK(TableWRTECalcPts[[#This Row],[Custom]],TableWRTECalcPts[Custom])+COUNTIF($AP$3:AP290,AP290)-1,"")</f>
        <v/>
      </c>
      <c r="AK290" s="105">
        <v>188</v>
      </c>
      <c r="AL290" s="105" t="str">
        <f>IFERROR(INDEX(TableWRMaster[Player],MATCH(TableWRTECalcPts[[#This Row],[POSRef]],TableWRMaster[WRRef],0)),"")</f>
        <v/>
      </c>
      <c r="AM290" s="105" t="str">
        <f>IFERROR(_xlfn.CONCAT(TableWRTECalcPts[[#This Row],[POS]],INDEX(TableWRRanks[RK],MATCH(TableWRTECalcPts[[#This Row],[PLAYER]],TableWRRanks[Player],0))),"")</f>
        <v>WR183</v>
      </c>
      <c r="AN290" s="105" t="str">
        <f>IFERROR(INDEX(TableWRMaster[TM],MATCH(TableWRTECalcPts[[#This Row],[POSRef]],TableWRMaster[WRRef],0)),"")</f>
        <v/>
      </c>
      <c r="AO290" s="105" t="str">
        <f>IFERROR(INDEX(TableWRMaster[BYE],MATCH(TableWRTECalcPts[[#This Row],[POSRef]],TableWRMaster[WRRef],0)),"")</f>
        <v/>
      </c>
      <c r="AP290" s="103" t="str">
        <f>IFERROR(INDEX(TableWRMaster[Custom],MATCH(TableWRTECalcPts[[#This Row],[POSRef]],TableWRMaster[WRRef],0)),"")</f>
        <v/>
      </c>
    </row>
    <row r="291" spans="35:42" x14ac:dyDescent="0.2">
      <c r="AI291" s="59" t="s">
        <v>223</v>
      </c>
      <c r="AJ291" s="59" t="str">
        <f>IFERROR(RANK(TableWRTECalcPts[[#This Row],[Custom]],TableWRTECalcPts[Custom])+COUNTIF($AP$3:AP291,AP291)-1,"")</f>
        <v/>
      </c>
      <c r="AK291" s="105">
        <v>189</v>
      </c>
      <c r="AL291" s="105" t="str">
        <f>IFERROR(INDEX(TableWRMaster[Player],MATCH(TableWRTECalcPts[[#This Row],[POSRef]],TableWRMaster[WRRef],0)),"")</f>
        <v/>
      </c>
      <c r="AM291" s="105" t="str">
        <f>IFERROR(_xlfn.CONCAT(TableWRTECalcPts[[#This Row],[POS]],INDEX(TableWRRanks[RK],MATCH(TableWRTECalcPts[[#This Row],[PLAYER]],TableWRRanks[Player],0))),"")</f>
        <v>WR183</v>
      </c>
      <c r="AN291" s="105" t="str">
        <f>IFERROR(INDEX(TableWRMaster[TM],MATCH(TableWRTECalcPts[[#This Row],[POSRef]],TableWRMaster[WRRef],0)),"")</f>
        <v/>
      </c>
      <c r="AO291" s="105" t="str">
        <f>IFERROR(INDEX(TableWRMaster[BYE],MATCH(TableWRTECalcPts[[#This Row],[POSRef]],TableWRMaster[WRRef],0)),"")</f>
        <v/>
      </c>
      <c r="AP291" s="103" t="str">
        <f>IFERROR(INDEX(TableWRMaster[Custom],MATCH(TableWRTECalcPts[[#This Row],[POSRef]],TableWRMaster[WRRef],0)),"")</f>
        <v/>
      </c>
    </row>
    <row r="292" spans="35:42" x14ac:dyDescent="0.2">
      <c r="AI292" s="59" t="s">
        <v>223</v>
      </c>
      <c r="AJ292" s="59" t="str">
        <f>IFERROR(RANK(TableWRTECalcPts[[#This Row],[Custom]],TableWRTECalcPts[Custom])+COUNTIF($AP$3:AP292,AP292)-1,"")</f>
        <v/>
      </c>
      <c r="AK292" s="105">
        <v>190</v>
      </c>
      <c r="AL292" s="105" t="str">
        <f>IFERROR(INDEX(TableWRMaster[Player],MATCH(TableWRTECalcPts[[#This Row],[POSRef]],TableWRMaster[WRRef],0)),"")</f>
        <v/>
      </c>
      <c r="AM292" s="105" t="str">
        <f>IFERROR(_xlfn.CONCAT(TableWRTECalcPts[[#This Row],[POS]],INDEX(TableWRRanks[RK],MATCH(TableWRTECalcPts[[#This Row],[PLAYER]],TableWRRanks[Player],0))),"")</f>
        <v>WR183</v>
      </c>
      <c r="AN292" s="105" t="str">
        <f>IFERROR(INDEX(TableWRMaster[TM],MATCH(TableWRTECalcPts[[#This Row],[POSRef]],TableWRMaster[WRRef],0)),"")</f>
        <v/>
      </c>
      <c r="AO292" s="105" t="str">
        <f>IFERROR(INDEX(TableWRMaster[BYE],MATCH(TableWRTECalcPts[[#This Row],[POSRef]],TableWRMaster[WRRef],0)),"")</f>
        <v/>
      </c>
      <c r="AP292" s="103" t="str">
        <f>IFERROR(INDEX(TableWRMaster[Custom],MATCH(TableWRTECalcPts[[#This Row],[POSRef]],TableWRMaster[WRRef],0)),"")</f>
        <v/>
      </c>
    </row>
    <row r="293" spans="35:42" x14ac:dyDescent="0.2">
      <c r="AI293" s="59" t="s">
        <v>223</v>
      </c>
      <c r="AJ293" s="59" t="str">
        <f>IFERROR(RANK(TableWRTECalcPts[[#This Row],[Custom]],TableWRTECalcPts[Custom])+COUNTIF($AP$3:AP293,AP293)-1,"")</f>
        <v/>
      </c>
      <c r="AK293" s="105">
        <v>191</v>
      </c>
      <c r="AL293" s="105" t="str">
        <f>IFERROR(INDEX(TableWRMaster[Player],MATCH(TableWRTECalcPts[[#This Row],[POSRef]],TableWRMaster[WRRef],0)),"")</f>
        <v/>
      </c>
      <c r="AM293" s="105" t="str">
        <f>IFERROR(_xlfn.CONCAT(TableWRTECalcPts[[#This Row],[POS]],INDEX(TableWRRanks[RK],MATCH(TableWRTECalcPts[[#This Row],[PLAYER]],TableWRRanks[Player],0))),"")</f>
        <v>WR183</v>
      </c>
      <c r="AN293" s="105" t="str">
        <f>IFERROR(INDEX(TableWRMaster[TM],MATCH(TableWRTECalcPts[[#This Row],[POSRef]],TableWRMaster[WRRef],0)),"")</f>
        <v/>
      </c>
      <c r="AO293" s="105" t="str">
        <f>IFERROR(INDEX(TableWRMaster[BYE],MATCH(TableWRTECalcPts[[#This Row],[POSRef]],TableWRMaster[WRRef],0)),"")</f>
        <v/>
      </c>
      <c r="AP293" s="103" t="str">
        <f>IFERROR(INDEX(TableWRMaster[Custom],MATCH(TableWRTECalcPts[[#This Row],[POSRef]],TableWRMaster[WRRef],0)),"")</f>
        <v/>
      </c>
    </row>
    <row r="294" spans="35:42" x14ac:dyDescent="0.2">
      <c r="AI294" s="59" t="s">
        <v>223</v>
      </c>
      <c r="AJ294" s="59" t="str">
        <f>IFERROR(RANK(TableWRTECalcPts[[#This Row],[Custom]],TableWRTECalcPts[Custom])+COUNTIF($AP$3:AP294,AP294)-1,"")</f>
        <v/>
      </c>
      <c r="AK294" s="105">
        <v>192</v>
      </c>
      <c r="AL294" s="105" t="str">
        <f>IFERROR(INDEX(TableWRMaster[Player],MATCH(TableWRTECalcPts[[#This Row],[POSRef]],TableWRMaster[WRRef],0)),"")</f>
        <v/>
      </c>
      <c r="AM294" s="105" t="str">
        <f>IFERROR(_xlfn.CONCAT(TableWRTECalcPts[[#This Row],[POS]],INDEX(TableWRRanks[RK],MATCH(TableWRTECalcPts[[#This Row],[PLAYER]],TableWRRanks[Player],0))),"")</f>
        <v>WR183</v>
      </c>
      <c r="AN294" s="105" t="str">
        <f>IFERROR(INDEX(TableWRMaster[TM],MATCH(TableWRTECalcPts[[#This Row],[POSRef]],TableWRMaster[WRRef],0)),"")</f>
        <v/>
      </c>
      <c r="AO294" s="105" t="str">
        <f>IFERROR(INDEX(TableWRMaster[BYE],MATCH(TableWRTECalcPts[[#This Row],[POSRef]],TableWRMaster[WRRef],0)),"")</f>
        <v/>
      </c>
      <c r="AP294" s="103" t="str">
        <f>IFERROR(INDEX(TableWRMaster[Custom],MATCH(TableWRTECalcPts[[#This Row],[POSRef]],TableWRMaster[WRRef],0)),"")</f>
        <v/>
      </c>
    </row>
    <row r="295" spans="35:42" x14ac:dyDescent="0.2">
      <c r="AI295" s="59" t="s">
        <v>223</v>
      </c>
      <c r="AJ295" s="59" t="str">
        <f>IFERROR(RANK(TableWRTECalcPts[[#This Row],[Custom]],TableWRTECalcPts[Custom])+COUNTIF($AP$3:AP295,AP295)-1,"")</f>
        <v/>
      </c>
      <c r="AK295" s="105">
        <v>193</v>
      </c>
      <c r="AL295" s="105" t="str">
        <f>IFERROR(INDEX(TableWRMaster[Player],MATCH(TableWRTECalcPts[[#This Row],[POSRef]],TableWRMaster[WRRef],0)),"")</f>
        <v/>
      </c>
      <c r="AM295" s="105" t="str">
        <f>IFERROR(_xlfn.CONCAT(TableWRTECalcPts[[#This Row],[POS]],INDEX(TableWRRanks[RK],MATCH(TableWRTECalcPts[[#This Row],[PLAYER]],TableWRRanks[Player],0))),"")</f>
        <v>WR183</v>
      </c>
      <c r="AN295" s="105" t="str">
        <f>IFERROR(INDEX(TableWRMaster[TM],MATCH(TableWRTECalcPts[[#This Row],[POSRef]],TableWRMaster[WRRef],0)),"")</f>
        <v/>
      </c>
      <c r="AO295" s="105" t="str">
        <f>IFERROR(INDEX(TableWRMaster[BYE],MATCH(TableWRTECalcPts[[#This Row],[POSRef]],TableWRMaster[WRRef],0)),"")</f>
        <v/>
      </c>
      <c r="AP295" s="103" t="str">
        <f>IFERROR(INDEX(TableWRMaster[Custom],MATCH(TableWRTECalcPts[[#This Row],[POSRef]],TableWRMaster[WRRef],0)),"")</f>
        <v/>
      </c>
    </row>
    <row r="296" spans="35:42" x14ac:dyDescent="0.2">
      <c r="AI296" s="59" t="s">
        <v>223</v>
      </c>
      <c r="AJ296" s="59" t="str">
        <f>IFERROR(RANK(TableWRTECalcPts[[#This Row],[Custom]],TableWRTECalcPts[Custom])+COUNTIF($AP$3:AP296,AP296)-1,"")</f>
        <v/>
      </c>
      <c r="AK296" s="105">
        <v>194</v>
      </c>
      <c r="AL296" s="105" t="str">
        <f>IFERROR(INDEX(TableWRMaster[Player],MATCH(TableWRTECalcPts[[#This Row],[POSRef]],TableWRMaster[WRRef],0)),"")</f>
        <v/>
      </c>
      <c r="AM296" s="105" t="str">
        <f>IFERROR(_xlfn.CONCAT(TableWRTECalcPts[[#This Row],[POS]],INDEX(TableWRRanks[RK],MATCH(TableWRTECalcPts[[#This Row],[PLAYER]],TableWRRanks[Player],0))),"")</f>
        <v>WR183</v>
      </c>
      <c r="AN296" s="105" t="str">
        <f>IFERROR(INDEX(TableWRMaster[TM],MATCH(TableWRTECalcPts[[#This Row],[POSRef]],TableWRMaster[WRRef],0)),"")</f>
        <v/>
      </c>
      <c r="AO296" s="105" t="str">
        <f>IFERROR(INDEX(TableWRMaster[BYE],MATCH(TableWRTECalcPts[[#This Row],[POSRef]],TableWRMaster[WRRef],0)),"")</f>
        <v/>
      </c>
      <c r="AP296" s="103" t="str">
        <f>IFERROR(INDEX(TableWRMaster[Custom],MATCH(TableWRTECalcPts[[#This Row],[POSRef]],TableWRMaster[WRRef],0)),"")</f>
        <v/>
      </c>
    </row>
    <row r="297" spans="35:42" x14ac:dyDescent="0.2">
      <c r="AI297" s="59" t="s">
        <v>223</v>
      </c>
      <c r="AJ297" s="59" t="str">
        <f>IFERROR(RANK(TableWRTECalcPts[[#This Row],[Custom]],TableWRTECalcPts[Custom])+COUNTIF($AP$3:AP297,AP297)-1,"")</f>
        <v/>
      </c>
      <c r="AK297" s="105">
        <v>195</v>
      </c>
      <c r="AL297" s="105" t="str">
        <f>IFERROR(INDEX(TableWRMaster[Player],MATCH(TableWRTECalcPts[[#This Row],[POSRef]],TableWRMaster[WRRef],0)),"")</f>
        <v/>
      </c>
      <c r="AM297" s="105" t="str">
        <f>IFERROR(_xlfn.CONCAT(TableWRTECalcPts[[#This Row],[POS]],INDEX(TableWRRanks[RK],MATCH(TableWRTECalcPts[[#This Row],[PLAYER]],TableWRRanks[Player],0))),"")</f>
        <v>WR183</v>
      </c>
      <c r="AN297" s="105" t="str">
        <f>IFERROR(INDEX(TableWRMaster[TM],MATCH(TableWRTECalcPts[[#This Row],[POSRef]],TableWRMaster[WRRef],0)),"")</f>
        <v/>
      </c>
      <c r="AO297" s="105" t="str">
        <f>IFERROR(INDEX(TableWRMaster[BYE],MATCH(TableWRTECalcPts[[#This Row],[POSRef]],TableWRMaster[WRRef],0)),"")</f>
        <v/>
      </c>
      <c r="AP297" s="103" t="str">
        <f>IFERROR(INDEX(TableWRMaster[Custom],MATCH(TableWRTECalcPts[[#This Row],[POSRef]],TableWRMaster[WRRef],0)),"")</f>
        <v/>
      </c>
    </row>
    <row r="298" spans="35:42" x14ac:dyDescent="0.2">
      <c r="AI298" s="59" t="s">
        <v>223</v>
      </c>
      <c r="AJ298" s="59" t="str">
        <f>IFERROR(RANK(TableWRTECalcPts[[#This Row],[Custom]],TableWRTECalcPts[Custom])+COUNTIF($AP$3:AP298,AP298)-1,"")</f>
        <v/>
      </c>
      <c r="AK298" s="105">
        <v>196</v>
      </c>
      <c r="AL298" s="105" t="str">
        <f>IFERROR(INDEX(TableWRMaster[Player],MATCH(TableWRTECalcPts[[#This Row],[POSRef]],TableWRMaster[WRRef],0)),"")</f>
        <v/>
      </c>
      <c r="AM298" s="105" t="str">
        <f>IFERROR(_xlfn.CONCAT(TableWRTECalcPts[[#This Row],[POS]],INDEX(TableWRRanks[RK],MATCH(TableWRTECalcPts[[#This Row],[PLAYER]],TableWRRanks[Player],0))),"")</f>
        <v>WR183</v>
      </c>
      <c r="AN298" s="105" t="str">
        <f>IFERROR(INDEX(TableWRMaster[TM],MATCH(TableWRTECalcPts[[#This Row],[POSRef]],TableWRMaster[WRRef],0)),"")</f>
        <v/>
      </c>
      <c r="AO298" s="105" t="str">
        <f>IFERROR(INDEX(TableWRMaster[BYE],MATCH(TableWRTECalcPts[[#This Row],[POSRef]],TableWRMaster[WRRef],0)),"")</f>
        <v/>
      </c>
      <c r="AP298" s="103" t="str">
        <f>IFERROR(INDEX(TableWRMaster[Custom],MATCH(TableWRTECalcPts[[#This Row],[POSRef]],TableWRMaster[WRRef],0)),"")</f>
        <v/>
      </c>
    </row>
    <row r="299" spans="35:42" x14ac:dyDescent="0.2">
      <c r="AI299" s="59" t="s">
        <v>223</v>
      </c>
      <c r="AJ299" s="59" t="str">
        <f>IFERROR(RANK(TableWRTECalcPts[[#This Row],[Custom]],TableWRTECalcPts[Custom])+COUNTIF($AP$3:AP299,AP299)-1,"")</f>
        <v/>
      </c>
      <c r="AK299" s="105">
        <v>197</v>
      </c>
      <c r="AL299" s="105" t="str">
        <f>IFERROR(INDEX(TableWRMaster[Player],MATCH(TableWRTECalcPts[[#This Row],[POSRef]],TableWRMaster[WRRef],0)),"")</f>
        <v/>
      </c>
      <c r="AM299" s="105" t="str">
        <f>IFERROR(_xlfn.CONCAT(TableWRTECalcPts[[#This Row],[POS]],INDEX(TableWRRanks[RK],MATCH(TableWRTECalcPts[[#This Row],[PLAYER]],TableWRRanks[Player],0))),"")</f>
        <v>WR183</v>
      </c>
      <c r="AN299" s="105" t="str">
        <f>IFERROR(INDEX(TableWRMaster[TM],MATCH(TableWRTECalcPts[[#This Row],[POSRef]],TableWRMaster[WRRef],0)),"")</f>
        <v/>
      </c>
      <c r="AO299" s="105" t="str">
        <f>IFERROR(INDEX(TableWRMaster[BYE],MATCH(TableWRTECalcPts[[#This Row],[POSRef]],TableWRMaster[WRRef],0)),"")</f>
        <v/>
      </c>
      <c r="AP299" s="103" t="str">
        <f>IFERROR(INDEX(TableWRMaster[Custom],MATCH(TableWRTECalcPts[[#This Row],[POSRef]],TableWRMaster[WRRef],0)),"")</f>
        <v/>
      </c>
    </row>
    <row r="300" spans="35:42" x14ac:dyDescent="0.2">
      <c r="AI300" s="59" t="s">
        <v>223</v>
      </c>
      <c r="AJ300" s="59" t="str">
        <f>IFERROR(RANK(TableWRTECalcPts[[#This Row],[Custom]],TableWRTECalcPts[Custom])+COUNTIF($AP$3:AP300,AP300)-1,"")</f>
        <v/>
      </c>
      <c r="AK300" s="105">
        <v>198</v>
      </c>
      <c r="AL300" s="105" t="str">
        <f>IFERROR(INDEX(TableWRMaster[Player],MATCH(TableWRTECalcPts[[#This Row],[POSRef]],TableWRMaster[WRRef],0)),"")</f>
        <v/>
      </c>
      <c r="AM300" s="105" t="str">
        <f>IFERROR(_xlfn.CONCAT(TableWRTECalcPts[[#This Row],[POS]],INDEX(TableWRRanks[RK],MATCH(TableWRTECalcPts[[#This Row],[PLAYER]],TableWRRanks[Player],0))),"")</f>
        <v>WR183</v>
      </c>
      <c r="AN300" s="105" t="str">
        <f>IFERROR(INDEX(TableWRMaster[TM],MATCH(TableWRTECalcPts[[#This Row],[POSRef]],TableWRMaster[WRRef],0)),"")</f>
        <v/>
      </c>
      <c r="AO300" s="105" t="str">
        <f>IFERROR(INDEX(TableWRMaster[BYE],MATCH(TableWRTECalcPts[[#This Row],[POSRef]],TableWRMaster[WRRef],0)),"")</f>
        <v/>
      </c>
      <c r="AP300" s="103" t="str">
        <f>IFERROR(INDEX(TableWRMaster[Custom],MATCH(TableWRTECalcPts[[#This Row],[POSRef]],TableWRMaster[WRRef],0)),"")</f>
        <v/>
      </c>
    </row>
    <row r="301" spans="35:42" x14ac:dyDescent="0.2">
      <c r="AI301" s="59" t="s">
        <v>223</v>
      </c>
      <c r="AJ301" s="59" t="str">
        <f>IFERROR(RANK(TableWRTECalcPts[[#This Row],[Custom]],TableWRTECalcPts[Custom])+COUNTIF($AP$3:AP301,AP301)-1,"")</f>
        <v/>
      </c>
      <c r="AK301" s="105">
        <v>199</v>
      </c>
      <c r="AL301" s="105" t="str">
        <f>IFERROR(INDEX(TableWRMaster[Player],MATCH(TableWRTECalcPts[[#This Row],[POSRef]],TableWRMaster[WRRef],0)),"")</f>
        <v/>
      </c>
      <c r="AM301" s="105" t="str">
        <f>IFERROR(_xlfn.CONCAT(TableWRTECalcPts[[#This Row],[POS]],INDEX(TableWRRanks[RK],MATCH(TableWRTECalcPts[[#This Row],[PLAYER]],TableWRRanks[Player],0))),"")</f>
        <v>WR183</v>
      </c>
      <c r="AN301" s="105" t="str">
        <f>IFERROR(INDEX(TableWRMaster[TM],MATCH(TableWRTECalcPts[[#This Row],[POSRef]],TableWRMaster[WRRef],0)),"")</f>
        <v/>
      </c>
      <c r="AO301" s="105" t="str">
        <f>IFERROR(INDEX(TableWRMaster[BYE],MATCH(TableWRTECalcPts[[#This Row],[POSRef]],TableWRMaster[WRRef],0)),"")</f>
        <v/>
      </c>
      <c r="AP301" s="103" t="str">
        <f>IFERROR(INDEX(TableWRMaster[Custom],MATCH(TableWRTECalcPts[[#This Row],[POSRef]],TableWRMaster[WRRef],0)),"")</f>
        <v/>
      </c>
    </row>
    <row r="302" spans="35:42" x14ac:dyDescent="0.2">
      <c r="AI302" s="59" t="s">
        <v>223</v>
      </c>
      <c r="AJ302" s="59" t="str">
        <f>IFERROR(RANK(TableWRTECalcPts[[#This Row],[Custom]],TableWRTECalcPts[Custom])+COUNTIF($AP$3:AP302,AP302)-1,"")</f>
        <v/>
      </c>
      <c r="AK302" s="105">
        <v>200</v>
      </c>
      <c r="AL302" s="105" t="str">
        <f>IFERROR(INDEX(TableWRMaster[Player],MATCH(TableWRTECalcPts[[#This Row],[POSRef]],TableWRMaster[WRRef],0)),"")</f>
        <v/>
      </c>
      <c r="AM302" s="105" t="str">
        <f>IFERROR(_xlfn.CONCAT(TableWRTECalcPts[[#This Row],[POS]],INDEX(TableWRRanks[RK],MATCH(TableWRTECalcPts[[#This Row],[PLAYER]],TableWRRanks[Player],0))),"")</f>
        <v>WR183</v>
      </c>
      <c r="AN302" s="105" t="str">
        <f>IFERROR(INDEX(TableWRMaster[TM],MATCH(TableWRTECalcPts[[#This Row],[POSRef]],TableWRMaster[WRRef],0)),"")</f>
        <v/>
      </c>
      <c r="AO302" s="105" t="str">
        <f>IFERROR(INDEX(TableWRMaster[BYE],MATCH(TableWRTECalcPts[[#This Row],[POSRef]],TableWRMaster[WRRef],0)),"")</f>
        <v/>
      </c>
      <c r="AP302" s="103" t="str">
        <f>IFERROR(INDEX(TableWRMaster[Custom],MATCH(TableWRTECalcPts[[#This Row],[POSRef]],TableWRMaster[WRRef],0)),"")</f>
        <v/>
      </c>
    </row>
    <row r="303" spans="35:42" x14ac:dyDescent="0.2">
      <c r="AI303" s="59" t="s">
        <v>223</v>
      </c>
      <c r="AJ303" s="59" t="str">
        <f>IFERROR(RANK(TableWRTECalcPts[[#This Row],[Custom]],TableWRTECalcPts[Custom])+COUNTIF($AP$3:AP303,AP303)-1,"")</f>
        <v/>
      </c>
      <c r="AK303" s="105">
        <v>201</v>
      </c>
      <c r="AL303" s="105" t="str">
        <f>IFERROR(INDEX(TableWRMaster[Player],MATCH(TableWRTECalcPts[[#This Row],[POSRef]],TableWRMaster[WRRef],0)),"")</f>
        <v/>
      </c>
      <c r="AM303" s="105" t="str">
        <f>IFERROR(_xlfn.CONCAT(TableWRTECalcPts[[#This Row],[POS]],INDEX(TableWRRanks[RK],MATCH(TableWRTECalcPts[[#This Row],[PLAYER]],TableWRRanks[Player],0))),"")</f>
        <v>WR183</v>
      </c>
      <c r="AN303" s="105" t="str">
        <f>IFERROR(INDEX(TableWRMaster[TM],MATCH(TableWRTECalcPts[[#This Row],[POSRef]],TableWRMaster[WRRef],0)),"")</f>
        <v/>
      </c>
      <c r="AO303" s="105" t="str">
        <f>IFERROR(INDEX(TableWRMaster[BYE],MATCH(TableWRTECalcPts[[#This Row],[POSRef]],TableWRMaster[WRRef],0)),"")</f>
        <v/>
      </c>
      <c r="AP303" s="103" t="str">
        <f>IFERROR(INDEX(TableWRMaster[Custom],MATCH(TableWRTECalcPts[[#This Row],[POSRef]],TableWRMaster[WRRef],0)),"")</f>
        <v/>
      </c>
    </row>
    <row r="304" spans="35:42" x14ac:dyDescent="0.2">
      <c r="AI304" s="59" t="s">
        <v>223</v>
      </c>
      <c r="AJ304" s="59" t="str">
        <f>IFERROR(RANK(TableWRTECalcPts[[#This Row],[Custom]],TableWRTECalcPts[Custom])+COUNTIF($AP$3:AP304,AP304)-1,"")</f>
        <v/>
      </c>
      <c r="AK304" s="105">
        <v>202</v>
      </c>
      <c r="AL304" s="105" t="str">
        <f>IFERROR(INDEX(TableWRMaster[Player],MATCH(TableWRTECalcPts[[#This Row],[POSRef]],TableWRMaster[WRRef],0)),"")</f>
        <v/>
      </c>
      <c r="AM304" s="105" t="str">
        <f>IFERROR(_xlfn.CONCAT(TableWRTECalcPts[[#This Row],[POS]],INDEX(TableWRRanks[RK],MATCH(TableWRTECalcPts[[#This Row],[PLAYER]],TableWRRanks[Player],0))),"")</f>
        <v>WR183</v>
      </c>
      <c r="AN304" s="105" t="str">
        <f>IFERROR(INDEX(TableWRMaster[TM],MATCH(TableWRTECalcPts[[#This Row],[POSRef]],TableWRMaster[WRRef],0)),"")</f>
        <v/>
      </c>
      <c r="AO304" s="105" t="str">
        <f>IFERROR(INDEX(TableWRMaster[BYE],MATCH(TableWRTECalcPts[[#This Row],[POSRef]],TableWRMaster[WRRef],0)),"")</f>
        <v/>
      </c>
      <c r="AP304" s="103" t="str">
        <f>IFERROR(INDEX(TableWRMaster[Custom],MATCH(TableWRTECalcPts[[#This Row],[POSRef]],TableWRMaster[WRRef],0)),"")</f>
        <v/>
      </c>
    </row>
    <row r="305" spans="35:42" x14ac:dyDescent="0.2">
      <c r="AI305" s="59" t="s">
        <v>223</v>
      </c>
      <c r="AJ305" s="59" t="str">
        <f>IFERROR(RANK(TableWRTECalcPts[[#This Row],[Custom]],TableWRTECalcPts[Custom])+COUNTIF($AP$3:AP305,AP305)-1,"")</f>
        <v/>
      </c>
      <c r="AK305" s="105">
        <v>203</v>
      </c>
      <c r="AL305" s="105" t="str">
        <f>IFERROR(INDEX(TableWRMaster[Player],MATCH(TableWRTECalcPts[[#This Row],[POSRef]],TableWRMaster[WRRef],0)),"")</f>
        <v/>
      </c>
      <c r="AM305" s="105" t="str">
        <f>IFERROR(_xlfn.CONCAT(TableWRTECalcPts[[#This Row],[POS]],INDEX(TableWRRanks[RK],MATCH(TableWRTECalcPts[[#This Row],[PLAYER]],TableWRRanks[Player],0))),"")</f>
        <v>WR183</v>
      </c>
      <c r="AN305" s="105" t="str">
        <f>IFERROR(INDEX(TableWRMaster[TM],MATCH(TableWRTECalcPts[[#This Row],[POSRef]],TableWRMaster[WRRef],0)),"")</f>
        <v/>
      </c>
      <c r="AO305" s="105" t="str">
        <f>IFERROR(INDEX(TableWRMaster[BYE],MATCH(TableWRTECalcPts[[#This Row],[POSRef]],TableWRMaster[WRRef],0)),"")</f>
        <v/>
      </c>
      <c r="AP305" s="103" t="str">
        <f>IFERROR(INDEX(TableWRMaster[Custom],MATCH(TableWRTECalcPts[[#This Row],[POSRef]],TableWRMaster[WRRef],0)),"")</f>
        <v/>
      </c>
    </row>
    <row r="306" spans="35:42" x14ac:dyDescent="0.2">
      <c r="AI306" s="59" t="s">
        <v>223</v>
      </c>
      <c r="AJ306" s="59" t="str">
        <f>IFERROR(RANK(TableWRTECalcPts[[#This Row],[Custom]],TableWRTECalcPts[Custom])+COUNTIF($AP$3:AP306,AP306)-1,"")</f>
        <v/>
      </c>
      <c r="AK306" s="105">
        <v>204</v>
      </c>
      <c r="AL306" s="105" t="str">
        <f>IFERROR(INDEX(TableWRMaster[Player],MATCH(TableWRTECalcPts[[#This Row],[POSRef]],TableWRMaster[WRRef],0)),"")</f>
        <v/>
      </c>
      <c r="AM306" s="105" t="str">
        <f>IFERROR(_xlfn.CONCAT(TableWRTECalcPts[[#This Row],[POS]],INDEX(TableWRRanks[RK],MATCH(TableWRTECalcPts[[#This Row],[PLAYER]],TableWRRanks[Player],0))),"")</f>
        <v>WR183</v>
      </c>
      <c r="AN306" s="105" t="str">
        <f>IFERROR(INDEX(TableWRMaster[TM],MATCH(TableWRTECalcPts[[#This Row],[POSRef]],TableWRMaster[WRRef],0)),"")</f>
        <v/>
      </c>
      <c r="AO306" s="105" t="str">
        <f>IFERROR(INDEX(TableWRMaster[BYE],MATCH(TableWRTECalcPts[[#This Row],[POSRef]],TableWRMaster[WRRef],0)),"")</f>
        <v/>
      </c>
      <c r="AP306" s="103" t="str">
        <f>IFERROR(INDEX(TableWRMaster[Custom],MATCH(TableWRTECalcPts[[#This Row],[POSRef]],TableWRMaster[WRRef],0)),"")</f>
        <v/>
      </c>
    </row>
    <row r="307" spans="35:42" x14ac:dyDescent="0.2">
      <c r="AI307" s="59" t="s">
        <v>223</v>
      </c>
      <c r="AJ307" s="59" t="str">
        <f>IFERROR(RANK(TableWRTECalcPts[[#This Row],[Custom]],TableWRTECalcPts[Custom])+COUNTIF($AP$3:AP307,AP307)-1,"")</f>
        <v/>
      </c>
      <c r="AK307" s="105">
        <v>205</v>
      </c>
      <c r="AL307" s="105" t="str">
        <f>IFERROR(INDEX(TableWRMaster[Player],MATCH(TableWRTECalcPts[[#This Row],[POSRef]],TableWRMaster[WRRef],0)),"")</f>
        <v/>
      </c>
      <c r="AM307" s="105" t="str">
        <f>IFERROR(_xlfn.CONCAT(TableWRTECalcPts[[#This Row],[POS]],INDEX(TableWRRanks[RK],MATCH(TableWRTECalcPts[[#This Row],[PLAYER]],TableWRRanks[Player],0))),"")</f>
        <v>WR183</v>
      </c>
      <c r="AN307" s="105" t="str">
        <f>IFERROR(INDEX(TableWRMaster[TM],MATCH(TableWRTECalcPts[[#This Row],[POSRef]],TableWRMaster[WRRef],0)),"")</f>
        <v/>
      </c>
      <c r="AO307" s="105" t="str">
        <f>IFERROR(INDEX(TableWRMaster[BYE],MATCH(TableWRTECalcPts[[#This Row],[POSRef]],TableWRMaster[WRRef],0)),"")</f>
        <v/>
      </c>
      <c r="AP307" s="103" t="str">
        <f>IFERROR(INDEX(TableWRMaster[Custom],MATCH(TableWRTECalcPts[[#This Row],[POSRef]],TableWRMaster[WRRef],0)),"")</f>
        <v/>
      </c>
    </row>
    <row r="308" spans="35:42" x14ac:dyDescent="0.2">
      <c r="AI308" s="59" t="s">
        <v>223</v>
      </c>
      <c r="AJ308" s="59" t="str">
        <f>IFERROR(RANK(TableWRTECalcPts[[#This Row],[Custom]],TableWRTECalcPts[Custom])+COUNTIF($AP$3:AP308,AP308)-1,"")</f>
        <v/>
      </c>
      <c r="AK308" s="105">
        <v>206</v>
      </c>
      <c r="AL308" s="105" t="str">
        <f>IFERROR(INDEX(TableWRMaster[Player],MATCH(TableWRTECalcPts[[#This Row],[POSRef]],TableWRMaster[WRRef],0)),"")</f>
        <v/>
      </c>
      <c r="AM308" s="105" t="str">
        <f>IFERROR(_xlfn.CONCAT(TableWRTECalcPts[[#This Row],[POS]],INDEX(TableWRRanks[RK],MATCH(TableWRTECalcPts[[#This Row],[PLAYER]],TableWRRanks[Player],0))),"")</f>
        <v>WR183</v>
      </c>
      <c r="AN308" s="105" t="str">
        <f>IFERROR(INDEX(TableWRMaster[TM],MATCH(TableWRTECalcPts[[#This Row],[POSRef]],TableWRMaster[WRRef],0)),"")</f>
        <v/>
      </c>
      <c r="AO308" s="105" t="str">
        <f>IFERROR(INDEX(TableWRMaster[BYE],MATCH(TableWRTECalcPts[[#This Row],[POSRef]],TableWRMaster[WRRef],0)),"")</f>
        <v/>
      </c>
      <c r="AP308" s="103" t="str">
        <f>IFERROR(INDEX(TableWRMaster[Custom],MATCH(TableWRTECalcPts[[#This Row],[POSRef]],TableWRMaster[WRRef],0)),"")</f>
        <v/>
      </c>
    </row>
    <row r="309" spans="35:42" x14ac:dyDescent="0.2">
      <c r="AI309" s="59" t="s">
        <v>223</v>
      </c>
      <c r="AJ309" s="59" t="str">
        <f>IFERROR(RANK(TableWRTECalcPts[[#This Row],[Custom]],TableWRTECalcPts[Custom])+COUNTIF($AP$3:AP309,AP309)-1,"")</f>
        <v/>
      </c>
      <c r="AK309" s="105">
        <v>207</v>
      </c>
      <c r="AL309" s="105" t="str">
        <f>IFERROR(INDEX(TableWRMaster[Player],MATCH(TableWRTECalcPts[[#This Row],[POSRef]],TableWRMaster[WRRef],0)),"")</f>
        <v/>
      </c>
      <c r="AM309" s="105" t="str">
        <f>IFERROR(_xlfn.CONCAT(TableWRTECalcPts[[#This Row],[POS]],INDEX(TableWRRanks[RK],MATCH(TableWRTECalcPts[[#This Row],[PLAYER]],TableWRRanks[Player],0))),"")</f>
        <v>WR183</v>
      </c>
      <c r="AN309" s="105" t="str">
        <f>IFERROR(INDEX(TableWRMaster[TM],MATCH(TableWRTECalcPts[[#This Row],[POSRef]],TableWRMaster[WRRef],0)),"")</f>
        <v/>
      </c>
      <c r="AO309" s="105" t="str">
        <f>IFERROR(INDEX(TableWRMaster[BYE],MATCH(TableWRTECalcPts[[#This Row],[POSRef]],TableWRMaster[WRRef],0)),"")</f>
        <v/>
      </c>
      <c r="AP309" s="103" t="str">
        <f>IFERROR(INDEX(TableWRMaster[Custom],MATCH(TableWRTECalcPts[[#This Row],[POSRef]],TableWRMaster[WRRef],0)),"")</f>
        <v/>
      </c>
    </row>
    <row r="310" spans="35:42" x14ac:dyDescent="0.2">
      <c r="AI310" s="59" t="s">
        <v>223</v>
      </c>
      <c r="AJ310" s="59" t="str">
        <f>IFERROR(RANK(TableWRTECalcPts[[#This Row],[Custom]],TableWRTECalcPts[Custom])+COUNTIF($AP$3:AP310,AP310)-1,"")</f>
        <v/>
      </c>
      <c r="AK310" s="105">
        <v>208</v>
      </c>
      <c r="AL310" s="105" t="str">
        <f>IFERROR(INDEX(TableWRMaster[Player],MATCH(TableWRTECalcPts[[#This Row],[POSRef]],TableWRMaster[WRRef],0)),"")</f>
        <v/>
      </c>
      <c r="AM310" s="105" t="str">
        <f>IFERROR(_xlfn.CONCAT(TableWRTECalcPts[[#This Row],[POS]],INDEX(TableWRRanks[RK],MATCH(TableWRTECalcPts[[#This Row],[PLAYER]],TableWRRanks[Player],0))),"")</f>
        <v>WR183</v>
      </c>
      <c r="AN310" s="105" t="str">
        <f>IFERROR(INDEX(TableWRMaster[TM],MATCH(TableWRTECalcPts[[#This Row],[POSRef]],TableWRMaster[WRRef],0)),"")</f>
        <v/>
      </c>
      <c r="AO310" s="105" t="str">
        <f>IFERROR(INDEX(TableWRMaster[BYE],MATCH(TableWRTECalcPts[[#This Row],[POSRef]],TableWRMaster[WRRef],0)),"")</f>
        <v/>
      </c>
      <c r="AP310" s="103" t="str">
        <f>IFERROR(INDEX(TableWRMaster[Custom],MATCH(TableWRTECalcPts[[#This Row],[POSRef]],TableWRMaster[WRRef],0)),"")</f>
        <v/>
      </c>
    </row>
    <row r="311" spans="35:42" x14ac:dyDescent="0.2">
      <c r="AI311" s="59" t="s">
        <v>223</v>
      </c>
      <c r="AJ311" s="59" t="str">
        <f>IFERROR(RANK(TableWRTECalcPts[[#This Row],[Custom]],TableWRTECalcPts[Custom])+COUNTIF($AP$3:AP311,AP311)-1,"")</f>
        <v/>
      </c>
      <c r="AK311" s="105">
        <v>209</v>
      </c>
      <c r="AL311" s="105" t="str">
        <f>IFERROR(INDEX(TableWRMaster[Player],MATCH(TableWRTECalcPts[[#This Row],[POSRef]],TableWRMaster[WRRef],0)),"")</f>
        <v/>
      </c>
      <c r="AM311" s="105" t="str">
        <f>IFERROR(_xlfn.CONCAT(TableWRTECalcPts[[#This Row],[POS]],INDEX(TableWRRanks[RK],MATCH(TableWRTECalcPts[[#This Row],[PLAYER]],TableWRRanks[Player],0))),"")</f>
        <v>WR183</v>
      </c>
      <c r="AN311" s="105" t="str">
        <f>IFERROR(INDEX(TableWRMaster[TM],MATCH(TableWRTECalcPts[[#This Row],[POSRef]],TableWRMaster[WRRef],0)),"")</f>
        <v/>
      </c>
      <c r="AO311" s="105" t="str">
        <f>IFERROR(INDEX(TableWRMaster[BYE],MATCH(TableWRTECalcPts[[#This Row],[POSRef]],TableWRMaster[WRRef],0)),"")</f>
        <v/>
      </c>
      <c r="AP311" s="103" t="str">
        <f>IFERROR(INDEX(TableWRMaster[Custom],MATCH(TableWRTECalcPts[[#This Row],[POSRef]],TableWRMaster[WRRef],0)),"")</f>
        <v/>
      </c>
    </row>
    <row r="312" spans="35:42" x14ac:dyDescent="0.2">
      <c r="AI312" s="59" t="s">
        <v>223</v>
      </c>
      <c r="AJ312" s="59" t="str">
        <f>IFERROR(RANK(TableWRTECalcPts[[#This Row],[Custom]],TableWRTECalcPts[Custom])+COUNTIF($AP$3:AP312,AP312)-1,"")</f>
        <v/>
      </c>
      <c r="AK312" s="105">
        <v>210</v>
      </c>
      <c r="AL312" s="105" t="str">
        <f>IFERROR(INDEX(TableWRMaster[Player],MATCH(TableWRTECalcPts[[#This Row],[POSRef]],TableWRMaster[WRRef],0)),"")</f>
        <v/>
      </c>
      <c r="AM312" s="105" t="str">
        <f>IFERROR(_xlfn.CONCAT(TableWRTECalcPts[[#This Row],[POS]],INDEX(TableWRRanks[RK],MATCH(TableWRTECalcPts[[#This Row],[PLAYER]],TableWRRanks[Player],0))),"")</f>
        <v>WR183</v>
      </c>
      <c r="AN312" s="105" t="str">
        <f>IFERROR(INDEX(TableWRMaster[TM],MATCH(TableWRTECalcPts[[#This Row],[POSRef]],TableWRMaster[WRRef],0)),"")</f>
        <v/>
      </c>
      <c r="AO312" s="105" t="str">
        <f>IFERROR(INDEX(TableWRMaster[BYE],MATCH(TableWRTECalcPts[[#This Row],[POSRef]],TableWRMaster[WRRef],0)),"")</f>
        <v/>
      </c>
      <c r="AP312" s="103" t="str">
        <f>IFERROR(INDEX(TableWRMaster[Custom],MATCH(TableWRTECalcPts[[#This Row],[POSRef]],TableWRMaster[WRRef],0)),"")</f>
        <v/>
      </c>
    </row>
    <row r="313" spans="35:42" x14ac:dyDescent="0.2">
      <c r="AI313" s="59" t="s">
        <v>223</v>
      </c>
      <c r="AJ313" s="59" t="str">
        <f>IFERROR(RANK(TableWRTECalcPts[[#This Row],[Custom]],TableWRTECalcPts[Custom])+COUNTIF($AP$3:AP313,AP313)-1,"")</f>
        <v/>
      </c>
      <c r="AK313" s="105">
        <v>211</v>
      </c>
      <c r="AL313" s="105" t="str">
        <f>IFERROR(INDEX(TableWRMaster[Player],MATCH(TableWRTECalcPts[[#This Row],[POSRef]],TableWRMaster[WRRef],0)),"")</f>
        <v/>
      </c>
      <c r="AM313" s="105" t="str">
        <f>IFERROR(_xlfn.CONCAT(TableWRTECalcPts[[#This Row],[POS]],INDEX(TableWRRanks[RK],MATCH(TableWRTECalcPts[[#This Row],[PLAYER]],TableWRRanks[Player],0))),"")</f>
        <v>WR183</v>
      </c>
      <c r="AN313" s="105" t="str">
        <f>IFERROR(INDEX(TableWRMaster[TM],MATCH(TableWRTECalcPts[[#This Row],[POSRef]],TableWRMaster[WRRef],0)),"")</f>
        <v/>
      </c>
      <c r="AO313" s="105" t="str">
        <f>IFERROR(INDEX(TableWRMaster[BYE],MATCH(TableWRTECalcPts[[#This Row],[POSRef]],TableWRMaster[WRRef],0)),"")</f>
        <v/>
      </c>
      <c r="AP313" s="103" t="str">
        <f>IFERROR(INDEX(TableWRMaster[Custom],MATCH(TableWRTECalcPts[[#This Row],[POSRef]],TableWRMaster[WRRef],0)),"")</f>
        <v/>
      </c>
    </row>
    <row r="314" spans="35:42" x14ac:dyDescent="0.2">
      <c r="AI314" s="59" t="s">
        <v>223</v>
      </c>
      <c r="AJ314" s="59" t="str">
        <f>IFERROR(RANK(TableWRTECalcPts[[#This Row],[Custom]],TableWRTECalcPts[Custom])+COUNTIF($AP$3:AP314,AP314)-1,"")</f>
        <v/>
      </c>
      <c r="AK314" s="105">
        <v>212</v>
      </c>
      <c r="AL314" s="105" t="str">
        <f>IFERROR(INDEX(TableWRMaster[Player],MATCH(TableWRTECalcPts[[#This Row],[POSRef]],TableWRMaster[WRRef],0)),"")</f>
        <v/>
      </c>
      <c r="AM314" s="105" t="str">
        <f>IFERROR(_xlfn.CONCAT(TableWRTECalcPts[[#This Row],[POS]],INDEX(TableWRRanks[RK],MATCH(TableWRTECalcPts[[#This Row],[PLAYER]],TableWRRanks[Player],0))),"")</f>
        <v>WR183</v>
      </c>
      <c r="AN314" s="105" t="str">
        <f>IFERROR(INDEX(TableWRMaster[TM],MATCH(TableWRTECalcPts[[#This Row],[POSRef]],TableWRMaster[WRRef],0)),"")</f>
        <v/>
      </c>
      <c r="AO314" s="105" t="str">
        <f>IFERROR(INDEX(TableWRMaster[BYE],MATCH(TableWRTECalcPts[[#This Row],[POSRef]],TableWRMaster[WRRef],0)),"")</f>
        <v/>
      </c>
      <c r="AP314" s="103" t="str">
        <f>IFERROR(INDEX(TableWRMaster[Custom],MATCH(TableWRTECalcPts[[#This Row],[POSRef]],TableWRMaster[WRRef],0)),"")</f>
        <v/>
      </c>
    </row>
    <row r="315" spans="35:42" x14ac:dyDescent="0.2">
      <c r="AI315" s="59" t="s">
        <v>223</v>
      </c>
      <c r="AJ315" s="59" t="str">
        <f>IFERROR(RANK(TableWRTECalcPts[[#This Row],[Custom]],TableWRTECalcPts[Custom])+COUNTIF($AP$3:AP315,AP315)-1,"")</f>
        <v/>
      </c>
      <c r="AK315" s="105">
        <v>213</v>
      </c>
      <c r="AL315" s="105" t="str">
        <f>IFERROR(INDEX(TableWRMaster[Player],MATCH(TableWRTECalcPts[[#This Row],[POSRef]],TableWRMaster[WRRef],0)),"")</f>
        <v/>
      </c>
      <c r="AM315" s="105" t="str">
        <f>IFERROR(_xlfn.CONCAT(TableWRTECalcPts[[#This Row],[POS]],INDEX(TableWRRanks[RK],MATCH(TableWRTECalcPts[[#This Row],[PLAYER]],TableWRRanks[Player],0))),"")</f>
        <v>WR183</v>
      </c>
      <c r="AN315" s="105" t="str">
        <f>IFERROR(INDEX(TableWRMaster[TM],MATCH(TableWRTECalcPts[[#This Row],[POSRef]],TableWRMaster[WRRef],0)),"")</f>
        <v/>
      </c>
      <c r="AO315" s="105" t="str">
        <f>IFERROR(INDEX(TableWRMaster[BYE],MATCH(TableWRTECalcPts[[#This Row],[POSRef]],TableWRMaster[WRRef],0)),"")</f>
        <v/>
      </c>
      <c r="AP315" s="103" t="str">
        <f>IFERROR(INDEX(TableWRMaster[Custom],MATCH(TableWRTECalcPts[[#This Row],[POSRef]],TableWRMaster[WRRef],0)),"")</f>
        <v/>
      </c>
    </row>
    <row r="316" spans="35:42" x14ac:dyDescent="0.2">
      <c r="AI316" s="59" t="s">
        <v>223</v>
      </c>
      <c r="AJ316" s="59" t="str">
        <f>IFERROR(RANK(TableWRTECalcPts[[#This Row],[Custom]],TableWRTECalcPts[Custom])+COUNTIF($AP$3:AP316,AP316)-1,"")</f>
        <v/>
      </c>
      <c r="AK316" s="105">
        <v>214</v>
      </c>
      <c r="AL316" s="105" t="str">
        <f>IFERROR(INDEX(TableWRMaster[Player],MATCH(TableWRTECalcPts[[#This Row],[POSRef]],TableWRMaster[WRRef],0)),"")</f>
        <v/>
      </c>
      <c r="AM316" s="105" t="str">
        <f>IFERROR(_xlfn.CONCAT(TableWRTECalcPts[[#This Row],[POS]],INDEX(TableWRRanks[RK],MATCH(TableWRTECalcPts[[#This Row],[PLAYER]],TableWRRanks[Player],0))),"")</f>
        <v>WR183</v>
      </c>
      <c r="AN316" s="105" t="str">
        <f>IFERROR(INDEX(TableWRMaster[TM],MATCH(TableWRTECalcPts[[#This Row],[POSRef]],TableWRMaster[WRRef],0)),"")</f>
        <v/>
      </c>
      <c r="AO316" s="105" t="str">
        <f>IFERROR(INDEX(TableWRMaster[BYE],MATCH(TableWRTECalcPts[[#This Row],[POSRef]],TableWRMaster[WRRef],0)),"")</f>
        <v/>
      </c>
      <c r="AP316" s="103" t="str">
        <f>IFERROR(INDEX(TableWRMaster[Custom],MATCH(TableWRTECalcPts[[#This Row],[POSRef]],TableWRMaster[WRRef],0)),"")</f>
        <v/>
      </c>
    </row>
    <row r="317" spans="35:42" x14ac:dyDescent="0.2">
      <c r="AI317" s="59" t="s">
        <v>223</v>
      </c>
      <c r="AJ317" s="59" t="str">
        <f>IFERROR(RANK(TableWRTECalcPts[[#This Row],[Custom]],TableWRTECalcPts[Custom])+COUNTIF($AP$3:AP317,AP317)-1,"")</f>
        <v/>
      </c>
      <c r="AK317" s="105">
        <v>215</v>
      </c>
      <c r="AL317" s="105" t="str">
        <f>IFERROR(INDEX(TableWRMaster[Player],MATCH(TableWRTECalcPts[[#This Row],[POSRef]],TableWRMaster[WRRef],0)),"")</f>
        <v/>
      </c>
      <c r="AM317" s="105" t="str">
        <f>IFERROR(_xlfn.CONCAT(TableWRTECalcPts[[#This Row],[POS]],INDEX(TableWRRanks[RK],MATCH(TableWRTECalcPts[[#This Row],[PLAYER]],TableWRRanks[Player],0))),"")</f>
        <v>WR183</v>
      </c>
      <c r="AN317" s="105" t="str">
        <f>IFERROR(INDEX(TableWRMaster[TM],MATCH(TableWRTECalcPts[[#This Row],[POSRef]],TableWRMaster[WRRef],0)),"")</f>
        <v/>
      </c>
      <c r="AO317" s="105" t="str">
        <f>IFERROR(INDEX(TableWRMaster[BYE],MATCH(TableWRTECalcPts[[#This Row],[POSRef]],TableWRMaster[WRRef],0)),"")</f>
        <v/>
      </c>
      <c r="AP317" s="103" t="str">
        <f>IFERROR(INDEX(TableWRMaster[Custom],MATCH(TableWRTECalcPts[[#This Row],[POSRef]],TableWRMaster[WRRef],0)),"")</f>
        <v/>
      </c>
    </row>
    <row r="318" spans="35:42" x14ac:dyDescent="0.2">
      <c r="AI318" s="59" t="s">
        <v>223</v>
      </c>
      <c r="AJ318" s="59" t="str">
        <f>IFERROR(RANK(TableWRTECalcPts[[#This Row],[Custom]],TableWRTECalcPts[Custom])+COUNTIF($AP$3:AP318,AP318)-1,"")</f>
        <v/>
      </c>
      <c r="AK318" s="105">
        <v>216</v>
      </c>
      <c r="AL318" s="105" t="str">
        <f>IFERROR(INDEX(TableWRMaster[Player],MATCH(TableWRTECalcPts[[#This Row],[POSRef]],TableWRMaster[WRRef],0)),"")</f>
        <v/>
      </c>
      <c r="AM318" s="105" t="str">
        <f>IFERROR(_xlfn.CONCAT(TableWRTECalcPts[[#This Row],[POS]],INDEX(TableWRRanks[RK],MATCH(TableWRTECalcPts[[#This Row],[PLAYER]],TableWRRanks[Player],0))),"")</f>
        <v>WR183</v>
      </c>
      <c r="AN318" s="105" t="str">
        <f>IFERROR(INDEX(TableWRMaster[TM],MATCH(TableWRTECalcPts[[#This Row],[POSRef]],TableWRMaster[WRRef],0)),"")</f>
        <v/>
      </c>
      <c r="AO318" s="105" t="str">
        <f>IFERROR(INDEX(TableWRMaster[BYE],MATCH(TableWRTECalcPts[[#This Row],[POSRef]],TableWRMaster[WRRef],0)),"")</f>
        <v/>
      </c>
      <c r="AP318" s="103" t="str">
        <f>IFERROR(INDEX(TableWRMaster[Custom],MATCH(TableWRTECalcPts[[#This Row],[POSRef]],TableWRMaster[WRRef],0)),"")</f>
        <v/>
      </c>
    </row>
    <row r="319" spans="35:42" x14ac:dyDescent="0.2">
      <c r="AI319" s="59" t="s">
        <v>223</v>
      </c>
      <c r="AJ319" s="59" t="str">
        <f>IFERROR(RANK(TableWRTECalcPts[[#This Row],[Custom]],TableWRTECalcPts[Custom])+COUNTIF($AP$3:AP319,AP319)-1,"")</f>
        <v/>
      </c>
      <c r="AK319" s="105">
        <v>217</v>
      </c>
      <c r="AL319" s="105" t="str">
        <f>IFERROR(INDEX(TableWRMaster[Player],MATCH(TableWRTECalcPts[[#This Row],[POSRef]],TableWRMaster[WRRef],0)),"")</f>
        <v/>
      </c>
      <c r="AM319" s="105" t="str">
        <f>IFERROR(_xlfn.CONCAT(TableWRTECalcPts[[#This Row],[POS]],INDEX(TableWRRanks[RK],MATCH(TableWRTECalcPts[[#This Row],[PLAYER]],TableWRRanks[Player],0))),"")</f>
        <v>WR183</v>
      </c>
      <c r="AN319" s="105" t="str">
        <f>IFERROR(INDEX(TableWRMaster[TM],MATCH(TableWRTECalcPts[[#This Row],[POSRef]],TableWRMaster[WRRef],0)),"")</f>
        <v/>
      </c>
      <c r="AO319" s="105" t="str">
        <f>IFERROR(INDEX(TableWRMaster[BYE],MATCH(TableWRTECalcPts[[#This Row],[POSRef]],TableWRMaster[WRRef],0)),"")</f>
        <v/>
      </c>
      <c r="AP319" s="103" t="str">
        <f>IFERROR(INDEX(TableWRMaster[Custom],MATCH(TableWRTECalcPts[[#This Row],[POSRef]],TableWRMaster[WRRef],0)),"")</f>
        <v/>
      </c>
    </row>
    <row r="320" spans="35:42" x14ac:dyDescent="0.2">
      <c r="AI320" s="59" t="s">
        <v>223</v>
      </c>
      <c r="AJ320" s="59" t="str">
        <f>IFERROR(RANK(TableWRTECalcPts[[#This Row],[Custom]],TableWRTECalcPts[Custom])+COUNTIF($AP$3:AP320,AP320)-1,"")</f>
        <v/>
      </c>
      <c r="AK320" s="105">
        <v>218</v>
      </c>
      <c r="AL320" s="105" t="str">
        <f>IFERROR(INDEX(TableWRMaster[Player],MATCH(TableWRTECalcPts[[#This Row],[POSRef]],TableWRMaster[WRRef],0)),"")</f>
        <v/>
      </c>
      <c r="AM320" s="105" t="str">
        <f>IFERROR(_xlfn.CONCAT(TableWRTECalcPts[[#This Row],[POS]],INDEX(TableWRRanks[RK],MATCH(TableWRTECalcPts[[#This Row],[PLAYER]],TableWRRanks[Player],0))),"")</f>
        <v>WR183</v>
      </c>
      <c r="AN320" s="105" t="str">
        <f>IFERROR(INDEX(TableWRMaster[TM],MATCH(TableWRTECalcPts[[#This Row],[POSRef]],TableWRMaster[WRRef],0)),"")</f>
        <v/>
      </c>
      <c r="AO320" s="105" t="str">
        <f>IFERROR(INDEX(TableWRMaster[BYE],MATCH(TableWRTECalcPts[[#This Row],[POSRef]],TableWRMaster[WRRef],0)),"")</f>
        <v/>
      </c>
      <c r="AP320" s="103" t="str">
        <f>IFERROR(INDEX(TableWRMaster[Custom],MATCH(TableWRTECalcPts[[#This Row],[POSRef]],TableWRMaster[WRRef],0)),"")</f>
        <v/>
      </c>
    </row>
    <row r="321" spans="35:42" x14ac:dyDescent="0.2">
      <c r="AI321" s="59" t="s">
        <v>223</v>
      </c>
      <c r="AJ321" s="59" t="str">
        <f>IFERROR(RANK(TableWRTECalcPts[[#This Row],[Custom]],TableWRTECalcPts[Custom])+COUNTIF($AP$3:AP321,AP321)-1,"")</f>
        <v/>
      </c>
      <c r="AK321" s="105">
        <v>219</v>
      </c>
      <c r="AL321" s="105" t="str">
        <f>IFERROR(INDEX(TableWRMaster[Player],MATCH(TableWRTECalcPts[[#This Row],[POSRef]],TableWRMaster[WRRef],0)),"")</f>
        <v/>
      </c>
      <c r="AM321" s="105" t="str">
        <f>IFERROR(_xlfn.CONCAT(TableWRTECalcPts[[#This Row],[POS]],INDEX(TableWRRanks[RK],MATCH(TableWRTECalcPts[[#This Row],[PLAYER]],TableWRRanks[Player],0))),"")</f>
        <v>WR183</v>
      </c>
      <c r="AN321" s="105" t="str">
        <f>IFERROR(INDEX(TableWRMaster[TM],MATCH(TableWRTECalcPts[[#This Row],[POSRef]],TableWRMaster[WRRef],0)),"")</f>
        <v/>
      </c>
      <c r="AO321" s="105" t="str">
        <f>IFERROR(INDEX(TableWRMaster[BYE],MATCH(TableWRTECalcPts[[#This Row],[POSRef]],TableWRMaster[WRRef],0)),"")</f>
        <v/>
      </c>
      <c r="AP321" s="103" t="str">
        <f>IFERROR(INDEX(TableWRMaster[Custom],MATCH(TableWRTECalcPts[[#This Row],[POSRef]],TableWRMaster[WRRef],0)),"")</f>
        <v/>
      </c>
    </row>
    <row r="322" spans="35:42" x14ac:dyDescent="0.2">
      <c r="AI322" s="59" t="s">
        <v>223</v>
      </c>
      <c r="AJ322" s="59" t="str">
        <f>IFERROR(RANK(TableWRTECalcPts[[#This Row],[Custom]],TableWRTECalcPts[Custom])+COUNTIF($AP$3:AP322,AP322)-1,"")</f>
        <v/>
      </c>
      <c r="AK322" s="105">
        <v>220</v>
      </c>
      <c r="AL322" s="105" t="str">
        <f>IFERROR(INDEX(TableWRMaster[Player],MATCH(TableWRTECalcPts[[#This Row],[POSRef]],TableWRMaster[WRRef],0)),"")</f>
        <v/>
      </c>
      <c r="AM322" s="105" t="str">
        <f>IFERROR(_xlfn.CONCAT(TableWRTECalcPts[[#This Row],[POS]],INDEX(TableWRRanks[RK],MATCH(TableWRTECalcPts[[#This Row],[PLAYER]],TableWRRanks[Player],0))),"")</f>
        <v>WR183</v>
      </c>
      <c r="AN322" s="105" t="str">
        <f>IFERROR(INDEX(TableWRMaster[TM],MATCH(TableWRTECalcPts[[#This Row],[POSRef]],TableWRMaster[WRRef],0)),"")</f>
        <v/>
      </c>
      <c r="AO322" s="105" t="str">
        <f>IFERROR(INDEX(TableWRMaster[BYE],MATCH(TableWRTECalcPts[[#This Row],[POSRef]],TableWRMaster[WRRef],0)),"")</f>
        <v/>
      </c>
      <c r="AP322" s="103" t="str">
        <f>IFERROR(INDEX(TableWRMaster[Custom],MATCH(TableWRTECalcPts[[#This Row],[POSRef]],TableWRMaster[WRRef],0)),"")</f>
        <v/>
      </c>
    </row>
    <row r="323" spans="35:42" x14ac:dyDescent="0.2">
      <c r="AI323" s="59" t="s">
        <v>223</v>
      </c>
      <c r="AJ323" s="59" t="str">
        <f>IFERROR(RANK(TableWRTECalcPts[[#This Row],[Custom]],TableWRTECalcPts[Custom])+COUNTIF($AP$3:AP323,AP323)-1,"")</f>
        <v/>
      </c>
      <c r="AK323" s="105">
        <v>221</v>
      </c>
      <c r="AL323" s="105" t="str">
        <f>IFERROR(INDEX(TableWRMaster[Player],MATCH(TableWRTECalcPts[[#This Row],[POSRef]],TableWRMaster[WRRef],0)),"")</f>
        <v/>
      </c>
      <c r="AM323" s="105" t="str">
        <f>IFERROR(_xlfn.CONCAT(TableWRTECalcPts[[#This Row],[POS]],INDEX(TableWRRanks[RK],MATCH(TableWRTECalcPts[[#This Row],[PLAYER]],TableWRRanks[Player],0))),"")</f>
        <v>WR183</v>
      </c>
      <c r="AN323" s="105" t="str">
        <f>IFERROR(INDEX(TableWRMaster[TM],MATCH(TableWRTECalcPts[[#This Row],[POSRef]],TableWRMaster[WRRef],0)),"")</f>
        <v/>
      </c>
      <c r="AO323" s="105" t="str">
        <f>IFERROR(INDEX(TableWRMaster[BYE],MATCH(TableWRTECalcPts[[#This Row],[POSRef]],TableWRMaster[WRRef],0)),"")</f>
        <v/>
      </c>
      <c r="AP323" s="103" t="str">
        <f>IFERROR(INDEX(TableWRMaster[Custom],MATCH(TableWRTECalcPts[[#This Row],[POSRef]],TableWRMaster[WRRef],0)),"")</f>
        <v/>
      </c>
    </row>
    <row r="324" spans="35:42" x14ac:dyDescent="0.2">
      <c r="AI324" s="59" t="s">
        <v>223</v>
      </c>
      <c r="AJ324" s="59" t="str">
        <f>IFERROR(RANK(TableWRTECalcPts[[#This Row],[Custom]],TableWRTECalcPts[Custom])+COUNTIF($AP$3:AP324,AP324)-1,"")</f>
        <v/>
      </c>
      <c r="AK324" s="105">
        <v>222</v>
      </c>
      <c r="AL324" s="105" t="str">
        <f>IFERROR(INDEX(TableWRMaster[Player],MATCH(TableWRTECalcPts[[#This Row],[POSRef]],TableWRMaster[WRRef],0)),"")</f>
        <v/>
      </c>
      <c r="AM324" s="105" t="str">
        <f>IFERROR(_xlfn.CONCAT(TableWRTECalcPts[[#This Row],[POS]],INDEX(TableWRRanks[RK],MATCH(TableWRTECalcPts[[#This Row],[PLAYER]],TableWRRanks[Player],0))),"")</f>
        <v>WR183</v>
      </c>
      <c r="AN324" s="105" t="str">
        <f>IFERROR(INDEX(TableWRMaster[TM],MATCH(TableWRTECalcPts[[#This Row],[POSRef]],TableWRMaster[WRRef],0)),"")</f>
        <v/>
      </c>
      <c r="AO324" s="105" t="str">
        <f>IFERROR(INDEX(TableWRMaster[BYE],MATCH(TableWRTECalcPts[[#This Row],[POSRef]],TableWRMaster[WRRef],0)),"")</f>
        <v/>
      </c>
      <c r="AP324" s="103" t="str">
        <f>IFERROR(INDEX(TableWRMaster[Custom],MATCH(TableWRTECalcPts[[#This Row],[POSRef]],TableWRMaster[WRRef],0)),"")</f>
        <v/>
      </c>
    </row>
    <row r="325" spans="35:42" x14ac:dyDescent="0.2">
      <c r="AI325" s="59" t="s">
        <v>223</v>
      </c>
      <c r="AJ325" s="59" t="str">
        <f>IFERROR(RANK(TableWRTECalcPts[[#This Row],[Custom]],TableWRTECalcPts[Custom])+COUNTIF($AP$3:AP325,AP325)-1,"")</f>
        <v/>
      </c>
      <c r="AK325" s="105">
        <v>223</v>
      </c>
      <c r="AL325" s="105" t="str">
        <f>IFERROR(INDEX(TableWRMaster[Player],MATCH(TableWRTECalcPts[[#This Row],[POSRef]],TableWRMaster[WRRef],0)),"")</f>
        <v/>
      </c>
      <c r="AM325" s="105" t="str">
        <f>IFERROR(_xlfn.CONCAT(TableWRTECalcPts[[#This Row],[POS]],INDEX(TableWRRanks[RK],MATCH(TableWRTECalcPts[[#This Row],[PLAYER]],TableWRRanks[Player],0))),"")</f>
        <v>WR183</v>
      </c>
      <c r="AN325" s="105" t="str">
        <f>IFERROR(INDEX(TableWRMaster[TM],MATCH(TableWRTECalcPts[[#This Row],[POSRef]],TableWRMaster[WRRef],0)),"")</f>
        <v/>
      </c>
      <c r="AO325" s="105" t="str">
        <f>IFERROR(INDEX(TableWRMaster[BYE],MATCH(TableWRTECalcPts[[#This Row],[POSRef]],TableWRMaster[WRRef],0)),"")</f>
        <v/>
      </c>
      <c r="AP325" s="103" t="str">
        <f>IFERROR(INDEX(TableWRMaster[Custom],MATCH(TableWRTECalcPts[[#This Row],[POSRef]],TableWRMaster[WRRef],0)),"")</f>
        <v/>
      </c>
    </row>
    <row r="326" spans="35:42" x14ac:dyDescent="0.2">
      <c r="AI326" s="59" t="s">
        <v>223</v>
      </c>
      <c r="AJ326" s="59" t="str">
        <f>IFERROR(RANK(TableWRTECalcPts[[#This Row],[Custom]],TableWRTECalcPts[Custom])+COUNTIF($AP$3:AP326,AP326)-1,"")</f>
        <v/>
      </c>
      <c r="AK326" s="105">
        <v>224</v>
      </c>
      <c r="AL326" s="105" t="str">
        <f>IFERROR(INDEX(TableWRMaster[Player],MATCH(TableWRTECalcPts[[#This Row],[POSRef]],TableWRMaster[WRRef],0)),"")</f>
        <v/>
      </c>
      <c r="AM326" s="105" t="str">
        <f>IFERROR(_xlfn.CONCAT(TableWRTECalcPts[[#This Row],[POS]],INDEX(TableWRRanks[RK],MATCH(TableWRTECalcPts[[#This Row],[PLAYER]],TableWRRanks[Player],0))),"")</f>
        <v>WR183</v>
      </c>
      <c r="AN326" s="105" t="str">
        <f>IFERROR(INDEX(TableWRMaster[TM],MATCH(TableWRTECalcPts[[#This Row],[POSRef]],TableWRMaster[WRRef],0)),"")</f>
        <v/>
      </c>
      <c r="AO326" s="105" t="str">
        <f>IFERROR(INDEX(TableWRMaster[BYE],MATCH(TableWRTECalcPts[[#This Row],[POSRef]],TableWRMaster[WRRef],0)),"")</f>
        <v/>
      </c>
      <c r="AP326" s="103" t="str">
        <f>IFERROR(INDEX(TableWRMaster[Custom],MATCH(TableWRTECalcPts[[#This Row],[POSRef]],TableWRMaster[WRRef],0)),"")</f>
        <v/>
      </c>
    </row>
    <row r="327" spans="35:42" x14ac:dyDescent="0.2">
      <c r="AI327" s="59" t="s">
        <v>223</v>
      </c>
      <c r="AJ327" s="59" t="str">
        <f>IFERROR(RANK(TableWRTECalcPts[[#This Row],[Custom]],TableWRTECalcPts[Custom])+COUNTIF($AP$3:AP327,AP327)-1,"")</f>
        <v/>
      </c>
      <c r="AK327" s="105">
        <v>225</v>
      </c>
      <c r="AL327" s="105" t="str">
        <f>IFERROR(INDEX(TableWRMaster[Player],MATCH(TableWRTECalcPts[[#This Row],[POSRef]],TableWRMaster[WRRef],0)),"")</f>
        <v/>
      </c>
      <c r="AM327" s="105" t="str">
        <f>IFERROR(_xlfn.CONCAT(TableWRTECalcPts[[#This Row],[POS]],INDEX(TableWRRanks[RK],MATCH(TableWRTECalcPts[[#This Row],[PLAYER]],TableWRRanks[Player],0))),"")</f>
        <v>WR183</v>
      </c>
      <c r="AN327" s="105" t="str">
        <f>IFERROR(INDEX(TableWRMaster[TM],MATCH(TableWRTECalcPts[[#This Row],[POSRef]],TableWRMaster[WRRef],0)),"")</f>
        <v/>
      </c>
      <c r="AO327" s="105" t="str">
        <f>IFERROR(INDEX(TableWRMaster[BYE],MATCH(TableWRTECalcPts[[#This Row],[POSRef]],TableWRMaster[WRRef],0)),"")</f>
        <v/>
      </c>
      <c r="AP327" s="103" t="str">
        <f>IFERROR(INDEX(TableWRMaster[Custom],MATCH(TableWRTECalcPts[[#This Row],[POSRef]],TableWRMaster[WRRef],0)),"")</f>
        <v/>
      </c>
    </row>
  </sheetData>
  <pageMargins left="0.7" right="0.7" top="0.75" bottom="0.75" header="0.3" footer="0.3"/>
  <pageSetup orientation="portrait" horizontalDpi="90" verticalDpi="90" r:id="rId1"/>
  <ignoredErrors>
    <ignoredError sqref="AM3:AM327" calculatedColumn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D904-1E5C-49A4-BE58-407A92F40514}">
  <dimension ref="A1:U187"/>
  <sheetViews>
    <sheetView zoomScale="85" zoomScaleNormal="85" workbookViewId="0"/>
  </sheetViews>
  <sheetFormatPr baseColWidth="10" defaultColWidth="9" defaultRowHeight="14" x14ac:dyDescent="0.2"/>
  <cols>
    <col min="1" max="1" width="4.19921875" bestFit="1" customWidth="1"/>
    <col min="2" max="2" width="4.19921875" customWidth="1"/>
    <col min="3" max="3" width="17.19921875" bestFit="1" customWidth="1"/>
    <col min="4" max="4" width="5.59765625" bestFit="1" customWidth="1"/>
    <col min="5" max="5" width="7.796875" bestFit="1" customWidth="1"/>
    <col min="6" max="6" width="5" bestFit="1" customWidth="1"/>
    <col min="8" max="8" width="19.19921875" bestFit="1" customWidth="1"/>
    <col min="9" max="9" width="5.59765625" bestFit="1" customWidth="1"/>
    <col min="10" max="10" width="7.796875" bestFit="1" customWidth="1"/>
    <col min="11" max="11" width="5" bestFit="1" customWidth="1"/>
    <col min="13" max="13" width="20.19921875" bestFit="1" customWidth="1"/>
    <col min="14" max="14" width="5.59765625" bestFit="1" customWidth="1"/>
    <col min="15" max="15" width="7.796875" bestFit="1" customWidth="1"/>
    <col min="16" max="16" width="5" bestFit="1" customWidth="1"/>
    <col min="18" max="18" width="17" bestFit="1" customWidth="1"/>
    <col min="19" max="19" width="5.59765625" bestFit="1" customWidth="1"/>
    <col min="20" max="20" width="7.796875" bestFit="1" customWidth="1"/>
    <col min="21" max="21" width="5" bestFit="1" customWidth="1"/>
  </cols>
  <sheetData>
    <row r="1" spans="1:21" x14ac:dyDescent="0.2">
      <c r="A1" t="s">
        <v>142</v>
      </c>
      <c r="C1" t="s">
        <v>9</v>
      </c>
      <c r="H1" t="s">
        <v>222</v>
      </c>
      <c r="M1" t="s">
        <v>223</v>
      </c>
      <c r="R1" t="s">
        <v>10</v>
      </c>
    </row>
    <row r="2" spans="1:21" x14ac:dyDescent="0.2">
      <c r="C2" t="s">
        <v>480</v>
      </c>
      <c r="D2" t="s">
        <v>461</v>
      </c>
      <c r="E2" t="s">
        <v>481</v>
      </c>
      <c r="F2" t="s">
        <v>566</v>
      </c>
      <c r="H2" t="s">
        <v>480</v>
      </c>
      <c r="I2" t="s">
        <v>461</v>
      </c>
      <c r="J2" t="s">
        <v>481</v>
      </c>
      <c r="K2" t="s">
        <v>566</v>
      </c>
      <c r="M2" t="s">
        <v>480</v>
      </c>
      <c r="N2" t="s">
        <v>461</v>
      </c>
      <c r="O2" t="s">
        <v>481</v>
      </c>
      <c r="P2" t="s">
        <v>566</v>
      </c>
      <c r="R2" t="s">
        <v>480</v>
      </c>
      <c r="S2" t="s">
        <v>461</v>
      </c>
      <c r="T2" t="s">
        <v>481</v>
      </c>
      <c r="U2" t="s">
        <v>566</v>
      </c>
    </row>
    <row r="3" spans="1:21" x14ac:dyDescent="0.2">
      <c r="A3">
        <v>1</v>
      </c>
      <c r="C3" t="s">
        <v>26</v>
      </c>
      <c r="D3" t="s">
        <v>96</v>
      </c>
      <c r="E3" t="s">
        <v>9</v>
      </c>
      <c r="F3">
        <v>1</v>
      </c>
      <c r="H3" t="s">
        <v>5</v>
      </c>
      <c r="I3" t="s">
        <v>120</v>
      </c>
      <c r="J3" t="s">
        <v>222</v>
      </c>
      <c r="K3">
        <v>1</v>
      </c>
      <c r="M3" t="s">
        <v>49</v>
      </c>
      <c r="N3" t="s">
        <v>111</v>
      </c>
      <c r="O3" t="s">
        <v>223</v>
      </c>
      <c r="P3">
        <v>1</v>
      </c>
      <c r="R3" t="s">
        <v>517</v>
      </c>
      <c r="S3" t="s">
        <v>103</v>
      </c>
      <c r="T3" t="s">
        <v>10</v>
      </c>
      <c r="U3">
        <v>1</v>
      </c>
    </row>
    <row r="4" spans="1:21" x14ac:dyDescent="0.2">
      <c r="A4">
        <v>2</v>
      </c>
      <c r="C4" t="s">
        <v>164</v>
      </c>
      <c r="D4" t="s">
        <v>117</v>
      </c>
      <c r="E4" t="s">
        <v>9</v>
      </c>
      <c r="F4">
        <v>1</v>
      </c>
      <c r="H4" t="s">
        <v>501</v>
      </c>
      <c r="I4" t="s">
        <v>94</v>
      </c>
      <c r="J4" t="s">
        <v>222</v>
      </c>
      <c r="K4">
        <v>2</v>
      </c>
      <c r="M4" t="s">
        <v>150</v>
      </c>
      <c r="N4" t="s">
        <v>101</v>
      </c>
      <c r="O4" t="s">
        <v>223</v>
      </c>
      <c r="P4">
        <v>2</v>
      </c>
      <c r="R4" t="s">
        <v>50</v>
      </c>
      <c r="S4" t="s">
        <v>108</v>
      </c>
      <c r="T4" t="s">
        <v>10</v>
      </c>
      <c r="U4">
        <v>2</v>
      </c>
    </row>
    <row r="5" spans="1:21" x14ac:dyDescent="0.2">
      <c r="A5">
        <v>3</v>
      </c>
      <c r="C5" t="s">
        <v>19</v>
      </c>
      <c r="D5" t="s">
        <v>95</v>
      </c>
      <c r="E5" t="s">
        <v>9</v>
      </c>
      <c r="F5">
        <v>1</v>
      </c>
      <c r="H5" t="s">
        <v>432</v>
      </c>
      <c r="I5" t="s">
        <v>116</v>
      </c>
      <c r="J5" t="s">
        <v>222</v>
      </c>
      <c r="K5">
        <v>2</v>
      </c>
      <c r="M5" t="s">
        <v>162</v>
      </c>
      <c r="N5" t="s">
        <v>112</v>
      </c>
      <c r="O5" t="s">
        <v>223</v>
      </c>
      <c r="P5">
        <v>2</v>
      </c>
      <c r="R5" t="s">
        <v>22</v>
      </c>
      <c r="S5" t="s">
        <v>95</v>
      </c>
      <c r="T5" t="s">
        <v>10</v>
      </c>
      <c r="U5">
        <v>2</v>
      </c>
    </row>
    <row r="6" spans="1:21" x14ac:dyDescent="0.2">
      <c r="A6">
        <v>4</v>
      </c>
      <c r="C6" t="s">
        <v>48</v>
      </c>
      <c r="D6" t="s">
        <v>108</v>
      </c>
      <c r="E6" t="s">
        <v>9</v>
      </c>
      <c r="F6">
        <v>2</v>
      </c>
      <c r="H6" t="s">
        <v>156</v>
      </c>
      <c r="I6" t="s">
        <v>106</v>
      </c>
      <c r="J6" t="s">
        <v>222</v>
      </c>
      <c r="K6">
        <v>2</v>
      </c>
      <c r="M6" t="s">
        <v>207</v>
      </c>
      <c r="N6" t="s">
        <v>99</v>
      </c>
      <c r="O6" t="s">
        <v>223</v>
      </c>
      <c r="P6">
        <v>3</v>
      </c>
      <c r="R6" t="s">
        <v>474</v>
      </c>
      <c r="S6" t="s">
        <v>93</v>
      </c>
      <c r="T6" t="s">
        <v>10</v>
      </c>
      <c r="U6">
        <v>2</v>
      </c>
    </row>
    <row r="7" spans="1:21" x14ac:dyDescent="0.2">
      <c r="A7">
        <v>5</v>
      </c>
      <c r="C7" t="s">
        <v>522</v>
      </c>
      <c r="D7" t="s">
        <v>105</v>
      </c>
      <c r="E7" t="s">
        <v>9</v>
      </c>
      <c r="F7">
        <v>2</v>
      </c>
      <c r="H7" t="s">
        <v>81</v>
      </c>
      <c r="I7" t="s">
        <v>117</v>
      </c>
      <c r="J7" t="s">
        <v>222</v>
      </c>
      <c r="K7">
        <v>2</v>
      </c>
      <c r="M7" t="s">
        <v>209</v>
      </c>
      <c r="N7" t="s">
        <v>103</v>
      </c>
      <c r="O7" t="s">
        <v>223</v>
      </c>
      <c r="P7">
        <v>3</v>
      </c>
      <c r="R7" t="s">
        <v>13</v>
      </c>
      <c r="S7" t="s">
        <v>120</v>
      </c>
      <c r="T7" t="s">
        <v>10</v>
      </c>
      <c r="U7">
        <v>2</v>
      </c>
    </row>
    <row r="8" spans="1:21" x14ac:dyDescent="0.2">
      <c r="A8">
        <v>6</v>
      </c>
      <c r="C8" t="s">
        <v>38</v>
      </c>
      <c r="D8" t="s">
        <v>101</v>
      </c>
      <c r="E8" t="s">
        <v>9</v>
      </c>
      <c r="F8">
        <v>2</v>
      </c>
      <c r="H8" t="s">
        <v>515</v>
      </c>
      <c r="I8" t="s">
        <v>103</v>
      </c>
      <c r="J8" t="s">
        <v>222</v>
      </c>
      <c r="K8">
        <v>2</v>
      </c>
      <c r="M8" t="s">
        <v>62</v>
      </c>
      <c r="N8" t="s">
        <v>117</v>
      </c>
      <c r="O8" t="s">
        <v>223</v>
      </c>
      <c r="P8">
        <v>3</v>
      </c>
      <c r="R8" t="s">
        <v>187</v>
      </c>
      <c r="S8" t="s">
        <v>94</v>
      </c>
      <c r="T8" t="s">
        <v>10</v>
      </c>
      <c r="U8">
        <v>3</v>
      </c>
    </row>
    <row r="9" spans="1:21" x14ac:dyDescent="0.2">
      <c r="A9">
        <v>7</v>
      </c>
      <c r="C9" t="s">
        <v>524</v>
      </c>
      <c r="D9" t="s">
        <v>106</v>
      </c>
      <c r="E9" t="s">
        <v>9</v>
      </c>
      <c r="F9">
        <v>3</v>
      </c>
      <c r="H9" t="s">
        <v>77</v>
      </c>
      <c r="I9" t="s">
        <v>104</v>
      </c>
      <c r="J9" t="s">
        <v>222</v>
      </c>
      <c r="K9">
        <v>2</v>
      </c>
      <c r="M9" t="s">
        <v>535</v>
      </c>
      <c r="N9" t="s">
        <v>110</v>
      </c>
      <c r="O9" t="s">
        <v>223</v>
      </c>
      <c r="P9">
        <v>3</v>
      </c>
      <c r="R9" t="s">
        <v>505</v>
      </c>
      <c r="S9" t="s">
        <v>96</v>
      </c>
      <c r="T9" t="s">
        <v>10</v>
      </c>
      <c r="U9">
        <v>3</v>
      </c>
    </row>
    <row r="10" spans="1:21" x14ac:dyDescent="0.2">
      <c r="A10">
        <v>8</v>
      </c>
      <c r="C10" t="s">
        <v>148</v>
      </c>
      <c r="D10" t="s">
        <v>99</v>
      </c>
      <c r="E10" t="s">
        <v>9</v>
      </c>
      <c r="F10">
        <v>3</v>
      </c>
      <c r="H10" t="s">
        <v>61</v>
      </c>
      <c r="I10" t="s">
        <v>95</v>
      </c>
      <c r="J10" t="s">
        <v>222</v>
      </c>
      <c r="K10">
        <v>2</v>
      </c>
      <c r="M10" t="s">
        <v>165</v>
      </c>
      <c r="N10" t="s">
        <v>120</v>
      </c>
      <c r="O10" t="s">
        <v>223</v>
      </c>
      <c r="P10">
        <v>4</v>
      </c>
      <c r="R10" t="s">
        <v>79</v>
      </c>
      <c r="S10" t="s">
        <v>460</v>
      </c>
      <c r="T10" t="s">
        <v>10</v>
      </c>
      <c r="U10">
        <v>3</v>
      </c>
    </row>
    <row r="11" spans="1:21" x14ac:dyDescent="0.2">
      <c r="A11">
        <v>9</v>
      </c>
      <c r="C11" t="s">
        <v>91</v>
      </c>
      <c r="D11" t="s">
        <v>93</v>
      </c>
      <c r="E11" t="s">
        <v>9</v>
      </c>
      <c r="F11">
        <v>4</v>
      </c>
      <c r="H11" t="s">
        <v>442</v>
      </c>
      <c r="I11" t="s">
        <v>110</v>
      </c>
      <c r="J11" t="s">
        <v>222</v>
      </c>
      <c r="K11">
        <v>3</v>
      </c>
      <c r="M11" t="s">
        <v>621</v>
      </c>
      <c r="N11" t="s">
        <v>93</v>
      </c>
      <c r="O11" t="s">
        <v>223</v>
      </c>
      <c r="P11">
        <v>4</v>
      </c>
      <c r="R11" t="s">
        <v>33</v>
      </c>
      <c r="S11" t="s">
        <v>100</v>
      </c>
      <c r="T11" t="s">
        <v>10</v>
      </c>
      <c r="U11">
        <v>3</v>
      </c>
    </row>
    <row r="12" spans="1:21" x14ac:dyDescent="0.2">
      <c r="A12">
        <v>10</v>
      </c>
      <c r="C12" t="s">
        <v>154</v>
      </c>
      <c r="D12" t="s">
        <v>104</v>
      </c>
      <c r="E12" t="s">
        <v>9</v>
      </c>
      <c r="F12">
        <v>4</v>
      </c>
      <c r="H12" t="s">
        <v>30</v>
      </c>
      <c r="I12" t="s">
        <v>105</v>
      </c>
      <c r="J12" t="s">
        <v>222</v>
      </c>
      <c r="K12">
        <v>3</v>
      </c>
      <c r="M12" t="s">
        <v>64</v>
      </c>
      <c r="N12" t="s">
        <v>121</v>
      </c>
      <c r="O12" t="s">
        <v>223</v>
      </c>
      <c r="P12">
        <v>4</v>
      </c>
      <c r="R12" t="s">
        <v>427</v>
      </c>
      <c r="S12" t="s">
        <v>101</v>
      </c>
      <c r="T12" t="s">
        <v>10</v>
      </c>
      <c r="U12">
        <v>3</v>
      </c>
    </row>
    <row r="13" spans="1:21" x14ac:dyDescent="0.2">
      <c r="A13">
        <v>11</v>
      </c>
      <c r="C13" t="s">
        <v>495</v>
      </c>
      <c r="D13" t="s">
        <v>120</v>
      </c>
      <c r="E13" t="s">
        <v>9</v>
      </c>
      <c r="F13">
        <v>4</v>
      </c>
      <c r="H13" t="s">
        <v>484</v>
      </c>
      <c r="I13" t="s">
        <v>108</v>
      </c>
      <c r="J13" t="s">
        <v>222</v>
      </c>
      <c r="K13">
        <v>3</v>
      </c>
      <c r="M13" t="s">
        <v>45</v>
      </c>
      <c r="N13" t="s">
        <v>169</v>
      </c>
      <c r="O13" t="s">
        <v>223</v>
      </c>
      <c r="P13">
        <v>4</v>
      </c>
      <c r="R13" t="s">
        <v>74</v>
      </c>
      <c r="S13" t="s">
        <v>117</v>
      </c>
      <c r="T13" t="s">
        <v>10</v>
      </c>
      <c r="U13">
        <v>4</v>
      </c>
    </row>
    <row r="14" spans="1:21" x14ac:dyDescent="0.2">
      <c r="A14">
        <v>12</v>
      </c>
      <c r="C14" t="s">
        <v>610</v>
      </c>
      <c r="D14" t="s">
        <v>456</v>
      </c>
      <c r="E14" t="s">
        <v>9</v>
      </c>
      <c r="F14">
        <v>4</v>
      </c>
      <c r="H14" t="s">
        <v>440</v>
      </c>
      <c r="I14" t="s">
        <v>121</v>
      </c>
      <c r="J14" t="s">
        <v>222</v>
      </c>
      <c r="K14">
        <v>4</v>
      </c>
      <c r="M14" t="s">
        <v>12</v>
      </c>
      <c r="N14" t="s">
        <v>120</v>
      </c>
      <c r="O14" t="s">
        <v>223</v>
      </c>
      <c r="P14">
        <v>4</v>
      </c>
      <c r="R14" t="s">
        <v>41</v>
      </c>
      <c r="S14" t="s">
        <v>112</v>
      </c>
      <c r="T14" t="s">
        <v>10</v>
      </c>
      <c r="U14">
        <v>4</v>
      </c>
    </row>
    <row r="15" spans="1:21" x14ac:dyDescent="0.2">
      <c r="A15">
        <v>13</v>
      </c>
      <c r="C15" t="s">
        <v>85</v>
      </c>
      <c r="D15" t="s">
        <v>94</v>
      </c>
      <c r="E15" t="s">
        <v>9</v>
      </c>
      <c r="F15">
        <v>4</v>
      </c>
      <c r="H15" t="s">
        <v>555</v>
      </c>
      <c r="I15" t="s">
        <v>111</v>
      </c>
      <c r="J15" t="s">
        <v>222</v>
      </c>
      <c r="K15">
        <v>4</v>
      </c>
      <c r="M15" t="s">
        <v>419</v>
      </c>
      <c r="N15" t="s">
        <v>116</v>
      </c>
      <c r="O15" t="s">
        <v>223</v>
      </c>
      <c r="P15">
        <v>4</v>
      </c>
      <c r="R15" t="s">
        <v>627</v>
      </c>
      <c r="S15" t="s">
        <v>169</v>
      </c>
      <c r="T15" t="s">
        <v>10</v>
      </c>
      <c r="U15">
        <v>4</v>
      </c>
    </row>
    <row r="16" spans="1:21" x14ac:dyDescent="0.2">
      <c r="A16">
        <v>14</v>
      </c>
      <c r="C16" t="s">
        <v>589</v>
      </c>
      <c r="D16" t="s">
        <v>98</v>
      </c>
      <c r="E16" t="s">
        <v>9</v>
      </c>
      <c r="F16">
        <v>5</v>
      </c>
      <c r="H16" t="s">
        <v>411</v>
      </c>
      <c r="I16" t="s">
        <v>460</v>
      </c>
      <c r="J16" t="s">
        <v>222</v>
      </c>
      <c r="K16">
        <v>4</v>
      </c>
      <c r="M16" t="s">
        <v>420</v>
      </c>
      <c r="N16" t="s">
        <v>114</v>
      </c>
      <c r="O16" t="s">
        <v>223</v>
      </c>
      <c r="P16">
        <v>4</v>
      </c>
      <c r="R16" t="s">
        <v>191</v>
      </c>
      <c r="S16" t="s">
        <v>118</v>
      </c>
      <c r="T16" t="s">
        <v>10</v>
      </c>
      <c r="U16">
        <v>4</v>
      </c>
    </row>
    <row r="17" spans="1:21" x14ac:dyDescent="0.2">
      <c r="A17">
        <v>15</v>
      </c>
      <c r="C17" t="s">
        <v>158</v>
      </c>
      <c r="D17" t="s">
        <v>109</v>
      </c>
      <c r="E17" t="s">
        <v>9</v>
      </c>
      <c r="F17">
        <v>5</v>
      </c>
      <c r="H17" t="s">
        <v>44</v>
      </c>
      <c r="I17" t="s">
        <v>112</v>
      </c>
      <c r="J17" t="s">
        <v>222</v>
      </c>
      <c r="K17">
        <v>4</v>
      </c>
      <c r="M17" t="s">
        <v>403</v>
      </c>
      <c r="N17" t="s">
        <v>94</v>
      </c>
      <c r="O17" t="s">
        <v>223</v>
      </c>
      <c r="P17">
        <v>4</v>
      </c>
      <c r="R17" t="s">
        <v>17</v>
      </c>
      <c r="S17" t="s">
        <v>113</v>
      </c>
      <c r="T17" t="s">
        <v>10</v>
      </c>
      <c r="U17">
        <v>4</v>
      </c>
    </row>
    <row r="18" spans="1:21" x14ac:dyDescent="0.2">
      <c r="A18">
        <v>16</v>
      </c>
      <c r="C18" t="s">
        <v>181</v>
      </c>
      <c r="D18" t="s">
        <v>460</v>
      </c>
      <c r="E18" t="s">
        <v>9</v>
      </c>
      <c r="F18">
        <v>5</v>
      </c>
      <c r="H18" t="s">
        <v>84</v>
      </c>
      <c r="I18" t="s">
        <v>114</v>
      </c>
      <c r="J18" t="s">
        <v>222</v>
      </c>
      <c r="K18">
        <v>4</v>
      </c>
      <c r="M18" t="s">
        <v>88</v>
      </c>
      <c r="N18" t="s">
        <v>105</v>
      </c>
      <c r="O18" t="s">
        <v>223</v>
      </c>
      <c r="P18">
        <v>5</v>
      </c>
      <c r="R18" t="s">
        <v>520</v>
      </c>
      <c r="S18" t="s">
        <v>104</v>
      </c>
      <c r="T18" t="s">
        <v>10</v>
      </c>
      <c r="U18">
        <v>4</v>
      </c>
    </row>
    <row r="19" spans="1:21" x14ac:dyDescent="0.2">
      <c r="A19">
        <v>17</v>
      </c>
      <c r="C19" t="s">
        <v>57</v>
      </c>
      <c r="D19" t="s">
        <v>103</v>
      </c>
      <c r="E19" t="s">
        <v>9</v>
      </c>
      <c r="F19">
        <v>5</v>
      </c>
      <c r="H19" t="s">
        <v>553</v>
      </c>
      <c r="I19" t="s">
        <v>119</v>
      </c>
      <c r="J19" t="s">
        <v>222</v>
      </c>
      <c r="K19">
        <v>4</v>
      </c>
      <c r="M19" t="s">
        <v>177</v>
      </c>
      <c r="N19" t="s">
        <v>119</v>
      </c>
      <c r="O19" t="s">
        <v>223</v>
      </c>
      <c r="P19">
        <v>5</v>
      </c>
      <c r="R19" t="s">
        <v>147</v>
      </c>
      <c r="S19" t="s">
        <v>98</v>
      </c>
      <c r="T19" t="s">
        <v>10</v>
      </c>
      <c r="U19">
        <v>4</v>
      </c>
    </row>
    <row r="20" spans="1:21" x14ac:dyDescent="0.2">
      <c r="A20">
        <v>18</v>
      </c>
      <c r="C20" t="s">
        <v>43</v>
      </c>
      <c r="D20" t="s">
        <v>116</v>
      </c>
      <c r="E20" t="s">
        <v>9</v>
      </c>
      <c r="F20">
        <v>5</v>
      </c>
      <c r="H20" t="s">
        <v>452</v>
      </c>
      <c r="I20" t="s">
        <v>96</v>
      </c>
      <c r="J20" t="s">
        <v>222</v>
      </c>
      <c r="K20">
        <v>4</v>
      </c>
      <c r="M20" t="s">
        <v>149</v>
      </c>
      <c r="N20" t="s">
        <v>99</v>
      </c>
      <c r="O20" t="s">
        <v>223</v>
      </c>
      <c r="P20">
        <v>5</v>
      </c>
      <c r="R20" t="s">
        <v>439</v>
      </c>
      <c r="S20" t="s">
        <v>121</v>
      </c>
      <c r="T20" t="s">
        <v>10</v>
      </c>
      <c r="U20">
        <v>4</v>
      </c>
    </row>
    <row r="21" spans="1:21" x14ac:dyDescent="0.2">
      <c r="A21">
        <v>19</v>
      </c>
      <c r="C21" t="s">
        <v>160</v>
      </c>
      <c r="D21" t="s">
        <v>111</v>
      </c>
      <c r="E21" t="s">
        <v>9</v>
      </c>
      <c r="F21">
        <v>5</v>
      </c>
      <c r="H21" t="s">
        <v>70</v>
      </c>
      <c r="I21" t="s">
        <v>93</v>
      </c>
      <c r="J21" t="s">
        <v>222</v>
      </c>
      <c r="K21">
        <v>4</v>
      </c>
      <c r="M21" t="s">
        <v>213</v>
      </c>
      <c r="N21" t="s">
        <v>111</v>
      </c>
      <c r="O21" t="s">
        <v>223</v>
      </c>
      <c r="P21">
        <v>5</v>
      </c>
      <c r="R21" t="s">
        <v>141</v>
      </c>
      <c r="S21" t="s">
        <v>105</v>
      </c>
      <c r="T21" t="s">
        <v>10</v>
      </c>
      <c r="U21">
        <v>4</v>
      </c>
    </row>
    <row r="22" spans="1:21" x14ac:dyDescent="0.2">
      <c r="A22">
        <v>20</v>
      </c>
      <c r="C22" t="s">
        <v>42</v>
      </c>
      <c r="D22" t="s">
        <v>110</v>
      </c>
      <c r="E22" t="s">
        <v>9</v>
      </c>
      <c r="F22">
        <v>5</v>
      </c>
      <c r="H22" t="s">
        <v>431</v>
      </c>
      <c r="I22" t="s">
        <v>169</v>
      </c>
      <c r="J22" t="s">
        <v>222</v>
      </c>
      <c r="K22">
        <v>4</v>
      </c>
      <c r="M22" t="s">
        <v>210</v>
      </c>
      <c r="N22" t="s">
        <v>105</v>
      </c>
      <c r="O22" t="s">
        <v>223</v>
      </c>
      <c r="P22">
        <v>5</v>
      </c>
      <c r="R22" t="s">
        <v>470</v>
      </c>
      <c r="S22" t="s">
        <v>122</v>
      </c>
      <c r="T22" t="s">
        <v>10</v>
      </c>
      <c r="U22">
        <v>4</v>
      </c>
    </row>
    <row r="23" spans="1:21" x14ac:dyDescent="0.2">
      <c r="A23">
        <v>21</v>
      </c>
      <c r="C23" t="s">
        <v>46</v>
      </c>
      <c r="D23" t="s">
        <v>100</v>
      </c>
      <c r="E23" t="s">
        <v>9</v>
      </c>
      <c r="F23">
        <v>5</v>
      </c>
      <c r="H23" t="s">
        <v>199</v>
      </c>
      <c r="I23" t="s">
        <v>113</v>
      </c>
      <c r="J23" t="s">
        <v>222</v>
      </c>
      <c r="K23">
        <v>4</v>
      </c>
      <c r="M23" t="s">
        <v>216</v>
      </c>
      <c r="N23" t="s">
        <v>117</v>
      </c>
      <c r="O23" t="s">
        <v>223</v>
      </c>
      <c r="P23">
        <v>5</v>
      </c>
      <c r="R23" t="s">
        <v>83</v>
      </c>
      <c r="S23" t="s">
        <v>114</v>
      </c>
      <c r="T23" t="s">
        <v>10</v>
      </c>
      <c r="U23">
        <v>4</v>
      </c>
    </row>
    <row r="24" spans="1:21" x14ac:dyDescent="0.2">
      <c r="A24">
        <v>22</v>
      </c>
      <c r="C24" t="s">
        <v>483</v>
      </c>
      <c r="D24" t="s">
        <v>121</v>
      </c>
      <c r="E24" t="s">
        <v>9</v>
      </c>
      <c r="F24">
        <v>5</v>
      </c>
      <c r="H24" t="s">
        <v>171</v>
      </c>
      <c r="I24" t="s">
        <v>98</v>
      </c>
      <c r="J24" t="s">
        <v>222</v>
      </c>
      <c r="K24">
        <v>4</v>
      </c>
      <c r="M24" t="s">
        <v>434</v>
      </c>
      <c r="N24" t="s">
        <v>118</v>
      </c>
      <c r="O24" t="s">
        <v>223</v>
      </c>
      <c r="P24">
        <v>5</v>
      </c>
      <c r="R24" t="s">
        <v>400</v>
      </c>
      <c r="S24" t="s">
        <v>114</v>
      </c>
      <c r="T24" t="s">
        <v>10</v>
      </c>
      <c r="U24">
        <v>5</v>
      </c>
    </row>
    <row r="25" spans="1:21" x14ac:dyDescent="0.2">
      <c r="A25">
        <v>23</v>
      </c>
      <c r="C25" t="s">
        <v>185</v>
      </c>
      <c r="D25" t="s">
        <v>119</v>
      </c>
      <c r="E25" t="s">
        <v>9</v>
      </c>
      <c r="F25">
        <v>6</v>
      </c>
      <c r="H25" t="s">
        <v>27</v>
      </c>
      <c r="I25" t="s">
        <v>103</v>
      </c>
      <c r="J25" t="s">
        <v>222</v>
      </c>
      <c r="K25">
        <v>4</v>
      </c>
      <c r="M25" t="s">
        <v>205</v>
      </c>
      <c r="N25" t="s">
        <v>98</v>
      </c>
      <c r="O25" t="s">
        <v>223</v>
      </c>
      <c r="P25">
        <v>5</v>
      </c>
      <c r="R25" t="s">
        <v>521</v>
      </c>
      <c r="S25" t="s">
        <v>104</v>
      </c>
      <c r="T25" t="s">
        <v>10</v>
      </c>
      <c r="U25">
        <v>5</v>
      </c>
    </row>
    <row r="26" spans="1:21" x14ac:dyDescent="0.2">
      <c r="A26">
        <v>24</v>
      </c>
      <c r="C26" t="s">
        <v>624</v>
      </c>
      <c r="D26" t="s">
        <v>112</v>
      </c>
      <c r="E26" t="s">
        <v>9</v>
      </c>
      <c r="F26">
        <v>6</v>
      </c>
      <c r="H26" t="s">
        <v>137</v>
      </c>
      <c r="I26" t="s">
        <v>111</v>
      </c>
      <c r="J26" t="s">
        <v>222</v>
      </c>
      <c r="K26">
        <v>5</v>
      </c>
      <c r="M26" t="s">
        <v>468</v>
      </c>
      <c r="N26" t="s">
        <v>106</v>
      </c>
      <c r="O26" t="s">
        <v>223</v>
      </c>
      <c r="P26">
        <v>5</v>
      </c>
      <c r="R26" t="s">
        <v>52</v>
      </c>
      <c r="S26" t="s">
        <v>110</v>
      </c>
      <c r="T26" t="s">
        <v>10</v>
      </c>
      <c r="U26">
        <v>5</v>
      </c>
    </row>
    <row r="27" spans="1:21" x14ac:dyDescent="0.2">
      <c r="A27">
        <v>25</v>
      </c>
      <c r="C27" t="s">
        <v>506</v>
      </c>
      <c r="D27" t="s">
        <v>97</v>
      </c>
      <c r="E27" t="s">
        <v>9</v>
      </c>
      <c r="F27">
        <v>6</v>
      </c>
      <c r="H27" t="s">
        <v>36</v>
      </c>
      <c r="I27" t="s">
        <v>101</v>
      </c>
      <c r="J27" t="s">
        <v>222</v>
      </c>
      <c r="K27">
        <v>5</v>
      </c>
      <c r="M27" t="s">
        <v>55</v>
      </c>
      <c r="N27" t="s">
        <v>110</v>
      </c>
      <c r="O27" t="s">
        <v>223</v>
      </c>
      <c r="P27">
        <v>5</v>
      </c>
      <c r="R27" t="s">
        <v>644</v>
      </c>
      <c r="S27" t="s">
        <v>97</v>
      </c>
      <c r="T27" t="s">
        <v>10</v>
      </c>
      <c r="U27">
        <v>5</v>
      </c>
    </row>
    <row r="28" spans="1:21" x14ac:dyDescent="0.2">
      <c r="A28">
        <v>26</v>
      </c>
      <c r="C28" t="s">
        <v>75</v>
      </c>
      <c r="D28" t="s">
        <v>114</v>
      </c>
      <c r="E28" t="s">
        <v>9</v>
      </c>
      <c r="F28">
        <v>6</v>
      </c>
      <c r="H28" t="s">
        <v>198</v>
      </c>
      <c r="I28" t="s">
        <v>102</v>
      </c>
      <c r="J28" t="s">
        <v>222</v>
      </c>
      <c r="K28">
        <v>5</v>
      </c>
      <c r="M28" t="s">
        <v>34</v>
      </c>
      <c r="N28" t="s">
        <v>100</v>
      </c>
      <c r="O28" t="s">
        <v>223</v>
      </c>
      <c r="P28">
        <v>5</v>
      </c>
      <c r="R28" t="s">
        <v>424</v>
      </c>
      <c r="S28" t="s">
        <v>95</v>
      </c>
      <c r="T28" t="s">
        <v>10</v>
      </c>
      <c r="U28">
        <v>5</v>
      </c>
    </row>
    <row r="29" spans="1:21" x14ac:dyDescent="0.2">
      <c r="A29">
        <v>27</v>
      </c>
      <c r="C29" t="s">
        <v>548</v>
      </c>
      <c r="D29" t="s">
        <v>122</v>
      </c>
      <c r="E29" t="s">
        <v>9</v>
      </c>
      <c r="F29">
        <v>6</v>
      </c>
      <c r="H29" t="s">
        <v>20</v>
      </c>
      <c r="I29" t="s">
        <v>109</v>
      </c>
      <c r="J29" t="s">
        <v>222</v>
      </c>
      <c r="K29">
        <v>5</v>
      </c>
      <c r="M29" t="s">
        <v>622</v>
      </c>
      <c r="N29" t="s">
        <v>115</v>
      </c>
      <c r="O29" t="s">
        <v>223</v>
      </c>
      <c r="P29">
        <v>5</v>
      </c>
      <c r="R29" t="s">
        <v>454</v>
      </c>
      <c r="S29" t="s">
        <v>115</v>
      </c>
      <c r="T29" t="s">
        <v>10</v>
      </c>
      <c r="U29">
        <v>5</v>
      </c>
    </row>
    <row r="30" spans="1:21" x14ac:dyDescent="0.2">
      <c r="A30">
        <v>28</v>
      </c>
      <c r="C30" t="s">
        <v>620</v>
      </c>
      <c r="D30" t="s">
        <v>113</v>
      </c>
      <c r="E30" t="s">
        <v>9</v>
      </c>
      <c r="F30">
        <v>6</v>
      </c>
      <c r="H30" t="s">
        <v>32</v>
      </c>
      <c r="I30" t="s">
        <v>100</v>
      </c>
      <c r="J30" t="s">
        <v>222</v>
      </c>
      <c r="K30">
        <v>5</v>
      </c>
      <c r="M30" t="s">
        <v>173</v>
      </c>
      <c r="N30" t="s">
        <v>122</v>
      </c>
      <c r="O30" t="s">
        <v>223</v>
      </c>
      <c r="P30">
        <v>5</v>
      </c>
      <c r="R30" t="s">
        <v>532</v>
      </c>
      <c r="S30" t="s">
        <v>169</v>
      </c>
      <c r="T30" t="s">
        <v>10</v>
      </c>
      <c r="U30">
        <v>5</v>
      </c>
    </row>
    <row r="31" spans="1:21" x14ac:dyDescent="0.2">
      <c r="A31">
        <v>29</v>
      </c>
      <c r="C31" t="s">
        <v>82</v>
      </c>
      <c r="D31" t="s">
        <v>115</v>
      </c>
      <c r="E31" t="s">
        <v>9</v>
      </c>
      <c r="F31">
        <v>6</v>
      </c>
      <c r="H31" t="s">
        <v>37</v>
      </c>
      <c r="I31" t="s">
        <v>122</v>
      </c>
      <c r="J31" t="s">
        <v>222</v>
      </c>
      <c r="K31">
        <v>5</v>
      </c>
      <c r="M31" t="s">
        <v>60</v>
      </c>
      <c r="N31" t="s">
        <v>456</v>
      </c>
      <c r="O31" t="s">
        <v>223</v>
      </c>
      <c r="P31">
        <v>5</v>
      </c>
      <c r="R31" t="s">
        <v>472</v>
      </c>
      <c r="S31" t="s">
        <v>116</v>
      </c>
      <c r="T31" t="s">
        <v>10</v>
      </c>
      <c r="U31">
        <v>5</v>
      </c>
    </row>
    <row r="32" spans="1:21" x14ac:dyDescent="0.2">
      <c r="A32">
        <v>30</v>
      </c>
      <c r="C32" t="s">
        <v>625</v>
      </c>
      <c r="D32" t="s">
        <v>102</v>
      </c>
      <c r="E32" t="s">
        <v>9</v>
      </c>
      <c r="F32">
        <v>6</v>
      </c>
      <c r="H32" t="s">
        <v>14</v>
      </c>
      <c r="I32" t="s">
        <v>456</v>
      </c>
      <c r="J32" t="s">
        <v>222</v>
      </c>
      <c r="K32">
        <v>5</v>
      </c>
      <c r="M32" t="s">
        <v>15</v>
      </c>
      <c r="N32" t="s">
        <v>98</v>
      </c>
      <c r="O32" t="s">
        <v>223</v>
      </c>
      <c r="P32">
        <v>5</v>
      </c>
      <c r="R32" t="s">
        <v>63</v>
      </c>
      <c r="S32" t="s">
        <v>111</v>
      </c>
      <c r="T32" t="s">
        <v>10</v>
      </c>
      <c r="U32">
        <v>5</v>
      </c>
    </row>
    <row r="33" spans="1:21" x14ac:dyDescent="0.2">
      <c r="A33">
        <v>31</v>
      </c>
      <c r="C33" t="s">
        <v>66</v>
      </c>
      <c r="D33" t="s">
        <v>118</v>
      </c>
      <c r="E33" t="s">
        <v>9</v>
      </c>
      <c r="F33">
        <v>6</v>
      </c>
      <c r="H33" t="s">
        <v>571</v>
      </c>
      <c r="I33" t="s">
        <v>99</v>
      </c>
      <c r="J33" t="s">
        <v>222</v>
      </c>
      <c r="K33">
        <v>5</v>
      </c>
      <c r="M33" t="s">
        <v>519</v>
      </c>
      <c r="N33" t="s">
        <v>104</v>
      </c>
      <c r="O33" t="s">
        <v>223</v>
      </c>
      <c r="P33">
        <v>5</v>
      </c>
      <c r="R33" t="s">
        <v>40</v>
      </c>
      <c r="S33" t="s">
        <v>119</v>
      </c>
      <c r="T33" t="s">
        <v>10</v>
      </c>
      <c r="U33">
        <v>5</v>
      </c>
    </row>
    <row r="34" spans="1:21" x14ac:dyDescent="0.2">
      <c r="A34">
        <v>32</v>
      </c>
      <c r="C34" t="s">
        <v>397</v>
      </c>
      <c r="D34" t="s">
        <v>169</v>
      </c>
      <c r="E34" t="s">
        <v>9</v>
      </c>
      <c r="F34">
        <v>6</v>
      </c>
      <c r="H34" t="s">
        <v>201</v>
      </c>
      <c r="I34" t="s">
        <v>118</v>
      </c>
      <c r="J34" t="s">
        <v>222</v>
      </c>
      <c r="K34">
        <v>5</v>
      </c>
      <c r="M34" t="s">
        <v>89</v>
      </c>
      <c r="N34" t="s">
        <v>460</v>
      </c>
      <c r="O34" t="s">
        <v>223</v>
      </c>
      <c r="P34">
        <v>6</v>
      </c>
      <c r="R34" t="s">
        <v>73</v>
      </c>
      <c r="S34" t="s">
        <v>456</v>
      </c>
      <c r="T34" t="s">
        <v>10</v>
      </c>
      <c r="U34">
        <v>6</v>
      </c>
    </row>
    <row r="35" spans="1:21" x14ac:dyDescent="0.2">
      <c r="A35">
        <v>33</v>
      </c>
      <c r="C35" t="s">
        <v>180</v>
      </c>
      <c r="D35" t="s">
        <v>118</v>
      </c>
      <c r="E35" t="s">
        <v>9</v>
      </c>
      <c r="F35">
        <v>7</v>
      </c>
      <c r="H35" t="s">
        <v>437</v>
      </c>
      <c r="I35" t="s">
        <v>456</v>
      </c>
      <c r="J35" t="s">
        <v>222</v>
      </c>
      <c r="K35">
        <v>5</v>
      </c>
      <c r="M35" t="s">
        <v>536</v>
      </c>
      <c r="N35" t="s">
        <v>112</v>
      </c>
      <c r="O35" t="s">
        <v>223</v>
      </c>
      <c r="P35">
        <v>6</v>
      </c>
      <c r="R35" t="s">
        <v>637</v>
      </c>
      <c r="S35" t="s">
        <v>456</v>
      </c>
      <c r="T35" t="s">
        <v>10</v>
      </c>
      <c r="U35">
        <v>6</v>
      </c>
    </row>
    <row r="36" spans="1:21" x14ac:dyDescent="0.2">
      <c r="A36">
        <v>34</v>
      </c>
      <c r="C36" t="s">
        <v>600</v>
      </c>
      <c r="D36" t="s">
        <v>169</v>
      </c>
      <c r="E36" t="s">
        <v>9</v>
      </c>
      <c r="F36">
        <v>7</v>
      </c>
      <c r="H36" t="s">
        <v>25</v>
      </c>
      <c r="I36" t="s">
        <v>115</v>
      </c>
      <c r="J36" t="s">
        <v>222</v>
      </c>
      <c r="K36">
        <v>5</v>
      </c>
      <c r="M36" t="s">
        <v>65</v>
      </c>
      <c r="N36" t="s">
        <v>121</v>
      </c>
      <c r="O36" t="s">
        <v>223</v>
      </c>
      <c r="P36">
        <v>6</v>
      </c>
      <c r="R36" t="s">
        <v>24</v>
      </c>
      <c r="S36" t="s">
        <v>96</v>
      </c>
      <c r="T36" t="s">
        <v>10</v>
      </c>
      <c r="U36">
        <v>6</v>
      </c>
    </row>
    <row r="37" spans="1:21" x14ac:dyDescent="0.2">
      <c r="A37">
        <v>35</v>
      </c>
      <c r="C37" t="s">
        <v>151</v>
      </c>
      <c r="D37" t="s">
        <v>115</v>
      </c>
      <c r="E37" t="s">
        <v>9</v>
      </c>
      <c r="F37">
        <v>7</v>
      </c>
      <c r="H37" t="s">
        <v>485</v>
      </c>
      <c r="I37" t="s">
        <v>118</v>
      </c>
      <c r="J37" t="s">
        <v>222</v>
      </c>
      <c r="K37">
        <v>5</v>
      </c>
      <c r="M37" t="s">
        <v>493</v>
      </c>
      <c r="N37" t="s">
        <v>122</v>
      </c>
      <c r="O37" t="s">
        <v>223</v>
      </c>
      <c r="P37">
        <v>6</v>
      </c>
      <c r="R37" t="s">
        <v>412</v>
      </c>
      <c r="S37" t="s">
        <v>109</v>
      </c>
      <c r="T37" t="s">
        <v>10</v>
      </c>
      <c r="U37">
        <v>6</v>
      </c>
    </row>
    <row r="38" spans="1:21" x14ac:dyDescent="0.2">
      <c r="A38">
        <v>36</v>
      </c>
      <c r="C38" t="s">
        <v>436</v>
      </c>
      <c r="D38" t="s">
        <v>119</v>
      </c>
      <c r="E38" t="s">
        <v>9</v>
      </c>
      <c r="F38">
        <v>7</v>
      </c>
      <c r="H38" t="s">
        <v>549</v>
      </c>
      <c r="I38" t="s">
        <v>122</v>
      </c>
      <c r="J38" t="s">
        <v>222</v>
      </c>
      <c r="K38">
        <v>5</v>
      </c>
      <c r="M38" t="s">
        <v>502</v>
      </c>
      <c r="N38" t="s">
        <v>95</v>
      </c>
      <c r="O38" t="s">
        <v>223</v>
      </c>
      <c r="P38">
        <v>6</v>
      </c>
      <c r="R38" t="s">
        <v>59</v>
      </c>
      <c r="S38" t="s">
        <v>99</v>
      </c>
      <c r="T38" t="s">
        <v>10</v>
      </c>
      <c r="U38">
        <v>6</v>
      </c>
    </row>
    <row r="39" spans="1:21" x14ac:dyDescent="0.2">
      <c r="A39">
        <v>37</v>
      </c>
      <c r="C39" t="s">
        <v>626</v>
      </c>
      <c r="D39" t="s">
        <v>102</v>
      </c>
      <c r="E39" t="s">
        <v>9</v>
      </c>
      <c r="F39">
        <v>7</v>
      </c>
      <c r="H39" t="s">
        <v>194</v>
      </c>
      <c r="I39" t="s">
        <v>97</v>
      </c>
      <c r="J39" t="s">
        <v>222</v>
      </c>
      <c r="K39">
        <v>5</v>
      </c>
      <c r="M39" t="s">
        <v>39</v>
      </c>
      <c r="N39" t="s">
        <v>102</v>
      </c>
      <c r="O39" t="s">
        <v>223</v>
      </c>
      <c r="P39">
        <v>6</v>
      </c>
      <c r="R39" t="s">
        <v>192</v>
      </c>
      <c r="S39" t="s">
        <v>110</v>
      </c>
      <c r="T39" t="s">
        <v>10</v>
      </c>
      <c r="U39">
        <v>6</v>
      </c>
    </row>
    <row r="40" spans="1:21" x14ac:dyDescent="0.2">
      <c r="A40">
        <v>38</v>
      </c>
      <c r="C40" t="s">
        <v>129</v>
      </c>
      <c r="D40" t="s">
        <v>113</v>
      </c>
      <c r="E40" t="s">
        <v>9</v>
      </c>
      <c r="F40">
        <v>7</v>
      </c>
      <c r="H40" t="s">
        <v>543</v>
      </c>
      <c r="I40" t="s">
        <v>119</v>
      </c>
      <c r="J40" t="s">
        <v>222</v>
      </c>
      <c r="K40">
        <v>5</v>
      </c>
      <c r="M40" t="s">
        <v>139</v>
      </c>
      <c r="N40" t="s">
        <v>97</v>
      </c>
      <c r="O40" t="s">
        <v>223</v>
      </c>
      <c r="P40">
        <v>6</v>
      </c>
      <c r="R40" t="s">
        <v>51</v>
      </c>
      <c r="S40" t="s">
        <v>98</v>
      </c>
      <c r="T40" t="s">
        <v>10</v>
      </c>
      <c r="U40">
        <v>6</v>
      </c>
    </row>
    <row r="41" spans="1:21" x14ac:dyDescent="0.2">
      <c r="A41">
        <v>39</v>
      </c>
      <c r="C41" t="s">
        <v>453</v>
      </c>
      <c r="D41" t="s">
        <v>93</v>
      </c>
      <c r="E41" t="s">
        <v>9</v>
      </c>
      <c r="F41">
        <v>7</v>
      </c>
      <c r="H41" t="s">
        <v>639</v>
      </c>
      <c r="I41" t="s">
        <v>93</v>
      </c>
      <c r="J41" t="s">
        <v>222</v>
      </c>
      <c r="K41">
        <v>6</v>
      </c>
      <c r="M41" t="s">
        <v>408</v>
      </c>
      <c r="N41" t="s">
        <v>103</v>
      </c>
      <c r="O41" t="s">
        <v>223</v>
      </c>
      <c r="P41">
        <v>6</v>
      </c>
      <c r="R41" t="s">
        <v>670</v>
      </c>
      <c r="S41" t="s">
        <v>115</v>
      </c>
      <c r="T41" t="s">
        <v>10</v>
      </c>
      <c r="U41">
        <v>6</v>
      </c>
    </row>
    <row r="42" spans="1:21" x14ac:dyDescent="0.2">
      <c r="A42">
        <v>40</v>
      </c>
      <c r="C42" t="s">
        <v>11</v>
      </c>
      <c r="D42" t="s">
        <v>110</v>
      </c>
      <c r="E42" t="s">
        <v>9</v>
      </c>
      <c r="F42">
        <v>7</v>
      </c>
      <c r="H42" t="s">
        <v>635</v>
      </c>
      <c r="I42" t="s">
        <v>97</v>
      </c>
      <c r="J42" t="s">
        <v>222</v>
      </c>
      <c r="K42">
        <v>6</v>
      </c>
      <c r="M42" t="s">
        <v>554</v>
      </c>
      <c r="N42" t="s">
        <v>105</v>
      </c>
      <c r="O42" t="s">
        <v>223</v>
      </c>
      <c r="P42">
        <v>6</v>
      </c>
      <c r="R42" t="s">
        <v>68</v>
      </c>
      <c r="S42" t="s">
        <v>109</v>
      </c>
      <c r="T42" t="s">
        <v>10</v>
      </c>
      <c r="U42">
        <v>6</v>
      </c>
    </row>
    <row r="43" spans="1:21" x14ac:dyDescent="0.2">
      <c r="A43">
        <v>41</v>
      </c>
      <c r="C43" t="s">
        <v>78</v>
      </c>
      <c r="D43" t="s">
        <v>112</v>
      </c>
      <c r="E43" t="s">
        <v>9</v>
      </c>
      <c r="F43">
        <v>7</v>
      </c>
      <c r="H43" t="s">
        <v>509</v>
      </c>
      <c r="I43" t="s">
        <v>99</v>
      </c>
      <c r="J43" t="s">
        <v>222</v>
      </c>
      <c r="K43">
        <v>6</v>
      </c>
      <c r="M43" t="s">
        <v>530</v>
      </c>
      <c r="N43" t="s">
        <v>108</v>
      </c>
      <c r="O43" t="s">
        <v>223</v>
      </c>
      <c r="P43">
        <v>6</v>
      </c>
      <c r="R43" t="s">
        <v>445</v>
      </c>
      <c r="S43" t="s">
        <v>106</v>
      </c>
      <c r="T43" t="s">
        <v>10</v>
      </c>
      <c r="U43">
        <v>6</v>
      </c>
    </row>
    <row r="44" spans="1:21" x14ac:dyDescent="0.2">
      <c r="A44">
        <v>42</v>
      </c>
      <c r="C44" t="s">
        <v>597</v>
      </c>
      <c r="D44" t="s">
        <v>106</v>
      </c>
      <c r="E44" t="s">
        <v>9</v>
      </c>
      <c r="F44">
        <v>7</v>
      </c>
      <c r="H44" t="s">
        <v>463</v>
      </c>
      <c r="I44" t="s">
        <v>112</v>
      </c>
      <c r="J44" t="s">
        <v>222</v>
      </c>
      <c r="K44">
        <v>6</v>
      </c>
      <c r="M44" t="s">
        <v>21</v>
      </c>
      <c r="N44" t="s">
        <v>108</v>
      </c>
      <c r="O44" t="s">
        <v>223</v>
      </c>
      <c r="P44">
        <v>7</v>
      </c>
      <c r="R44" t="s">
        <v>18</v>
      </c>
      <c r="S44" t="s">
        <v>113</v>
      </c>
      <c r="T44" t="s">
        <v>10</v>
      </c>
      <c r="U44">
        <v>6</v>
      </c>
    </row>
    <row r="45" spans="1:21" x14ac:dyDescent="0.2">
      <c r="A45">
        <v>43</v>
      </c>
      <c r="C45" t="s">
        <v>182</v>
      </c>
      <c r="D45" t="s">
        <v>456</v>
      </c>
      <c r="E45" t="s">
        <v>9</v>
      </c>
      <c r="F45">
        <v>7</v>
      </c>
      <c r="H45" t="s">
        <v>166</v>
      </c>
      <c r="I45" t="s">
        <v>113</v>
      </c>
      <c r="J45" t="s">
        <v>222</v>
      </c>
      <c r="K45">
        <v>6</v>
      </c>
      <c r="M45" t="s">
        <v>628</v>
      </c>
      <c r="N45" t="s">
        <v>460</v>
      </c>
      <c r="O45" t="s">
        <v>223</v>
      </c>
      <c r="P45">
        <v>7</v>
      </c>
      <c r="R45" t="s">
        <v>448</v>
      </c>
      <c r="S45" t="s">
        <v>102</v>
      </c>
      <c r="T45" t="s">
        <v>10</v>
      </c>
      <c r="U45">
        <v>6</v>
      </c>
    </row>
    <row r="46" spans="1:21" x14ac:dyDescent="0.2">
      <c r="A46">
        <v>44</v>
      </c>
      <c r="C46" t="s">
        <v>184</v>
      </c>
      <c r="D46" t="s">
        <v>100</v>
      </c>
      <c r="E46" t="s">
        <v>9</v>
      </c>
      <c r="F46">
        <v>7</v>
      </c>
      <c r="H46" t="s">
        <v>537</v>
      </c>
      <c r="I46" t="s">
        <v>114</v>
      </c>
      <c r="J46" t="s">
        <v>222</v>
      </c>
      <c r="K46">
        <v>6</v>
      </c>
      <c r="M46" t="s">
        <v>447</v>
      </c>
      <c r="N46" t="s">
        <v>104</v>
      </c>
      <c r="O46" t="s">
        <v>223</v>
      </c>
      <c r="P46">
        <v>7</v>
      </c>
      <c r="R46" t="s">
        <v>497</v>
      </c>
      <c r="S46" t="s">
        <v>112</v>
      </c>
      <c r="T46" t="s">
        <v>10</v>
      </c>
      <c r="U46">
        <v>6</v>
      </c>
    </row>
    <row r="47" spans="1:21" x14ac:dyDescent="0.2">
      <c r="A47">
        <v>45</v>
      </c>
      <c r="F47">
        <v>7</v>
      </c>
      <c r="H47" t="s">
        <v>426</v>
      </c>
      <c r="I47" t="s">
        <v>100</v>
      </c>
      <c r="J47" t="s">
        <v>222</v>
      </c>
      <c r="K47">
        <v>6</v>
      </c>
      <c r="M47" t="s">
        <v>16</v>
      </c>
      <c r="N47" t="s">
        <v>116</v>
      </c>
      <c r="O47" t="s">
        <v>223</v>
      </c>
      <c r="P47">
        <v>7</v>
      </c>
      <c r="R47" t="s">
        <v>188</v>
      </c>
      <c r="S47" t="s">
        <v>97</v>
      </c>
      <c r="T47" t="s">
        <v>10</v>
      </c>
      <c r="U47">
        <v>6</v>
      </c>
    </row>
    <row r="48" spans="1:21" x14ac:dyDescent="0.2">
      <c r="A48">
        <v>46</v>
      </c>
      <c r="F48">
        <v>7</v>
      </c>
      <c r="H48" t="s">
        <v>405</v>
      </c>
      <c r="I48" t="s">
        <v>109</v>
      </c>
      <c r="J48" t="s">
        <v>222</v>
      </c>
      <c r="K48">
        <v>6</v>
      </c>
      <c r="M48" t="s">
        <v>632</v>
      </c>
      <c r="N48" t="s">
        <v>96</v>
      </c>
      <c r="O48" t="s">
        <v>223</v>
      </c>
      <c r="P48">
        <v>7</v>
      </c>
      <c r="R48" t="s">
        <v>433</v>
      </c>
      <c r="S48" t="s">
        <v>116</v>
      </c>
    </row>
    <row r="49" spans="1:19" x14ac:dyDescent="0.2">
      <c r="A49">
        <v>47</v>
      </c>
      <c r="F49">
        <v>7</v>
      </c>
      <c r="H49" t="s">
        <v>195</v>
      </c>
      <c r="I49" t="s">
        <v>98</v>
      </c>
      <c r="J49" t="s">
        <v>222</v>
      </c>
      <c r="K49">
        <v>6</v>
      </c>
      <c r="M49" t="s">
        <v>629</v>
      </c>
      <c r="N49" t="s">
        <v>108</v>
      </c>
      <c r="O49" t="s">
        <v>223</v>
      </c>
      <c r="P49">
        <v>7</v>
      </c>
      <c r="R49" t="s">
        <v>190</v>
      </c>
      <c r="S49" t="s">
        <v>106</v>
      </c>
    </row>
    <row r="50" spans="1:19" x14ac:dyDescent="0.2">
      <c r="A50">
        <v>48</v>
      </c>
      <c r="F50">
        <v>7</v>
      </c>
      <c r="H50" t="s">
        <v>563</v>
      </c>
      <c r="I50" t="s">
        <v>101</v>
      </c>
      <c r="J50" t="s">
        <v>222</v>
      </c>
      <c r="K50">
        <v>6</v>
      </c>
      <c r="M50" t="s">
        <v>678</v>
      </c>
      <c r="N50" t="s">
        <v>118</v>
      </c>
      <c r="O50" t="s">
        <v>223</v>
      </c>
      <c r="P50">
        <v>7</v>
      </c>
      <c r="R50" t="s">
        <v>107</v>
      </c>
      <c r="S50" t="s">
        <v>106</v>
      </c>
    </row>
    <row r="51" spans="1:19" x14ac:dyDescent="0.2">
      <c r="A51">
        <v>49</v>
      </c>
      <c r="F51">
        <v>7</v>
      </c>
      <c r="H51" t="s">
        <v>422</v>
      </c>
      <c r="I51" t="s">
        <v>94</v>
      </c>
      <c r="J51" t="s">
        <v>222</v>
      </c>
      <c r="K51">
        <v>6</v>
      </c>
      <c r="M51" t="s">
        <v>633</v>
      </c>
      <c r="N51" t="s">
        <v>109</v>
      </c>
      <c r="O51" t="s">
        <v>223</v>
      </c>
      <c r="P51">
        <v>7</v>
      </c>
      <c r="R51" t="s">
        <v>175</v>
      </c>
      <c r="S51" t="s">
        <v>169</v>
      </c>
    </row>
    <row r="52" spans="1:19" x14ac:dyDescent="0.2">
      <c r="A52">
        <v>50</v>
      </c>
      <c r="F52">
        <v>7</v>
      </c>
      <c r="H52" t="s">
        <v>552</v>
      </c>
      <c r="I52" t="s">
        <v>98</v>
      </c>
      <c r="J52" t="s">
        <v>222</v>
      </c>
      <c r="K52">
        <v>6</v>
      </c>
      <c r="M52" t="s">
        <v>6</v>
      </c>
      <c r="N52" t="s">
        <v>96</v>
      </c>
      <c r="O52" t="s">
        <v>223</v>
      </c>
      <c r="P52">
        <v>7</v>
      </c>
      <c r="R52" t="s">
        <v>163</v>
      </c>
      <c r="S52" t="s">
        <v>102</v>
      </c>
    </row>
    <row r="53" spans="1:19" x14ac:dyDescent="0.2">
      <c r="A53">
        <v>51</v>
      </c>
      <c r="H53" t="s">
        <v>652</v>
      </c>
      <c r="I53" t="s">
        <v>104</v>
      </c>
      <c r="J53" t="s">
        <v>222</v>
      </c>
      <c r="K53">
        <v>6</v>
      </c>
      <c r="M53" t="s">
        <v>544</v>
      </c>
      <c r="N53" t="s">
        <v>119</v>
      </c>
      <c r="O53" t="s">
        <v>223</v>
      </c>
      <c r="P53">
        <v>7</v>
      </c>
    </row>
    <row r="54" spans="1:19" x14ac:dyDescent="0.2">
      <c r="A54">
        <v>52</v>
      </c>
      <c r="H54" t="s">
        <v>663</v>
      </c>
      <c r="I54" t="s">
        <v>110</v>
      </c>
      <c r="J54" t="s">
        <v>222</v>
      </c>
      <c r="K54">
        <v>6</v>
      </c>
      <c r="M54" t="s">
        <v>53</v>
      </c>
      <c r="N54" t="s">
        <v>101</v>
      </c>
      <c r="O54" t="s">
        <v>223</v>
      </c>
      <c r="P54">
        <v>8</v>
      </c>
    </row>
    <row r="55" spans="1:19" x14ac:dyDescent="0.2">
      <c r="A55">
        <v>53</v>
      </c>
      <c r="H55" t="s">
        <v>527</v>
      </c>
      <c r="I55" t="s">
        <v>460</v>
      </c>
      <c r="J55" t="s">
        <v>222</v>
      </c>
      <c r="K55">
        <v>6</v>
      </c>
      <c r="M55" t="s">
        <v>67</v>
      </c>
      <c r="N55" t="s">
        <v>119</v>
      </c>
      <c r="O55" t="s">
        <v>223</v>
      </c>
      <c r="P55">
        <v>8</v>
      </c>
    </row>
    <row r="56" spans="1:19" x14ac:dyDescent="0.2">
      <c r="A56">
        <v>54</v>
      </c>
      <c r="H56" t="s">
        <v>643</v>
      </c>
      <c r="I56" t="s">
        <v>96</v>
      </c>
      <c r="J56" t="s">
        <v>222</v>
      </c>
      <c r="K56">
        <v>6</v>
      </c>
      <c r="M56" t="s">
        <v>138</v>
      </c>
      <c r="N56" t="s">
        <v>169</v>
      </c>
      <c r="O56" t="s">
        <v>223</v>
      </c>
      <c r="P56">
        <v>8</v>
      </c>
    </row>
    <row r="57" spans="1:19" x14ac:dyDescent="0.2">
      <c r="A57">
        <v>55</v>
      </c>
      <c r="H57" t="s">
        <v>665</v>
      </c>
      <c r="I57" t="s">
        <v>111</v>
      </c>
      <c r="J57" t="s">
        <v>222</v>
      </c>
      <c r="K57">
        <v>6</v>
      </c>
      <c r="M57" t="s">
        <v>500</v>
      </c>
      <c r="N57" t="s">
        <v>93</v>
      </c>
      <c r="O57" t="s">
        <v>223</v>
      </c>
      <c r="P57">
        <v>8</v>
      </c>
    </row>
    <row r="58" spans="1:19" x14ac:dyDescent="0.2">
      <c r="A58">
        <v>56</v>
      </c>
      <c r="H58" t="s">
        <v>683</v>
      </c>
      <c r="I58" t="s">
        <v>121</v>
      </c>
      <c r="J58" t="s">
        <v>222</v>
      </c>
      <c r="K58">
        <v>7</v>
      </c>
      <c r="M58" t="s">
        <v>416</v>
      </c>
      <c r="N58" t="s">
        <v>456</v>
      </c>
      <c r="O58" t="s">
        <v>223</v>
      </c>
      <c r="P58">
        <v>8</v>
      </c>
    </row>
    <row r="59" spans="1:19" x14ac:dyDescent="0.2">
      <c r="A59">
        <v>57</v>
      </c>
      <c r="H59" t="s">
        <v>672</v>
      </c>
      <c r="I59" t="s">
        <v>116</v>
      </c>
      <c r="J59" t="s">
        <v>222</v>
      </c>
      <c r="K59">
        <v>7</v>
      </c>
      <c r="M59" t="s">
        <v>152</v>
      </c>
      <c r="N59" t="s">
        <v>100</v>
      </c>
      <c r="O59" t="s">
        <v>223</v>
      </c>
      <c r="P59">
        <v>8</v>
      </c>
    </row>
    <row r="60" spans="1:19" x14ac:dyDescent="0.2">
      <c r="A60">
        <v>58</v>
      </c>
      <c r="H60" t="s">
        <v>561</v>
      </c>
      <c r="I60" t="s">
        <v>95</v>
      </c>
      <c r="J60" t="s">
        <v>222</v>
      </c>
      <c r="K60">
        <v>7</v>
      </c>
      <c r="M60" t="s">
        <v>428</v>
      </c>
      <c r="N60" t="s">
        <v>104</v>
      </c>
      <c r="O60" t="s">
        <v>223</v>
      </c>
      <c r="P60">
        <v>8</v>
      </c>
    </row>
    <row r="61" spans="1:19" x14ac:dyDescent="0.2">
      <c r="A61">
        <v>59</v>
      </c>
      <c r="H61" t="s">
        <v>86</v>
      </c>
      <c r="I61" t="s">
        <v>169</v>
      </c>
      <c r="J61" t="s">
        <v>222</v>
      </c>
      <c r="K61">
        <v>7</v>
      </c>
      <c r="M61" t="s">
        <v>687</v>
      </c>
      <c r="N61" t="s">
        <v>113</v>
      </c>
      <c r="O61" t="s">
        <v>223</v>
      </c>
      <c r="P61">
        <v>8</v>
      </c>
    </row>
    <row r="62" spans="1:19" x14ac:dyDescent="0.2">
      <c r="A62">
        <v>60</v>
      </c>
      <c r="H62" t="s">
        <v>202</v>
      </c>
      <c r="I62" t="s">
        <v>120</v>
      </c>
      <c r="J62" t="s">
        <v>222</v>
      </c>
      <c r="K62">
        <v>7</v>
      </c>
      <c r="M62" t="s">
        <v>496</v>
      </c>
      <c r="N62" t="s">
        <v>114</v>
      </c>
      <c r="O62" t="s">
        <v>223</v>
      </c>
      <c r="P62">
        <v>8</v>
      </c>
    </row>
    <row r="63" spans="1:19" x14ac:dyDescent="0.2">
      <c r="A63">
        <v>61</v>
      </c>
      <c r="H63" t="s">
        <v>462</v>
      </c>
      <c r="I63" t="s">
        <v>117</v>
      </c>
      <c r="J63" t="s">
        <v>222</v>
      </c>
      <c r="K63">
        <v>7</v>
      </c>
      <c r="M63" t="s">
        <v>559</v>
      </c>
      <c r="N63" t="s">
        <v>109</v>
      </c>
      <c r="O63" t="s">
        <v>223</v>
      </c>
      <c r="P63">
        <v>8</v>
      </c>
    </row>
    <row r="64" spans="1:19" x14ac:dyDescent="0.2">
      <c r="A64">
        <v>62</v>
      </c>
      <c r="H64" t="s">
        <v>429</v>
      </c>
      <c r="I64" t="s">
        <v>105</v>
      </c>
      <c r="J64" t="s">
        <v>222</v>
      </c>
      <c r="K64">
        <v>7</v>
      </c>
      <c r="M64" t="s">
        <v>619</v>
      </c>
      <c r="N64" t="s">
        <v>98</v>
      </c>
      <c r="O64" t="s">
        <v>223</v>
      </c>
      <c r="P64">
        <v>8</v>
      </c>
    </row>
    <row r="65" spans="1:16" x14ac:dyDescent="0.2">
      <c r="A65">
        <v>63</v>
      </c>
      <c r="H65" t="s">
        <v>482</v>
      </c>
      <c r="I65" t="s">
        <v>104</v>
      </c>
      <c r="J65" t="s">
        <v>222</v>
      </c>
      <c r="K65">
        <v>7</v>
      </c>
      <c r="M65" t="s">
        <v>503</v>
      </c>
      <c r="N65" t="s">
        <v>460</v>
      </c>
      <c r="O65" t="s">
        <v>223</v>
      </c>
      <c r="P65">
        <v>8</v>
      </c>
    </row>
    <row r="66" spans="1:16" x14ac:dyDescent="0.2">
      <c r="A66">
        <v>64</v>
      </c>
      <c r="H66" t="s">
        <v>71</v>
      </c>
      <c r="I66" t="s">
        <v>97</v>
      </c>
      <c r="J66" t="s">
        <v>222</v>
      </c>
      <c r="K66">
        <v>7</v>
      </c>
      <c r="M66" t="s">
        <v>526</v>
      </c>
      <c r="N66" t="s">
        <v>106</v>
      </c>
      <c r="O66" t="s">
        <v>223</v>
      </c>
      <c r="P66">
        <v>8</v>
      </c>
    </row>
    <row r="67" spans="1:16" x14ac:dyDescent="0.2">
      <c r="A67">
        <v>65</v>
      </c>
      <c r="H67" t="s">
        <v>28</v>
      </c>
      <c r="I67" t="s">
        <v>118</v>
      </c>
      <c r="J67" t="s">
        <v>222</v>
      </c>
      <c r="K67">
        <v>7</v>
      </c>
      <c r="M67" t="s">
        <v>631</v>
      </c>
      <c r="N67" t="s">
        <v>97</v>
      </c>
      <c r="O67" t="s">
        <v>223</v>
      </c>
      <c r="P67">
        <v>9</v>
      </c>
    </row>
    <row r="68" spans="1:16" x14ac:dyDescent="0.2">
      <c r="A68">
        <v>66</v>
      </c>
      <c r="H68" t="s">
        <v>196</v>
      </c>
      <c r="I68" t="s">
        <v>102</v>
      </c>
      <c r="J68" t="s">
        <v>222</v>
      </c>
      <c r="K68">
        <v>8</v>
      </c>
      <c r="M68" t="s">
        <v>425</v>
      </c>
      <c r="N68" t="s">
        <v>96</v>
      </c>
      <c r="O68" t="s">
        <v>223</v>
      </c>
      <c r="P68">
        <v>9</v>
      </c>
    </row>
    <row r="69" spans="1:16" x14ac:dyDescent="0.2">
      <c r="A69">
        <v>67</v>
      </c>
      <c r="H69" t="s">
        <v>406</v>
      </c>
      <c r="I69" t="s">
        <v>100</v>
      </c>
      <c r="J69" t="s">
        <v>222</v>
      </c>
      <c r="K69">
        <v>8</v>
      </c>
      <c r="M69" t="s">
        <v>533</v>
      </c>
      <c r="N69" t="s">
        <v>109</v>
      </c>
      <c r="O69" t="s">
        <v>223</v>
      </c>
      <c r="P69">
        <v>9</v>
      </c>
    </row>
    <row r="70" spans="1:16" x14ac:dyDescent="0.2">
      <c r="A70">
        <v>68</v>
      </c>
      <c r="H70" t="s">
        <v>679</v>
      </c>
      <c r="I70" t="s">
        <v>120</v>
      </c>
      <c r="J70" t="s">
        <v>222</v>
      </c>
      <c r="K70">
        <v>8</v>
      </c>
      <c r="M70" t="s">
        <v>87</v>
      </c>
      <c r="N70" t="s">
        <v>97</v>
      </c>
      <c r="O70" t="s">
        <v>223</v>
      </c>
      <c r="P70">
        <v>9</v>
      </c>
    </row>
    <row r="71" spans="1:16" x14ac:dyDescent="0.2">
      <c r="A71">
        <v>69</v>
      </c>
      <c r="H71" t="s">
        <v>688</v>
      </c>
      <c r="I71" t="s">
        <v>95</v>
      </c>
      <c r="J71" t="s">
        <v>222</v>
      </c>
      <c r="K71">
        <v>8</v>
      </c>
      <c r="M71" t="s">
        <v>602</v>
      </c>
      <c r="N71" t="s">
        <v>110</v>
      </c>
      <c r="O71" t="s">
        <v>223</v>
      </c>
      <c r="P71">
        <v>9</v>
      </c>
    </row>
    <row r="72" spans="1:16" x14ac:dyDescent="0.2">
      <c r="A72">
        <v>70</v>
      </c>
      <c r="H72" t="s">
        <v>157</v>
      </c>
      <c r="I72" t="s">
        <v>108</v>
      </c>
      <c r="J72" t="s">
        <v>222</v>
      </c>
      <c r="K72">
        <v>8</v>
      </c>
      <c r="M72" t="s">
        <v>455</v>
      </c>
      <c r="N72" t="s">
        <v>115</v>
      </c>
      <c r="O72" t="s">
        <v>223</v>
      </c>
      <c r="P72">
        <v>9</v>
      </c>
    </row>
    <row r="73" spans="1:16" x14ac:dyDescent="0.2">
      <c r="A73">
        <v>71</v>
      </c>
      <c r="H73" t="s">
        <v>675</v>
      </c>
      <c r="I73" t="s">
        <v>117</v>
      </c>
      <c r="J73" t="s">
        <v>222</v>
      </c>
      <c r="K73">
        <v>8</v>
      </c>
      <c r="M73" t="s">
        <v>514</v>
      </c>
      <c r="N73" t="s">
        <v>102</v>
      </c>
      <c r="O73" t="s">
        <v>223</v>
      </c>
      <c r="P73">
        <v>9</v>
      </c>
    </row>
    <row r="74" spans="1:16" x14ac:dyDescent="0.2">
      <c r="A74">
        <v>72</v>
      </c>
      <c r="H74" t="s">
        <v>651</v>
      </c>
      <c r="I74" t="s">
        <v>102</v>
      </c>
      <c r="J74" t="s">
        <v>222</v>
      </c>
      <c r="K74">
        <v>8</v>
      </c>
      <c r="M74" t="s">
        <v>645</v>
      </c>
      <c r="N74" t="s">
        <v>99</v>
      </c>
      <c r="O74" t="s">
        <v>223</v>
      </c>
      <c r="P74">
        <v>9</v>
      </c>
    </row>
    <row r="75" spans="1:16" x14ac:dyDescent="0.2">
      <c r="A75">
        <v>73</v>
      </c>
      <c r="H75" t="s">
        <v>660</v>
      </c>
      <c r="I75" t="s">
        <v>109</v>
      </c>
      <c r="J75" t="s">
        <v>222</v>
      </c>
      <c r="K75">
        <v>8</v>
      </c>
      <c r="M75" t="s">
        <v>674</v>
      </c>
      <c r="N75" t="s">
        <v>116</v>
      </c>
      <c r="O75" t="s">
        <v>223</v>
      </c>
      <c r="P75">
        <v>9</v>
      </c>
    </row>
    <row r="76" spans="1:16" x14ac:dyDescent="0.2">
      <c r="A76">
        <v>74</v>
      </c>
      <c r="H76" t="s">
        <v>654</v>
      </c>
      <c r="I76" t="s">
        <v>105</v>
      </c>
      <c r="J76" t="s">
        <v>222</v>
      </c>
      <c r="K76">
        <v>8</v>
      </c>
      <c r="M76" t="s">
        <v>80</v>
      </c>
      <c r="N76" t="s">
        <v>115</v>
      </c>
      <c r="O76" t="s">
        <v>223</v>
      </c>
      <c r="P76">
        <v>9</v>
      </c>
    </row>
    <row r="77" spans="1:16" x14ac:dyDescent="0.2">
      <c r="A77">
        <v>75</v>
      </c>
      <c r="H77" t="s">
        <v>641</v>
      </c>
      <c r="I77" t="s">
        <v>94</v>
      </c>
      <c r="J77" t="s">
        <v>222</v>
      </c>
      <c r="K77">
        <v>8</v>
      </c>
      <c r="M77" t="s">
        <v>636</v>
      </c>
      <c r="N77" t="s">
        <v>106</v>
      </c>
      <c r="O77" t="s">
        <v>223</v>
      </c>
      <c r="P77">
        <v>9</v>
      </c>
    </row>
    <row r="78" spans="1:16" x14ac:dyDescent="0.2">
      <c r="A78">
        <v>76</v>
      </c>
      <c r="H78" t="s">
        <v>612</v>
      </c>
      <c r="I78" t="s">
        <v>101</v>
      </c>
      <c r="J78" t="s">
        <v>222</v>
      </c>
      <c r="K78">
        <v>8</v>
      </c>
      <c r="M78" t="s">
        <v>491</v>
      </c>
      <c r="N78" t="s">
        <v>93</v>
      </c>
      <c r="O78" t="s">
        <v>223</v>
      </c>
      <c r="P78">
        <v>9</v>
      </c>
    </row>
    <row r="79" spans="1:16" x14ac:dyDescent="0.2">
      <c r="A79">
        <v>77</v>
      </c>
      <c r="H79" t="s">
        <v>659</v>
      </c>
      <c r="I79" t="s">
        <v>169</v>
      </c>
      <c r="J79" t="s">
        <v>222</v>
      </c>
      <c r="K79">
        <v>8</v>
      </c>
      <c r="M79" t="s">
        <v>215</v>
      </c>
      <c r="N79" t="s">
        <v>100</v>
      </c>
      <c r="O79" t="s">
        <v>223</v>
      </c>
      <c r="P79">
        <v>9</v>
      </c>
    </row>
    <row r="80" spans="1:16" x14ac:dyDescent="0.2">
      <c r="A80">
        <v>78</v>
      </c>
      <c r="H80" t="s">
        <v>90</v>
      </c>
      <c r="I80" t="s">
        <v>121</v>
      </c>
      <c r="J80" t="s">
        <v>222</v>
      </c>
      <c r="K80">
        <v>8</v>
      </c>
      <c r="M80" t="s">
        <v>206</v>
      </c>
      <c r="N80" t="s">
        <v>94</v>
      </c>
      <c r="O80" t="s">
        <v>223</v>
      </c>
      <c r="P80">
        <v>9</v>
      </c>
    </row>
    <row r="81" spans="1:16" x14ac:dyDescent="0.2">
      <c r="A81">
        <v>79</v>
      </c>
      <c r="H81" t="s">
        <v>539</v>
      </c>
      <c r="I81" t="s">
        <v>115</v>
      </c>
      <c r="J81" t="s">
        <v>222</v>
      </c>
      <c r="K81">
        <v>8</v>
      </c>
      <c r="M81" t="s">
        <v>140</v>
      </c>
      <c r="N81" t="s">
        <v>113</v>
      </c>
      <c r="O81" t="s">
        <v>223</v>
      </c>
      <c r="P81">
        <v>9</v>
      </c>
    </row>
    <row r="82" spans="1:16" x14ac:dyDescent="0.2">
      <c r="A82">
        <v>80</v>
      </c>
      <c r="H82" t="s">
        <v>671</v>
      </c>
      <c r="I82" t="s">
        <v>115</v>
      </c>
      <c r="J82" t="s">
        <v>222</v>
      </c>
      <c r="K82">
        <v>8</v>
      </c>
      <c r="M82" t="s">
        <v>204</v>
      </c>
      <c r="N82" t="s">
        <v>95</v>
      </c>
      <c r="O82" t="s">
        <v>223</v>
      </c>
      <c r="P82">
        <v>10</v>
      </c>
    </row>
    <row r="83" spans="1:16" x14ac:dyDescent="0.2">
      <c r="A83">
        <v>81</v>
      </c>
      <c r="H83" t="s">
        <v>172</v>
      </c>
      <c r="I83" t="s">
        <v>114</v>
      </c>
      <c r="J83" t="s">
        <v>222</v>
      </c>
      <c r="K83">
        <v>8</v>
      </c>
      <c r="M83" t="s">
        <v>203</v>
      </c>
      <c r="N83" t="s">
        <v>94</v>
      </c>
      <c r="O83" t="s">
        <v>223</v>
      </c>
      <c r="P83">
        <v>10</v>
      </c>
    </row>
    <row r="84" spans="1:16" x14ac:dyDescent="0.2">
      <c r="A84">
        <v>82</v>
      </c>
      <c r="H84" t="s">
        <v>673</v>
      </c>
      <c r="I84" t="s">
        <v>116</v>
      </c>
      <c r="J84" t="s">
        <v>222</v>
      </c>
      <c r="K84">
        <v>8</v>
      </c>
      <c r="M84" t="s">
        <v>634</v>
      </c>
      <c r="N84" t="s">
        <v>113</v>
      </c>
      <c r="O84" t="s">
        <v>223</v>
      </c>
      <c r="P84">
        <v>10</v>
      </c>
    </row>
    <row r="85" spans="1:16" x14ac:dyDescent="0.2">
      <c r="A85">
        <v>83</v>
      </c>
      <c r="H85" t="s">
        <v>512</v>
      </c>
      <c r="I85" t="s">
        <v>101</v>
      </c>
      <c r="J85" t="s">
        <v>222</v>
      </c>
      <c r="K85">
        <v>8</v>
      </c>
      <c r="M85" t="s">
        <v>650</v>
      </c>
      <c r="N85" t="s">
        <v>102</v>
      </c>
      <c r="O85" t="s">
        <v>223</v>
      </c>
      <c r="P85">
        <v>10</v>
      </c>
    </row>
    <row r="86" spans="1:16" x14ac:dyDescent="0.2">
      <c r="A86">
        <v>84</v>
      </c>
      <c r="H86" t="s">
        <v>579</v>
      </c>
      <c r="I86" t="s">
        <v>95</v>
      </c>
      <c r="J86" t="s">
        <v>222</v>
      </c>
      <c r="K86">
        <v>8</v>
      </c>
      <c r="M86" t="s">
        <v>595</v>
      </c>
      <c r="N86" t="s">
        <v>104</v>
      </c>
      <c r="O86" t="s">
        <v>223</v>
      </c>
      <c r="P86">
        <v>10</v>
      </c>
    </row>
    <row r="87" spans="1:16" x14ac:dyDescent="0.2">
      <c r="A87">
        <v>85</v>
      </c>
      <c r="H87" t="s">
        <v>568</v>
      </c>
      <c r="I87" t="s">
        <v>102</v>
      </c>
      <c r="J87" t="s">
        <v>222</v>
      </c>
      <c r="K87">
        <v>8</v>
      </c>
      <c r="M87" t="s">
        <v>573</v>
      </c>
      <c r="N87" t="s">
        <v>99</v>
      </c>
      <c r="O87" t="s">
        <v>223</v>
      </c>
      <c r="P87">
        <v>10</v>
      </c>
    </row>
    <row r="88" spans="1:16" x14ac:dyDescent="0.2">
      <c r="A88">
        <v>86</v>
      </c>
      <c r="H88" t="s">
        <v>541</v>
      </c>
      <c r="I88" t="s">
        <v>116</v>
      </c>
      <c r="J88" t="s">
        <v>222</v>
      </c>
      <c r="K88">
        <v>8</v>
      </c>
      <c r="M88" t="s">
        <v>159</v>
      </c>
      <c r="N88" t="s">
        <v>118</v>
      </c>
      <c r="O88" t="s">
        <v>223</v>
      </c>
      <c r="P88">
        <v>10</v>
      </c>
    </row>
    <row r="89" spans="1:16" x14ac:dyDescent="0.2">
      <c r="A89">
        <v>87</v>
      </c>
      <c r="H89" t="s">
        <v>200</v>
      </c>
      <c r="I89" t="s">
        <v>93</v>
      </c>
      <c r="J89" t="s">
        <v>222</v>
      </c>
      <c r="K89">
        <v>8</v>
      </c>
      <c r="M89" t="s">
        <v>685</v>
      </c>
      <c r="N89" t="s">
        <v>456</v>
      </c>
      <c r="O89" t="s">
        <v>223</v>
      </c>
      <c r="P89">
        <v>10</v>
      </c>
    </row>
    <row r="90" spans="1:16" x14ac:dyDescent="0.2">
      <c r="A90">
        <v>88</v>
      </c>
      <c r="H90" t="s">
        <v>598</v>
      </c>
      <c r="I90" t="s">
        <v>106</v>
      </c>
      <c r="J90" t="s">
        <v>222</v>
      </c>
      <c r="K90">
        <v>8</v>
      </c>
      <c r="M90" t="s">
        <v>56</v>
      </c>
      <c r="N90" t="s">
        <v>102</v>
      </c>
      <c r="O90" t="s">
        <v>223</v>
      </c>
      <c r="P90">
        <v>10</v>
      </c>
    </row>
    <row r="91" spans="1:16" x14ac:dyDescent="0.2">
      <c r="A91">
        <v>89</v>
      </c>
      <c r="H91" t="s">
        <v>170</v>
      </c>
      <c r="I91" t="s">
        <v>460</v>
      </c>
      <c r="J91" t="s">
        <v>222</v>
      </c>
      <c r="K91">
        <v>8</v>
      </c>
      <c r="M91" t="s">
        <v>417</v>
      </c>
      <c r="N91" t="s">
        <v>122</v>
      </c>
      <c r="O91" t="s">
        <v>223</v>
      </c>
      <c r="P91">
        <v>10</v>
      </c>
    </row>
    <row r="92" spans="1:16" x14ac:dyDescent="0.2">
      <c r="A92">
        <v>90</v>
      </c>
      <c r="H92" t="s">
        <v>558</v>
      </c>
      <c r="I92" t="s">
        <v>119</v>
      </c>
      <c r="J92" t="s">
        <v>222</v>
      </c>
      <c r="K92">
        <v>8</v>
      </c>
      <c r="M92" t="s">
        <v>630</v>
      </c>
      <c r="N92" t="s">
        <v>120</v>
      </c>
      <c r="O92" t="s">
        <v>223</v>
      </c>
      <c r="P92">
        <v>10</v>
      </c>
    </row>
    <row r="93" spans="1:16" x14ac:dyDescent="0.2">
      <c r="A93">
        <v>91</v>
      </c>
      <c r="M93" t="s">
        <v>69</v>
      </c>
      <c r="N93" t="s">
        <v>113</v>
      </c>
      <c r="O93" t="s">
        <v>223</v>
      </c>
      <c r="P93">
        <v>10</v>
      </c>
    </row>
    <row r="94" spans="1:16" x14ac:dyDescent="0.2">
      <c r="A94">
        <v>92</v>
      </c>
      <c r="M94" t="s">
        <v>540</v>
      </c>
      <c r="N94" t="s">
        <v>115</v>
      </c>
      <c r="O94" t="s">
        <v>223</v>
      </c>
      <c r="P94">
        <v>10</v>
      </c>
    </row>
    <row r="95" spans="1:16" x14ac:dyDescent="0.2">
      <c r="A95">
        <v>93</v>
      </c>
      <c r="M95" t="s">
        <v>58</v>
      </c>
      <c r="N95" t="s">
        <v>117</v>
      </c>
      <c r="O95" t="s">
        <v>223</v>
      </c>
      <c r="P95">
        <v>10</v>
      </c>
    </row>
    <row r="96" spans="1:16" x14ac:dyDescent="0.2">
      <c r="A96">
        <v>94</v>
      </c>
      <c r="M96" t="s">
        <v>214</v>
      </c>
      <c r="N96" t="s">
        <v>108</v>
      </c>
      <c r="O96" t="s">
        <v>223</v>
      </c>
      <c r="P96">
        <v>10</v>
      </c>
    </row>
    <row r="97" spans="1:16" x14ac:dyDescent="0.2">
      <c r="A97">
        <v>95</v>
      </c>
      <c r="M97" t="s">
        <v>511</v>
      </c>
      <c r="N97" t="s">
        <v>100</v>
      </c>
      <c r="O97" t="s">
        <v>223</v>
      </c>
      <c r="P97">
        <v>10</v>
      </c>
    </row>
    <row r="98" spans="1:16" x14ac:dyDescent="0.2">
      <c r="A98">
        <v>96</v>
      </c>
      <c r="M98" t="s">
        <v>668</v>
      </c>
      <c r="N98" t="s">
        <v>113</v>
      </c>
      <c r="O98" t="s">
        <v>223</v>
      </c>
      <c r="P98">
        <v>10</v>
      </c>
    </row>
    <row r="99" spans="1:16" x14ac:dyDescent="0.2">
      <c r="A99">
        <v>97</v>
      </c>
      <c r="M99" t="s">
        <v>642</v>
      </c>
      <c r="N99" t="s">
        <v>95</v>
      </c>
      <c r="O99" t="s">
        <v>223</v>
      </c>
      <c r="P99">
        <v>10</v>
      </c>
    </row>
    <row r="100" spans="1:16" x14ac:dyDescent="0.2">
      <c r="A100">
        <v>98</v>
      </c>
      <c r="M100" t="s">
        <v>546</v>
      </c>
      <c r="N100" t="s">
        <v>121</v>
      </c>
      <c r="O100" t="s">
        <v>223</v>
      </c>
      <c r="P100">
        <v>10</v>
      </c>
    </row>
    <row r="101" spans="1:16" x14ac:dyDescent="0.2">
      <c r="A101">
        <v>99</v>
      </c>
      <c r="M101" t="s">
        <v>594</v>
      </c>
      <c r="N101" t="s">
        <v>103</v>
      </c>
      <c r="O101" t="s">
        <v>223</v>
      </c>
      <c r="P101">
        <v>10</v>
      </c>
    </row>
    <row r="102" spans="1:16" x14ac:dyDescent="0.2">
      <c r="A102">
        <v>100</v>
      </c>
      <c r="M102" t="s">
        <v>72</v>
      </c>
      <c r="N102" t="s">
        <v>95</v>
      </c>
      <c r="O102" t="s">
        <v>223</v>
      </c>
      <c r="P102">
        <v>10</v>
      </c>
    </row>
    <row r="103" spans="1:16" x14ac:dyDescent="0.2">
      <c r="A103">
        <v>101</v>
      </c>
      <c r="M103" t="s">
        <v>208</v>
      </c>
      <c r="N103" t="s">
        <v>114</v>
      </c>
      <c r="O103" t="s">
        <v>223</v>
      </c>
      <c r="P103">
        <v>10</v>
      </c>
    </row>
    <row r="104" spans="1:16" x14ac:dyDescent="0.2">
      <c r="A104">
        <v>102</v>
      </c>
      <c r="M104" t="s">
        <v>682</v>
      </c>
      <c r="N104" t="s">
        <v>121</v>
      </c>
      <c r="O104" t="s">
        <v>223</v>
      </c>
      <c r="P104">
        <v>10</v>
      </c>
    </row>
    <row r="105" spans="1:16" x14ac:dyDescent="0.2">
      <c r="A105">
        <v>103</v>
      </c>
      <c r="M105" t="s">
        <v>538</v>
      </c>
      <c r="N105" t="s">
        <v>114</v>
      </c>
      <c r="O105" t="s">
        <v>223</v>
      </c>
      <c r="P105">
        <v>10</v>
      </c>
    </row>
    <row r="106" spans="1:16" x14ac:dyDescent="0.2">
      <c r="A106">
        <v>104</v>
      </c>
      <c r="M106" t="s">
        <v>578</v>
      </c>
      <c r="N106" t="s">
        <v>112</v>
      </c>
      <c r="O106" t="s">
        <v>223</v>
      </c>
      <c r="P106">
        <v>10</v>
      </c>
    </row>
    <row r="107" spans="1:16" x14ac:dyDescent="0.2">
      <c r="A107">
        <v>105</v>
      </c>
      <c r="M107" t="s">
        <v>531</v>
      </c>
      <c r="N107" t="s">
        <v>169</v>
      </c>
      <c r="O107" t="s">
        <v>223</v>
      </c>
      <c r="P107">
        <v>10</v>
      </c>
    </row>
    <row r="108" spans="1:16" x14ac:dyDescent="0.2">
      <c r="A108">
        <v>106</v>
      </c>
      <c r="M108" t="s">
        <v>611</v>
      </c>
      <c r="N108" t="s">
        <v>456</v>
      </c>
      <c r="O108" t="s">
        <v>223</v>
      </c>
      <c r="P108">
        <v>10</v>
      </c>
    </row>
    <row r="109" spans="1:16" x14ac:dyDescent="0.2">
      <c r="A109">
        <v>107</v>
      </c>
      <c r="M109" t="s">
        <v>449</v>
      </c>
      <c r="N109" t="s">
        <v>101</v>
      </c>
      <c r="O109" t="s">
        <v>223</v>
      </c>
      <c r="P109">
        <v>10</v>
      </c>
    </row>
    <row r="110" spans="1:16" x14ac:dyDescent="0.2">
      <c r="A110">
        <v>108</v>
      </c>
      <c r="M110" t="s">
        <v>404</v>
      </c>
      <c r="N110" t="s">
        <v>94</v>
      </c>
      <c r="O110" t="s">
        <v>223</v>
      </c>
      <c r="P110">
        <v>10</v>
      </c>
    </row>
    <row r="111" spans="1:16" x14ac:dyDescent="0.2">
      <c r="A111">
        <v>109</v>
      </c>
      <c r="M111" t="s">
        <v>599</v>
      </c>
      <c r="N111" t="s">
        <v>108</v>
      </c>
      <c r="O111" t="s">
        <v>223</v>
      </c>
      <c r="P111">
        <v>10</v>
      </c>
    </row>
    <row r="112" spans="1:16" x14ac:dyDescent="0.2">
      <c r="A112">
        <v>110</v>
      </c>
      <c r="M112" t="s">
        <v>153</v>
      </c>
      <c r="N112" t="s">
        <v>116</v>
      </c>
      <c r="O112" t="s">
        <v>223</v>
      </c>
      <c r="P112">
        <v>10</v>
      </c>
    </row>
    <row r="113" spans="1:16" x14ac:dyDescent="0.2">
      <c r="A113">
        <v>111</v>
      </c>
      <c r="M113" t="s">
        <v>435</v>
      </c>
      <c r="N113" t="s">
        <v>118</v>
      </c>
      <c r="O113" t="s">
        <v>223</v>
      </c>
      <c r="P113">
        <v>10</v>
      </c>
    </row>
    <row r="114" spans="1:16" x14ac:dyDescent="0.2">
      <c r="A114">
        <v>112</v>
      </c>
      <c r="M114" t="s">
        <v>581</v>
      </c>
      <c r="N114" t="s">
        <v>119</v>
      </c>
      <c r="O114" t="s">
        <v>223</v>
      </c>
      <c r="P114">
        <v>10</v>
      </c>
    </row>
    <row r="115" spans="1:16" x14ac:dyDescent="0.2">
      <c r="A115">
        <v>113</v>
      </c>
      <c r="M115" t="s">
        <v>217</v>
      </c>
      <c r="N115" t="s">
        <v>118</v>
      </c>
      <c r="O115" t="s">
        <v>223</v>
      </c>
      <c r="P115">
        <v>10</v>
      </c>
    </row>
    <row r="116" spans="1:16" x14ac:dyDescent="0.2">
      <c r="A116">
        <v>114</v>
      </c>
      <c r="M116" t="s">
        <v>534</v>
      </c>
      <c r="N116" t="s">
        <v>109</v>
      </c>
      <c r="O116" t="s">
        <v>223</v>
      </c>
      <c r="P116">
        <v>10</v>
      </c>
    </row>
    <row r="117" spans="1:16" x14ac:dyDescent="0.2">
      <c r="A117">
        <v>115</v>
      </c>
      <c r="M117" t="s">
        <v>179</v>
      </c>
      <c r="N117" t="s">
        <v>111</v>
      </c>
      <c r="O117" t="s">
        <v>223</v>
      </c>
      <c r="P117">
        <v>10</v>
      </c>
    </row>
    <row r="118" spans="1:16" x14ac:dyDescent="0.2">
      <c r="A118">
        <v>116</v>
      </c>
      <c r="M118" t="s">
        <v>401</v>
      </c>
      <c r="N118" t="s">
        <v>113</v>
      </c>
      <c r="O118" t="s">
        <v>223</v>
      </c>
      <c r="P118">
        <v>10</v>
      </c>
    </row>
    <row r="119" spans="1:16" x14ac:dyDescent="0.2">
      <c r="A119">
        <v>117</v>
      </c>
      <c r="M119" t="s">
        <v>443</v>
      </c>
      <c r="N119" t="s">
        <v>108</v>
      </c>
      <c r="O119" t="s">
        <v>223</v>
      </c>
      <c r="P119">
        <v>10</v>
      </c>
    </row>
    <row r="120" spans="1:16" x14ac:dyDescent="0.2">
      <c r="A120">
        <v>118</v>
      </c>
      <c r="M120" t="s">
        <v>402</v>
      </c>
      <c r="N120" t="s">
        <v>96</v>
      </c>
      <c r="O120" t="s">
        <v>223</v>
      </c>
      <c r="P120">
        <v>10</v>
      </c>
    </row>
    <row r="121" spans="1:16" x14ac:dyDescent="0.2">
      <c r="A121">
        <v>119</v>
      </c>
      <c r="M121" t="s">
        <v>605</v>
      </c>
      <c r="N121" t="s">
        <v>116</v>
      </c>
      <c r="O121" t="s">
        <v>223</v>
      </c>
      <c r="P121">
        <v>10</v>
      </c>
    </row>
    <row r="122" spans="1:16" x14ac:dyDescent="0.2">
      <c r="A122">
        <v>120</v>
      </c>
      <c r="M122" t="s">
        <v>499</v>
      </c>
      <c r="N122" t="s">
        <v>101</v>
      </c>
      <c r="O122" t="s">
        <v>223</v>
      </c>
      <c r="P122">
        <v>10</v>
      </c>
    </row>
    <row r="123" spans="1:16" x14ac:dyDescent="0.2">
      <c r="A123">
        <v>121</v>
      </c>
      <c r="M123" t="s">
        <v>444</v>
      </c>
      <c r="N123" t="s">
        <v>106</v>
      </c>
      <c r="O123" t="s">
        <v>223</v>
      </c>
      <c r="P123">
        <v>10</v>
      </c>
    </row>
    <row r="124" spans="1:16" x14ac:dyDescent="0.2">
      <c r="A124">
        <v>122</v>
      </c>
      <c r="M124" t="s">
        <v>212</v>
      </c>
      <c r="N124" t="s">
        <v>110</v>
      </c>
      <c r="O124" t="s">
        <v>223</v>
      </c>
      <c r="P124">
        <v>10</v>
      </c>
    </row>
    <row r="125" spans="1:16" x14ac:dyDescent="0.2">
      <c r="A125">
        <v>123</v>
      </c>
      <c r="M125" t="s">
        <v>167</v>
      </c>
      <c r="N125" t="s">
        <v>103</v>
      </c>
      <c r="O125" t="s">
        <v>223</v>
      </c>
      <c r="P125">
        <v>10</v>
      </c>
    </row>
    <row r="126" spans="1:16" x14ac:dyDescent="0.2">
      <c r="A126">
        <v>124</v>
      </c>
      <c r="M126" t="s">
        <v>398</v>
      </c>
      <c r="N126" t="s">
        <v>120</v>
      </c>
      <c r="O126" t="s">
        <v>223</v>
      </c>
      <c r="P126">
        <v>10</v>
      </c>
    </row>
    <row r="127" spans="1:16" x14ac:dyDescent="0.2">
      <c r="A127">
        <v>125</v>
      </c>
      <c r="O127" t="s">
        <v>223</v>
      </c>
      <c r="P127">
        <v>10</v>
      </c>
    </row>
    <row r="128" spans="1:16" x14ac:dyDescent="0.2">
      <c r="A128">
        <v>126</v>
      </c>
      <c r="O128" t="s">
        <v>223</v>
      </c>
      <c r="P128">
        <v>10</v>
      </c>
    </row>
    <row r="129" spans="1:16" x14ac:dyDescent="0.2">
      <c r="A129">
        <v>127</v>
      </c>
      <c r="O129" t="s">
        <v>223</v>
      </c>
      <c r="P129">
        <v>10</v>
      </c>
    </row>
    <row r="130" spans="1:16" x14ac:dyDescent="0.2">
      <c r="A130">
        <v>128</v>
      </c>
      <c r="O130" t="s">
        <v>223</v>
      </c>
      <c r="P130">
        <v>10</v>
      </c>
    </row>
    <row r="131" spans="1:16" x14ac:dyDescent="0.2">
      <c r="A131">
        <v>129</v>
      </c>
      <c r="O131" t="s">
        <v>223</v>
      </c>
      <c r="P131">
        <v>10</v>
      </c>
    </row>
    <row r="132" spans="1:16" x14ac:dyDescent="0.2">
      <c r="A132">
        <v>130</v>
      </c>
    </row>
    <row r="133" spans="1:16" x14ac:dyDescent="0.2">
      <c r="A133">
        <v>131</v>
      </c>
    </row>
    <row r="134" spans="1:16" x14ac:dyDescent="0.2">
      <c r="A134">
        <v>132</v>
      </c>
    </row>
    <row r="135" spans="1:16" x14ac:dyDescent="0.2">
      <c r="A135">
        <v>133</v>
      </c>
    </row>
    <row r="136" spans="1:16" x14ac:dyDescent="0.2">
      <c r="A136">
        <v>134</v>
      </c>
    </row>
    <row r="137" spans="1:16" x14ac:dyDescent="0.2">
      <c r="A137">
        <v>135</v>
      </c>
    </row>
    <row r="138" spans="1:16" x14ac:dyDescent="0.2">
      <c r="A138">
        <v>136</v>
      </c>
    </row>
    <row r="139" spans="1:16" x14ac:dyDescent="0.2">
      <c r="A139">
        <v>137</v>
      </c>
    </row>
    <row r="140" spans="1:16" x14ac:dyDescent="0.2">
      <c r="A140">
        <v>138</v>
      </c>
    </row>
    <row r="141" spans="1:16" x14ac:dyDescent="0.2">
      <c r="A141">
        <v>139</v>
      </c>
    </row>
    <row r="142" spans="1:16" x14ac:dyDescent="0.2">
      <c r="A142">
        <v>140</v>
      </c>
    </row>
    <row r="143" spans="1:16" x14ac:dyDescent="0.2">
      <c r="A143">
        <v>141</v>
      </c>
    </row>
    <row r="144" spans="1:16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"/>
  <dimension ref="A1:O74"/>
  <sheetViews>
    <sheetView showGridLines="0" zoomScale="85" zoomScaleNormal="85" workbookViewId="0"/>
  </sheetViews>
  <sheetFormatPr baseColWidth="10" defaultColWidth="9.19921875" defaultRowHeight="15" x14ac:dyDescent="0.2"/>
  <cols>
    <col min="1" max="1" width="9.19921875" style="91" bestFit="1" customWidth="1"/>
    <col min="2" max="2" width="27.59765625" style="91" bestFit="1" customWidth="1"/>
    <col min="3" max="3" width="6.59765625" style="92" bestFit="1" customWidth="1"/>
    <col min="4" max="4" width="7" style="92" bestFit="1" customWidth="1"/>
    <col min="5" max="5" width="8" style="92" bestFit="1" customWidth="1"/>
    <col min="6" max="6" width="7.59765625" style="92" bestFit="1" customWidth="1"/>
    <col min="7" max="8" width="8.3984375" style="92" bestFit="1" customWidth="1"/>
    <col min="9" max="9" width="6.796875" style="92" bestFit="1" customWidth="1"/>
    <col min="10" max="10" width="8.59765625" style="92" bestFit="1" customWidth="1"/>
    <col min="11" max="12" width="8.796875" style="91" bestFit="1" customWidth="1"/>
    <col min="13" max="13" width="6.796875" style="91" bestFit="1" customWidth="1"/>
    <col min="14" max="14" width="10" style="91" bestFit="1" customWidth="1"/>
    <col min="15" max="15" width="8.3984375" style="91" bestFit="1" customWidth="1"/>
    <col min="16" max="16384" width="9.19921875" style="91"/>
  </cols>
  <sheetData>
    <row r="1" spans="1:15" s="89" customFormat="1" x14ac:dyDescent="0.2">
      <c r="A1" s="87" t="s">
        <v>375</v>
      </c>
      <c r="B1" s="88" t="s">
        <v>340</v>
      </c>
      <c r="C1" s="88" t="s">
        <v>92</v>
      </c>
      <c r="D1" s="88" t="s">
        <v>128</v>
      </c>
      <c r="E1" s="87" t="s">
        <v>130</v>
      </c>
      <c r="F1" s="87" t="s">
        <v>131</v>
      </c>
      <c r="G1" s="87" t="s">
        <v>132</v>
      </c>
      <c r="H1" s="87" t="s">
        <v>133</v>
      </c>
      <c r="I1" s="87" t="s">
        <v>2</v>
      </c>
      <c r="J1" s="87" t="s">
        <v>134</v>
      </c>
      <c r="K1" s="87" t="s">
        <v>135</v>
      </c>
      <c r="L1" s="87" t="s">
        <v>136</v>
      </c>
      <c r="M1" s="88" t="s">
        <v>123</v>
      </c>
      <c r="N1" s="87" t="s">
        <v>336</v>
      </c>
      <c r="O1" s="87" t="s">
        <v>310</v>
      </c>
    </row>
    <row r="2" spans="1:15" x14ac:dyDescent="0.2">
      <c r="A2" s="90">
        <v>1</v>
      </c>
      <c r="B2" s="91" t="str">
        <f>ARI!A$2</f>
        <v>Kyler Murray</v>
      </c>
      <c r="C2" s="91" t="s">
        <v>93</v>
      </c>
      <c r="D2" s="91">
        <f>ARI!C$2</f>
        <v>14</v>
      </c>
      <c r="E2" s="92">
        <f>ARI!D$2</f>
        <v>559.60424999999998</v>
      </c>
      <c r="F2" s="92">
        <f>ARI!E$2</f>
        <v>371.01761775</v>
      </c>
      <c r="G2" s="92">
        <f>ARI!F$2</f>
        <v>3951.3376290374999</v>
      </c>
      <c r="H2" s="92">
        <f>ARI!G$2</f>
        <v>22.384170000000001</v>
      </c>
      <c r="I2" s="92">
        <f>ARI!H$2</f>
        <v>7.4203523550000003</v>
      </c>
      <c r="J2" s="92">
        <f>ARI!I$2</f>
        <v>81.721710000000002</v>
      </c>
      <c r="K2" s="92">
        <f>ARI!J$2</f>
        <v>468.26539830000007</v>
      </c>
      <c r="L2" s="92">
        <f>ARI!K$2</f>
        <v>4.4946940500000006</v>
      </c>
      <c r="M2" s="92">
        <f t="shared" ref="M2:M35" si="0">(G2/25)+(H2*4)+(I2*-1.5)+(K2/10)+(L2*6)</f>
        <v>310.25436075900006</v>
      </c>
      <c r="N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313.96453693650005</v>
      </c>
      <c r="O2" s="94">
        <v>18.908176323604344</v>
      </c>
    </row>
    <row r="3" spans="1:15" x14ac:dyDescent="0.2">
      <c r="A3" s="90">
        <f>IF(TableQBMaster[[#This Row],[Player]]&lt;&gt;0,A2+1,A2)</f>
        <v>2</v>
      </c>
      <c r="B3" s="91" t="str">
        <f>ARI!A$3</f>
        <v>Desmond Ridder</v>
      </c>
      <c r="C3" s="91" t="s">
        <v>93</v>
      </c>
      <c r="D3" s="91">
        <f>ARI!C$3</f>
        <v>14</v>
      </c>
      <c r="E3" s="92">
        <f>ARI!D$3</f>
        <v>42.120750000000001</v>
      </c>
      <c r="F3" s="92">
        <f>ARI!E$3</f>
        <v>27.67333275</v>
      </c>
      <c r="G3" s="92">
        <f>ARI!F$3</f>
        <v>304.40666025000002</v>
      </c>
      <c r="H3" s="92">
        <f>ARI!G$3</f>
        <v>1.7690715000000001</v>
      </c>
      <c r="I3" s="92">
        <f>ARI!H$3</f>
        <v>0.69183331875000009</v>
      </c>
      <c r="J3" s="92">
        <f>ARI!I$3</f>
        <v>0</v>
      </c>
      <c r="K3" s="92">
        <f>ARI!J$3</f>
        <v>0</v>
      </c>
      <c r="L3" s="92">
        <f>ARI!K$3</f>
        <v>0</v>
      </c>
      <c r="M3" s="92">
        <f t="shared" si="0"/>
        <v>18.214802431875</v>
      </c>
      <c r="N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18.56071909125</v>
      </c>
      <c r="O3" s="94">
        <v>0</v>
      </c>
    </row>
    <row r="4" spans="1:15" x14ac:dyDescent="0.2">
      <c r="A4" s="90">
        <f>IF(TableQBMaster[[#This Row],[Player]]&lt;&gt;0,A3+1,A3)</f>
        <v>2</v>
      </c>
      <c r="B4" s="91">
        <f>ARI!A$4</f>
        <v>0</v>
      </c>
      <c r="C4" s="91" t="s">
        <v>93</v>
      </c>
      <c r="D4" s="91">
        <f>ARI!C$3</f>
        <v>14</v>
      </c>
      <c r="E4" s="92">
        <f>ARI!D$4</f>
        <v>0</v>
      </c>
      <c r="F4" s="92">
        <f>ARI!E$4</f>
        <v>0</v>
      </c>
      <c r="G4" s="92">
        <f>ARI!F$4</f>
        <v>0</v>
      </c>
      <c r="H4" s="92">
        <f>ARI!G$4</f>
        <v>0</v>
      </c>
      <c r="I4" s="92">
        <f>ARI!H$4</f>
        <v>0</v>
      </c>
      <c r="J4" s="92">
        <f>ARI!I$4</f>
        <v>0</v>
      </c>
      <c r="K4" s="92">
        <f>ARI!J$4</f>
        <v>0</v>
      </c>
      <c r="L4" s="92">
        <f>ARI!K$4</f>
        <v>0</v>
      </c>
      <c r="M4" s="92">
        <f t="shared" ref="M4" si="1">(G4/25)+(H4*4)+(I4*-1.5)+(K4/10)+(L4*6)</f>
        <v>0</v>
      </c>
      <c r="N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4" s="94">
        <v>0</v>
      </c>
    </row>
    <row r="5" spans="1:15" x14ac:dyDescent="0.2">
      <c r="A5" s="90">
        <f>IF(TableQBMaster[[#This Row],[Player]]&lt;&gt;0,A4+1,A4)</f>
        <v>3</v>
      </c>
      <c r="B5" s="91" t="str">
        <f>ATL!A$2</f>
        <v>Kirk Cousins</v>
      </c>
      <c r="C5" s="91" t="s">
        <v>94</v>
      </c>
      <c r="D5" s="91">
        <f>ATL!C$2</f>
        <v>11</v>
      </c>
      <c r="E5" s="92">
        <f>ATL!D$2</f>
        <v>575.13455999999996</v>
      </c>
      <c r="F5" s="92">
        <f>ATL!E$2</f>
        <v>378.43854047999997</v>
      </c>
      <c r="G5" s="92">
        <f>ATL!F$2</f>
        <v>4257.4335803999993</v>
      </c>
      <c r="H5" s="92">
        <f>ATL!G$2</f>
        <v>29.331862559999998</v>
      </c>
      <c r="I5" s="92">
        <f>ATL!H$2</f>
        <v>7.1903322691199989</v>
      </c>
      <c r="J5" s="92">
        <f>ATL!I$2</f>
        <v>25.820726400000002</v>
      </c>
      <c r="K5" s="92">
        <f>ATL!J$2</f>
        <v>72.298033919999995</v>
      </c>
      <c r="L5" s="92">
        <f>ATL!K$2</f>
        <v>1.4201399520000002</v>
      </c>
      <c r="M5" s="92">
        <f t="shared" si="0"/>
        <v>292.58993815631999</v>
      </c>
      <c r="N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296.18510429087996</v>
      </c>
      <c r="O5" s="94">
        <v>4.1586617123562934</v>
      </c>
    </row>
    <row r="6" spans="1:15" x14ac:dyDescent="0.2">
      <c r="A6" s="90">
        <f>IF(TableQBMaster[[#This Row],[Player]]&lt;&gt;0,A5+1,A5)</f>
        <v>4</v>
      </c>
      <c r="B6" s="91" t="str">
        <f>ATL!A$3</f>
        <v>Taylor Heinicke</v>
      </c>
      <c r="C6" s="91" t="s">
        <v>94</v>
      </c>
      <c r="D6" s="91">
        <f>ATL!C$3</f>
        <v>11</v>
      </c>
      <c r="E6" s="92">
        <f>ATL!D$3</f>
        <v>11.737439999999999</v>
      </c>
      <c r="F6" s="92">
        <f>ATL!E$3</f>
        <v>7.3476374399999997</v>
      </c>
      <c r="G6" s="92">
        <f>ATL!F$3</f>
        <v>79.354484352</v>
      </c>
      <c r="H6" s="92">
        <f>ATL!G$3</f>
        <v>0.51644735999999991</v>
      </c>
      <c r="I6" s="92">
        <f>ATL!H$3</f>
        <v>0.183690936</v>
      </c>
      <c r="J6" s="92">
        <f>ATL!I$3</f>
        <v>2.1517272000000003</v>
      </c>
      <c r="K6" s="92">
        <f>ATL!J$3</f>
        <v>12.221810496000002</v>
      </c>
      <c r="L6" s="92">
        <f>ATL!K$3</f>
        <v>2.3668999200000002E-2</v>
      </c>
      <c r="M6" s="92">
        <f t="shared" si="0"/>
        <v>6.3286274548799986</v>
      </c>
      <c r="N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6.4204729228800002</v>
      </c>
      <c r="O6" s="94">
        <v>0</v>
      </c>
    </row>
    <row r="7" spans="1:15" x14ac:dyDescent="0.2">
      <c r="A7" s="90">
        <f>IF(TableQBMaster[[#This Row],[Player]]&lt;&gt;0,A6+1,A6)</f>
        <v>5</v>
      </c>
      <c r="B7" s="91" t="str">
        <f>BAL!A$2</f>
        <v>Lamar Jackson</v>
      </c>
      <c r="C7" s="91" t="s">
        <v>95</v>
      </c>
      <c r="D7" s="91">
        <f>BAL!C$2</f>
        <v>13</v>
      </c>
      <c r="E7" s="92">
        <f>BAL!D$2</f>
        <v>513.14440000000002</v>
      </c>
      <c r="F7" s="92">
        <f>BAL!E$2</f>
        <v>339.18844840000003</v>
      </c>
      <c r="G7" s="92">
        <f>BAL!F$2</f>
        <v>3929.1589862656001</v>
      </c>
      <c r="H7" s="92">
        <f>BAL!G$2</f>
        <v>26.683508799999998</v>
      </c>
      <c r="I7" s="92">
        <f>BAL!H$2</f>
        <v>6.7837689680000004</v>
      </c>
      <c r="J7" s="92">
        <f>BAL!I$2</f>
        <v>147.03669120000001</v>
      </c>
      <c r="K7" s="92">
        <f>BAL!J$2</f>
        <v>858.694276608</v>
      </c>
      <c r="L7" s="92">
        <f>BAL!K$2</f>
        <v>5.4403575744000001</v>
      </c>
      <c r="M7" s="92">
        <f t="shared" si="0"/>
        <v>372.23631430582395</v>
      </c>
      <c r="N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375.62819878982395</v>
      </c>
      <c r="O7" s="94">
        <v>14.529245789940152</v>
      </c>
    </row>
    <row r="8" spans="1:15" x14ac:dyDescent="0.2">
      <c r="A8" s="90">
        <f>IF(TableQBMaster[[#This Row],[Player]]&lt;&gt;0,A7+1,A7)</f>
        <v>6</v>
      </c>
      <c r="B8" s="91" t="str">
        <f>BAL!A$3</f>
        <v>Josh Johnson</v>
      </c>
      <c r="C8" s="91" t="s">
        <v>95</v>
      </c>
      <c r="D8" s="91">
        <f>BAL!C$3</f>
        <v>13</v>
      </c>
      <c r="E8" s="92">
        <f>BAL!D$3</f>
        <v>27.007600000000004</v>
      </c>
      <c r="F8" s="92">
        <f>BAL!E$3</f>
        <v>16.393613200000001</v>
      </c>
      <c r="G8" s="92">
        <f>BAL!F$3</f>
        <v>59.180943652000003</v>
      </c>
      <c r="H8" s="92">
        <f>BAL!G$3</f>
        <v>0.91825840000000014</v>
      </c>
      <c r="I8" s="92">
        <f>BAL!H$3</f>
        <v>0.32787226400000002</v>
      </c>
      <c r="J8" s="92">
        <f>BAL!I$3</f>
        <v>2.6256551999999997</v>
      </c>
      <c r="K8" s="92">
        <f>BAL!J$3</f>
        <v>3.3083255519999999</v>
      </c>
      <c r="L8" s="92">
        <f>BAL!K$3</f>
        <v>6.8267035199999992E-2</v>
      </c>
      <c r="M8" s="92">
        <f t="shared" si="0"/>
        <v>6.2888977164800011</v>
      </c>
      <c r="N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6.452833848480001</v>
      </c>
      <c r="O8" s="94">
        <v>0</v>
      </c>
    </row>
    <row r="9" spans="1:15" x14ac:dyDescent="0.2">
      <c r="A9" s="90">
        <f>IF(TableQBMaster[[#This Row],[Player]]&lt;&gt;0,A8+1,A8)</f>
        <v>7</v>
      </c>
      <c r="B9" s="91" t="str">
        <f>BUF!A$2</f>
        <v>Josh Allen</v>
      </c>
      <c r="C9" s="91" t="s">
        <v>96</v>
      </c>
      <c r="D9" s="91">
        <f>BUF!C$2</f>
        <v>13</v>
      </c>
      <c r="E9" s="92">
        <f>BUF!D$2</f>
        <v>613.57823999999994</v>
      </c>
      <c r="F9" s="92">
        <f>BUF!E$2</f>
        <v>396.37154303999995</v>
      </c>
      <c r="G9" s="92">
        <f>BUF!F$2</f>
        <v>4439.3612820479993</v>
      </c>
      <c r="H9" s="92">
        <f>BUF!G$2</f>
        <v>30.065333759999998</v>
      </c>
      <c r="I9" s="92">
        <f>BUF!H$2</f>
        <v>8.7201739468799992</v>
      </c>
      <c r="J9" s="92">
        <f>BUF!I$2</f>
        <v>116.24587520000003</v>
      </c>
      <c r="K9" s="92">
        <f>BUF!J$2</f>
        <v>599.82871603200022</v>
      </c>
      <c r="L9" s="92">
        <f>BUF!K$2</f>
        <v>7.788473638400002</v>
      </c>
      <c r="M9" s="92">
        <f t="shared" si="0"/>
        <v>391.46923883520003</v>
      </c>
      <c r="N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395.82932580863996</v>
      </c>
      <c r="O9" s="94">
        <v>23.688618937110689</v>
      </c>
    </row>
    <row r="10" spans="1:15" x14ac:dyDescent="0.2">
      <c r="A10" s="90">
        <f>IF(TableQBMaster[[#This Row],[Player]]&lt;&gt;0,A9+1,A9)</f>
        <v>8</v>
      </c>
      <c r="B10" s="91" t="str">
        <f>BUF!A$3</f>
        <v>Mitch Trubisky</v>
      </c>
      <c r="C10" s="91" t="s">
        <v>96</v>
      </c>
      <c r="D10" s="91">
        <f>BUF!C$3</f>
        <v>13</v>
      </c>
      <c r="E10" s="92">
        <f>BUF!D$3</f>
        <v>6.197760000000005</v>
      </c>
      <c r="F10" s="92">
        <f>BUF!E$3</f>
        <v>3.793029120000003</v>
      </c>
      <c r="G10" s="92">
        <f>BUF!F$3</f>
        <v>36.792382464000028</v>
      </c>
      <c r="H10" s="92">
        <f>BUF!G$3</f>
        <v>0.21072384000000019</v>
      </c>
      <c r="I10" s="92">
        <f>BUF!H$3</f>
        <v>7.5860582400000057E-2</v>
      </c>
      <c r="J10" s="92">
        <f>BUF!I$3</f>
        <v>0</v>
      </c>
      <c r="K10" s="92">
        <f>BUF!J$3</f>
        <v>0</v>
      </c>
      <c r="L10" s="92">
        <f>BUF!K$3</f>
        <v>0</v>
      </c>
      <c r="M10" s="92">
        <f t="shared" si="0"/>
        <v>2.2007997849600018</v>
      </c>
      <c r="N1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2.2387300761600017</v>
      </c>
      <c r="O10" s="94">
        <v>0</v>
      </c>
    </row>
    <row r="11" spans="1:15" x14ac:dyDescent="0.2">
      <c r="A11" s="90">
        <f>IF(TableQBMaster[[#This Row],[Player]]&lt;&gt;0,A10+1,A10)</f>
        <v>9</v>
      </c>
      <c r="B11" s="91" t="str">
        <f>CAR!A$2</f>
        <v>Bryce Young</v>
      </c>
      <c r="C11" s="91" t="s">
        <v>97</v>
      </c>
      <c r="D11" s="91">
        <f>CAR!C$2</f>
        <v>7</v>
      </c>
      <c r="E11" s="92">
        <f>CAR!D$2</f>
        <v>561.44049999999993</v>
      </c>
      <c r="F11" s="92">
        <f>CAR!E$2</f>
        <v>352.58463399999994</v>
      </c>
      <c r="G11" s="92">
        <f>CAR!F$2</f>
        <v>3860.8017422999992</v>
      </c>
      <c r="H11" s="92">
        <f>CAR!G$2</f>
        <v>21.334738999999995</v>
      </c>
      <c r="I11" s="92">
        <f>CAR!H$2</f>
        <v>7.0516926799999986</v>
      </c>
      <c r="J11" s="92">
        <f>CAR!I$2</f>
        <v>55.738725000000002</v>
      </c>
      <c r="K11" s="92">
        <f>CAR!J$2</f>
        <v>325.51415400000002</v>
      </c>
      <c r="L11" s="92">
        <f>CAR!K$2</f>
        <v>2.0623328249999999</v>
      </c>
      <c r="M11" s="92">
        <f t="shared" si="0"/>
        <v>274.11889902199999</v>
      </c>
      <c r="N1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277.64474536199998</v>
      </c>
      <c r="O11" s="94">
        <v>0</v>
      </c>
    </row>
    <row r="12" spans="1:15" x14ac:dyDescent="0.2">
      <c r="A12" s="90">
        <f>IF(TableQBMaster[[#This Row],[Player]]&lt;&gt;0,A11+1,A11)</f>
        <v>10</v>
      </c>
      <c r="B12" s="91" t="str">
        <f>CAR!A$3</f>
        <v>Andy Dalton</v>
      </c>
      <c r="C12" s="91" t="s">
        <v>97</v>
      </c>
      <c r="D12" s="91">
        <f>CAR!C$3</f>
        <v>7</v>
      </c>
      <c r="E12" s="92">
        <f>CAR!D$3</f>
        <v>29.549499999999995</v>
      </c>
      <c r="F12" s="92">
        <f>CAR!E$3</f>
        <v>19.207174999999996</v>
      </c>
      <c r="G12" s="92">
        <f>CAR!F$3</f>
        <v>192.84003699999994</v>
      </c>
      <c r="H12" s="92">
        <f>CAR!G$3</f>
        <v>1.004683</v>
      </c>
      <c r="I12" s="92">
        <f>CAR!H$3</f>
        <v>0.11524304999999997</v>
      </c>
      <c r="J12" s="92">
        <f>CAR!I$3</f>
        <v>2.229549</v>
      </c>
      <c r="K12" s="92">
        <f>CAR!J$3</f>
        <v>2.6754587999999999</v>
      </c>
      <c r="L12" s="92">
        <f>CAR!K$3</f>
        <v>0</v>
      </c>
      <c r="M12" s="92">
        <f t="shared" si="0"/>
        <v>11.827014784999998</v>
      </c>
      <c r="N1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11.884636309999998</v>
      </c>
      <c r="O12" s="94">
        <v>0</v>
      </c>
    </row>
    <row r="13" spans="1:15" x14ac:dyDescent="0.2">
      <c r="A13" s="90">
        <f>IF(TableQBMaster[[#This Row],[Player]]&lt;&gt;0,A12+1,A12)</f>
        <v>10</v>
      </c>
      <c r="B13" s="91">
        <f>CAR!A$4</f>
        <v>0</v>
      </c>
      <c r="C13" s="91" t="s">
        <v>97</v>
      </c>
      <c r="D13" s="91">
        <f>CAR!C$3</f>
        <v>7</v>
      </c>
      <c r="E13" s="92">
        <f>CAR!D$3</f>
        <v>29.549499999999995</v>
      </c>
      <c r="F13" s="92">
        <f>CAR!E$3</f>
        <v>19.207174999999996</v>
      </c>
      <c r="G13" s="92">
        <f>CAR!F$3</f>
        <v>192.84003699999994</v>
      </c>
      <c r="H13" s="92">
        <f>CAR!G$3</f>
        <v>1.004683</v>
      </c>
      <c r="I13" s="92">
        <f>CAR!H$3</f>
        <v>0.11524304999999997</v>
      </c>
      <c r="J13" s="92">
        <f>CAR!I$3</f>
        <v>2.229549</v>
      </c>
      <c r="K13" s="92">
        <f>CAR!J$3</f>
        <v>2.6754587999999999</v>
      </c>
      <c r="L13" s="92">
        <f>CAR!K$3</f>
        <v>0</v>
      </c>
      <c r="M13" s="92">
        <f t="shared" ref="M13" si="2">(G13/25)+(H13*4)+(I13*-1.5)+(K13/10)+(L13*6)</f>
        <v>11.827014784999998</v>
      </c>
      <c r="N1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11.884636309999998</v>
      </c>
      <c r="O13" s="94">
        <v>1</v>
      </c>
    </row>
    <row r="14" spans="1:15" x14ac:dyDescent="0.2">
      <c r="A14" s="90">
        <f>IF(TableQBMaster[[#This Row],[Player]]&lt;&gt;0,A13+1,A13)</f>
        <v>11</v>
      </c>
      <c r="B14" s="91" t="str">
        <f>CHI!A$2</f>
        <v>Caleb Williams</v>
      </c>
      <c r="C14" s="91" t="s">
        <v>98</v>
      </c>
      <c r="D14" s="91">
        <f>CHI!C$2</f>
        <v>13</v>
      </c>
      <c r="E14" s="92">
        <f>CHI!D$2</f>
        <v>566.80848000000003</v>
      </c>
      <c r="F14" s="92">
        <f>CHI!E$2</f>
        <v>360.49019328000003</v>
      </c>
      <c r="G14" s="92">
        <f>CHI!F$2</f>
        <v>4062.7244782656003</v>
      </c>
      <c r="H14" s="92">
        <f>CHI!G$2</f>
        <v>26.07319008</v>
      </c>
      <c r="I14" s="92">
        <f>CHI!H$2</f>
        <v>7.2098038656000005</v>
      </c>
      <c r="J14" s="92">
        <f>CHI!I$2</f>
        <v>68.446727999999993</v>
      </c>
      <c r="K14" s="92">
        <f>CHI!J$2</f>
        <v>348.39384551999996</v>
      </c>
      <c r="L14" s="92">
        <f>CHI!K$2</f>
        <v>3.9699102239999999</v>
      </c>
      <c r="M14" s="92">
        <f t="shared" si="0"/>
        <v>314.64587954822395</v>
      </c>
      <c r="N1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318.25078148102403</v>
      </c>
      <c r="O14" s="94">
        <v>0</v>
      </c>
    </row>
    <row r="15" spans="1:15" x14ac:dyDescent="0.2">
      <c r="A15" s="90">
        <f>IF(TableQBMaster[[#This Row],[Player]]&lt;&gt;0,A14+1,A14)</f>
        <v>12</v>
      </c>
      <c r="B15" s="91" t="str">
        <f>CHI!A$3</f>
        <v>Tyson Bagent</v>
      </c>
      <c r="C15" s="91" t="s">
        <v>98</v>
      </c>
      <c r="D15" s="91">
        <f>CHI!C$3</f>
        <v>13</v>
      </c>
      <c r="E15" s="92">
        <f>CHI!D$3</f>
        <v>11.567520000000002</v>
      </c>
      <c r="F15" s="92">
        <f>CHI!E$3</f>
        <v>7.0214846400000006</v>
      </c>
      <c r="G15" s="92">
        <f>CHI!F$3</f>
        <v>70.565920632000015</v>
      </c>
      <c r="H15" s="92">
        <f>CHI!G$3</f>
        <v>0.39329568000000009</v>
      </c>
      <c r="I15" s="92">
        <f>CHI!H$3</f>
        <v>0.14042969280000001</v>
      </c>
      <c r="J15" s="92">
        <f>CHI!I$3</f>
        <v>0</v>
      </c>
      <c r="K15" s="92">
        <f>CHI!J$3</f>
        <v>0</v>
      </c>
      <c r="L15" s="92">
        <f>CHI!K$3</f>
        <v>0</v>
      </c>
      <c r="M15" s="92">
        <f t="shared" si="0"/>
        <v>4.1851750060800015</v>
      </c>
      <c r="N1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4.2553898524800013</v>
      </c>
      <c r="O15" s="94">
        <v>0</v>
      </c>
    </row>
    <row r="16" spans="1:15" x14ac:dyDescent="0.2">
      <c r="A16" s="90">
        <f>IF(TableQBMaster[[#This Row],[Player]]&lt;&gt;0,A15+1,A15)</f>
        <v>13</v>
      </c>
      <c r="B16" s="91" t="str">
        <f>CIN!A$2</f>
        <v>Joe Burrow</v>
      </c>
      <c r="C16" s="91" t="s">
        <v>99</v>
      </c>
      <c r="D16" s="91">
        <f>CIN!C$2</f>
        <v>7</v>
      </c>
      <c r="E16" s="92">
        <f>CIN!D$2</f>
        <v>604.47929999999997</v>
      </c>
      <c r="F16" s="92">
        <f>CIN!E$2</f>
        <v>408.62800679999998</v>
      </c>
      <c r="G16" s="92">
        <f>CIN!F$2</f>
        <v>4529.6414553780005</v>
      </c>
      <c r="H16" s="92">
        <f>CIN!G$2</f>
        <v>31.432923599999995</v>
      </c>
      <c r="I16" s="92">
        <f>CIN!H$2</f>
        <v>8.1725601359999995</v>
      </c>
      <c r="J16" s="92">
        <f>CIN!I$2</f>
        <v>55.114063199999997</v>
      </c>
      <c r="K16" s="92">
        <f>CIN!J$2</f>
        <v>193.45036183199997</v>
      </c>
      <c r="L16" s="92">
        <f>CIN!K$2</f>
        <v>2.2045625279999999</v>
      </c>
      <c r="M16" s="92">
        <f t="shared" si="0"/>
        <v>327.23092376231995</v>
      </c>
      <c r="N1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331.31720383031995</v>
      </c>
      <c r="O16" s="94">
        <v>11.000501619200461</v>
      </c>
    </row>
    <row r="17" spans="1:15" x14ac:dyDescent="0.2">
      <c r="A17" s="90">
        <f>IF(TableQBMaster[[#This Row],[Player]]&lt;&gt;0,A16+1,A16)</f>
        <v>14</v>
      </c>
      <c r="B17" s="91" t="str">
        <f>CIN!A$3</f>
        <v>Jake Browning</v>
      </c>
      <c r="C17" s="91" t="s">
        <v>99</v>
      </c>
      <c r="D17" s="91">
        <f>CIN!C$3</f>
        <v>7</v>
      </c>
      <c r="E17" s="92">
        <f>CIN!D$3</f>
        <v>31.814700000000027</v>
      </c>
      <c r="F17" s="92">
        <f>CIN!E$3</f>
        <v>19.311522900000014</v>
      </c>
      <c r="G17" s="92">
        <f>CIN!F$3</f>
        <v>209.53002346500014</v>
      </c>
      <c r="H17" s="92">
        <f>CIN!G$3</f>
        <v>1.0816998000000011</v>
      </c>
      <c r="I17" s="92">
        <f>CIN!H$3</f>
        <v>0.38623045800000028</v>
      </c>
      <c r="J17" s="92">
        <f>CIN!I$3</f>
        <v>0</v>
      </c>
      <c r="K17" s="92">
        <f>CIN!J$3</f>
        <v>0</v>
      </c>
      <c r="L17" s="92">
        <f>CIN!K$3</f>
        <v>0</v>
      </c>
      <c r="M17" s="92">
        <f t="shared" si="0"/>
        <v>12.12865445160001</v>
      </c>
      <c r="N1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12.32176968060001</v>
      </c>
      <c r="O17" s="94">
        <v>0</v>
      </c>
    </row>
    <row r="18" spans="1:15" x14ac:dyDescent="0.2">
      <c r="A18" s="90">
        <f>IF(TableQBMaster[[#This Row],[Player]]&lt;&gt;0,A17+1,A17)</f>
        <v>15</v>
      </c>
      <c r="B18" s="91" t="str">
        <f>CLE!A$2</f>
        <v>Deshaun Watson</v>
      </c>
      <c r="C18" s="91" t="s">
        <v>100</v>
      </c>
      <c r="D18" s="91">
        <f>CLE!C$2</f>
        <v>5</v>
      </c>
      <c r="E18" s="92">
        <f>CLE!D$2</f>
        <v>537.65250000000003</v>
      </c>
      <c r="F18" s="92">
        <f>CLE!E$2</f>
        <v>339.79638</v>
      </c>
      <c r="G18" s="92">
        <f>CLE!F$2</f>
        <v>3810.1368089399998</v>
      </c>
      <c r="H18" s="92">
        <f>CLE!G$2</f>
        <v>23.1190575</v>
      </c>
      <c r="I18" s="92">
        <f>CLE!H$2</f>
        <v>7.47552036</v>
      </c>
      <c r="J18" s="92">
        <f>CLE!I$2</f>
        <v>82.696074999999993</v>
      </c>
      <c r="K18" s="92">
        <f>CLE!J$2</f>
        <v>426.711747</v>
      </c>
      <c r="L18" s="92">
        <f>CLE!K$2</f>
        <v>2.1500979499999997</v>
      </c>
      <c r="M18" s="92">
        <f t="shared" si="0"/>
        <v>289.24018421760002</v>
      </c>
      <c r="N1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292.97794439760003</v>
      </c>
      <c r="O18" s="94">
        <v>0</v>
      </c>
    </row>
    <row r="19" spans="1:15" x14ac:dyDescent="0.2">
      <c r="A19" s="90">
        <f>IF(TableQBMaster[[#This Row],[Player]]&lt;&gt;0,A18+1,A18)</f>
        <v>16</v>
      </c>
      <c r="B19" s="91" t="str">
        <f>CLE!A$3</f>
        <v>Jameis Winston</v>
      </c>
      <c r="C19" s="91" t="s">
        <v>100</v>
      </c>
      <c r="D19" s="91">
        <f>CLE!C$3</f>
        <v>5</v>
      </c>
      <c r="E19" s="92">
        <f>CLE!D$3</f>
        <v>10.972500000000009</v>
      </c>
      <c r="F19" s="92">
        <f>CLE!E$3</f>
        <v>6.6493350000000051</v>
      </c>
      <c r="G19" s="92">
        <f>CLE!F$3</f>
        <v>79.652383965000055</v>
      </c>
      <c r="H19" s="92">
        <f>CLE!G$3</f>
        <v>0.48279000000000039</v>
      </c>
      <c r="I19" s="92">
        <f>CLE!H$3</f>
        <v>0.19283071500000015</v>
      </c>
      <c r="J19" s="92">
        <f>CLE!I$3</f>
        <v>4.8644749999999997</v>
      </c>
      <c r="K19" s="92">
        <f>CLE!J$3</f>
        <v>16.782438750000001</v>
      </c>
      <c r="L19" s="92">
        <f>CLE!K$3</f>
        <v>8.7560549999999987E-2</v>
      </c>
      <c r="M19" s="92">
        <f t="shared" si="0"/>
        <v>7.031616461100004</v>
      </c>
      <c r="N1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7.1280318186000038</v>
      </c>
      <c r="O19" s="94">
        <v>0</v>
      </c>
    </row>
    <row r="20" spans="1:15" x14ac:dyDescent="0.2">
      <c r="A20" s="90">
        <f>IF(TableQBMaster[[#This Row],[Player]]&lt;&gt;0,A19+1,A19)</f>
        <v>17</v>
      </c>
      <c r="B20" s="91" t="str">
        <f>DAL!A$2</f>
        <v>Dak Prescott</v>
      </c>
      <c r="C20" s="91" t="s">
        <v>101</v>
      </c>
      <c r="D20" s="91">
        <f>DAL!C$2</f>
        <v>7</v>
      </c>
      <c r="E20" s="92">
        <f>DAL!D$2</f>
        <v>609.83243999999991</v>
      </c>
      <c r="F20" s="92">
        <f>DAL!E$2</f>
        <v>412.85656187999996</v>
      </c>
      <c r="G20" s="92">
        <f>DAL!F$2</f>
        <v>4582.7078368679995</v>
      </c>
      <c r="H20" s="92">
        <f>DAL!G$2</f>
        <v>32.321119319999994</v>
      </c>
      <c r="I20" s="92">
        <f>DAL!H$2</f>
        <v>7.8442746757199986</v>
      </c>
      <c r="J20" s="92">
        <f>DAL!I$2</f>
        <v>45.444756000000005</v>
      </c>
      <c r="K20" s="92">
        <f>DAL!J$2</f>
        <v>210.86366784000001</v>
      </c>
      <c r="L20" s="92">
        <f>DAL!K$2</f>
        <v>1.4087874360000001</v>
      </c>
      <c r="M20" s="92">
        <f t="shared" si="0"/>
        <v>330.36547014113995</v>
      </c>
      <c r="N2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334.28760747900003</v>
      </c>
      <c r="O20" s="94">
        <v>14.963176810803908</v>
      </c>
    </row>
    <row r="21" spans="1:15" x14ac:dyDescent="0.2">
      <c r="A21" s="90">
        <f>IF(TableQBMaster[[#This Row],[Player]]&lt;&gt;0,A20+1,A20)</f>
        <v>18</v>
      </c>
      <c r="B21" s="91" t="str">
        <f>DAL!A$3</f>
        <v>Trey Lance</v>
      </c>
      <c r="C21" s="91" t="s">
        <v>101</v>
      </c>
      <c r="D21" s="91">
        <f>DAL!C$3</f>
        <v>7</v>
      </c>
      <c r="E21" s="92">
        <f>DAL!D$3</f>
        <v>12.445560000000009</v>
      </c>
      <c r="F21" s="92">
        <f>DAL!E$3</f>
        <v>7.4797815600000055</v>
      </c>
      <c r="G21" s="92">
        <f>DAL!F$3</f>
        <v>81.15562992600006</v>
      </c>
      <c r="H21" s="92">
        <f>DAL!G$3</f>
        <v>0.4480401600000003</v>
      </c>
      <c r="I21" s="92">
        <f>DAL!H$3</f>
        <v>0.17951475744000014</v>
      </c>
      <c r="J21" s="92">
        <f>DAL!I$3</f>
        <v>2.2722378000000001</v>
      </c>
      <c r="K21" s="92">
        <f>DAL!J$3</f>
        <v>5.6578721220000006</v>
      </c>
      <c r="L21" s="92">
        <f>DAL!K$3</f>
        <v>4.5444756000000003E-2</v>
      </c>
      <c r="M21" s="92">
        <f t="shared" si="0"/>
        <v>5.6075694490800032</v>
      </c>
      <c r="N2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5.697326827800004</v>
      </c>
      <c r="O21" s="94">
        <v>0</v>
      </c>
    </row>
    <row r="22" spans="1:15" x14ac:dyDescent="0.2">
      <c r="A22" s="90">
        <f>IF(TableQBMaster[[#This Row],[Player]]&lt;&gt;0,A21+1,A21)</f>
        <v>19</v>
      </c>
      <c r="B22" s="91" t="str">
        <f>DEN!A$2</f>
        <v>Bo Nix</v>
      </c>
      <c r="C22" s="91" t="s">
        <v>102</v>
      </c>
      <c r="D22" s="91">
        <f>DEN!C$2</f>
        <v>9</v>
      </c>
      <c r="E22" s="92">
        <f>DEN!D$2</f>
        <v>436.88625000000002</v>
      </c>
      <c r="F22" s="92">
        <f>DEN!E$2</f>
        <v>273.05390625000001</v>
      </c>
      <c r="G22" s="92">
        <f>DEN!F$2</f>
        <v>2968.0959609375</v>
      </c>
      <c r="H22" s="92">
        <f>DEN!G$2</f>
        <v>17.475450000000002</v>
      </c>
      <c r="I22" s="92">
        <f>DEN!H$2</f>
        <v>5.4610781250000002</v>
      </c>
      <c r="J22" s="92">
        <f>DEN!I$2</f>
        <v>30.766071000000007</v>
      </c>
      <c r="K22" s="92">
        <f>DEN!J$2</f>
        <v>123.37194471000002</v>
      </c>
      <c r="L22" s="92">
        <f>DEN!K$2</f>
        <v>0.92298213000000018</v>
      </c>
      <c r="M22" s="92">
        <f t="shared" si="0"/>
        <v>198.309108501</v>
      </c>
      <c r="N2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201.03964756350001</v>
      </c>
      <c r="O22" s="94">
        <v>0</v>
      </c>
    </row>
    <row r="23" spans="1:15" x14ac:dyDescent="0.2">
      <c r="A23" s="90">
        <f>IF(TableQBMaster[[#This Row],[Player]]&lt;&gt;0,A22+1,A22)</f>
        <v>20</v>
      </c>
      <c r="B23" s="91" t="str">
        <f>DEN!A$3</f>
        <v>Zach Wilson</v>
      </c>
      <c r="C23" s="91" t="s">
        <v>102</v>
      </c>
      <c r="D23" s="91">
        <f>DEN!C$3</f>
        <v>9</v>
      </c>
      <c r="E23" s="92">
        <f>DEN!D$3</f>
        <v>87.377249999999989</v>
      </c>
      <c r="F23" s="92">
        <f>DEN!E$3</f>
        <v>51.72733199999999</v>
      </c>
      <c r="G23" s="92">
        <f>DEN!F$3</f>
        <v>555.55154567999989</v>
      </c>
      <c r="H23" s="92">
        <f>DEN!G$3</f>
        <v>3.1455809999999995</v>
      </c>
      <c r="I23" s="92">
        <f>DEN!H$3</f>
        <v>1.2931832999999999</v>
      </c>
      <c r="J23" s="92">
        <f>DEN!I$3</f>
        <v>4.3951530000000005</v>
      </c>
      <c r="K23" s="92">
        <f>DEN!J$3</f>
        <v>19.558430850000004</v>
      </c>
      <c r="L23" s="92">
        <f>DEN!K$3</f>
        <v>0.12306428400000002</v>
      </c>
      <c r="M23" s="92">
        <f t="shared" si="0"/>
        <v>35.558839666199994</v>
      </c>
      <c r="N2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36.205431316199991</v>
      </c>
      <c r="O23" s="94">
        <v>0</v>
      </c>
    </row>
    <row r="24" spans="1:15" x14ac:dyDescent="0.2">
      <c r="A24" s="90">
        <f>IF(TableQBMaster[[#This Row],[Player]]&lt;&gt;0,A23+1,A23)</f>
        <v>21</v>
      </c>
      <c r="B24" s="91" t="str">
        <f>DET!A$2</f>
        <v>Jared Goff</v>
      </c>
      <c r="C24" s="91" t="s">
        <v>103</v>
      </c>
      <c r="D24" s="91">
        <f>DET!C$2</f>
        <v>9</v>
      </c>
      <c r="E24" s="92">
        <f>DET!D$2</f>
        <v>592.67459999999994</v>
      </c>
      <c r="F24" s="92">
        <f>DET!E$2</f>
        <v>399.46268040000001</v>
      </c>
      <c r="G24" s="92">
        <f>DET!F$2</f>
        <v>4505.9390349119994</v>
      </c>
      <c r="H24" s="92">
        <f>DET!G$2</f>
        <v>30.226404599999995</v>
      </c>
      <c r="I24" s="92">
        <f>DET!H$2</f>
        <v>6.7908655668000009</v>
      </c>
      <c r="J24" s="92">
        <f>DET!I$2</f>
        <v>31.297378000000009</v>
      </c>
      <c r="K24" s="92">
        <f>DET!J$2</f>
        <v>56.961227960000016</v>
      </c>
      <c r="L24" s="92">
        <f>DET!K$2</f>
        <v>1.0328134740000003</v>
      </c>
      <c r="M24" s="92">
        <f t="shared" si="0"/>
        <v>302.84988508627998</v>
      </c>
      <c r="N2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306.24531786967998</v>
      </c>
      <c r="O24" s="94">
        <v>0</v>
      </c>
    </row>
    <row r="25" spans="1:15" x14ac:dyDescent="0.2">
      <c r="A25" s="90">
        <f>IF(TableQBMaster[[#This Row],[Player]]&lt;&gt;0,A24+1,A24)</f>
        <v>22</v>
      </c>
      <c r="B25" s="91" t="str">
        <f>DET!A$3</f>
        <v>Hendon Hooker</v>
      </c>
      <c r="C25" s="91" t="s">
        <v>103</v>
      </c>
      <c r="D25" s="91">
        <f>DET!C$3</f>
        <v>9</v>
      </c>
      <c r="E25" s="92">
        <f>DET!D$3</f>
        <v>12.09540000000001</v>
      </c>
      <c r="F25" s="92">
        <f>DET!E$3</f>
        <v>7.4870526000000064</v>
      </c>
      <c r="G25" s="92">
        <f>DET!F$3</f>
        <v>85.082865746400074</v>
      </c>
      <c r="H25" s="92">
        <f>DET!G$3</f>
        <v>0.50800680000000042</v>
      </c>
      <c r="I25" s="92">
        <f>DET!H$3</f>
        <v>0.11230578900000009</v>
      </c>
      <c r="J25" s="92">
        <f>DET!I$3</f>
        <v>0</v>
      </c>
      <c r="K25" s="92">
        <f>DET!J$3</f>
        <v>0</v>
      </c>
      <c r="L25" s="92">
        <f>DET!K$3</f>
        <v>0</v>
      </c>
      <c r="M25" s="92">
        <f t="shared" si="0"/>
        <v>5.2668831463560046</v>
      </c>
      <c r="N2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5.3230360408560049</v>
      </c>
      <c r="O25" s="94">
        <v>0</v>
      </c>
    </row>
    <row r="26" spans="1:15" x14ac:dyDescent="0.2">
      <c r="A26" s="90">
        <f>IF(TableQBMaster[[#This Row],[Player]]&lt;&gt;0,A25+1,A25)</f>
        <v>23</v>
      </c>
      <c r="B26" s="91" t="str">
        <f>GB!A$2</f>
        <v>Jordan Love</v>
      </c>
      <c r="C26" s="91" t="s">
        <v>104</v>
      </c>
      <c r="D26" s="91">
        <f>GB!C$2</f>
        <v>6</v>
      </c>
      <c r="E26" s="92">
        <f>GB!D$2</f>
        <v>576.02160000000003</v>
      </c>
      <c r="F26" s="92">
        <f>GB!E$2</f>
        <v>380.75027760000006</v>
      </c>
      <c r="G26" s="92">
        <f>GB!F$2</f>
        <v>4351.9756729680003</v>
      </c>
      <c r="H26" s="92">
        <f>GB!G$2</f>
        <v>32.257209600000003</v>
      </c>
      <c r="I26" s="92">
        <f>GB!H$2</f>
        <v>7.6150055520000013</v>
      </c>
      <c r="J26" s="92">
        <f>GB!I$2</f>
        <v>49.281847999999997</v>
      </c>
      <c r="K26" s="92">
        <f>GB!J$2</f>
        <v>219.79704207999998</v>
      </c>
      <c r="L26" s="92">
        <f>GB!K$2</f>
        <v>1.5770191359999999</v>
      </c>
      <c r="M26" s="92">
        <f t="shared" si="0"/>
        <v>323.12717601472002</v>
      </c>
      <c r="N2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326.93467879072</v>
      </c>
      <c r="O26" s="94">
        <v>16.118099546479993</v>
      </c>
    </row>
    <row r="27" spans="1:15" x14ac:dyDescent="0.2">
      <c r="A27" s="90">
        <f>IF(TableQBMaster[[#This Row],[Player]]&lt;&gt;0,A26+1,A26)</f>
        <v>24</v>
      </c>
      <c r="B27" s="91" t="str">
        <f>GB!A$3</f>
        <v>Sean Clifford</v>
      </c>
      <c r="C27" s="91" t="s">
        <v>104</v>
      </c>
      <c r="D27" s="91">
        <f>GB!C$3</f>
        <v>6</v>
      </c>
      <c r="E27" s="92">
        <f>GB!D$3</f>
        <v>5.8184000000000058</v>
      </c>
      <c r="F27" s="92">
        <f>GB!E$3</f>
        <v>3.4910400000000035</v>
      </c>
      <c r="G27" s="92">
        <f>GB!F$3</f>
        <v>36.655920000000037</v>
      </c>
      <c r="H27" s="92">
        <f>GB!G$3</f>
        <v>0.19782560000000021</v>
      </c>
      <c r="I27" s="92">
        <f>GB!H$3</f>
        <v>8.3784960000000089E-2</v>
      </c>
      <c r="J27" s="92">
        <f>GB!I$3</f>
        <v>0</v>
      </c>
      <c r="K27" s="92">
        <f>GB!J$3</f>
        <v>0</v>
      </c>
      <c r="L27" s="92">
        <f>GB!K$3</f>
        <v>0</v>
      </c>
      <c r="M27" s="92">
        <f t="shared" si="0"/>
        <v>2.1318617600000023</v>
      </c>
      <c r="N2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2.1737542400000023</v>
      </c>
      <c r="O27" s="94">
        <v>0</v>
      </c>
    </row>
    <row r="28" spans="1:15" x14ac:dyDescent="0.2">
      <c r="A28" s="90">
        <f>IF(TableQBMaster[[#This Row],[Player]]&lt;&gt;0,A27+1,A27)</f>
        <v>25</v>
      </c>
      <c r="B28" s="91" t="str">
        <f>HOU!A$3</f>
        <v>Case Keenum</v>
      </c>
      <c r="C28" s="91" t="s">
        <v>105</v>
      </c>
      <c r="D28" s="91">
        <f>HOU!C$3</f>
        <v>7</v>
      </c>
      <c r="E28" s="92">
        <f>HOU!D$3</f>
        <v>6.0735999999999999</v>
      </c>
      <c r="F28" s="92">
        <f>HOU!E$3</f>
        <v>3.826368</v>
      </c>
      <c r="G28" s="92">
        <f>HOU!F$3</f>
        <v>42.090048000000003</v>
      </c>
      <c r="H28" s="92">
        <f>HOU!G$3</f>
        <v>0.1153984</v>
      </c>
      <c r="I28" s="92">
        <f>HOU!H$3</f>
        <v>7.2700991999999992E-2</v>
      </c>
      <c r="J28" s="92">
        <f>HOU!I$3</f>
        <v>0</v>
      </c>
      <c r="K28" s="92">
        <f>HOU!J$3</f>
        <v>0</v>
      </c>
      <c r="L28" s="92">
        <f>HOU!K$3</f>
        <v>0</v>
      </c>
      <c r="M28" s="92">
        <f t="shared" si="0"/>
        <v>2.0361440320000002</v>
      </c>
      <c r="N2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2.072494528</v>
      </c>
      <c r="O28" s="94">
        <v>0</v>
      </c>
    </row>
    <row r="29" spans="1:15" x14ac:dyDescent="0.2">
      <c r="A29" s="90">
        <f>IF(TableQBMaster[[#This Row],[Player]]&lt;&gt;0,A28+1,A28)</f>
        <v>26</v>
      </c>
      <c r="B29" s="91" t="str">
        <f>HOU!A$2</f>
        <v>C.J. Stroud</v>
      </c>
      <c r="C29" s="91" t="s">
        <v>105</v>
      </c>
      <c r="D29" s="91">
        <f>HOU!C$2</f>
        <v>7</v>
      </c>
      <c r="E29" s="92">
        <f>HOU!D$2</f>
        <v>601.28639999999996</v>
      </c>
      <c r="F29" s="92">
        <f>HOU!E$2</f>
        <v>394.44387840000002</v>
      </c>
      <c r="G29" s="92">
        <f>HOU!F$2</f>
        <v>4654.4377651200002</v>
      </c>
      <c r="H29" s="92">
        <f>HOU!G$2</f>
        <v>31.266892799999997</v>
      </c>
      <c r="I29" s="92">
        <f>HOU!H$2</f>
        <v>5.9166581760000003</v>
      </c>
      <c r="J29" s="92">
        <f>HOU!I$2</f>
        <v>38.937600000000003</v>
      </c>
      <c r="K29" s="92">
        <f>HOU!J$2</f>
        <v>161.59104000000002</v>
      </c>
      <c r="L29" s="92">
        <f>HOU!K$2</f>
        <v>1.5575040000000002</v>
      </c>
      <c r="M29" s="92">
        <f t="shared" si="0"/>
        <v>327.87422254080002</v>
      </c>
      <c r="N2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330.83255162880005</v>
      </c>
      <c r="O29" s="94">
        <v>0</v>
      </c>
    </row>
    <row r="30" spans="1:15" x14ac:dyDescent="0.2">
      <c r="A30" s="90">
        <f>IF(TableQBMaster[[#This Row],[Player]]&lt;&gt;0,A29+1,A29)</f>
        <v>26</v>
      </c>
      <c r="B30" s="91">
        <f>HOU!A$4</f>
        <v>0</v>
      </c>
      <c r="C30" s="91" t="s">
        <v>105</v>
      </c>
      <c r="D30" s="91">
        <f>HOU!C$4</f>
        <v>7</v>
      </c>
      <c r="E30" s="92">
        <f>HOU!D$4</f>
        <v>0</v>
      </c>
      <c r="F30" s="92">
        <f>HOU!E$4</f>
        <v>0</v>
      </c>
      <c r="G30" s="92">
        <f>HOU!F$4</f>
        <v>0</v>
      </c>
      <c r="H30" s="92">
        <f>HOU!G$4</f>
        <v>0</v>
      </c>
      <c r="I30" s="92">
        <f>HOU!H$4</f>
        <v>0</v>
      </c>
      <c r="J30" s="92">
        <f>HOU!I$4</f>
        <v>0</v>
      </c>
      <c r="K30" s="92">
        <f>HOU!J$4</f>
        <v>0</v>
      </c>
      <c r="L30" s="92">
        <f>HOU!K$4</f>
        <v>0</v>
      </c>
      <c r="M30" s="92">
        <f t="shared" si="0"/>
        <v>0</v>
      </c>
      <c r="N3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30" s="94">
        <v>0</v>
      </c>
    </row>
    <row r="31" spans="1:15" x14ac:dyDescent="0.2">
      <c r="A31" s="90">
        <f>IF(TableQBMaster[[#This Row],[Player]]&lt;&gt;0,A30+1,A30)</f>
        <v>27</v>
      </c>
      <c r="B31" s="91" t="str">
        <f>IND!A$2</f>
        <v>Anthony Richardson</v>
      </c>
      <c r="C31" s="91" t="s">
        <v>106</v>
      </c>
      <c r="D31" s="91">
        <f>IND!C$2</f>
        <v>11</v>
      </c>
      <c r="E31" s="92">
        <f>IND!D$2</f>
        <v>520.20100000000002</v>
      </c>
      <c r="F31" s="92">
        <f>IND!E$2</f>
        <v>321.484218</v>
      </c>
      <c r="G31" s="92">
        <f>IND!F$2</f>
        <v>3680.9942960999997</v>
      </c>
      <c r="H31" s="92">
        <f>IND!G$2</f>
        <v>20.808040000000002</v>
      </c>
      <c r="I31" s="92">
        <f>IND!H$2</f>
        <v>6.1082001419999994</v>
      </c>
      <c r="J31" s="92">
        <f>IND!I$2</f>
        <v>131.61733199999998</v>
      </c>
      <c r="K31" s="92">
        <f>IND!J$2</f>
        <v>662.03517995999994</v>
      </c>
      <c r="L31" s="92">
        <f>IND!K$2</f>
        <v>7.8970399199999983</v>
      </c>
      <c r="M31" s="92">
        <f t="shared" si="0"/>
        <v>334.89538914699995</v>
      </c>
      <c r="N3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337.949489218</v>
      </c>
      <c r="O31" s="94">
        <v>0</v>
      </c>
    </row>
    <row r="32" spans="1:15" x14ac:dyDescent="0.2">
      <c r="A32" s="90">
        <f>IF(TableQBMaster[[#This Row],[Player]]&lt;&gt;0,A31+1,A31)</f>
        <v>28</v>
      </c>
      <c r="B32" s="91" t="str">
        <f>IND!A$3</f>
        <v>Joe Flacco</v>
      </c>
      <c r="C32" s="91" t="s">
        <v>106</v>
      </c>
      <c r="D32" s="91">
        <f>IND!C$3</f>
        <v>11</v>
      </c>
      <c r="E32" s="92">
        <f>IND!D$3</f>
        <v>27.379000000000026</v>
      </c>
      <c r="F32" s="92">
        <f>IND!E$3</f>
        <v>17.440423000000017</v>
      </c>
      <c r="G32" s="92">
        <f>IND!F$3</f>
        <v>200.73926873000019</v>
      </c>
      <c r="H32" s="92">
        <f>IND!G$3</f>
        <v>1.095160000000001</v>
      </c>
      <c r="I32" s="92">
        <f>IND!H$3</f>
        <v>0.41857015200000042</v>
      </c>
      <c r="J32" s="92">
        <f>IND!I$3</f>
        <v>0</v>
      </c>
      <c r="K32" s="92">
        <f>IND!J$3</f>
        <v>0</v>
      </c>
      <c r="L32" s="92">
        <f>IND!K$3</f>
        <v>0</v>
      </c>
      <c r="M32" s="92">
        <f t="shared" si="0"/>
        <v>11.78235552120001</v>
      </c>
      <c r="N3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11.991640597200011</v>
      </c>
      <c r="O32" s="94">
        <v>0</v>
      </c>
    </row>
    <row r="33" spans="1:15" x14ac:dyDescent="0.2">
      <c r="A33" s="90">
        <f>IF(TableQBMaster[[#This Row],[Player]]&lt;&gt;0,A32+1,A32)</f>
        <v>29</v>
      </c>
      <c r="B33" s="91" t="str">
        <f>JAX!A$2</f>
        <v>Trevor Lawrence</v>
      </c>
      <c r="C33" s="91" t="s">
        <v>124</v>
      </c>
      <c r="D33" s="91">
        <f>JAX!C$2</f>
        <v>9</v>
      </c>
      <c r="E33" s="92">
        <f>JAX!D$2</f>
        <v>610.42409999999995</v>
      </c>
      <c r="F33" s="92">
        <f>JAX!E$2</f>
        <v>396.775665</v>
      </c>
      <c r="G33" s="92">
        <f>JAX!F$2</f>
        <v>4407.3840868200004</v>
      </c>
      <c r="H33" s="92">
        <f>JAX!G$2</f>
        <v>25.0273881</v>
      </c>
      <c r="I33" s="92">
        <f>JAX!H$2</f>
        <v>8.332288965</v>
      </c>
      <c r="J33" s="92">
        <f>JAX!I$2</f>
        <v>60.01265200000001</v>
      </c>
      <c r="K33" s="92">
        <f>JAX!J$2</f>
        <v>282.05946440000008</v>
      </c>
      <c r="L33" s="92">
        <f>JAX!K$2</f>
        <v>2.2204681240000004</v>
      </c>
      <c r="M33" s="92">
        <f t="shared" si="0"/>
        <v>305.43523760929997</v>
      </c>
      <c r="N3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309.60138209180002</v>
      </c>
      <c r="O33" s="94">
        <v>6.07799409151934</v>
      </c>
    </row>
    <row r="34" spans="1:15" x14ac:dyDescent="0.2">
      <c r="A34" s="90">
        <f>IF(TableQBMaster[[#This Row],[Player]]&lt;&gt;0,A33+1,A33)</f>
        <v>30</v>
      </c>
      <c r="B34" s="91" t="str">
        <f>JAX!A$3</f>
        <v>Mac Jones</v>
      </c>
      <c r="C34" s="91" t="s">
        <v>124</v>
      </c>
      <c r="D34" s="91">
        <f>JAX!C$3</f>
        <v>9</v>
      </c>
      <c r="E34" s="92">
        <f>JAX!D$3</f>
        <v>6.165900000000005</v>
      </c>
      <c r="F34" s="92">
        <f>JAX!E$3</f>
        <v>4.0633281000000032</v>
      </c>
      <c r="G34" s="92">
        <f>JAX!F$3</f>
        <v>42.86811145500004</v>
      </c>
      <c r="H34" s="92">
        <f>JAX!G$3</f>
        <v>0.24663600000000022</v>
      </c>
      <c r="I34" s="92">
        <f>JAX!H$3</f>
        <v>0.10158320250000008</v>
      </c>
      <c r="J34" s="92">
        <f>JAX!I$3</f>
        <v>0</v>
      </c>
      <c r="K34" s="92">
        <f>JAX!J$3</f>
        <v>0</v>
      </c>
      <c r="L34" s="92">
        <f>JAX!K$3</f>
        <v>0</v>
      </c>
      <c r="M34" s="92">
        <f t="shared" si="0"/>
        <v>2.5488936544500023</v>
      </c>
      <c r="N3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2.5996852557000025</v>
      </c>
      <c r="O34" s="94">
        <v>0</v>
      </c>
    </row>
    <row r="35" spans="1:15" x14ac:dyDescent="0.2">
      <c r="A35" s="90">
        <f>IF(TableQBMaster[[#This Row],[Player]]&lt;&gt;0,A34+1,A34)</f>
        <v>31</v>
      </c>
      <c r="B35" s="91" t="str">
        <f>KC!A$2</f>
        <v>Patrick Mahomes</v>
      </c>
      <c r="C35" s="91" t="s">
        <v>108</v>
      </c>
      <c r="D35" s="91">
        <f>KC!C$2</f>
        <v>10</v>
      </c>
      <c r="E35" s="92">
        <f>KC!D$2</f>
        <v>636.76799999999992</v>
      </c>
      <c r="F35" s="92">
        <f>KC!E$2</f>
        <v>425.99779199999995</v>
      </c>
      <c r="G35" s="92">
        <f>KC!F$2</f>
        <v>4840.6129104959991</v>
      </c>
      <c r="H35" s="92">
        <f>KC!G$2</f>
        <v>35.022239999999996</v>
      </c>
      <c r="I35" s="92">
        <f>KC!H$2</f>
        <v>7.6679602559999989</v>
      </c>
      <c r="J35" s="92">
        <f>KC!I$2</f>
        <v>58.831360000000011</v>
      </c>
      <c r="K35" s="92">
        <f>KC!J$2</f>
        <v>318.86597120000005</v>
      </c>
      <c r="L35" s="92">
        <f>KC!K$2</f>
        <v>1.4707840000000003</v>
      </c>
      <c r="M35" s="92">
        <f t="shared" si="0"/>
        <v>362.92283715583994</v>
      </c>
      <c r="N3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366.75681728383995</v>
      </c>
      <c r="O35" s="94">
        <v>24</v>
      </c>
    </row>
    <row r="36" spans="1:15" x14ac:dyDescent="0.2">
      <c r="A36" s="90">
        <f>IF(TableQBMaster[[#This Row],[Player]]&lt;&gt;0,A35+1,A35)</f>
        <v>32</v>
      </c>
      <c r="B36" s="91" t="str">
        <f>KC!A$3</f>
        <v>Carson Wentz</v>
      </c>
      <c r="C36" s="91" t="s">
        <v>108</v>
      </c>
      <c r="D36" s="91">
        <f>KC!C$3</f>
        <v>10</v>
      </c>
      <c r="E36" s="92">
        <f>KC!D$3</f>
        <v>6.4320000000000048</v>
      </c>
      <c r="F36" s="92">
        <f>KC!E$3</f>
        <v>3.9042240000000028</v>
      </c>
      <c r="G36" s="92">
        <f>KC!F$3</f>
        <v>41.150520960000023</v>
      </c>
      <c r="H36" s="92">
        <f>KC!G$3</f>
        <v>0.21868800000000019</v>
      </c>
      <c r="I36" s="92">
        <f>KC!H$3</f>
        <v>7.8084480000000053E-2</v>
      </c>
      <c r="J36" s="92">
        <f>KC!I$3</f>
        <v>0</v>
      </c>
      <c r="K36" s="92">
        <f>KC!J$3</f>
        <v>0</v>
      </c>
      <c r="L36" s="92">
        <f>KC!K$3</f>
        <v>0</v>
      </c>
      <c r="M36" s="92">
        <f t="shared" ref="M36:M69" si="3">(G36/25)+(H36*4)+(I36*-1.5)+(K36/10)+(L36*6)</f>
        <v>2.403646118400002</v>
      </c>
      <c r="N3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2.4426883584000016</v>
      </c>
      <c r="O36" s="94">
        <v>0</v>
      </c>
    </row>
    <row r="37" spans="1:15" x14ac:dyDescent="0.2">
      <c r="A37" s="90">
        <f>IF(TableQBMaster[[#This Row],[Player]]&lt;&gt;0,A36+1,A36)</f>
        <v>33</v>
      </c>
      <c r="B37" s="91" t="str">
        <f>LAC!A$2</f>
        <v>Justin Herbert</v>
      </c>
      <c r="C37" s="91" t="s">
        <v>109</v>
      </c>
      <c r="D37" s="91">
        <f>LAC!C$2</f>
        <v>5</v>
      </c>
      <c r="E37" s="92">
        <f>LAC!D$2</f>
        <v>564.05943000000002</v>
      </c>
      <c r="F37" s="92">
        <f>LAC!E$2</f>
        <v>368.89486722000004</v>
      </c>
      <c r="G37" s="92">
        <f>LAC!F$2</f>
        <v>4078.8705468515404</v>
      </c>
      <c r="H37" s="92">
        <f>LAC!G$2</f>
        <v>26.510793210000003</v>
      </c>
      <c r="I37" s="92">
        <f>LAC!H$2</f>
        <v>5.9023178755200005</v>
      </c>
      <c r="J37" s="92">
        <f>LAC!I$2</f>
        <v>67.398539600000007</v>
      </c>
      <c r="K37" s="92">
        <f>LAC!J$2</f>
        <v>297.901545032</v>
      </c>
      <c r="L37" s="92">
        <f>LAC!K$2</f>
        <v>2.6959415840000003</v>
      </c>
      <c r="M37" s="92">
        <f t="shared" si="3"/>
        <v>306.31032190798163</v>
      </c>
      <c r="N3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309.26148084574157</v>
      </c>
      <c r="O37" s="94">
        <v>12.05655843904823</v>
      </c>
    </row>
    <row r="38" spans="1:15" x14ac:dyDescent="0.2">
      <c r="A38" s="90">
        <f>IF(TableQBMaster[[#This Row],[Player]]&lt;&gt;0,A37+1,A37)</f>
        <v>34</v>
      </c>
      <c r="B38" s="91" t="str">
        <f>LAC!A$3</f>
        <v>Easton Stick</v>
      </c>
      <c r="C38" s="91" t="s">
        <v>109</v>
      </c>
      <c r="D38" s="91">
        <f>LAC!C$3</f>
        <v>5</v>
      </c>
      <c r="E38" s="92">
        <f>LAC!D$3</f>
        <v>5.697570000000006</v>
      </c>
      <c r="F38" s="92">
        <f>LAC!E$3</f>
        <v>3.4584249900000037</v>
      </c>
      <c r="G38" s="92">
        <f>LAC!F$3</f>
        <v>36.659304894000037</v>
      </c>
      <c r="H38" s="92">
        <f>LAC!G$3</f>
        <v>0.19371738000000022</v>
      </c>
      <c r="I38" s="92">
        <f>LAC!H$3</f>
        <v>6.9168499800000074E-2</v>
      </c>
      <c r="J38" s="92">
        <f>LAC!I$3</f>
        <v>0</v>
      </c>
      <c r="K38" s="92">
        <f>LAC!J$3</f>
        <v>0</v>
      </c>
      <c r="L38" s="92">
        <f>LAC!K$3</f>
        <v>0</v>
      </c>
      <c r="M38" s="92">
        <f t="shared" si="3"/>
        <v>2.1374889660600025</v>
      </c>
      <c r="N3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2.1720732159600025</v>
      </c>
      <c r="O38" s="94">
        <v>0</v>
      </c>
    </row>
    <row r="39" spans="1:15" x14ac:dyDescent="0.2">
      <c r="A39" s="90">
        <f>IF(TableQBMaster[[#This Row],[Player]]&lt;&gt;0,A38+1,A38)</f>
        <v>35</v>
      </c>
      <c r="B39" s="91" t="str">
        <f>LAR!A$2</f>
        <v>Matthew Stafford</v>
      </c>
      <c r="C39" s="91" t="s">
        <v>110</v>
      </c>
      <c r="D39" s="91">
        <f>LAR!C$2</f>
        <v>10</v>
      </c>
      <c r="E39" s="92">
        <f>LAR!D$2</f>
        <v>591.45023999999989</v>
      </c>
      <c r="F39" s="92">
        <f>LAR!E$2</f>
        <v>379.71105407999994</v>
      </c>
      <c r="G39" s="92">
        <f>LAR!F$2</f>
        <v>4491.2223476582394</v>
      </c>
      <c r="H39" s="92">
        <f>LAR!G$2</f>
        <v>28.389611519999995</v>
      </c>
      <c r="I39" s="92">
        <f>LAR!H$2</f>
        <v>7.9739321356799993</v>
      </c>
      <c r="J39" s="92">
        <f>LAR!I$2</f>
        <v>21.065394000000001</v>
      </c>
      <c r="K39" s="92">
        <f>LAR!J$2</f>
        <v>44.658635280000006</v>
      </c>
      <c r="L39" s="92">
        <f>LAR!K$2</f>
        <v>0.21065394000000001</v>
      </c>
      <c r="M39" s="92">
        <f t="shared" si="3"/>
        <v>286.97622895080951</v>
      </c>
      <c r="N3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290.96319501864951</v>
      </c>
      <c r="O39" s="94">
        <v>1.8629292270178726</v>
      </c>
    </row>
    <row r="40" spans="1:15" x14ac:dyDescent="0.2">
      <c r="A40" s="90">
        <f>IF(TableQBMaster[[#This Row],[Player]]&lt;&gt;0,A39+1,A39)</f>
        <v>36</v>
      </c>
      <c r="B40" s="91" t="str">
        <f>LAR!A$3</f>
        <v>Jimmy Garoppolo</v>
      </c>
      <c r="C40" s="91" t="s">
        <v>110</v>
      </c>
      <c r="D40" s="91">
        <f>LAR!C$3</f>
        <v>10</v>
      </c>
      <c r="E40" s="92">
        <f>LAR!D$3</f>
        <v>24.643760000000018</v>
      </c>
      <c r="F40" s="92">
        <f>LAR!E$3</f>
        <v>16.141662800000013</v>
      </c>
      <c r="G40" s="92">
        <f>LAR!F$3</f>
        <v>183.53070603600014</v>
      </c>
      <c r="H40" s="92">
        <f>LAR!G$3</f>
        <v>1.0843254400000006</v>
      </c>
      <c r="I40" s="92">
        <f>LAR!H$3</f>
        <v>0.40354157000000035</v>
      </c>
      <c r="J40" s="92">
        <f>LAR!I$3</f>
        <v>0</v>
      </c>
      <c r="K40" s="92">
        <f>LAR!J$3</f>
        <v>0</v>
      </c>
      <c r="L40" s="92">
        <f>LAR!K$3</f>
        <v>0</v>
      </c>
      <c r="M40" s="92">
        <f t="shared" si="3"/>
        <v>11.073217646440009</v>
      </c>
      <c r="N4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11.27498843144001</v>
      </c>
      <c r="O40" s="94">
        <v>0</v>
      </c>
    </row>
    <row r="41" spans="1:15" x14ac:dyDescent="0.2">
      <c r="A41" s="90">
        <f>IF(TableQBMaster[[#This Row],[Player]]&lt;&gt;0,A40+1,A40)</f>
        <v>37</v>
      </c>
      <c r="B41" s="91" t="str">
        <f>LV!A$2</f>
        <v>Gardner Minshew</v>
      </c>
      <c r="C41" s="91" t="s">
        <v>169</v>
      </c>
      <c r="D41" s="91">
        <f>LV!C$2</f>
        <v>13</v>
      </c>
      <c r="E41" s="92">
        <f>LV!D$2</f>
        <v>356.7</v>
      </c>
      <c r="F41" s="92">
        <f>LV!E$2</f>
        <v>226.50450000000001</v>
      </c>
      <c r="G41" s="92">
        <f>LV!F$2</f>
        <v>2498.3446349999999</v>
      </c>
      <c r="H41" s="92">
        <f>LV!G$2</f>
        <v>14.268000000000001</v>
      </c>
      <c r="I41" s="92">
        <f>LV!H$2</f>
        <v>4.0770809999999997</v>
      </c>
      <c r="J41" s="92">
        <f>LV!I$2</f>
        <v>16.875600000000002</v>
      </c>
      <c r="K41" s="92">
        <f>LV!J$2</f>
        <v>54.339432000000009</v>
      </c>
      <c r="L41" s="92">
        <f>LV!K$2</f>
        <v>0.67502400000000007</v>
      </c>
      <c r="M41" s="92">
        <f t="shared" si="3"/>
        <v>160.37425109999995</v>
      </c>
      <c r="N4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162.41279159999999</v>
      </c>
      <c r="O41" s="94">
        <v>0</v>
      </c>
    </row>
    <row r="42" spans="1:15" x14ac:dyDescent="0.2">
      <c r="A42" s="90">
        <f>IF(TableQBMaster[[#This Row],[Player]]&lt;&gt;0,A41+1,A41)</f>
        <v>38</v>
      </c>
      <c r="B42" s="91" t="str">
        <f>LV!A$3</f>
        <v>Aidan O'Connell</v>
      </c>
      <c r="C42" s="91" t="s">
        <v>169</v>
      </c>
      <c r="D42" s="91">
        <f>LV!C$3</f>
        <v>13</v>
      </c>
      <c r="E42" s="92">
        <f>LV!D$3</f>
        <v>237.8</v>
      </c>
      <c r="F42" s="92">
        <f>LV!E$3</f>
        <v>149.5762</v>
      </c>
      <c r="G42" s="92">
        <f>LV!F$3</f>
        <v>1631.876342</v>
      </c>
      <c r="H42" s="92">
        <f>LV!G$3</f>
        <v>8.7986000000000004</v>
      </c>
      <c r="I42" s="92">
        <f>LV!H$3</f>
        <v>3.2906763999999997</v>
      </c>
      <c r="J42" s="92">
        <f>LV!I$3</f>
        <v>4.2189000000000005</v>
      </c>
      <c r="K42" s="92">
        <f>LV!J$3</f>
        <v>9.7034700000000011</v>
      </c>
      <c r="L42" s="92">
        <f>LV!K$3</f>
        <v>8.4378000000000009E-2</v>
      </c>
      <c r="M42" s="92">
        <f t="shared" si="3"/>
        <v>97.010054080000003</v>
      </c>
      <c r="N4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98.655392280000015</v>
      </c>
      <c r="O42" s="94">
        <v>0</v>
      </c>
    </row>
    <row r="43" spans="1:15" x14ac:dyDescent="0.2">
      <c r="A43" s="90">
        <f>IF(TableQBMaster[[#This Row],[Player]]&lt;&gt;0,A42+1,A42)</f>
        <v>39</v>
      </c>
      <c r="B43" s="91" t="str">
        <f>MIA!A$2</f>
        <v>Tua Tagovailoa</v>
      </c>
      <c r="C43" s="91" t="s">
        <v>111</v>
      </c>
      <c r="D43" s="91">
        <f>MIA!C$2</f>
        <v>10</v>
      </c>
      <c r="E43" s="92">
        <f>MIA!D$2</f>
        <v>580.3471199999999</v>
      </c>
      <c r="F43" s="92">
        <f>MIA!E$2</f>
        <v>392.89500023999994</v>
      </c>
      <c r="G43" s="92">
        <f>MIA!F$2</f>
        <v>4636.1610028319992</v>
      </c>
      <c r="H43" s="92">
        <f>MIA!G$2</f>
        <v>28.437008879999997</v>
      </c>
      <c r="I43" s="92">
        <f>MIA!H$2</f>
        <v>8.6436900052799981</v>
      </c>
      <c r="J43" s="92">
        <f>MIA!I$2</f>
        <v>33.688793600000004</v>
      </c>
      <c r="K43" s="92">
        <f>MIA!J$2</f>
        <v>86.58019955200001</v>
      </c>
      <c r="L43" s="92">
        <f>MIA!K$2</f>
        <v>0.50533190400000005</v>
      </c>
      <c r="M43" s="92">
        <f t="shared" si="3"/>
        <v>297.91895200456003</v>
      </c>
      <c r="N4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302.2407970072</v>
      </c>
      <c r="O43" s="94">
        <v>0.7572092175449775</v>
      </c>
    </row>
    <row r="44" spans="1:15" x14ac:dyDescent="0.2">
      <c r="A44" s="90">
        <f>IF(TableQBMaster[[#This Row],[Player]]&lt;&gt;0,A43+1,A43)</f>
        <v>40</v>
      </c>
      <c r="B44" s="91" t="str">
        <f>MIA!A$3</f>
        <v>Mike White</v>
      </c>
      <c r="C44" s="91" t="s">
        <v>111</v>
      </c>
      <c r="D44" s="91">
        <f>MIA!C$3</f>
        <v>10</v>
      </c>
      <c r="E44" s="92">
        <f>MIA!D$3</f>
        <v>17.948880000000013</v>
      </c>
      <c r="F44" s="92">
        <f>MIA!E$3</f>
        <v>10.894970160000009</v>
      </c>
      <c r="G44" s="92">
        <f>MIA!F$3</f>
        <v>115.59563339760008</v>
      </c>
      <c r="H44" s="92">
        <f>MIA!G$3</f>
        <v>0.61026192000000046</v>
      </c>
      <c r="I44" s="92">
        <f>MIA!H$3</f>
        <v>0.21789940320000017</v>
      </c>
      <c r="J44" s="92">
        <f>MIA!I$3</f>
        <v>0</v>
      </c>
      <c r="K44" s="92">
        <f>MIA!J$3</f>
        <v>0</v>
      </c>
      <c r="L44" s="92">
        <f>MIA!K$3</f>
        <v>0</v>
      </c>
      <c r="M44" s="92">
        <f t="shared" si="3"/>
        <v>6.7380239111040057</v>
      </c>
      <c r="N4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6.8469736127040051</v>
      </c>
      <c r="O44" s="94">
        <v>0</v>
      </c>
    </row>
    <row r="45" spans="1:15" x14ac:dyDescent="0.2">
      <c r="A45" s="90">
        <f>IF(TableQBMaster[[#This Row],[Player]]&lt;&gt;0,A44+1,A44)</f>
        <v>41</v>
      </c>
      <c r="B45" s="91" t="str">
        <f>MIN!A$2</f>
        <v>J.J. McCarthy</v>
      </c>
      <c r="C45" s="91" t="s">
        <v>112</v>
      </c>
      <c r="D45" s="91">
        <f>MIN!C$2</f>
        <v>13</v>
      </c>
      <c r="E45" s="92">
        <f>MIN!D$2</f>
        <v>590.36400000000003</v>
      </c>
      <c r="F45" s="92">
        <f>MIN!E$2</f>
        <v>373.11004800000001</v>
      </c>
      <c r="G45" s="92">
        <f>MIN!F$2</f>
        <v>4139.6559825600007</v>
      </c>
      <c r="H45" s="92">
        <f>MIN!G$2</f>
        <v>24.204924000000002</v>
      </c>
      <c r="I45" s="92">
        <f>MIN!H$2</f>
        <v>9.3277511999999998</v>
      </c>
      <c r="J45" s="92">
        <f>MIN!I$2</f>
        <v>41.473600000000005</v>
      </c>
      <c r="K45" s="92">
        <f>MIN!J$2</f>
        <v>178.33648000000002</v>
      </c>
      <c r="L45" s="92">
        <f>MIN!K$2</f>
        <v>2.2810480000000002</v>
      </c>
      <c r="M45" s="92">
        <f t="shared" si="3"/>
        <v>279.93424450240002</v>
      </c>
      <c r="N4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284.59812010240006</v>
      </c>
      <c r="O45" s="94">
        <v>0</v>
      </c>
    </row>
    <row r="46" spans="1:15" x14ac:dyDescent="0.2">
      <c r="A46" s="90">
        <f>IF(TableQBMaster[[#This Row],[Player]]&lt;&gt;0,A45+1,A45)</f>
        <v>42</v>
      </c>
      <c r="B46" s="91" t="str">
        <f>MIN!A$3</f>
        <v>Sam Darnold</v>
      </c>
      <c r="C46" s="91" t="s">
        <v>112</v>
      </c>
      <c r="D46" s="91">
        <f>MIN!C$3</f>
        <v>13</v>
      </c>
      <c r="E46" s="92">
        <f>MIN!D$3</f>
        <v>38.087999999999994</v>
      </c>
      <c r="F46" s="92">
        <f>MIN!E$3</f>
        <v>24.414407999999998</v>
      </c>
      <c r="G46" s="92">
        <f>MIN!F$3</f>
        <v>270.07218129599994</v>
      </c>
      <c r="H46" s="92">
        <f>MIN!G$3</f>
        <v>1.4854319999999999</v>
      </c>
      <c r="I46" s="92">
        <f>MIN!H$3</f>
        <v>0.70801783200000001</v>
      </c>
      <c r="J46" s="92">
        <f>MIN!I$3</f>
        <v>2.07368</v>
      </c>
      <c r="K46" s="92">
        <f>MIN!J$3</f>
        <v>7.6933527999999995</v>
      </c>
      <c r="L46" s="92">
        <f>MIN!K$3</f>
        <v>8.2947199999999999E-2</v>
      </c>
      <c r="M46" s="92">
        <f t="shared" si="3"/>
        <v>16.949606983839995</v>
      </c>
      <c r="N4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17.303615899839997</v>
      </c>
      <c r="O46" s="94">
        <v>0</v>
      </c>
    </row>
    <row r="47" spans="1:15" x14ac:dyDescent="0.2">
      <c r="A47" s="90">
        <f>IF(TableQBMaster[[#This Row],[Player]]&lt;&gt;0,A46+1,A46)</f>
        <v>43</v>
      </c>
      <c r="B47" s="91" t="str">
        <f>NE!A$2</f>
        <v>Drake Maye</v>
      </c>
      <c r="C47" s="91" t="s">
        <v>113</v>
      </c>
      <c r="D47" s="91">
        <f>NE!C$2</f>
        <v>11</v>
      </c>
      <c r="E47" s="92">
        <f>NE!D$2</f>
        <v>477.22289999999998</v>
      </c>
      <c r="F47" s="92">
        <f>NE!E$2</f>
        <v>297.30986669999999</v>
      </c>
      <c r="G47" s="92">
        <f>NE!F$2</f>
        <v>3202.3245742257</v>
      </c>
      <c r="H47" s="92">
        <f>NE!G$2</f>
        <v>18.134470199999999</v>
      </c>
      <c r="I47" s="92">
        <f>NE!H$2</f>
        <v>5.3515776005999998</v>
      </c>
      <c r="J47" s="92">
        <f>NE!I$2</f>
        <v>60.854785600000014</v>
      </c>
      <c r="K47" s="92">
        <f>NE!J$2</f>
        <v>284.80039660800003</v>
      </c>
      <c r="L47" s="92">
        <f>NE!K$2</f>
        <v>2.5559009952000009</v>
      </c>
      <c r="M47" s="92">
        <f t="shared" si="3"/>
        <v>236.418943000128</v>
      </c>
      <c r="N4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239.09473180042801</v>
      </c>
      <c r="O47" s="94">
        <v>0</v>
      </c>
    </row>
    <row r="48" spans="1:15" x14ac:dyDescent="0.2">
      <c r="A48" s="90">
        <f>IF(TableQBMaster[[#This Row],[Player]]&lt;&gt;0,A47+1,A47)</f>
        <v>44</v>
      </c>
      <c r="B48" s="91" t="str">
        <f>NE!A$3</f>
        <v>Jacoby Brissett</v>
      </c>
      <c r="C48" s="91" t="s">
        <v>113</v>
      </c>
      <c r="D48" s="91">
        <f>NE!C$3</f>
        <v>11</v>
      </c>
      <c r="E48" s="92">
        <f>NE!D$3</f>
        <v>101.22909999999999</v>
      </c>
      <c r="F48" s="92">
        <f>NE!E$3</f>
        <v>63.673103899999994</v>
      </c>
      <c r="G48" s="92">
        <f>NE!F$3</f>
        <v>671.68757304109988</v>
      </c>
      <c r="H48" s="92">
        <f>NE!G$3</f>
        <v>3.2393311999999996</v>
      </c>
      <c r="I48" s="92">
        <f>NE!H$3</f>
        <v>1.0824427663</v>
      </c>
      <c r="J48" s="92">
        <f>NE!I$3</f>
        <v>0</v>
      </c>
      <c r="K48" s="92">
        <f>NE!J$3</f>
        <v>0</v>
      </c>
      <c r="L48" s="92">
        <f>NE!K$3</f>
        <v>0</v>
      </c>
      <c r="M48" s="92">
        <f t="shared" si="3"/>
        <v>38.201163572193998</v>
      </c>
      <c r="N4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38.742384955344001</v>
      </c>
      <c r="O48" s="94">
        <v>0</v>
      </c>
    </row>
    <row r="49" spans="1:15" x14ac:dyDescent="0.2">
      <c r="A49" s="90">
        <f>IF(TableQBMaster[[#This Row],[Player]]&lt;&gt;0,A48+1,A48)</f>
        <v>45</v>
      </c>
      <c r="B49" s="91" t="str">
        <f>NO!A$2</f>
        <v>Derek Carr</v>
      </c>
      <c r="C49" s="91" t="s">
        <v>114</v>
      </c>
      <c r="D49" s="91">
        <f>NO!C$2</f>
        <v>11</v>
      </c>
      <c r="E49" s="92">
        <f>NO!D$2</f>
        <v>555.98179999999991</v>
      </c>
      <c r="F49" s="92">
        <f>NO!E$2</f>
        <v>369.72789699999998</v>
      </c>
      <c r="G49" s="92">
        <f>NO!F$2</f>
        <v>4020.4211519780001</v>
      </c>
      <c r="H49" s="92">
        <f>NO!G$2</f>
        <v>23.907217399999993</v>
      </c>
      <c r="I49" s="92">
        <f>NO!H$2</f>
        <v>6.6551021459999991</v>
      </c>
      <c r="J49" s="92">
        <f>NO!I$2</f>
        <v>21.989044000000003</v>
      </c>
      <c r="K49" s="92">
        <f>NO!J$2</f>
        <v>57.391404840000007</v>
      </c>
      <c r="L49" s="92">
        <f>NO!K$2</f>
        <v>0.35182470400000004</v>
      </c>
      <c r="M49" s="92">
        <f t="shared" si="3"/>
        <v>254.31315116811999</v>
      </c>
      <c r="N4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257.64070224111998</v>
      </c>
      <c r="O49" s="94">
        <v>0</v>
      </c>
    </row>
    <row r="50" spans="1:15" x14ac:dyDescent="0.2">
      <c r="A50" s="90">
        <f>IF(TableQBMaster[[#This Row],[Player]]&lt;&gt;0,A49+1,A49)</f>
        <v>46</v>
      </c>
      <c r="B50" s="91" t="str">
        <f>NO!A$3</f>
        <v>Nathan Peterman</v>
      </c>
      <c r="C50" s="91" t="s">
        <v>114</v>
      </c>
      <c r="D50" s="91">
        <f>NO!C$3</f>
        <v>11</v>
      </c>
      <c r="E50" s="92">
        <f>NO!D$3</f>
        <v>11.704879999999999</v>
      </c>
      <c r="F50" s="92">
        <f>NO!E$3</f>
        <v>7.1048621599999997</v>
      </c>
      <c r="G50" s="92">
        <f>NO!F$3</f>
        <v>72.82483714</v>
      </c>
      <c r="H50" s="92">
        <f>NO!G$3</f>
        <v>0.39796592000000003</v>
      </c>
      <c r="I50" s="92">
        <f>NO!H$3</f>
        <v>0.1420972432</v>
      </c>
      <c r="J50" s="92">
        <f>NO!I$3</f>
        <v>2.1989044</v>
      </c>
      <c r="K50" s="92">
        <f>NO!J$3</f>
        <v>3.0564771159999999</v>
      </c>
      <c r="L50" s="92">
        <f>NO!K$3</f>
        <v>2.1989043999999999E-2</v>
      </c>
      <c r="M50" s="92">
        <f t="shared" si="3"/>
        <v>4.7292932763999991</v>
      </c>
      <c r="N5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4.8003418979999992</v>
      </c>
      <c r="O50" s="94">
        <v>0</v>
      </c>
    </row>
    <row r="51" spans="1:15" x14ac:dyDescent="0.2">
      <c r="A51" s="90">
        <f>IF(TableQBMaster[[#This Row],[Player]]&lt;&gt;0,A50+1,A50)</f>
        <v>46</v>
      </c>
      <c r="B51" s="91">
        <f>NO!A$4</f>
        <v>0</v>
      </c>
      <c r="C51" s="91" t="s">
        <v>114</v>
      </c>
      <c r="D51" s="91">
        <f>NO!C$4</f>
        <v>11</v>
      </c>
      <c r="E51" s="92">
        <f>NO!D$4</f>
        <v>0</v>
      </c>
      <c r="F51" s="92">
        <f>NO!E$4</f>
        <v>0</v>
      </c>
      <c r="G51" s="92">
        <f>NO!F$4</f>
        <v>0</v>
      </c>
      <c r="H51" s="92">
        <f>NO!G$4</f>
        <v>0</v>
      </c>
      <c r="I51" s="92">
        <f>NO!H$4</f>
        <v>0</v>
      </c>
      <c r="J51" s="92">
        <f>NO!I$4</f>
        <v>0</v>
      </c>
      <c r="K51" s="92">
        <f>NO!J$4</f>
        <v>0</v>
      </c>
      <c r="L51" s="92">
        <f>NO!K$4</f>
        <v>0</v>
      </c>
      <c r="M51" s="92">
        <f t="shared" si="3"/>
        <v>0</v>
      </c>
      <c r="N5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51" s="94">
        <v>0</v>
      </c>
    </row>
    <row r="52" spans="1:15" x14ac:dyDescent="0.2">
      <c r="A52" s="90">
        <f>IF(TableQBMaster[[#This Row],[Player]]&lt;&gt;0,A51+1,A51)</f>
        <v>47</v>
      </c>
      <c r="B52" s="91" t="str">
        <f>NYG!A$2</f>
        <v>Daniel Jones</v>
      </c>
      <c r="C52" s="91" t="s">
        <v>115</v>
      </c>
      <c r="D52" s="91">
        <f>NYG!C$2</f>
        <v>13</v>
      </c>
      <c r="E52" s="92">
        <f>NYG!D$2</f>
        <v>450.37799999999993</v>
      </c>
      <c r="F52" s="92">
        <f>NYG!E$2</f>
        <v>298.60061399999995</v>
      </c>
      <c r="G52" s="92">
        <f>NYG!F$2</f>
        <v>3023.6298173639993</v>
      </c>
      <c r="H52" s="92">
        <f>NYG!G$2</f>
        <v>15.312851999999999</v>
      </c>
      <c r="I52" s="92">
        <f>NYG!H$2</f>
        <v>6.2706128939999992</v>
      </c>
      <c r="J52" s="92">
        <f>NYG!I$2</f>
        <v>65.781912000000005</v>
      </c>
      <c r="K52" s="92">
        <f>NYG!J$2</f>
        <v>335.48775119999999</v>
      </c>
      <c r="L52" s="92">
        <f>NYG!K$2</f>
        <v>2.1050211840000004</v>
      </c>
      <c r="M52" s="92">
        <f t="shared" si="3"/>
        <v>218.96958357756</v>
      </c>
      <c r="N5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222.10489002455995</v>
      </c>
      <c r="O52" s="94">
        <v>2.2131778336992549</v>
      </c>
    </row>
    <row r="53" spans="1:15" x14ac:dyDescent="0.2">
      <c r="A53" s="90">
        <f>IF(TableQBMaster[[#This Row],[Player]]&lt;&gt;0,A52+1,A52)</f>
        <v>48</v>
      </c>
      <c r="B53" s="91" t="str">
        <f>NYG!A$3</f>
        <v>Drew Lock</v>
      </c>
      <c r="C53" s="91" t="s">
        <v>115</v>
      </c>
      <c r="D53" s="91">
        <f>NYG!C$3</f>
        <v>13</v>
      </c>
      <c r="E53" s="92">
        <f>NYG!D$3</f>
        <v>150.12599999999998</v>
      </c>
      <c r="F53" s="92">
        <f>NYG!E$3</f>
        <v>92.327489999999983</v>
      </c>
      <c r="G53" s="92">
        <f>NYG!F$3</f>
        <v>1019.1108346199999</v>
      </c>
      <c r="H53" s="92">
        <f>NYG!G$3</f>
        <v>5.4045359999999985</v>
      </c>
      <c r="I53" s="92">
        <f>NYG!H$3</f>
        <v>2.2158597599999998</v>
      </c>
      <c r="J53" s="92">
        <f>NYG!I$3</f>
        <v>8.7709216000000012</v>
      </c>
      <c r="K53" s="92">
        <f>NYG!J$3</f>
        <v>33.768048160000006</v>
      </c>
      <c r="L53" s="92">
        <f>NYG!K$3</f>
        <v>0.22804396160000001</v>
      </c>
      <c r="M53" s="92">
        <f t="shared" si="3"/>
        <v>63.803856330399988</v>
      </c>
      <c r="N5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64.911786210399995</v>
      </c>
      <c r="O53" s="94">
        <v>0</v>
      </c>
    </row>
    <row r="54" spans="1:15" x14ac:dyDescent="0.2">
      <c r="A54" s="90">
        <f>IF(TableQBMaster[[#This Row],[Player]]&lt;&gt;0,A53+1,A53)</f>
        <v>49</v>
      </c>
      <c r="B54" s="91" t="str">
        <f>NYJ!A$2</f>
        <v>Aaron Rodgers</v>
      </c>
      <c r="C54" s="91" t="s">
        <v>116</v>
      </c>
      <c r="D54" s="91">
        <f>NYJ!C$2</f>
        <v>7</v>
      </c>
      <c r="E54" s="92">
        <f>NYJ!D$2</f>
        <v>592.51191999999992</v>
      </c>
      <c r="F54" s="92">
        <f>NYJ!E$2</f>
        <v>382.17018839999997</v>
      </c>
      <c r="G54" s="92">
        <f>NYJ!F$2</f>
        <v>4314.7014270359996</v>
      </c>
      <c r="H54" s="92">
        <f>NYJ!G$2</f>
        <v>29.625595999999998</v>
      </c>
      <c r="I54" s="92">
        <f>NYJ!H$2</f>
        <v>6.1147230144</v>
      </c>
      <c r="J54" s="92">
        <f>NYJ!I$2</f>
        <v>31.034365600000008</v>
      </c>
      <c r="K54" s="92">
        <f>NYJ!J$2</f>
        <v>93.413440456000018</v>
      </c>
      <c r="L54" s="92">
        <f>NYJ!K$2</f>
        <v>0.83792787120000023</v>
      </c>
      <c r="M54" s="92">
        <f t="shared" si="3"/>
        <v>296.28726783263994</v>
      </c>
      <c r="N5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299.34462933983997</v>
      </c>
      <c r="O54" s="94">
        <v>0</v>
      </c>
    </row>
    <row r="55" spans="1:15" x14ac:dyDescent="0.2">
      <c r="A55" s="90">
        <f>IF(TableQBMaster[[#This Row],[Player]]&lt;&gt;0,A54+1,A54)</f>
        <v>50</v>
      </c>
      <c r="B55" s="91" t="str">
        <f>NYJ!A$3</f>
        <v>Tyrod Taylor</v>
      </c>
      <c r="C55" s="91" t="s">
        <v>116</v>
      </c>
      <c r="D55" s="91">
        <f>NYJ!C$3</f>
        <v>7</v>
      </c>
      <c r="E55" s="92">
        <f>NYJ!D$3</f>
        <v>12.092079999999999</v>
      </c>
      <c r="F55" s="92">
        <f>NYJ!E$3</f>
        <v>7.3398925599999991</v>
      </c>
      <c r="G55" s="92">
        <f>NYJ!F$3</f>
        <v>77.876260061599993</v>
      </c>
      <c r="H55" s="92">
        <f>NYJ!G$3</f>
        <v>0.41113072000000001</v>
      </c>
      <c r="I55" s="92">
        <f>NYJ!H$3</f>
        <v>0.1467978512</v>
      </c>
      <c r="J55" s="92">
        <f>NYJ!I$3</f>
        <v>2.2167404000000004</v>
      </c>
      <c r="K55" s="92">
        <f>NYJ!J$3</f>
        <v>4.8768288800000015</v>
      </c>
      <c r="L55" s="92">
        <f>NYJ!K$3</f>
        <v>0</v>
      </c>
      <c r="M55" s="92">
        <f t="shared" si="3"/>
        <v>5.0270593936639996</v>
      </c>
      <c r="N5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5.1004583192640007</v>
      </c>
      <c r="O55" s="94">
        <v>0</v>
      </c>
    </row>
    <row r="56" spans="1:15" x14ac:dyDescent="0.2">
      <c r="A56" s="90">
        <f>IF(TableQBMaster[[#This Row],[Player]]&lt;&gt;0,A55+1,A55)</f>
        <v>50</v>
      </c>
      <c r="B56" s="91">
        <f>NYJ!A$4</f>
        <v>0</v>
      </c>
      <c r="C56" s="91" t="s">
        <v>116</v>
      </c>
      <c r="D56" s="91">
        <f>NYJ!C$4</f>
        <v>7</v>
      </c>
      <c r="E56" s="92">
        <f>NYJ!D$4</f>
        <v>0</v>
      </c>
      <c r="F56" s="92">
        <f>NYJ!E$4</f>
        <v>0</v>
      </c>
      <c r="G56" s="92">
        <f>NYJ!F$4</f>
        <v>0</v>
      </c>
      <c r="H56" s="92">
        <f>NYJ!G$4</f>
        <v>0</v>
      </c>
      <c r="I56" s="92">
        <f>NYJ!H$4</f>
        <v>0</v>
      </c>
      <c r="J56" s="92">
        <f>NYJ!I$4</f>
        <v>0</v>
      </c>
      <c r="K56" s="92">
        <f>NYJ!J$4</f>
        <v>0</v>
      </c>
      <c r="L56" s="92">
        <f>NYJ!K$4</f>
        <v>0</v>
      </c>
      <c r="M56" s="92">
        <f t="shared" ref="M56" si="4">(G56/25)+(H56*4)+(I56*-1.5)+(K56/10)+(L56*6)</f>
        <v>0</v>
      </c>
      <c r="N5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56" s="94">
        <v>1</v>
      </c>
    </row>
    <row r="57" spans="1:15" x14ac:dyDescent="0.2">
      <c r="A57" s="90">
        <f>IF(TableQBMaster[[#This Row],[Player]]&lt;&gt;0,A56+1,A56)</f>
        <v>51</v>
      </c>
      <c r="B57" s="91" t="str">
        <f>PHI!A$2</f>
        <v>Jalen Hurts</v>
      </c>
      <c r="C57" s="91" t="s">
        <v>117</v>
      </c>
      <c r="D57" s="91">
        <f>PHI!C$2</f>
        <v>10</v>
      </c>
      <c r="E57" s="92">
        <f>PHI!D$2</f>
        <v>557.84736000000009</v>
      </c>
      <c r="F57" s="92">
        <f>PHI!E$2</f>
        <v>367.06356288000006</v>
      </c>
      <c r="G57" s="92">
        <f>PHI!F$2</f>
        <v>4210.5861297964811</v>
      </c>
      <c r="H57" s="92">
        <f>PHI!G$2</f>
        <v>24.545283840000003</v>
      </c>
      <c r="I57" s="92">
        <f>PHI!H$2</f>
        <v>7.3412712576000017</v>
      </c>
      <c r="J57" s="92">
        <f>PHI!I$2</f>
        <v>127.97184959999998</v>
      </c>
      <c r="K57" s="92">
        <f>PHI!J$2</f>
        <v>574.59360470399997</v>
      </c>
      <c r="L57" s="92">
        <f>PHI!K$2</f>
        <v>9.4699168703999987</v>
      </c>
      <c r="M57" s="92">
        <f t="shared" si="3"/>
        <v>369.87153535825928</v>
      </c>
      <c r="N5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373.54217098705925</v>
      </c>
      <c r="O57" s="94">
        <v>10.245470930481673</v>
      </c>
    </row>
    <row r="58" spans="1:15" x14ac:dyDescent="0.2">
      <c r="A58" s="90">
        <f>IF(TableQBMaster[[#This Row],[Player]]&lt;&gt;0,A57+1,A57)</f>
        <v>52</v>
      </c>
      <c r="B58" s="91" t="str">
        <f>PHI!A$3</f>
        <v>Kenny Pickett</v>
      </c>
      <c r="C58" s="91" t="s">
        <v>117</v>
      </c>
      <c r="D58" s="91">
        <f>PHI!C$3</f>
        <v>10</v>
      </c>
      <c r="E58" s="92">
        <f>PHI!D$3</f>
        <v>11.384640000000012</v>
      </c>
      <c r="F58" s="92">
        <f>PHI!E$3</f>
        <v>7.3089388800000075</v>
      </c>
      <c r="G58" s="92">
        <f>PHI!F$3</f>
        <v>76.890037017600079</v>
      </c>
      <c r="H58" s="92">
        <f>PHI!G$3</f>
        <v>0.31876992000000032</v>
      </c>
      <c r="I58" s="92">
        <f>PHI!H$3</f>
        <v>0.14617877760000014</v>
      </c>
      <c r="J58" s="92">
        <f>PHI!I$3</f>
        <v>2.4145631999999999</v>
      </c>
      <c r="K58" s="92">
        <f>PHI!J$3</f>
        <v>7.316126495999999</v>
      </c>
      <c r="L58" s="92">
        <f>PHI!K$3</f>
        <v>7.7266022399999995E-2</v>
      </c>
      <c r="M58" s="92">
        <f t="shared" si="3"/>
        <v>5.3266217783040046</v>
      </c>
      <c r="N5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5.3997111671040043</v>
      </c>
      <c r="O58" s="94">
        <v>0</v>
      </c>
    </row>
    <row r="59" spans="1:15" x14ac:dyDescent="0.2">
      <c r="A59" s="90">
        <f>IF(TableQBMaster[[#This Row],[Player]]&lt;&gt;0,A58+1,A58)</f>
        <v>53</v>
      </c>
      <c r="B59" s="91" t="str">
        <f>PIT!A$2</f>
        <v>Russell Wilson</v>
      </c>
      <c r="C59" s="91" t="s">
        <v>118</v>
      </c>
      <c r="D59" s="91">
        <f>PIT!C$2</f>
        <v>6</v>
      </c>
      <c r="E59" s="92">
        <f>PIT!D$2</f>
        <v>393.22499999999997</v>
      </c>
      <c r="F59" s="92">
        <f>PIT!E$2</f>
        <v>254.8098</v>
      </c>
      <c r="G59" s="92">
        <f>PIT!F$2</f>
        <v>2757.5516555999998</v>
      </c>
      <c r="H59" s="92">
        <f>PIT!G$2</f>
        <v>16.908674999999999</v>
      </c>
      <c r="I59" s="92">
        <f>PIT!H$2</f>
        <v>4.5865763999999993</v>
      </c>
      <c r="J59" s="92">
        <f>PIT!I$2</f>
        <v>47.848500000000001</v>
      </c>
      <c r="K59" s="92">
        <f>PIT!J$2</f>
        <v>212.925825</v>
      </c>
      <c r="L59" s="92">
        <f>PIT!K$2</f>
        <v>1.1483640000000002</v>
      </c>
      <c r="M59" s="92">
        <f t="shared" si="3"/>
        <v>199.23966812400002</v>
      </c>
      <c r="N5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201.532956324</v>
      </c>
      <c r="O59" s="94">
        <v>0</v>
      </c>
    </row>
    <row r="60" spans="1:15" x14ac:dyDescent="0.2">
      <c r="A60" s="90">
        <f>IF(TableQBMaster[[#This Row],[Player]]&lt;&gt;0,A59+1,A59)</f>
        <v>54</v>
      </c>
      <c r="B60" s="91" t="str">
        <f>PIT!A$3</f>
        <v>Justin Fields</v>
      </c>
      <c r="C60" s="91" t="s">
        <v>118</v>
      </c>
      <c r="D60" s="91">
        <f>PIT!C$3</f>
        <v>6</v>
      </c>
      <c r="E60" s="92">
        <f>PIT!D$3</f>
        <v>168.52500000000001</v>
      </c>
      <c r="F60" s="92">
        <f>PIT!E$3</f>
        <v>104.316975</v>
      </c>
      <c r="G60" s="92">
        <f>PIT!F$3</f>
        <v>1189.4221489499998</v>
      </c>
      <c r="H60" s="92">
        <f>PIT!G$3</f>
        <v>6.9095250000000004</v>
      </c>
      <c r="I60" s="92">
        <f>PIT!H$3</f>
        <v>2.6079243750000001</v>
      </c>
      <c r="J60" s="92">
        <f>PIT!I$3</f>
        <v>33.493950000000005</v>
      </c>
      <c r="K60" s="92">
        <f>PIT!J$3</f>
        <v>190.58057550000004</v>
      </c>
      <c r="L60" s="92">
        <f>PIT!K$3</f>
        <v>1.5072277500000002</v>
      </c>
      <c r="M60" s="92">
        <f t="shared" si="3"/>
        <v>99.404523445500004</v>
      </c>
      <c r="N6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100.70848563300001</v>
      </c>
      <c r="O60" s="94">
        <v>0</v>
      </c>
    </row>
    <row r="61" spans="1:15" x14ac:dyDescent="0.2">
      <c r="A61" s="90">
        <f>IF(TableQBMaster[[#This Row],[Player]]&lt;&gt;0,A60+1,A60)</f>
        <v>54</v>
      </c>
      <c r="B61" s="91">
        <f>PIT!A$4</f>
        <v>0</v>
      </c>
      <c r="C61" s="91" t="s">
        <v>118</v>
      </c>
      <c r="D61" s="91">
        <f>PIT!C$4</f>
        <v>6</v>
      </c>
      <c r="E61" s="92">
        <f>PIT!D$4</f>
        <v>0</v>
      </c>
      <c r="F61" s="92">
        <f>PIT!E$4</f>
        <v>0</v>
      </c>
      <c r="G61" s="92">
        <f>PIT!F$4</f>
        <v>0</v>
      </c>
      <c r="H61" s="92">
        <f>PIT!G$4</f>
        <v>0</v>
      </c>
      <c r="I61" s="92">
        <f>PIT!H$4</f>
        <v>0</v>
      </c>
      <c r="J61" s="92">
        <f>PIT!I$4</f>
        <v>0</v>
      </c>
      <c r="K61" s="92">
        <f>PIT!J$4</f>
        <v>0</v>
      </c>
      <c r="L61" s="92">
        <f>PIT!K$4</f>
        <v>0</v>
      </c>
      <c r="M61" s="92">
        <f t="shared" si="3"/>
        <v>0</v>
      </c>
      <c r="N6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61" s="94">
        <v>0</v>
      </c>
    </row>
    <row r="62" spans="1:15" x14ac:dyDescent="0.2">
      <c r="A62" s="90">
        <f>IF(TableQBMaster[[#This Row],[Player]]&lt;&gt;0,A61+1,A61)</f>
        <v>55</v>
      </c>
      <c r="B62" s="91" t="str">
        <f>SEA!A$2</f>
        <v>Geno Smith</v>
      </c>
      <c r="C62" s="91" t="s">
        <v>119</v>
      </c>
      <c r="D62" s="91">
        <f>SEA!C$2</f>
        <v>5</v>
      </c>
      <c r="E62" s="92">
        <f>SEA!D$2</f>
        <v>533.09609999999998</v>
      </c>
      <c r="F62" s="92">
        <f>SEA!E$2</f>
        <v>352.90961820000001</v>
      </c>
      <c r="G62" s="92">
        <f>SEA!F$2</f>
        <v>3943.0591641486003</v>
      </c>
      <c r="H62" s="92">
        <f>SEA!G$2</f>
        <v>24.5224206</v>
      </c>
      <c r="I62" s="92">
        <f>SEA!H$2</f>
        <v>6.7052827457999999</v>
      </c>
      <c r="J62" s="92">
        <f>SEA!I$2</f>
        <v>43.969758000000006</v>
      </c>
      <c r="K62" s="92">
        <f>SEA!J$2</f>
        <v>198.74330616</v>
      </c>
      <c r="L62" s="92">
        <f>SEA!K$2</f>
        <v>1.5389415300000004</v>
      </c>
      <c r="M62" s="92">
        <f t="shared" si="3"/>
        <v>274.86210464324404</v>
      </c>
      <c r="N6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278.21474601614403</v>
      </c>
      <c r="O62" s="94">
        <v>12.340934137474003</v>
      </c>
    </row>
    <row r="63" spans="1:15" x14ac:dyDescent="0.2">
      <c r="A63" s="90">
        <f>IF(TableQBMaster[[#This Row],[Player]]&lt;&gt;0,A62+1,A62)</f>
        <v>56</v>
      </c>
      <c r="B63" s="91" t="str">
        <f>SEA!A$3</f>
        <v>Sam Howell</v>
      </c>
      <c r="C63" s="91" t="s">
        <v>119</v>
      </c>
      <c r="D63" s="91">
        <f>SEA!C$3</f>
        <v>5</v>
      </c>
      <c r="E63" s="92">
        <f>SEA!D$3</f>
        <v>59.232900000000001</v>
      </c>
      <c r="F63" s="92">
        <f>SEA!E$3</f>
        <v>37.435192800000003</v>
      </c>
      <c r="G63" s="92">
        <f>SEA!F$3</f>
        <v>404.82417493920002</v>
      </c>
      <c r="H63" s="92">
        <f>SEA!G$3</f>
        <v>2.4285489</v>
      </c>
      <c r="I63" s="92">
        <f>SEA!H$3</f>
        <v>1.0107502056000002</v>
      </c>
      <c r="J63" s="92">
        <f>SEA!I$3</f>
        <v>4.3969758000000008</v>
      </c>
      <c r="K63" s="92">
        <f>SEA!J$3</f>
        <v>22.864274160000004</v>
      </c>
      <c r="L63" s="92">
        <f>SEA!K$3</f>
        <v>8.7939516000000023E-2</v>
      </c>
      <c r="M63" s="92">
        <f t="shared" si="3"/>
        <v>27.205101801167999</v>
      </c>
      <c r="N6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27.710476903968001</v>
      </c>
      <c r="O63" s="94">
        <v>0</v>
      </c>
    </row>
    <row r="64" spans="1:15" x14ac:dyDescent="0.2">
      <c r="A64" s="90">
        <f>IF(TableQBMaster[[#This Row],[Player]]&lt;&gt;0,A63+1,A63)</f>
        <v>57</v>
      </c>
      <c r="B64" s="91" t="str">
        <f>SF!A$2</f>
        <v>Brock Purdy</v>
      </c>
      <c r="C64" s="91" t="s">
        <v>120</v>
      </c>
      <c r="D64" s="91">
        <f>SF!C$2</f>
        <v>9</v>
      </c>
      <c r="E64" s="92">
        <f>SF!D$2</f>
        <v>532.53395999999998</v>
      </c>
      <c r="F64" s="92">
        <f>SF!E$2</f>
        <v>362.65562676000002</v>
      </c>
      <c r="G64" s="92">
        <f>SF!F$2</f>
        <v>4482.4235467536</v>
      </c>
      <c r="H64" s="92">
        <f>SF!G$2</f>
        <v>30.354435720000001</v>
      </c>
      <c r="I64" s="92">
        <f>SF!H$2</f>
        <v>7.9784237887199998</v>
      </c>
      <c r="J64" s="92">
        <f>SF!I$2</f>
        <v>39.011683199999993</v>
      </c>
      <c r="K64" s="92">
        <f>SF!J$2</f>
        <v>122.88680207999998</v>
      </c>
      <c r="L64" s="92">
        <f>SF!K$2</f>
        <v>1.0533154463999999</v>
      </c>
      <c r="M64" s="92">
        <f t="shared" si="3"/>
        <v>307.35562195346398</v>
      </c>
      <c r="N6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311.34483384782396</v>
      </c>
      <c r="O64" s="94">
        <v>0</v>
      </c>
    </row>
    <row r="65" spans="1:15" x14ac:dyDescent="0.2">
      <c r="A65" s="90">
        <f>IF(TableQBMaster[[#This Row],[Player]]&lt;&gt;0,A64+1,A64)</f>
        <v>58</v>
      </c>
      <c r="B65" s="91" t="str">
        <f>SF!A$3</f>
        <v>Josh Dobbs</v>
      </c>
      <c r="C65" s="91" t="s">
        <v>120</v>
      </c>
      <c r="D65" s="91">
        <f>SF!C$3</f>
        <v>9</v>
      </c>
      <c r="E65" s="92">
        <f>SF!D$3</f>
        <v>10.868040000000001</v>
      </c>
      <c r="F65" s="92">
        <f>SF!E$3</f>
        <v>6.5969002799999998</v>
      </c>
      <c r="G65" s="92">
        <f>SF!F$3</f>
        <v>71.70830604359999</v>
      </c>
      <c r="H65" s="92">
        <f>SF!G$3</f>
        <v>0.36951336000000007</v>
      </c>
      <c r="I65" s="92">
        <f>SF!H$3</f>
        <v>0.13193800559999999</v>
      </c>
      <c r="J65" s="92">
        <f>SF!I$3</f>
        <v>0</v>
      </c>
      <c r="K65" s="92">
        <f>SF!J$3</f>
        <v>0</v>
      </c>
      <c r="L65" s="92">
        <f>SF!K$3</f>
        <v>0</v>
      </c>
      <c r="M65" s="92">
        <f t="shared" si="3"/>
        <v>4.148478673344</v>
      </c>
      <c r="N6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4.2144476761439993</v>
      </c>
      <c r="O65" s="94">
        <v>0</v>
      </c>
    </row>
    <row r="66" spans="1:15" x14ac:dyDescent="0.2">
      <c r="A66" s="90">
        <f>IF(TableQBMaster[[#This Row],[Player]]&lt;&gt;0,A65+1,A65)</f>
        <v>58</v>
      </c>
      <c r="B66" s="91">
        <f>SF!A$4</f>
        <v>0</v>
      </c>
      <c r="C66" s="91" t="s">
        <v>120</v>
      </c>
      <c r="D66" s="91">
        <f>SF!C$3</f>
        <v>9</v>
      </c>
      <c r="E66" s="92">
        <f>SF!D$4</f>
        <v>0</v>
      </c>
      <c r="F66" s="92">
        <f>SF!E$4</f>
        <v>0</v>
      </c>
      <c r="G66" s="92">
        <f>SF!F$4</f>
        <v>0</v>
      </c>
      <c r="H66" s="92">
        <f>SF!G$4</f>
        <v>0</v>
      </c>
      <c r="I66" s="92">
        <f>SF!H$4</f>
        <v>0</v>
      </c>
      <c r="J66" s="92">
        <f>SF!I$4</f>
        <v>0</v>
      </c>
      <c r="K66" s="92">
        <f>SF!J$4</f>
        <v>0</v>
      </c>
      <c r="L66" s="92">
        <f>SF!K$4</f>
        <v>0</v>
      </c>
      <c r="M66" s="92">
        <f t="shared" ref="M66" si="5">(G66/25)+(H66*4)+(I66*-1.5)+(K66/10)+(L66*6)</f>
        <v>0</v>
      </c>
      <c r="N6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66" s="94">
        <v>1</v>
      </c>
    </row>
    <row r="67" spans="1:15" x14ac:dyDescent="0.2">
      <c r="A67" s="90">
        <f>IF(TableQBMaster[[#This Row],[Player]]&lt;&gt;0,A66+1,A66)</f>
        <v>59</v>
      </c>
      <c r="B67" s="91" t="str">
        <f>TB!A$2</f>
        <v>Baker Mayfield</v>
      </c>
      <c r="C67" s="91" t="s">
        <v>121</v>
      </c>
      <c r="D67" s="91">
        <f>TB!C$2</f>
        <v>5</v>
      </c>
      <c r="E67" s="92">
        <f>TB!D$2</f>
        <v>574.8963</v>
      </c>
      <c r="F67" s="92">
        <f>TB!E$2</f>
        <v>366.78383939999998</v>
      </c>
      <c r="G67" s="92">
        <f>TB!F$2</f>
        <v>4193.0728520207995</v>
      </c>
      <c r="H67" s="92">
        <f>TB!G$2</f>
        <v>26.4452298</v>
      </c>
      <c r="I67" s="92">
        <f>TB!H$2</f>
        <v>7.3356767879999998</v>
      </c>
      <c r="J67" s="92">
        <f>TB!I$2</f>
        <v>46.660798800000002</v>
      </c>
      <c r="K67" s="92">
        <f>TB!J$2</f>
        <v>137.64935646000001</v>
      </c>
      <c r="L67" s="92">
        <f>TB!K$2</f>
        <v>0.79323357960000007</v>
      </c>
      <c r="M67" s="92">
        <f t="shared" si="3"/>
        <v>281.02465522243199</v>
      </c>
      <c r="N6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284.69249361643199</v>
      </c>
      <c r="O67" s="94">
        <v>10.125962691548789</v>
      </c>
    </row>
    <row r="68" spans="1:15" x14ac:dyDescent="0.2">
      <c r="A68" s="90">
        <f>IF(TableQBMaster[[#This Row],[Player]]&lt;&gt;0,A67+1,A67)</f>
        <v>60</v>
      </c>
      <c r="B68" s="91" t="str">
        <f>TB!A$3</f>
        <v>Kyle Trask</v>
      </c>
      <c r="C68" s="91" t="s">
        <v>121</v>
      </c>
      <c r="D68" s="91">
        <f>TB!C$3</f>
        <v>5</v>
      </c>
      <c r="E68" s="92">
        <f>TB!D$3</f>
        <v>30.2577</v>
      </c>
      <c r="F68" s="92">
        <f>TB!E$3</f>
        <v>18.487454700000001</v>
      </c>
      <c r="G68" s="92">
        <f>TB!F$3</f>
        <v>200.03425985400003</v>
      </c>
      <c r="H68" s="92">
        <f>TB!G$3</f>
        <v>1.0287618000000001</v>
      </c>
      <c r="I68" s="92">
        <f>TB!H$3</f>
        <v>0.369749094</v>
      </c>
      <c r="J68" s="92">
        <f>TB!I$3</f>
        <v>0</v>
      </c>
      <c r="K68" s="92">
        <f>TB!J$3</f>
        <v>0</v>
      </c>
      <c r="L68" s="92">
        <f>TB!K$3</f>
        <v>0</v>
      </c>
      <c r="M68" s="92">
        <f t="shared" si="3"/>
        <v>11.561793953160002</v>
      </c>
      <c r="N6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11.746668500160002</v>
      </c>
      <c r="O68" s="94">
        <v>0</v>
      </c>
    </row>
    <row r="69" spans="1:15" x14ac:dyDescent="0.2">
      <c r="A69" s="90">
        <f>IF(TableQBMaster[[#This Row],[Player]]&lt;&gt;0,A68+1,A68)</f>
        <v>61</v>
      </c>
      <c r="B69" s="91" t="str">
        <f>TEN!A$2</f>
        <v>Will Levis</v>
      </c>
      <c r="C69" s="91" t="s">
        <v>122</v>
      </c>
      <c r="D69" s="91">
        <f>TEN!C$2</f>
        <v>7</v>
      </c>
      <c r="E69" s="92">
        <f>TEN!D$2</f>
        <v>568.53224999999986</v>
      </c>
      <c r="F69" s="92">
        <f>TEN!E$2</f>
        <v>352.48999499999991</v>
      </c>
      <c r="G69" s="92">
        <f>TEN!F$2</f>
        <v>4133.6501713649986</v>
      </c>
      <c r="H69" s="92">
        <f>TEN!G$2</f>
        <v>22.172757749999995</v>
      </c>
      <c r="I69" s="92">
        <f>TEN!H$2</f>
        <v>6.3448199099999982</v>
      </c>
      <c r="J69" s="92">
        <f>TEN!I$2</f>
        <v>41.605410000000006</v>
      </c>
      <c r="K69" s="92">
        <f>TEN!J$2</f>
        <v>143.95471860000001</v>
      </c>
      <c r="L69" s="92">
        <f>TEN!K$2</f>
        <v>1.7474272200000003</v>
      </c>
      <c r="M69" s="92">
        <f t="shared" si="3"/>
        <v>269.39984316959993</v>
      </c>
      <c r="N6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272.57225312459991</v>
      </c>
      <c r="O69" s="94">
        <v>4.8245524484709676</v>
      </c>
    </row>
    <row r="70" spans="1:15" x14ac:dyDescent="0.2">
      <c r="A70" s="90">
        <f>IF(TableQBMaster[[#This Row],[Player]]&lt;&gt;0,A69+1,A69)</f>
        <v>62</v>
      </c>
      <c r="B70" s="91" t="str">
        <f>TEN!A$3</f>
        <v>Mason Rudolph</v>
      </c>
      <c r="C70" s="91" t="s">
        <v>122</v>
      </c>
      <c r="D70" s="91">
        <f>TEN!C$3</f>
        <v>7</v>
      </c>
      <c r="E70" s="92">
        <f>TEN!D$3</f>
        <v>29.922749999999997</v>
      </c>
      <c r="F70" s="92">
        <f>TEN!E$3</f>
        <v>18.163109249999998</v>
      </c>
      <c r="G70" s="92">
        <f>TEN!F$3</f>
        <v>67.294319771249988</v>
      </c>
      <c r="H70" s="92">
        <f>TEN!G$3</f>
        <v>1.0772189999999997</v>
      </c>
      <c r="I70" s="92">
        <f>TEN!H$3</f>
        <v>0.36326218499999996</v>
      </c>
      <c r="J70" s="92">
        <f>TEN!I$3</f>
        <v>0</v>
      </c>
      <c r="K70" s="92">
        <f>TEN!J$3</f>
        <v>0</v>
      </c>
      <c r="L70" s="92">
        <f>TEN!K$3</f>
        <v>0</v>
      </c>
      <c r="M70" s="92">
        <f t="shared" ref="M70:M73" si="6">(G70/25)+(H70*4)+(I70*-1.5)+(K70/10)+(L70*6)</f>
        <v>6.4557555133499989</v>
      </c>
      <c r="N7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6.6373866058499988</v>
      </c>
      <c r="O70" s="94">
        <v>0</v>
      </c>
    </row>
    <row r="71" spans="1:15" x14ac:dyDescent="0.2">
      <c r="A71" s="90">
        <f>IF(TableQBMaster[[#This Row],[Player]]&lt;&gt;0,A70+1,A70)</f>
        <v>62</v>
      </c>
      <c r="B71" s="91">
        <f>TEN!A$4</f>
        <v>0</v>
      </c>
      <c r="C71" s="91" t="s">
        <v>122</v>
      </c>
      <c r="D71" s="91">
        <f>TEN!C$4</f>
        <v>7</v>
      </c>
      <c r="E71" s="92">
        <f>TEN!D$4</f>
        <v>0</v>
      </c>
      <c r="F71" s="92">
        <f>TEN!E$4</f>
        <v>0</v>
      </c>
      <c r="G71" s="92">
        <f>TEN!F$4</f>
        <v>0</v>
      </c>
      <c r="H71" s="92">
        <f>TEN!G$4</f>
        <v>0</v>
      </c>
      <c r="I71" s="92">
        <f>TEN!H$4</f>
        <v>0</v>
      </c>
      <c r="J71" s="92">
        <f>TEN!I$4</f>
        <v>0</v>
      </c>
      <c r="K71" s="92">
        <f>TEN!J$4</f>
        <v>0</v>
      </c>
      <c r="L71" s="92">
        <f>TEN!K$4</f>
        <v>0</v>
      </c>
      <c r="M71" s="92">
        <f t="shared" si="6"/>
        <v>0</v>
      </c>
      <c r="N7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71" s="94">
        <v>0</v>
      </c>
    </row>
    <row r="72" spans="1:15" x14ac:dyDescent="0.2">
      <c r="A72" s="90">
        <f>IF(TableQBMaster[[#This Row],[Player]]&lt;&gt;0,A71+1,A71)</f>
        <v>63</v>
      </c>
      <c r="B72" s="91" t="str">
        <f>WSH!A$2</f>
        <v>Jayden Daniels</v>
      </c>
      <c r="C72" s="91" t="s">
        <v>125</v>
      </c>
      <c r="D72" s="91">
        <f>WSH!C$2</f>
        <v>14</v>
      </c>
      <c r="E72" s="92">
        <f>WSH!D$2</f>
        <v>546.42669999999998</v>
      </c>
      <c r="F72" s="92">
        <f>WSH!E$2</f>
        <v>344.7952477</v>
      </c>
      <c r="G72" s="92">
        <f>WSH!F$2</f>
        <v>3796.1956771770001</v>
      </c>
      <c r="H72" s="92">
        <f>WSH!G$2</f>
        <v>20.217787899999998</v>
      </c>
      <c r="I72" s="92">
        <f>WSH!H$2</f>
        <v>7.2407002017000002</v>
      </c>
      <c r="J72" s="92">
        <f>WSH!I$2</f>
        <v>120.697486</v>
      </c>
      <c r="K72" s="92">
        <f>WSH!J$2</f>
        <v>715.73609197999997</v>
      </c>
      <c r="L72" s="92">
        <f>WSH!K$2</f>
        <v>5.672781842</v>
      </c>
      <c r="M72" s="92">
        <f t="shared" si="6"/>
        <v>327.46822863452996</v>
      </c>
      <c r="N7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331.08857873538</v>
      </c>
      <c r="O72" s="94">
        <v>0</v>
      </c>
    </row>
    <row r="73" spans="1:15" x14ac:dyDescent="0.2">
      <c r="A73" s="90">
        <f>IF(TableQBMaster[[#This Row],[Player]]&lt;&gt;0,A72+1,A72)</f>
        <v>64</v>
      </c>
      <c r="B73" s="91" t="str">
        <f>WSH!A$3</f>
        <v>Marcus Mariota</v>
      </c>
      <c r="C73" s="91" t="s">
        <v>125</v>
      </c>
      <c r="D73" s="91">
        <f>WSH!C$3</f>
        <v>14</v>
      </c>
      <c r="E73" s="92">
        <f>WSH!D$3</f>
        <v>34.878300000000003</v>
      </c>
      <c r="F73" s="92">
        <f>WSH!E$3</f>
        <v>21.101371500000003</v>
      </c>
      <c r="G73" s="92">
        <f>WSH!F$3</f>
        <v>215.65601673000003</v>
      </c>
      <c r="H73" s="92">
        <f>WSH!G$3</f>
        <v>1.2207405000000002</v>
      </c>
      <c r="I73" s="92">
        <f>WSH!H$3</f>
        <v>0.31652057250000004</v>
      </c>
      <c r="J73" s="92">
        <f>WSH!I$3</f>
        <v>0</v>
      </c>
      <c r="K73" s="92">
        <f>WSH!J$3</f>
        <v>0</v>
      </c>
      <c r="L73" s="92">
        <f>WSH!K$3</f>
        <v>0</v>
      </c>
      <c r="M73" s="92">
        <f t="shared" si="6"/>
        <v>13.034421810450002</v>
      </c>
      <c r="N7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13.192682096700002</v>
      </c>
      <c r="O73" s="94">
        <v>0</v>
      </c>
    </row>
    <row r="74" spans="1:15" x14ac:dyDescent="0.2">
      <c r="A74" s="90">
        <f>IF(TableQBMaster[[#This Row],[Player]]&lt;&gt;0,A73+1,A73)</f>
        <v>64</v>
      </c>
      <c r="B74" s="91">
        <f>WSH!A$4</f>
        <v>0</v>
      </c>
      <c r="C74" s="91" t="s">
        <v>125</v>
      </c>
      <c r="D74" s="91">
        <f>WSH!C$4</f>
        <v>14</v>
      </c>
      <c r="E74" s="92">
        <f>WSH!D$4</f>
        <v>0</v>
      </c>
      <c r="F74" s="92">
        <f>WSH!E$4</f>
        <v>0</v>
      </c>
      <c r="G74" s="92">
        <f>WSH!F$4</f>
        <v>0</v>
      </c>
      <c r="H74" s="92">
        <f>WSH!G$4</f>
        <v>0</v>
      </c>
      <c r="I74" s="92">
        <f>WSH!H$4</f>
        <v>0</v>
      </c>
      <c r="J74" s="92">
        <f>WSH!I$4</f>
        <v>0</v>
      </c>
      <c r="K74" s="92">
        <f>WSH!J$4</f>
        <v>0</v>
      </c>
      <c r="L74" s="92">
        <f>WSH!K$4</f>
        <v>0</v>
      </c>
      <c r="M74" s="92">
        <f t="shared" ref="M74" si="7">(G74/25)+(H74*4)+(I74*-1.5)+(K74/10)+(L74*6)</f>
        <v>0</v>
      </c>
      <c r="N7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74" s="94">
        <v>1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"/>
  <dimension ref="A1:P161"/>
  <sheetViews>
    <sheetView showGridLines="0" zoomScale="85" zoomScaleNormal="85" workbookViewId="0">
      <selection activeCell="K101" sqref="K101:M101"/>
    </sheetView>
  </sheetViews>
  <sheetFormatPr baseColWidth="10" defaultColWidth="9.19921875" defaultRowHeight="15" x14ac:dyDescent="0.2"/>
  <cols>
    <col min="1" max="1" width="9" style="59" bestFit="1" customWidth="1"/>
    <col min="2" max="2" width="22.19921875" style="59" bestFit="1" customWidth="1"/>
    <col min="3" max="3" width="6.59765625" style="59" bestFit="1" customWidth="1"/>
    <col min="4" max="4" width="7" style="60" bestFit="1" customWidth="1"/>
    <col min="5" max="5" width="8.59765625" style="60" bestFit="1" customWidth="1"/>
    <col min="6" max="7" width="8.796875" style="60" bestFit="1" customWidth="1"/>
    <col min="8" max="8" width="7.19921875" style="60" bestFit="1" customWidth="1"/>
    <col min="9" max="9" width="7" style="60" bestFit="1" customWidth="1"/>
    <col min="10" max="10" width="8.3984375" style="60" bestFit="1" customWidth="1"/>
    <col min="11" max="11" width="8.3984375" style="59" bestFit="1" customWidth="1"/>
    <col min="12" max="12" width="6.796875" style="59" bestFit="1" customWidth="1"/>
    <col min="13" max="13" width="8.19921875" style="59" bestFit="1" customWidth="1"/>
    <col min="14" max="14" width="7" style="59" bestFit="1" customWidth="1"/>
    <col min="15" max="15" width="10" style="59" bestFit="1" customWidth="1"/>
    <col min="16" max="16" width="8.3984375" style="59" bestFit="1" customWidth="1"/>
    <col min="17" max="16384" width="9.19921875" style="59"/>
  </cols>
  <sheetData>
    <row r="1" spans="1:16" s="97" customFormat="1" x14ac:dyDescent="0.2">
      <c r="A1" s="88" t="s">
        <v>376</v>
      </c>
      <c r="B1" s="88" t="s">
        <v>340</v>
      </c>
      <c r="C1" s="88" t="s">
        <v>92</v>
      </c>
      <c r="D1" s="88" t="s">
        <v>128</v>
      </c>
      <c r="E1" s="87" t="s">
        <v>134</v>
      </c>
      <c r="F1" s="87" t="s">
        <v>135</v>
      </c>
      <c r="G1" s="87" t="s">
        <v>136</v>
      </c>
      <c r="H1" s="87" t="s">
        <v>3</v>
      </c>
      <c r="I1" s="87" t="s">
        <v>4</v>
      </c>
      <c r="J1" s="87" t="s">
        <v>144</v>
      </c>
      <c r="K1" s="87" t="s">
        <v>145</v>
      </c>
      <c r="L1" s="88" t="s">
        <v>123</v>
      </c>
      <c r="M1" s="88" t="s">
        <v>126</v>
      </c>
      <c r="N1" s="88" t="s">
        <v>127</v>
      </c>
      <c r="O1" s="88" t="s">
        <v>336</v>
      </c>
      <c r="P1" s="88" t="s">
        <v>310</v>
      </c>
    </row>
    <row r="2" spans="1:16" x14ac:dyDescent="0.2">
      <c r="A2" s="59">
        <v>1</v>
      </c>
      <c r="B2" s="59" t="str">
        <f>ARI!A6</f>
        <v>James Conner</v>
      </c>
      <c r="C2" s="59" t="s">
        <v>93</v>
      </c>
      <c r="D2" s="59">
        <f>ARI!C6</f>
        <v>14</v>
      </c>
      <c r="E2" s="60">
        <f>ARI!I6</f>
        <v>195.224085</v>
      </c>
      <c r="F2" s="60">
        <f>ARI!J6</f>
        <v>862.89045569999996</v>
      </c>
      <c r="G2" s="60">
        <f>ARI!K6</f>
        <v>6.832842975000001</v>
      </c>
      <c r="H2" s="60">
        <f>ARI!L6</f>
        <v>50.123692500000004</v>
      </c>
      <c r="I2" s="60">
        <f>ARI!M6</f>
        <v>40.499943540000004</v>
      </c>
      <c r="J2" s="60">
        <f>ARI!N6</f>
        <v>271.34962171800004</v>
      </c>
      <c r="K2" s="60">
        <f>ARI!O6</f>
        <v>1.4579979674400001</v>
      </c>
      <c r="L2" s="60">
        <f t="shared" ref="L2" si="0">(F2/10)+(G2*6)+(J2/10)+(K2*6)</f>
        <v>163.16905339644001</v>
      </c>
      <c r="M2" s="60">
        <f t="shared" ref="M2" si="1">L2+(I2*0.5)</f>
        <v>183.41902516644001</v>
      </c>
      <c r="N2" s="60">
        <f t="shared" ref="N2" si="2">L2+I2</f>
        <v>203.66899693644001</v>
      </c>
      <c r="O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183.41902516644001</v>
      </c>
      <c r="P2" s="96">
        <v>21.355435170779902</v>
      </c>
    </row>
    <row r="3" spans="1:16" x14ac:dyDescent="0.2">
      <c r="A3" s="59">
        <f>IF(TableRBMaster[[#This Row],[Player]]&lt;&gt;0,A2+1,A2)</f>
        <v>2</v>
      </c>
      <c r="B3" s="59" t="str">
        <f>ARI!A7</f>
        <v>Trey Benson</v>
      </c>
      <c r="C3" s="59" t="s">
        <v>93</v>
      </c>
      <c r="D3" s="59">
        <f>ARI!C7</f>
        <v>14</v>
      </c>
      <c r="E3" s="60">
        <f>ARI!I7</f>
        <v>140.74294500000002</v>
      </c>
      <c r="F3" s="60">
        <f>ARI!J7</f>
        <v>610.82438130000003</v>
      </c>
      <c r="G3" s="60">
        <f>ARI!K7</f>
        <v>4.6445171850000007</v>
      </c>
      <c r="H3" s="60">
        <f>ARI!L7</f>
        <v>23.587620000000001</v>
      </c>
      <c r="I3" s="60">
        <f>ARI!M7</f>
        <v>17.619952140000002</v>
      </c>
      <c r="J3" s="60">
        <f>ARI!N7</f>
        <v>124.57306162980002</v>
      </c>
      <c r="K3" s="60">
        <f>ARI!O7</f>
        <v>0.59907837276000009</v>
      </c>
      <c r="L3" s="60">
        <f t="shared" ref="L3:L11" si="3">(F3/10)+(G3*6)+(J3/10)+(K3*6)</f>
        <v>105.00131763954001</v>
      </c>
      <c r="M3" s="60">
        <f t="shared" ref="M3:M11" si="4">L3+(I3*0.5)</f>
        <v>113.81129370954001</v>
      </c>
      <c r="N3" s="60">
        <f t="shared" ref="N3:N11" si="5">L3+I3</f>
        <v>122.62126977954</v>
      </c>
      <c r="O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113.81129370954001</v>
      </c>
      <c r="P3" s="96">
        <v>13.809396324367668</v>
      </c>
    </row>
    <row r="4" spans="1:16" x14ac:dyDescent="0.2">
      <c r="A4" s="59">
        <f>IF(TableRBMaster[[#This Row],[Player]]&lt;&gt;0,A3+1,A3)</f>
        <v>3</v>
      </c>
      <c r="B4" s="59" t="str">
        <f>ARI!A8</f>
        <v>Michael Carter</v>
      </c>
      <c r="C4" s="59" t="s">
        <v>93</v>
      </c>
      <c r="D4" s="59">
        <f>ARI!C8</f>
        <v>14</v>
      </c>
      <c r="E4" s="60">
        <f>ARI!I8</f>
        <v>18.16038</v>
      </c>
      <c r="F4" s="60">
        <f>ARI!J8</f>
        <v>75.183973199999997</v>
      </c>
      <c r="G4" s="60">
        <f>ARI!K8</f>
        <v>0.49033026000000002</v>
      </c>
      <c r="H4" s="60">
        <f>ARI!L8</f>
        <v>17.690715000000001</v>
      </c>
      <c r="I4" s="60">
        <f>ARI!M8</f>
        <v>13.356489825000001</v>
      </c>
      <c r="J4" s="60">
        <f>ARI!N8</f>
        <v>91.091260606500015</v>
      </c>
      <c r="K4" s="60">
        <f>ARI!O8</f>
        <v>0.33391224562500005</v>
      </c>
      <c r="L4" s="60">
        <f t="shared" si="3"/>
        <v>21.572978414400001</v>
      </c>
      <c r="M4" s="60">
        <f t="shared" si="4"/>
        <v>28.251223326900003</v>
      </c>
      <c r="N4" s="60">
        <f t="shared" si="5"/>
        <v>34.929468239400002</v>
      </c>
      <c r="O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28.2512233269</v>
      </c>
      <c r="P4" s="96">
        <v>0</v>
      </c>
    </row>
    <row r="5" spans="1:16" x14ac:dyDescent="0.2">
      <c r="A5" s="59">
        <f>IF(TableRBMaster[[#This Row],[Player]]&lt;&gt;0,A4+1,A4)</f>
        <v>4</v>
      </c>
      <c r="B5" s="59" t="str">
        <f>ARI!A9</f>
        <v>DeeJay Dallas</v>
      </c>
      <c r="C5" s="59" t="s">
        <v>93</v>
      </c>
      <c r="D5" s="59">
        <f>ARI!C9</f>
        <v>14</v>
      </c>
      <c r="E5" s="60">
        <f>ARI!I9</f>
        <v>9.08019</v>
      </c>
      <c r="F5" s="60">
        <f>ARI!J9</f>
        <v>37.228778999999996</v>
      </c>
      <c r="G5" s="60">
        <f>ARI!K9</f>
        <v>0.23608493999999999</v>
      </c>
      <c r="H5" s="60">
        <f>ARI!L9</f>
        <v>5.8969050000000003</v>
      </c>
      <c r="I5" s="60">
        <f>ARI!M9</f>
        <v>4.4226787500000002</v>
      </c>
      <c r="J5" s="60">
        <f>ARI!N9</f>
        <v>29.941535137500001</v>
      </c>
      <c r="K5" s="60">
        <f>ARI!O9</f>
        <v>8.8453575000000007E-2</v>
      </c>
      <c r="L5" s="60">
        <f t="shared" si="3"/>
        <v>8.664262503749999</v>
      </c>
      <c r="M5" s="60">
        <f t="shared" si="4"/>
        <v>10.875601878749999</v>
      </c>
      <c r="N5" s="60">
        <f t="shared" si="5"/>
        <v>13.086941253749998</v>
      </c>
      <c r="O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10.875601878749999</v>
      </c>
      <c r="P5" s="96">
        <v>0</v>
      </c>
    </row>
    <row r="6" spans="1:16" x14ac:dyDescent="0.2">
      <c r="A6" s="59">
        <f>IF(TableRBMaster[[#This Row],[Player]]&lt;&gt;0,A5+1,A5)</f>
        <v>4</v>
      </c>
      <c r="B6" s="59">
        <f>ARI!A10</f>
        <v>0</v>
      </c>
      <c r="C6" s="59" t="s">
        <v>93</v>
      </c>
      <c r="D6" s="59">
        <f>ARI!C10</f>
        <v>14</v>
      </c>
      <c r="E6" s="60">
        <f>ARI!I10</f>
        <v>0</v>
      </c>
      <c r="F6" s="60">
        <f>ARI!J10</f>
        <v>0</v>
      </c>
      <c r="G6" s="60">
        <f>ARI!K10</f>
        <v>0</v>
      </c>
      <c r="H6" s="60">
        <f>ARI!L10</f>
        <v>0</v>
      </c>
      <c r="I6" s="60">
        <f>ARI!M10</f>
        <v>0</v>
      </c>
      <c r="J6" s="60">
        <f>ARI!N10</f>
        <v>0</v>
      </c>
      <c r="K6" s="60">
        <f>ARI!O10</f>
        <v>0</v>
      </c>
      <c r="L6" s="103">
        <f>(F6/10)+(G6*6)+(J6/10)+(K6*6)</f>
        <v>0</v>
      </c>
      <c r="M6" s="103">
        <f>L6+(I6*0.5)</f>
        <v>0</v>
      </c>
      <c r="N6" s="103">
        <f>L6+I6</f>
        <v>0</v>
      </c>
      <c r="O6" s="104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" s="96">
        <v>0</v>
      </c>
    </row>
    <row r="7" spans="1:16" x14ac:dyDescent="0.2">
      <c r="A7" s="59">
        <f>IF(TableRBMaster[[#This Row],[Player]]&lt;&gt;0,A6+1,A6)</f>
        <v>5</v>
      </c>
      <c r="B7" s="59" t="str">
        <f>ATL!A$6</f>
        <v>Bijan Robinson</v>
      </c>
      <c r="C7" s="59" t="s">
        <v>94</v>
      </c>
      <c r="D7" s="59">
        <f>ATL!C$6</f>
        <v>11</v>
      </c>
      <c r="E7" s="60">
        <f>ATL!I$6</f>
        <v>262.51071840000003</v>
      </c>
      <c r="F7" s="60">
        <f>ATL!J$6</f>
        <v>1197.0488759039999</v>
      </c>
      <c r="G7" s="60">
        <f>ATL!K$6</f>
        <v>9.9754072992000005</v>
      </c>
      <c r="H7" s="60">
        <f>ATL!L$6</f>
        <v>51.76211039999999</v>
      </c>
      <c r="I7" s="60">
        <f>ATL!M$6</f>
        <v>38.562772247999995</v>
      </c>
      <c r="J7" s="60">
        <f>ATL!N$6</f>
        <v>322.38477599327996</v>
      </c>
      <c r="K7" s="60">
        <f>ATL!O$6</f>
        <v>2.3523291071279995</v>
      </c>
      <c r="L7" s="60">
        <f t="shared" si="3"/>
        <v>225.90978362769599</v>
      </c>
      <c r="M7" s="60">
        <f t="shared" si="4"/>
        <v>245.19116975169598</v>
      </c>
      <c r="N7" s="60">
        <f t="shared" si="5"/>
        <v>264.472555875696</v>
      </c>
      <c r="O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245.19116975169601</v>
      </c>
      <c r="P7" s="96">
        <v>29.621674125076801</v>
      </c>
    </row>
    <row r="8" spans="1:16" x14ac:dyDescent="0.2">
      <c r="A8" s="59">
        <f>IF(TableRBMaster[[#This Row],[Player]]&lt;&gt;0,A7+1,A7)</f>
        <v>6</v>
      </c>
      <c r="B8" s="59" t="str">
        <f>ATL!A$7</f>
        <v>Tyler Allgeier</v>
      </c>
      <c r="C8" s="59" t="s">
        <v>94</v>
      </c>
      <c r="D8" s="59">
        <f>ATL!C$8</f>
        <v>11</v>
      </c>
      <c r="E8" s="60">
        <f>ATL!I$7</f>
        <v>116.19326880000001</v>
      </c>
      <c r="F8" s="60">
        <f>ATL!J$7</f>
        <v>488.01172896000008</v>
      </c>
      <c r="G8" s="60">
        <f>ATL!K$7</f>
        <v>4.0667644080000009</v>
      </c>
      <c r="H8" s="60">
        <f>ATL!L$7</f>
        <v>34.508073599999989</v>
      </c>
      <c r="I8" s="60">
        <f>ATL!M$7</f>
        <v>27.571950806399993</v>
      </c>
      <c r="J8" s="60">
        <f>ATL!N$7</f>
        <v>220.02416743507194</v>
      </c>
      <c r="K8" s="60">
        <f>ATL!O$7</f>
        <v>1.3785975403199997</v>
      </c>
      <c r="L8" s="60">
        <f t="shared" si="3"/>
        <v>103.4757613294272</v>
      </c>
      <c r="M8" s="60">
        <f t="shared" si="4"/>
        <v>117.2617367326272</v>
      </c>
      <c r="N8" s="60">
        <f t="shared" si="5"/>
        <v>131.0477121358272</v>
      </c>
      <c r="O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117.2617367326272</v>
      </c>
      <c r="P8" s="96">
        <v>0</v>
      </c>
    </row>
    <row r="9" spans="1:16" x14ac:dyDescent="0.2">
      <c r="A9" s="59">
        <f>IF(TableRBMaster[[#This Row],[Player]]&lt;&gt;0,A8+1,A8)</f>
        <v>7</v>
      </c>
      <c r="B9" s="59" t="str">
        <f>ATL!A$8</f>
        <v>Jase McClellan</v>
      </c>
      <c r="C9" s="59" t="s">
        <v>94</v>
      </c>
      <c r="D9" s="59">
        <f>ATL!C$7</f>
        <v>11</v>
      </c>
      <c r="E9" s="60">
        <f>ATL!I$8</f>
        <v>23.668999200000002</v>
      </c>
      <c r="F9" s="60">
        <f>ATL!J$8</f>
        <v>98.22634668000002</v>
      </c>
      <c r="G9" s="60">
        <f>ATL!K$8</f>
        <v>0.75740797440000007</v>
      </c>
      <c r="H9" s="60">
        <f>ATL!L$8</f>
        <v>23.005382399999995</v>
      </c>
      <c r="I9" s="60">
        <f>ATL!M$8</f>
        <v>19.163483539199994</v>
      </c>
      <c r="J9" s="60">
        <f>ATL!N$8</f>
        <v>141.42650851929596</v>
      </c>
      <c r="K9" s="60">
        <f>ATL!O$8</f>
        <v>0.76653934156799974</v>
      </c>
      <c r="L9" s="60">
        <f t="shared" si="3"/>
        <v>33.108969415737597</v>
      </c>
      <c r="M9" s="60">
        <f t="shared" si="4"/>
        <v>42.690711185337591</v>
      </c>
      <c r="N9" s="60">
        <f t="shared" si="5"/>
        <v>52.272452954937592</v>
      </c>
      <c r="O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42.690711185337598</v>
      </c>
      <c r="P9" s="96">
        <v>0</v>
      </c>
    </row>
    <row r="10" spans="1:16" x14ac:dyDescent="0.2">
      <c r="A10" s="59">
        <f>IF(TableRBMaster[[#This Row],[Player]]&lt;&gt;0,A9+1,A9)</f>
        <v>7</v>
      </c>
      <c r="B10" s="59">
        <f>ATL!A$9</f>
        <v>0</v>
      </c>
      <c r="C10" s="59" t="s">
        <v>94</v>
      </c>
      <c r="D10" s="59">
        <f>ATL!C$9</f>
        <v>11</v>
      </c>
      <c r="E10" s="60">
        <f>ATL!I$9</f>
        <v>0</v>
      </c>
      <c r="F10" s="60">
        <f>ATL!J$9</f>
        <v>0</v>
      </c>
      <c r="G10" s="60">
        <f>ATL!K$9</f>
        <v>0</v>
      </c>
      <c r="H10" s="60">
        <f>ATL!L$9</f>
        <v>0</v>
      </c>
      <c r="I10" s="60">
        <f>ATL!M$9</f>
        <v>0</v>
      </c>
      <c r="J10" s="60">
        <f>ATL!N$9</f>
        <v>0</v>
      </c>
      <c r="K10" s="60">
        <f>ATL!O$9</f>
        <v>0</v>
      </c>
      <c r="L10" s="60">
        <f t="shared" si="3"/>
        <v>0</v>
      </c>
      <c r="M10" s="60">
        <f t="shared" si="4"/>
        <v>0</v>
      </c>
      <c r="N10" s="60">
        <f t="shared" si="5"/>
        <v>0</v>
      </c>
      <c r="O1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" s="96">
        <v>0</v>
      </c>
    </row>
    <row r="11" spans="1:16" x14ac:dyDescent="0.2">
      <c r="A11" s="59">
        <f>IF(TableRBMaster[[#This Row],[Player]]&lt;&gt;0,A10+1,A10)</f>
        <v>7</v>
      </c>
      <c r="B11" s="59">
        <f>ATL!A$10</f>
        <v>0</v>
      </c>
      <c r="C11" s="59" t="s">
        <v>94</v>
      </c>
      <c r="D11" s="59">
        <f>ATL!C$10</f>
        <v>11</v>
      </c>
      <c r="E11" s="60">
        <f>ATL!I$10</f>
        <v>0</v>
      </c>
      <c r="F11" s="60">
        <f>ATL!J$10</f>
        <v>0</v>
      </c>
      <c r="G11" s="60">
        <f>ATL!K$10</f>
        <v>0</v>
      </c>
      <c r="H11" s="60">
        <f>ATL!L$10</f>
        <v>0</v>
      </c>
      <c r="I11" s="60">
        <f>ATL!M$10</f>
        <v>0</v>
      </c>
      <c r="J11" s="60">
        <f>ATL!N$10</f>
        <v>0</v>
      </c>
      <c r="K11" s="60">
        <f>ATL!O$10</f>
        <v>0</v>
      </c>
      <c r="L11" s="60">
        <f t="shared" si="3"/>
        <v>0</v>
      </c>
      <c r="M11" s="60">
        <f t="shared" si="4"/>
        <v>0</v>
      </c>
      <c r="N11" s="60">
        <f t="shared" si="5"/>
        <v>0</v>
      </c>
      <c r="O1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" s="96">
        <v>0</v>
      </c>
    </row>
    <row r="12" spans="1:16" x14ac:dyDescent="0.2">
      <c r="A12" s="59">
        <f>IF(TableRBMaster[[#This Row],[Player]]&lt;&gt;0,A11+1,A11)</f>
        <v>8</v>
      </c>
      <c r="B12" s="59" t="str">
        <f>BAL!A$6</f>
        <v>Derrick Henry</v>
      </c>
      <c r="C12" s="59" t="s">
        <v>95</v>
      </c>
      <c r="D12" s="59">
        <f>BAL!C$6</f>
        <v>13</v>
      </c>
      <c r="E12" s="60">
        <f>BAL!I$6</f>
        <v>246.81158879999995</v>
      </c>
      <c r="F12" s="60">
        <f>BAL!J$6</f>
        <v>1105.7159178239999</v>
      </c>
      <c r="G12" s="60">
        <f>BAL!K$6</f>
        <v>14.068260561599997</v>
      </c>
      <c r="H12" s="60">
        <f>BAL!L$6</f>
        <v>31.760937600000002</v>
      </c>
      <c r="I12" s="60">
        <f>BAL!M$6</f>
        <v>23.820703200000001</v>
      </c>
      <c r="J12" s="60">
        <f>BAL!N$6</f>
        <v>187.707141216</v>
      </c>
      <c r="K12" s="60">
        <f>BAL!O$6</f>
        <v>0.95282812800000005</v>
      </c>
      <c r="L12" s="60">
        <f t="shared" ref="L12:L16" si="6">(F12/10)+(G12*6)+(J12/10)+(K12*6)</f>
        <v>219.46883804159998</v>
      </c>
      <c r="M12" s="60">
        <f t="shared" ref="M12:M16" si="7">L12+(I12*0.5)</f>
        <v>231.37918964159999</v>
      </c>
      <c r="N12" s="60">
        <f t="shared" ref="N12:N16" si="8">L12+I12</f>
        <v>243.28954124159998</v>
      </c>
      <c r="O1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231.37918964159999</v>
      </c>
      <c r="P12" s="96">
        <v>31.804706892865251</v>
      </c>
    </row>
    <row r="13" spans="1:16" x14ac:dyDescent="0.2">
      <c r="A13" s="59">
        <f>IF(TableRBMaster[[#This Row],[Player]]&lt;&gt;0,A12+1,A12)</f>
        <v>9</v>
      </c>
      <c r="B13" s="59" t="str">
        <f>BAL!A$7</f>
        <v>Rasheen Ali</v>
      </c>
      <c r="C13" s="59" t="s">
        <v>95</v>
      </c>
      <c r="D13" s="59">
        <f>BAL!C$8</f>
        <v>13</v>
      </c>
      <c r="E13" s="60">
        <f>BAL!I$7</f>
        <v>63.015724799999994</v>
      </c>
      <c r="F13" s="60">
        <f>BAL!J$7</f>
        <v>283.57076159999997</v>
      </c>
      <c r="G13" s="60">
        <f>BAL!K$7</f>
        <v>2.5836447167999999</v>
      </c>
      <c r="H13" s="60">
        <f>BAL!L$7</f>
        <v>10.5869792</v>
      </c>
      <c r="I13" s="60">
        <f>BAL!M$7</f>
        <v>7.9402343999999996</v>
      </c>
      <c r="J13" s="60">
        <f>BAL!N$7</f>
        <v>63.521875199999997</v>
      </c>
      <c r="K13" s="60">
        <f>BAL!O$7</f>
        <v>0.317609376</v>
      </c>
      <c r="L13" s="60">
        <f t="shared" si="6"/>
        <v>52.116788236799998</v>
      </c>
      <c r="M13" s="60">
        <f t="shared" si="7"/>
        <v>56.086905436799995</v>
      </c>
      <c r="N13" s="60">
        <f t="shared" si="8"/>
        <v>60.057022636799999</v>
      </c>
      <c r="O1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56.086905436799995</v>
      </c>
      <c r="P13" s="96">
        <v>6.63008926973718</v>
      </c>
    </row>
    <row r="14" spans="1:16" x14ac:dyDescent="0.2">
      <c r="A14" s="59">
        <f>IF(TableRBMaster[[#This Row],[Player]]&lt;&gt;0,A13+1,A13)</f>
        <v>10</v>
      </c>
      <c r="B14" s="59" t="str">
        <f>BAL!A$8</f>
        <v>Keaton Mitchell</v>
      </c>
      <c r="C14" s="59" t="s">
        <v>95</v>
      </c>
      <c r="D14" s="59">
        <f>BAL!C$7</f>
        <v>13</v>
      </c>
      <c r="E14" s="60">
        <f>BAL!I$8</f>
        <v>49.887448799999994</v>
      </c>
      <c r="F14" s="60">
        <f>BAL!J$8</f>
        <v>240.45750321599999</v>
      </c>
      <c r="G14" s="60">
        <f>BAL!K$8</f>
        <v>1.8458356055999996</v>
      </c>
      <c r="H14" s="60">
        <f>BAL!L$8</f>
        <v>5.2934896</v>
      </c>
      <c r="I14" s="60">
        <f>BAL!M$8</f>
        <v>4.1130414192</v>
      </c>
      <c r="J14" s="60">
        <f>BAL!N$8</f>
        <v>33.027722596175998</v>
      </c>
      <c r="K14" s="60">
        <f>BAL!O$8</f>
        <v>0.185086863864</v>
      </c>
      <c r="L14" s="60">
        <f t="shared" si="6"/>
        <v>39.534057398001593</v>
      </c>
      <c r="M14" s="60">
        <f t="shared" si="7"/>
        <v>41.590578107601594</v>
      </c>
      <c r="N14" s="60">
        <f t="shared" si="8"/>
        <v>43.647098817201595</v>
      </c>
      <c r="O1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41.590578107601594</v>
      </c>
      <c r="P14" s="96">
        <v>0</v>
      </c>
    </row>
    <row r="15" spans="1:16" x14ac:dyDescent="0.2">
      <c r="A15" s="59">
        <f>IF(TableRBMaster[[#This Row],[Player]]&lt;&gt;0,A14+1,A14)</f>
        <v>11</v>
      </c>
      <c r="B15" s="59" t="str">
        <f>BAL!A$9</f>
        <v>Justice Hill</v>
      </c>
      <c r="C15" s="59" t="s">
        <v>95</v>
      </c>
      <c r="D15" s="59">
        <f>BAL!C$9</f>
        <v>13</v>
      </c>
      <c r="E15" s="60">
        <f>BAL!I$9</f>
        <v>7.8769655999999992</v>
      </c>
      <c r="F15" s="60">
        <f>BAL!J$9</f>
        <v>36.234041759999997</v>
      </c>
      <c r="G15" s="60">
        <f>BAL!K$9</f>
        <v>0.27569379599999999</v>
      </c>
      <c r="H15" s="60">
        <f>BAL!L$9</f>
        <v>13.233724000000002</v>
      </c>
      <c r="I15" s="60">
        <f>BAL!M$9</f>
        <v>10.176733756000003</v>
      </c>
      <c r="J15" s="60">
        <f>BAL!N$9</f>
        <v>70.219462916400019</v>
      </c>
      <c r="K15" s="60">
        <f>BAL!O$9</f>
        <v>0.45795301902000007</v>
      </c>
      <c r="L15" s="60">
        <f t="shared" si="6"/>
        <v>15.047231357760001</v>
      </c>
      <c r="M15" s="60">
        <f t="shared" si="7"/>
        <v>20.135598235760003</v>
      </c>
      <c r="N15" s="60">
        <f t="shared" si="8"/>
        <v>25.223965113760002</v>
      </c>
      <c r="O1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20.135598235760003</v>
      </c>
      <c r="P15" s="96">
        <v>0</v>
      </c>
    </row>
    <row r="16" spans="1:16" x14ac:dyDescent="0.2">
      <c r="A16" s="59">
        <f>IF(TableRBMaster[[#This Row],[Player]]&lt;&gt;0,A15+1,A15)</f>
        <v>11</v>
      </c>
      <c r="B16" s="59">
        <f>BAL!A$10</f>
        <v>0</v>
      </c>
      <c r="C16" s="59" t="s">
        <v>95</v>
      </c>
      <c r="D16" s="59">
        <f>BAL!C$10</f>
        <v>13</v>
      </c>
      <c r="E16" s="60">
        <f>BAL!I$10</f>
        <v>0</v>
      </c>
      <c r="F16" s="60">
        <f>BAL!J$10</f>
        <v>0</v>
      </c>
      <c r="G16" s="60">
        <f>BAL!K$10</f>
        <v>0</v>
      </c>
      <c r="H16" s="60">
        <f>BAL!L$10</f>
        <v>0</v>
      </c>
      <c r="I16" s="60">
        <f>BAL!M$10</f>
        <v>0</v>
      </c>
      <c r="J16" s="60">
        <f>BAL!N$10</f>
        <v>0</v>
      </c>
      <c r="K16" s="60">
        <f>BAL!O$10</f>
        <v>0</v>
      </c>
      <c r="L16" s="60">
        <f t="shared" si="6"/>
        <v>0</v>
      </c>
      <c r="M16" s="60">
        <f t="shared" si="7"/>
        <v>0</v>
      </c>
      <c r="N16" s="60">
        <f t="shared" si="8"/>
        <v>0</v>
      </c>
      <c r="O1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" s="96">
        <v>0</v>
      </c>
    </row>
    <row r="17" spans="1:16" x14ac:dyDescent="0.2">
      <c r="A17" s="59">
        <f>IF(TableRBMaster[[#This Row],[Player]]&lt;&gt;0,A16+1,A16)</f>
        <v>12</v>
      </c>
      <c r="B17" s="59" t="str">
        <f>BUF!A$6</f>
        <v>James Cook</v>
      </c>
      <c r="C17" s="59" t="s">
        <v>96</v>
      </c>
      <c r="D17" s="59">
        <f>BUF!C$6</f>
        <v>13</v>
      </c>
      <c r="E17" s="60">
        <f>BUF!I$6</f>
        <v>178.83980800000003</v>
      </c>
      <c r="F17" s="60">
        <f>BUF!J$6</f>
        <v>804.77913600000011</v>
      </c>
      <c r="G17" s="60">
        <f>BUF!K$6</f>
        <v>5.365194240000001</v>
      </c>
      <c r="H17" s="60">
        <f>BUF!L$6</f>
        <v>54.664243199999987</v>
      </c>
      <c r="I17" s="60">
        <f>BUF!M$6</f>
        <v>40.779525427199992</v>
      </c>
      <c r="J17" s="60">
        <f>BUF!N$6</f>
        <v>345.40258036838395</v>
      </c>
      <c r="K17" s="60">
        <f>BUF!O$6</f>
        <v>2.0389762713599997</v>
      </c>
      <c r="L17" s="60">
        <f t="shared" ref="L17:L21" si="9">(F17/10)+(G17*6)+(J17/10)+(K17*6)</f>
        <v>159.4431947049984</v>
      </c>
      <c r="M17" s="60">
        <f t="shared" ref="M17:M21" si="10">L17+(I17*0.5)</f>
        <v>179.8329574185984</v>
      </c>
      <c r="N17" s="60">
        <f t="shared" ref="N17:N21" si="11">L17+I17</f>
        <v>200.22272013219839</v>
      </c>
      <c r="O1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179.83295741859843</v>
      </c>
      <c r="P17" s="96">
        <v>10.879633166263982</v>
      </c>
    </row>
    <row r="18" spans="1:16" x14ac:dyDescent="0.2">
      <c r="A18" s="59">
        <f>IF(TableRBMaster[[#This Row],[Player]]&lt;&gt;0,A17+1,A17)</f>
        <v>13</v>
      </c>
      <c r="B18" s="59" t="str">
        <f>BUF!A$7</f>
        <v>Ty Johnson</v>
      </c>
      <c r="C18" s="59" t="s">
        <v>96</v>
      </c>
      <c r="D18" s="59">
        <f>BUF!C$8</f>
        <v>13</v>
      </c>
      <c r="E18" s="60">
        <f>BUF!I$7</f>
        <v>13.412985600000001</v>
      </c>
      <c r="F18" s="60">
        <f>BUF!J$7</f>
        <v>57.675838079999998</v>
      </c>
      <c r="G18" s="60">
        <f>BUF!K$7</f>
        <v>0.40238956800000003</v>
      </c>
      <c r="H18" s="60">
        <f>BUF!L$7</f>
        <v>6.0738047999999987</v>
      </c>
      <c r="I18" s="60">
        <f>BUF!M$7</f>
        <v>4.2516633599999984</v>
      </c>
      <c r="J18" s="60">
        <f>BUF!N$7</f>
        <v>39.072786278399981</v>
      </c>
      <c r="K18" s="60">
        <f>BUF!O$7</f>
        <v>0.17006653439999994</v>
      </c>
      <c r="L18" s="60">
        <f t="shared" si="9"/>
        <v>13.109599050239996</v>
      </c>
      <c r="M18" s="60">
        <f t="shared" si="10"/>
        <v>15.235430730239996</v>
      </c>
      <c r="N18" s="60">
        <f t="shared" si="11"/>
        <v>17.361262410239995</v>
      </c>
      <c r="O1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15.235430730239997</v>
      </c>
      <c r="P18" s="96">
        <v>0.6085987694078856</v>
      </c>
    </row>
    <row r="19" spans="1:16" x14ac:dyDescent="0.2">
      <c r="A19" s="59">
        <f>IF(TableRBMaster[[#This Row],[Player]]&lt;&gt;0,A18+1,A18)</f>
        <v>14</v>
      </c>
      <c r="B19" s="59" t="str">
        <f>BUF!A$8</f>
        <v>Ray Davis</v>
      </c>
      <c r="C19" s="59" t="s">
        <v>96</v>
      </c>
      <c r="D19" s="59">
        <f>BUF!C$7</f>
        <v>13</v>
      </c>
      <c r="E19" s="60">
        <f>BUF!I$8</f>
        <v>120.71687040000002</v>
      </c>
      <c r="F19" s="60">
        <f>BUF!J$8</f>
        <v>514.253867904</v>
      </c>
      <c r="G19" s="60">
        <f>BUF!K$8</f>
        <v>3.8629398528000007</v>
      </c>
      <c r="H19" s="60">
        <f>BUF!L$8</f>
        <v>18.221414399999993</v>
      </c>
      <c r="I19" s="60">
        <f>BUF!M$8</f>
        <v>13.319853926399995</v>
      </c>
      <c r="J19" s="60">
        <f>BUF!N$8</f>
        <v>109.62239781427196</v>
      </c>
      <c r="K19" s="60">
        <f>BUF!O$8</f>
        <v>0.53279415705599986</v>
      </c>
      <c r="L19" s="60">
        <f t="shared" si="9"/>
        <v>88.76203063096321</v>
      </c>
      <c r="M19" s="60">
        <f t="shared" si="10"/>
        <v>95.421957594163203</v>
      </c>
      <c r="N19" s="60">
        <f t="shared" si="11"/>
        <v>102.08188455736321</v>
      </c>
      <c r="O1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95.421957594163203</v>
      </c>
      <c r="P19" s="96">
        <v>0</v>
      </c>
    </row>
    <row r="20" spans="1:16" x14ac:dyDescent="0.2">
      <c r="A20" s="59">
        <f>IF(TableRBMaster[[#This Row],[Player]]&lt;&gt;0,A19+1,A19)</f>
        <v>14</v>
      </c>
      <c r="B20" s="59">
        <f>BUF!A$9</f>
        <v>0</v>
      </c>
      <c r="C20" s="59" t="s">
        <v>96</v>
      </c>
      <c r="D20" s="59">
        <f>BUF!C$9</f>
        <v>13</v>
      </c>
      <c r="E20" s="60">
        <f>BUF!I$9</f>
        <v>0</v>
      </c>
      <c r="F20" s="60">
        <f>BUF!J$9</f>
        <v>0</v>
      </c>
      <c r="G20" s="60">
        <f>BUF!K$9</f>
        <v>0</v>
      </c>
      <c r="H20" s="60">
        <f>BUF!L$9</f>
        <v>0</v>
      </c>
      <c r="I20" s="60">
        <f>BUF!M$9</f>
        <v>0</v>
      </c>
      <c r="J20" s="60">
        <f>BUF!N$9</f>
        <v>0</v>
      </c>
      <c r="K20" s="60">
        <f>BUF!O$9</f>
        <v>0</v>
      </c>
      <c r="L20" s="60">
        <f t="shared" si="9"/>
        <v>0</v>
      </c>
      <c r="M20" s="60">
        <f t="shared" si="10"/>
        <v>0</v>
      </c>
      <c r="N20" s="60">
        <f t="shared" si="11"/>
        <v>0</v>
      </c>
      <c r="O2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0" s="96">
        <v>0</v>
      </c>
    </row>
    <row r="21" spans="1:16" x14ac:dyDescent="0.2">
      <c r="A21" s="59">
        <f>IF(TableRBMaster[[#This Row],[Player]]&lt;&gt;0,A20+1,A20)</f>
        <v>14</v>
      </c>
      <c r="B21" s="59">
        <f>BUF!A$10</f>
        <v>0</v>
      </c>
      <c r="C21" s="59" t="s">
        <v>96</v>
      </c>
      <c r="D21" s="59">
        <f>BUF!C$10</f>
        <v>13</v>
      </c>
      <c r="E21" s="60">
        <f>BUF!I$10</f>
        <v>0</v>
      </c>
      <c r="F21" s="60">
        <f>BUF!J$10</f>
        <v>0</v>
      </c>
      <c r="G21" s="60">
        <f>BUF!K$10</f>
        <v>0</v>
      </c>
      <c r="H21" s="60">
        <f>BUF!L$10</f>
        <v>0</v>
      </c>
      <c r="I21" s="60">
        <f>BUF!M$10</f>
        <v>0</v>
      </c>
      <c r="J21" s="60">
        <f>BUF!N$10</f>
        <v>0</v>
      </c>
      <c r="K21" s="60">
        <f>BUF!O$10</f>
        <v>0</v>
      </c>
      <c r="L21" s="60">
        <f t="shared" si="9"/>
        <v>0</v>
      </c>
      <c r="M21" s="60">
        <f t="shared" si="10"/>
        <v>0</v>
      </c>
      <c r="N21" s="60">
        <f t="shared" si="11"/>
        <v>0</v>
      </c>
      <c r="O2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1" s="96">
        <v>0</v>
      </c>
    </row>
    <row r="22" spans="1:16" x14ac:dyDescent="0.2">
      <c r="A22" s="59">
        <f>IF(TableRBMaster[[#This Row],[Player]]&lt;&gt;0,A21+1,A21)</f>
        <v>15</v>
      </c>
      <c r="B22" s="59" t="str">
        <f>CAR!A$6</f>
        <v>Chuba Hubbard</v>
      </c>
      <c r="C22" s="59" t="s">
        <v>97</v>
      </c>
      <c r="D22" s="59">
        <f>CAR!C$6</f>
        <v>7</v>
      </c>
      <c r="E22" s="60">
        <f>CAR!I$6</f>
        <v>178.36392000000004</v>
      </c>
      <c r="F22" s="60">
        <f>CAR!J$6</f>
        <v>734.85935040000015</v>
      </c>
      <c r="G22" s="60">
        <f>CAR!K$6</f>
        <v>5.3509176000000007</v>
      </c>
      <c r="H22" s="60">
        <f>CAR!L$6</f>
        <v>46.333615999999992</v>
      </c>
      <c r="I22" s="60">
        <f>CAR!M$6</f>
        <v>35.445216239999993</v>
      </c>
      <c r="J22" s="60">
        <f>CAR!N$6</f>
        <v>257.33226990239996</v>
      </c>
      <c r="K22" s="60">
        <f>CAR!O$6</f>
        <v>1.0633564871999999</v>
      </c>
      <c r="L22" s="60">
        <f t="shared" ref="L22:L26" si="12">(F22/10)+(G22*6)+(J22/10)+(K22*6)</f>
        <v>137.70480655344002</v>
      </c>
      <c r="M22" s="60">
        <f t="shared" ref="M22:M26" si="13">L22+(I22*0.5)</f>
        <v>155.42741467344001</v>
      </c>
      <c r="N22" s="60">
        <f t="shared" ref="N22:N26" si="14">L22+I22</f>
        <v>173.15002279344003</v>
      </c>
      <c r="O2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155.42741467344004</v>
      </c>
      <c r="P22" s="96">
        <v>60</v>
      </c>
    </row>
    <row r="23" spans="1:16" x14ac:dyDescent="0.2">
      <c r="A23" s="59">
        <f>IF(TableRBMaster[[#This Row],[Player]]&lt;&gt;0,A22+1,A22)</f>
        <v>16</v>
      </c>
      <c r="B23" s="59" t="str">
        <f>CAR!A$7</f>
        <v>Jonathon Brooks</v>
      </c>
      <c r="C23" s="59" t="s">
        <v>97</v>
      </c>
      <c r="D23" s="59">
        <f>CAR!C$8</f>
        <v>7</v>
      </c>
      <c r="E23" s="60">
        <f>CAR!I$7</f>
        <v>133.77294000000001</v>
      </c>
      <c r="F23" s="60">
        <f>CAR!J$7</f>
        <v>583.25001840000004</v>
      </c>
      <c r="G23" s="60">
        <f>CAR!K$7</f>
        <v>4.6820529000000004</v>
      </c>
      <c r="H23" s="60">
        <f>CAR!L$7</f>
        <v>23.166807999999996</v>
      </c>
      <c r="I23" s="60">
        <f>CAR!M$7</f>
        <v>17.027603879999997</v>
      </c>
      <c r="J23" s="60">
        <f>CAR!N$7</f>
        <v>129.58006552679998</v>
      </c>
      <c r="K23" s="60">
        <f>CAR!O$7</f>
        <v>0.54488332415999996</v>
      </c>
      <c r="L23" s="60">
        <f t="shared" si="12"/>
        <v>102.64462573764001</v>
      </c>
      <c r="M23" s="60">
        <f t="shared" si="13"/>
        <v>111.15842767764001</v>
      </c>
      <c r="N23" s="60">
        <f t="shared" si="14"/>
        <v>119.67222961764001</v>
      </c>
      <c r="O2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111.15842767764001</v>
      </c>
      <c r="P23" s="96">
        <v>0</v>
      </c>
    </row>
    <row r="24" spans="1:16" x14ac:dyDescent="0.2">
      <c r="A24" s="59">
        <f>IF(TableRBMaster[[#This Row],[Player]]&lt;&gt;0,A23+1,A23)</f>
        <v>17</v>
      </c>
      <c r="B24" s="59" t="str">
        <f>CAR!A$8</f>
        <v>Miles Sanders</v>
      </c>
      <c r="C24" s="59" t="s">
        <v>97</v>
      </c>
      <c r="D24" s="59">
        <f>CAR!C$7</f>
        <v>7</v>
      </c>
      <c r="E24" s="60">
        <f>CAR!I$8</f>
        <v>49.050077999999999</v>
      </c>
      <c r="F24" s="60">
        <f>CAR!J$8</f>
        <v>195.21931043999999</v>
      </c>
      <c r="G24" s="60">
        <f>CAR!K$8</f>
        <v>1.22625195</v>
      </c>
      <c r="H24" s="60">
        <f>CAR!L$8</f>
        <v>11.583403999999998</v>
      </c>
      <c r="I24" s="60">
        <f>CAR!M$8</f>
        <v>7.7840474879999988</v>
      </c>
      <c r="J24" s="60">
        <f>CAR!N$8</f>
        <v>53.78776814207999</v>
      </c>
      <c r="K24" s="60">
        <f>CAR!O$8</f>
        <v>0.15568094975999999</v>
      </c>
      <c r="L24" s="60">
        <f t="shared" si="12"/>
        <v>33.192305256767995</v>
      </c>
      <c r="M24" s="60">
        <f t="shared" si="13"/>
        <v>37.084329000767994</v>
      </c>
      <c r="N24" s="60">
        <f t="shared" si="14"/>
        <v>40.976352744767993</v>
      </c>
      <c r="O2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37.084329000767994</v>
      </c>
      <c r="P24" s="96">
        <v>0</v>
      </c>
    </row>
    <row r="25" spans="1:16" x14ac:dyDescent="0.2">
      <c r="A25" s="59">
        <f>IF(TableRBMaster[[#This Row],[Player]]&lt;&gt;0,A24+1,A24)</f>
        <v>18</v>
      </c>
      <c r="B25" s="59" t="str">
        <f>CAR!A$9</f>
        <v>Raheem Blackshear</v>
      </c>
      <c r="C25" s="59" t="s">
        <v>97</v>
      </c>
      <c r="D25" s="59">
        <f>CAR!C$9</f>
        <v>7</v>
      </c>
      <c r="E25" s="60">
        <f>CAR!I$9</f>
        <v>22.295490000000004</v>
      </c>
      <c r="F25" s="60">
        <f>CAR!J$9</f>
        <v>87.621275700000027</v>
      </c>
      <c r="G25" s="60">
        <f>CAR!K$9</f>
        <v>0.55738725000000011</v>
      </c>
      <c r="H25" s="60">
        <f>CAR!L$9</f>
        <v>5.791701999999999</v>
      </c>
      <c r="I25" s="60">
        <f>CAR!M$9</f>
        <v>4.1005250159999989</v>
      </c>
      <c r="J25" s="60">
        <f>CAR!N$9</f>
        <v>31.656053123519989</v>
      </c>
      <c r="K25" s="60">
        <f>CAR!O$9</f>
        <v>0.10251312539999997</v>
      </c>
      <c r="L25" s="60">
        <f t="shared" si="12"/>
        <v>15.887135134752002</v>
      </c>
      <c r="M25" s="60">
        <f t="shared" si="13"/>
        <v>17.937397642752003</v>
      </c>
      <c r="N25" s="60">
        <f t="shared" si="14"/>
        <v>19.987660150751999</v>
      </c>
      <c r="O2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17.937397642752</v>
      </c>
      <c r="P25" s="96">
        <v>0</v>
      </c>
    </row>
    <row r="26" spans="1:16" x14ac:dyDescent="0.2">
      <c r="A26" s="59">
        <f>IF(TableRBMaster[[#This Row],[Player]]&lt;&gt;0,A25+1,A25)</f>
        <v>18</v>
      </c>
      <c r="B26" s="59">
        <f>CAR!A$10</f>
        <v>0</v>
      </c>
      <c r="C26" s="59" t="s">
        <v>97</v>
      </c>
      <c r="D26" s="59">
        <f>CAR!C$10</f>
        <v>7</v>
      </c>
      <c r="E26" s="60">
        <f>CAR!I$10</f>
        <v>0</v>
      </c>
      <c r="F26" s="60">
        <f>CAR!J$10</f>
        <v>0</v>
      </c>
      <c r="G26" s="60">
        <f>CAR!K$10</f>
        <v>0</v>
      </c>
      <c r="H26" s="60">
        <f>CAR!L$10</f>
        <v>0</v>
      </c>
      <c r="I26" s="60">
        <f>CAR!M$10</f>
        <v>0</v>
      </c>
      <c r="J26" s="60">
        <f>CAR!N$10</f>
        <v>0</v>
      </c>
      <c r="K26" s="60">
        <f>CAR!O$10</f>
        <v>0</v>
      </c>
      <c r="L26" s="60">
        <f t="shared" si="12"/>
        <v>0</v>
      </c>
      <c r="M26" s="60">
        <f t="shared" si="13"/>
        <v>0</v>
      </c>
      <c r="N26" s="60">
        <f t="shared" si="14"/>
        <v>0</v>
      </c>
      <c r="O2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6" s="96">
        <v>0</v>
      </c>
    </row>
    <row r="27" spans="1:16" x14ac:dyDescent="0.2">
      <c r="A27" s="59">
        <f>IF(TableRBMaster[[#This Row],[Player]]&lt;&gt;0,A26+1,A26)</f>
        <v>19</v>
      </c>
      <c r="B27" s="59" t="str">
        <f>CHI!A$6</f>
        <v>D'Andre Swift</v>
      </c>
      <c r="C27" s="59" t="s">
        <v>98</v>
      </c>
      <c r="D27" s="59">
        <f>CHI!C$6</f>
        <v>13</v>
      </c>
      <c r="E27" s="60">
        <f>CHI!I$6</f>
        <v>200.77706879999997</v>
      </c>
      <c r="F27" s="60">
        <f>CHI!J$6</f>
        <v>877.39579065599992</v>
      </c>
      <c r="G27" s="60">
        <f>CHI!K$6</f>
        <v>7.0271974079999993</v>
      </c>
      <c r="H27" s="60">
        <f>CHI!L$6</f>
        <v>45.344678399999985</v>
      </c>
      <c r="I27" s="60">
        <f>CHI!M$6</f>
        <v>34.008508799999987</v>
      </c>
      <c r="J27" s="60">
        <f>CHI!N$6</f>
        <v>258.46466687999987</v>
      </c>
      <c r="K27" s="60">
        <f>CHI!O$6</f>
        <v>1.5303828959999994</v>
      </c>
      <c r="L27" s="60">
        <f t="shared" ref="L27:L31" si="15">(F27/10)+(G27*6)+(J27/10)+(K27*6)</f>
        <v>164.93152757760001</v>
      </c>
      <c r="M27" s="60">
        <f t="shared" ref="M27:M31" si="16">L27+(I27*0.5)</f>
        <v>181.93578197760002</v>
      </c>
      <c r="N27" s="60">
        <f t="shared" ref="N27:N31" si="17">L27+I27</f>
        <v>198.94003637759999</v>
      </c>
      <c r="O2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181.93578197759999</v>
      </c>
      <c r="P27" s="96">
        <v>25.021068661451302</v>
      </c>
    </row>
    <row r="28" spans="1:16" x14ac:dyDescent="0.2">
      <c r="A28" s="59">
        <f>IF(TableRBMaster[[#This Row],[Player]]&lt;&gt;0,A27+1,A27)</f>
        <v>20</v>
      </c>
      <c r="B28" s="59" t="str">
        <f>CHI!A$7</f>
        <v>Khalil Herbert</v>
      </c>
      <c r="C28" s="59" t="s">
        <v>98</v>
      </c>
      <c r="D28" s="59">
        <f>CHI!C$8</f>
        <v>13</v>
      </c>
      <c r="E28" s="60">
        <f>CHI!I$7</f>
        <v>100.38853439999998</v>
      </c>
      <c r="F28" s="60">
        <f>CHI!J$7</f>
        <v>463.79502892799991</v>
      </c>
      <c r="G28" s="60">
        <f>CHI!K$7</f>
        <v>3.0116560319999994</v>
      </c>
      <c r="H28" s="60">
        <f>CHI!L$7</f>
        <v>11.336169599999996</v>
      </c>
      <c r="I28" s="60">
        <f>CHI!M$7</f>
        <v>7.9919995679999971</v>
      </c>
      <c r="J28" s="60">
        <f>CHI!N$7</f>
        <v>56.743196932799975</v>
      </c>
      <c r="K28" s="60">
        <f>CHI!O$7</f>
        <v>0.31967998271999987</v>
      </c>
      <c r="L28" s="60">
        <f t="shared" si="15"/>
        <v>72.041838674399983</v>
      </c>
      <c r="M28" s="60">
        <f t="shared" si="16"/>
        <v>76.037838458399989</v>
      </c>
      <c r="N28" s="60">
        <f t="shared" si="17"/>
        <v>80.03383824239998</v>
      </c>
      <c r="O2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76.037838458399975</v>
      </c>
      <c r="P28" s="96">
        <v>0</v>
      </c>
    </row>
    <row r="29" spans="1:16" x14ac:dyDescent="0.2">
      <c r="A29" s="59">
        <f>IF(TableRBMaster[[#This Row],[Player]]&lt;&gt;0,A28+1,A28)</f>
        <v>21</v>
      </c>
      <c r="B29" s="59" t="str">
        <f>CHI!A$8</f>
        <v>Roschon Johnson</v>
      </c>
      <c r="C29" s="59" t="s">
        <v>98</v>
      </c>
      <c r="D29" s="59">
        <f>CHI!C$7</f>
        <v>13</v>
      </c>
      <c r="E29" s="60">
        <f>CHI!I$8</f>
        <v>82.136073599999989</v>
      </c>
      <c r="F29" s="60">
        <f>CHI!J$8</f>
        <v>350.72103427199994</v>
      </c>
      <c r="G29" s="60">
        <f>CHI!K$8</f>
        <v>2.9568986495999994</v>
      </c>
      <c r="H29" s="60">
        <f>CHI!L$8</f>
        <v>34.008508799999987</v>
      </c>
      <c r="I29" s="60">
        <f>CHI!M$8</f>
        <v>25.166296511999992</v>
      </c>
      <c r="J29" s="60">
        <f>CHI!N$8</f>
        <v>183.71396453759994</v>
      </c>
      <c r="K29" s="60">
        <f>CHI!O$8</f>
        <v>1.1324833430399996</v>
      </c>
      <c r="L29" s="60">
        <f t="shared" si="15"/>
        <v>77.979791836799976</v>
      </c>
      <c r="M29" s="60">
        <f t="shared" si="16"/>
        <v>90.562940092799977</v>
      </c>
      <c r="N29" s="60">
        <f t="shared" si="17"/>
        <v>103.14608834879996</v>
      </c>
      <c r="O2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90.562940092799991</v>
      </c>
      <c r="P29" s="96">
        <v>0</v>
      </c>
    </row>
    <row r="30" spans="1:16" x14ac:dyDescent="0.2">
      <c r="A30" s="59">
        <f>IF(TableRBMaster[[#This Row],[Player]]&lt;&gt;0,A29+1,A29)</f>
        <v>21</v>
      </c>
      <c r="B30" s="59">
        <f>CHI!A$9</f>
        <v>0</v>
      </c>
      <c r="C30" s="59" t="s">
        <v>98</v>
      </c>
      <c r="D30" s="59">
        <f>CHI!C$9</f>
        <v>13</v>
      </c>
      <c r="E30" s="60">
        <f>CHI!I$9</f>
        <v>0</v>
      </c>
      <c r="F30" s="60">
        <f>CHI!J$9</f>
        <v>0</v>
      </c>
      <c r="G30" s="60">
        <f>CHI!K$9</f>
        <v>0</v>
      </c>
      <c r="H30" s="60">
        <f>CHI!L$9</f>
        <v>0</v>
      </c>
      <c r="I30" s="60">
        <f>CHI!M$9</f>
        <v>0</v>
      </c>
      <c r="J30" s="60">
        <f>CHI!N$9</f>
        <v>0</v>
      </c>
      <c r="K30" s="60">
        <f>CHI!O$9</f>
        <v>0</v>
      </c>
      <c r="L30" s="60">
        <f t="shared" si="15"/>
        <v>0</v>
      </c>
      <c r="M30" s="60">
        <f t="shared" si="16"/>
        <v>0</v>
      </c>
      <c r="N30" s="60">
        <f t="shared" si="17"/>
        <v>0</v>
      </c>
      <c r="O3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0" s="96">
        <v>0</v>
      </c>
    </row>
    <row r="31" spans="1:16" x14ac:dyDescent="0.2">
      <c r="A31" s="59">
        <f>IF(TableRBMaster[[#This Row],[Player]]&lt;&gt;0,A30+1,A30)</f>
        <v>21</v>
      </c>
      <c r="B31" s="59">
        <f>CHI!A$10</f>
        <v>0</v>
      </c>
      <c r="C31" s="59" t="s">
        <v>98</v>
      </c>
      <c r="D31" s="59">
        <f>CHI!C$10</f>
        <v>13</v>
      </c>
      <c r="E31" s="60">
        <f>CHI!I$10</f>
        <v>0</v>
      </c>
      <c r="F31" s="60">
        <f>CHI!J$10</f>
        <v>0</v>
      </c>
      <c r="G31" s="60">
        <f>CHI!K$10</f>
        <v>0</v>
      </c>
      <c r="H31" s="60">
        <f>CHI!L$10</f>
        <v>0</v>
      </c>
      <c r="I31" s="60">
        <f>CHI!M$10</f>
        <v>0</v>
      </c>
      <c r="J31" s="60">
        <f>CHI!N$10</f>
        <v>0</v>
      </c>
      <c r="K31" s="60">
        <f>CHI!O$10</f>
        <v>0</v>
      </c>
      <c r="L31" s="60">
        <f t="shared" si="15"/>
        <v>0</v>
      </c>
      <c r="M31" s="60">
        <f t="shared" si="16"/>
        <v>0</v>
      </c>
      <c r="N31" s="60">
        <f t="shared" si="17"/>
        <v>0</v>
      </c>
      <c r="O3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1" s="96">
        <v>0</v>
      </c>
    </row>
    <row r="32" spans="1:16" x14ac:dyDescent="0.2">
      <c r="A32" s="59">
        <f>IF(TableRBMaster[[#This Row],[Player]]&lt;&gt;0,A31+1,A31)</f>
        <v>22</v>
      </c>
      <c r="B32" s="59" t="str">
        <f>CIN!A$6</f>
        <v>Zack Moss</v>
      </c>
      <c r="C32" s="59" t="s">
        <v>99</v>
      </c>
      <c r="D32" s="59">
        <f>CIN!C$6</f>
        <v>7</v>
      </c>
      <c r="E32" s="60">
        <f>CIN!I$6</f>
        <v>181.08906479999999</v>
      </c>
      <c r="F32" s="60">
        <f>CIN!J$6</f>
        <v>724.35625919999995</v>
      </c>
      <c r="G32" s="60">
        <f>CIN!K$6</f>
        <v>6.8813844623999998</v>
      </c>
      <c r="H32" s="60">
        <f>CIN!L$6</f>
        <v>43.649768400000006</v>
      </c>
      <c r="I32" s="60">
        <f>CIN!M$6</f>
        <v>34.570616572800006</v>
      </c>
      <c r="J32" s="60">
        <f>CIN!N$6</f>
        <v>231.62313103776003</v>
      </c>
      <c r="K32" s="60">
        <f>CIN!O$6</f>
        <v>1.2099715800480004</v>
      </c>
      <c r="L32" s="60">
        <f t="shared" ref="L32:L36" si="18">(F32/10)+(G32*6)+(J32/10)+(K32*6)</f>
        <v>144.146075278464</v>
      </c>
      <c r="M32" s="60">
        <f t="shared" ref="M32:M36" si="19">L32+(I32*0.5)</f>
        <v>161.43138356486401</v>
      </c>
      <c r="N32" s="60">
        <f t="shared" ref="N32:N36" si="20">L32+I32</f>
        <v>178.71669185126399</v>
      </c>
      <c r="O3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161.43138356486401</v>
      </c>
      <c r="P32" s="96">
        <v>39.467218909506279</v>
      </c>
    </row>
    <row r="33" spans="1:16" x14ac:dyDescent="0.2">
      <c r="A33" s="59">
        <f>IF(TableRBMaster[[#This Row],[Player]]&lt;&gt;0,A32+1,A32)</f>
        <v>23</v>
      </c>
      <c r="B33" s="59" t="str">
        <f>CIN!A$7</f>
        <v>Chase Brown</v>
      </c>
      <c r="C33" s="59" t="s">
        <v>99</v>
      </c>
      <c r="D33" s="59">
        <f>CIN!C$8</f>
        <v>7</v>
      </c>
      <c r="E33" s="60">
        <f>CIN!I$7</f>
        <v>129.91172039999998</v>
      </c>
      <c r="F33" s="60">
        <f>CIN!J$7</f>
        <v>567.71421814799987</v>
      </c>
      <c r="G33" s="60">
        <f>CIN!K$7</f>
        <v>4.6768219343999986</v>
      </c>
      <c r="H33" s="60">
        <f>CIN!L$7</f>
        <v>24.942724799999997</v>
      </c>
      <c r="I33" s="60">
        <f>CIN!M$7</f>
        <v>19.629924417599998</v>
      </c>
      <c r="J33" s="60">
        <f>CIN!N$7</f>
        <v>141.33545580671998</v>
      </c>
      <c r="K33" s="60">
        <f>CIN!O$7</f>
        <v>0.68704735461599997</v>
      </c>
      <c r="L33" s="60">
        <f t="shared" si="18"/>
        <v>103.08818312956797</v>
      </c>
      <c r="M33" s="60">
        <f t="shared" si="19"/>
        <v>112.90314533836796</v>
      </c>
      <c r="N33" s="60">
        <f t="shared" si="20"/>
        <v>122.71810754716796</v>
      </c>
      <c r="O3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112.90314533836799</v>
      </c>
      <c r="P33" s="96">
        <v>0</v>
      </c>
    </row>
    <row r="34" spans="1:16" x14ac:dyDescent="0.2">
      <c r="A34" s="59">
        <f>IF(TableRBMaster[[#This Row],[Player]]&lt;&gt;0,A33+1,A33)</f>
        <v>24</v>
      </c>
      <c r="B34" s="59" t="str">
        <f>CIN!A$8</f>
        <v>Trayveon Williams</v>
      </c>
      <c r="C34" s="59" t="s">
        <v>99</v>
      </c>
      <c r="D34" s="59">
        <f>CIN!C$7</f>
        <v>7</v>
      </c>
      <c r="E34" s="60">
        <f>CIN!I$8</f>
        <v>15.746875199999998</v>
      </c>
      <c r="F34" s="60">
        <f>CIN!J$8</f>
        <v>62.987500799999992</v>
      </c>
      <c r="G34" s="60">
        <f>CIN!K$8</f>
        <v>0.39367187999999997</v>
      </c>
      <c r="H34" s="60">
        <f>CIN!L$8</f>
        <v>6.2356811999999993</v>
      </c>
      <c r="I34" s="60">
        <f>CIN!M$8</f>
        <v>4.3649768399999989</v>
      </c>
      <c r="J34" s="60">
        <f>CIN!N$8</f>
        <v>27.062856407999995</v>
      </c>
      <c r="K34" s="60">
        <f>CIN!O$8</f>
        <v>8.729953679999998E-2</v>
      </c>
      <c r="L34" s="60">
        <f t="shared" si="18"/>
        <v>11.890864221599999</v>
      </c>
      <c r="M34" s="60">
        <f t="shared" si="19"/>
        <v>14.0733526416</v>
      </c>
      <c r="N34" s="60">
        <f t="shared" si="20"/>
        <v>16.255841061599998</v>
      </c>
      <c r="O3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14.0733526416</v>
      </c>
      <c r="P34" s="96">
        <v>0</v>
      </c>
    </row>
    <row r="35" spans="1:16" x14ac:dyDescent="0.2">
      <c r="A35" s="59">
        <f>IF(TableRBMaster[[#This Row],[Player]]&lt;&gt;0,A34+1,A34)</f>
        <v>25</v>
      </c>
      <c r="B35" s="59" t="str">
        <f>CIN!A$9</f>
        <v>Chris Evans</v>
      </c>
      <c r="C35" s="59" t="s">
        <v>99</v>
      </c>
      <c r="D35" s="59">
        <f>CIN!C$9</f>
        <v>7</v>
      </c>
      <c r="E35" s="60">
        <f>CIN!I$9</f>
        <v>11.810156399999997</v>
      </c>
      <c r="F35" s="60">
        <f>CIN!J$9</f>
        <v>49.720758443999983</v>
      </c>
      <c r="G35" s="60">
        <f>CIN!K$9</f>
        <v>0.37792500479999991</v>
      </c>
      <c r="H35" s="60">
        <f>CIN!L$9</f>
        <v>12.471362399999999</v>
      </c>
      <c r="I35" s="60">
        <f>CIN!M$9</f>
        <v>10.0519180944</v>
      </c>
      <c r="J35" s="60">
        <f>CIN!N$9</f>
        <v>68.353043041919989</v>
      </c>
      <c r="K35" s="60">
        <f>CIN!O$9</f>
        <v>0.351817133304</v>
      </c>
      <c r="L35" s="60">
        <f t="shared" si="18"/>
        <v>16.185832977215995</v>
      </c>
      <c r="M35" s="60">
        <f t="shared" si="19"/>
        <v>21.211792024415995</v>
      </c>
      <c r="N35" s="60">
        <f t="shared" si="20"/>
        <v>26.237751071615996</v>
      </c>
      <c r="O3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21.211792024415999</v>
      </c>
      <c r="P35" s="96">
        <v>0</v>
      </c>
    </row>
    <row r="36" spans="1:16" x14ac:dyDescent="0.2">
      <c r="A36" s="59">
        <f>IF(TableRBMaster[[#This Row],[Player]]&lt;&gt;0,A35+1,A35)</f>
        <v>25</v>
      </c>
      <c r="B36" s="59">
        <f>CIN!A$10</f>
        <v>0</v>
      </c>
      <c r="C36" s="59" t="s">
        <v>99</v>
      </c>
      <c r="D36" s="59">
        <f>CIN!C$10</f>
        <v>7</v>
      </c>
      <c r="E36" s="60">
        <f>CIN!I$10</f>
        <v>0</v>
      </c>
      <c r="F36" s="60">
        <f>CIN!J$10</f>
        <v>0</v>
      </c>
      <c r="G36" s="60">
        <f>CIN!K$10</f>
        <v>0</v>
      </c>
      <c r="H36" s="60">
        <f>CIN!L$10</f>
        <v>0</v>
      </c>
      <c r="I36" s="60">
        <f>CIN!M$10</f>
        <v>0</v>
      </c>
      <c r="J36" s="60">
        <f>CIN!N$10</f>
        <v>0</v>
      </c>
      <c r="K36" s="60">
        <f>CIN!O$10</f>
        <v>0</v>
      </c>
      <c r="L36" s="60">
        <f t="shared" si="18"/>
        <v>0</v>
      </c>
      <c r="M36" s="60">
        <f t="shared" si="19"/>
        <v>0</v>
      </c>
      <c r="N36" s="60">
        <f t="shared" si="20"/>
        <v>0</v>
      </c>
      <c r="O3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6" s="96">
        <v>0</v>
      </c>
    </row>
    <row r="37" spans="1:16" x14ac:dyDescent="0.2">
      <c r="A37" s="59">
        <f>IF(TableRBMaster[[#This Row],[Player]]&lt;&gt;0,A36+1,A36)</f>
        <v>26</v>
      </c>
      <c r="B37" s="59" t="str">
        <f>CLE!A$6</f>
        <v>Nick Chubb</v>
      </c>
      <c r="C37" s="59" t="s">
        <v>100</v>
      </c>
      <c r="D37" s="59">
        <f>CLE!C$6</f>
        <v>5</v>
      </c>
      <c r="E37" s="60">
        <f>CLE!I$6</f>
        <v>194.57900000000001</v>
      </c>
      <c r="F37" s="60">
        <f>CLE!J$6</f>
        <v>912.57551000000012</v>
      </c>
      <c r="G37" s="60">
        <f>CLE!K$6</f>
        <v>8.7560549999999999</v>
      </c>
      <c r="H37" s="60">
        <f>CLE!L$6</f>
        <v>37.635675000000006</v>
      </c>
      <c r="I37" s="60">
        <f>CLE!M$6</f>
        <v>29.242919475000004</v>
      </c>
      <c r="J37" s="60">
        <f>CLE!N$6</f>
        <v>210.54902022000005</v>
      </c>
      <c r="K37" s="60">
        <f>CLE!O$6</f>
        <v>1.1697167790000003</v>
      </c>
      <c r="L37" s="60">
        <f t="shared" ref="L37:L41" si="21">(F37/10)+(G37*6)+(J37/10)+(K37*6)</f>
        <v>171.86708369599998</v>
      </c>
      <c r="M37" s="60">
        <f t="shared" ref="M37:M41" si="22">L37+(I37*0.5)</f>
        <v>186.48854343349998</v>
      </c>
      <c r="N37" s="60">
        <f t="shared" ref="N37:N41" si="23">L37+I37</f>
        <v>201.11000317099999</v>
      </c>
      <c r="O3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186.48854343350001</v>
      </c>
      <c r="P37" s="96">
        <v>33.158464281356899</v>
      </c>
    </row>
    <row r="38" spans="1:16" x14ac:dyDescent="0.2">
      <c r="A38" s="59">
        <f>IF(TableRBMaster[[#This Row],[Player]]&lt;&gt;0,A37+1,A37)</f>
        <v>27</v>
      </c>
      <c r="B38" s="59" t="str">
        <f>CLE!A$7</f>
        <v>Jerome Ford</v>
      </c>
      <c r="C38" s="59" t="s">
        <v>100</v>
      </c>
      <c r="D38" s="59">
        <f>CLE!C$8</f>
        <v>5</v>
      </c>
      <c r="E38" s="60">
        <f>CLE!I$7</f>
        <v>145.93424999999999</v>
      </c>
      <c r="F38" s="60">
        <f>CLE!J$7</f>
        <v>608.54582249999999</v>
      </c>
      <c r="G38" s="60">
        <f>CLE!K$7</f>
        <v>5.8373699999999999</v>
      </c>
      <c r="H38" s="60">
        <f>CLE!L$7</f>
        <v>16.129574999999999</v>
      </c>
      <c r="I38" s="60">
        <f>CLE!M$7</f>
        <v>11.693941874999998</v>
      </c>
      <c r="J38" s="60">
        <f>CLE!N$7</f>
        <v>81.857593124999994</v>
      </c>
      <c r="K38" s="60">
        <f>CLE!O$7</f>
        <v>0.46775767499999993</v>
      </c>
      <c r="L38" s="60">
        <f t="shared" si="21"/>
        <v>106.8711076125</v>
      </c>
      <c r="M38" s="60">
        <f t="shared" si="22"/>
        <v>112.71807855</v>
      </c>
      <c r="N38" s="60">
        <f t="shared" si="23"/>
        <v>118.56504948749999</v>
      </c>
      <c r="O3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112.71807855</v>
      </c>
      <c r="P38" s="96">
        <v>23.675137270027953</v>
      </c>
    </row>
    <row r="39" spans="1:16" x14ac:dyDescent="0.2">
      <c r="A39" s="59">
        <f>IF(TableRBMaster[[#This Row],[Player]]&lt;&gt;0,A38+1,A38)</f>
        <v>28</v>
      </c>
      <c r="B39" s="59" t="str">
        <f>CLE!A$8</f>
        <v>D'Onta Foreman</v>
      </c>
      <c r="C39" s="59" t="s">
        <v>100</v>
      </c>
      <c r="D39" s="59">
        <f>CLE!C$7</f>
        <v>5</v>
      </c>
      <c r="E39" s="60">
        <f>CLE!I$8</f>
        <v>58.373699999999999</v>
      </c>
      <c r="F39" s="60">
        <f>CLE!J$8</f>
        <v>249.83943600000001</v>
      </c>
      <c r="G39" s="60">
        <f>CLE!K$8</f>
        <v>2.3349480000000002</v>
      </c>
      <c r="H39" s="60">
        <f>CLE!L$8</f>
        <v>10.75305</v>
      </c>
      <c r="I39" s="60">
        <f>CLE!M$8</f>
        <v>7.7421959999999999</v>
      </c>
      <c r="J39" s="60">
        <f>CLE!N$8</f>
        <v>54.195371999999999</v>
      </c>
      <c r="K39" s="60">
        <f>CLE!O$8</f>
        <v>0.23226587999999998</v>
      </c>
      <c r="L39" s="60">
        <f t="shared" si="21"/>
        <v>45.806764080000001</v>
      </c>
      <c r="M39" s="60">
        <f t="shared" si="22"/>
        <v>49.677862079999997</v>
      </c>
      <c r="N39" s="60">
        <f t="shared" si="23"/>
        <v>53.548960080000001</v>
      </c>
      <c r="O3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49.677862080000004</v>
      </c>
      <c r="P39" s="96">
        <v>0</v>
      </c>
    </row>
    <row r="40" spans="1:16" x14ac:dyDescent="0.2">
      <c r="A40" s="59">
        <f>IF(TableRBMaster[[#This Row],[Player]]&lt;&gt;0,A39+1,A39)</f>
        <v>28</v>
      </c>
      <c r="B40" s="59">
        <f>CLE!A$9</f>
        <v>0</v>
      </c>
      <c r="C40" s="59" t="s">
        <v>100</v>
      </c>
      <c r="D40" s="59">
        <f>CLE!C$9</f>
        <v>5</v>
      </c>
      <c r="E40" s="60">
        <f>CLE!I$9</f>
        <v>0</v>
      </c>
      <c r="F40" s="60">
        <f>CLE!J$9</f>
        <v>0</v>
      </c>
      <c r="G40" s="60">
        <f>CLE!K$9</f>
        <v>0</v>
      </c>
      <c r="H40" s="60">
        <f>CLE!L$9</f>
        <v>0</v>
      </c>
      <c r="I40" s="60">
        <f>CLE!M$9</f>
        <v>0</v>
      </c>
      <c r="J40" s="60">
        <f>CLE!N$9</f>
        <v>0</v>
      </c>
      <c r="K40" s="60">
        <f>CLE!O$9</f>
        <v>0</v>
      </c>
      <c r="L40" s="60">
        <f t="shared" si="21"/>
        <v>0</v>
      </c>
      <c r="M40" s="60">
        <f t="shared" si="22"/>
        <v>0</v>
      </c>
      <c r="N40" s="60">
        <f t="shared" si="23"/>
        <v>0</v>
      </c>
      <c r="O4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0" s="96">
        <v>0</v>
      </c>
    </row>
    <row r="41" spans="1:16" x14ac:dyDescent="0.2">
      <c r="A41" s="59">
        <f>IF(TableRBMaster[[#This Row],[Player]]&lt;&gt;0,A40+1,A40)</f>
        <v>28</v>
      </c>
      <c r="B41" s="59">
        <f>CLE!A$10</f>
        <v>0</v>
      </c>
      <c r="C41" s="59" t="s">
        <v>100</v>
      </c>
      <c r="D41" s="59">
        <f>CLE!C$10</f>
        <v>5</v>
      </c>
      <c r="E41" s="60">
        <f>CLE!I$10</f>
        <v>0</v>
      </c>
      <c r="F41" s="60">
        <f>CLE!J$10</f>
        <v>0</v>
      </c>
      <c r="G41" s="60">
        <f>CLE!K$10</f>
        <v>0</v>
      </c>
      <c r="H41" s="60">
        <f>CLE!L$10</f>
        <v>0</v>
      </c>
      <c r="I41" s="60">
        <f>CLE!M$10</f>
        <v>0</v>
      </c>
      <c r="J41" s="60">
        <f>CLE!N$10</f>
        <v>0</v>
      </c>
      <c r="K41" s="60">
        <f>CLE!O$10</f>
        <v>0</v>
      </c>
      <c r="L41" s="60">
        <f t="shared" si="21"/>
        <v>0</v>
      </c>
      <c r="M41" s="60">
        <f t="shared" si="22"/>
        <v>0</v>
      </c>
      <c r="N41" s="60">
        <f t="shared" si="23"/>
        <v>0</v>
      </c>
      <c r="O4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1" s="96">
        <v>0</v>
      </c>
    </row>
    <row r="42" spans="1:16" x14ac:dyDescent="0.2">
      <c r="A42" s="59">
        <f>IF(TableRBMaster[[#This Row],[Player]]&lt;&gt;0,A41+1,A41)</f>
        <v>29</v>
      </c>
      <c r="B42" s="59" t="str">
        <f>DAL!A$6</f>
        <v>Ezekiel Elliott</v>
      </c>
      <c r="C42" s="59" t="s">
        <v>101</v>
      </c>
      <c r="D42" s="59">
        <f>DAL!C$6</f>
        <v>7</v>
      </c>
      <c r="E42" s="60">
        <f>DAL!I$6</f>
        <v>209.04587760000004</v>
      </c>
      <c r="F42" s="60">
        <f>DAL!J$6</f>
        <v>861.26901571200017</v>
      </c>
      <c r="G42" s="60">
        <f>DAL!K$6</f>
        <v>8.3618351040000025</v>
      </c>
      <c r="H42" s="60">
        <f>DAL!L$6</f>
        <v>42.688270799999991</v>
      </c>
      <c r="I42" s="60">
        <f>DAL!M$6</f>
        <v>32.229644453999995</v>
      </c>
      <c r="J42" s="60">
        <f>DAL!N$6</f>
        <v>235.27640451419995</v>
      </c>
      <c r="K42" s="60">
        <f>DAL!O$6</f>
        <v>1.12803755589</v>
      </c>
      <c r="L42" s="60">
        <f t="shared" ref="L42:L46" si="24">(F42/10)+(G42*6)+(J42/10)+(K42*6)</f>
        <v>166.59377798196002</v>
      </c>
      <c r="M42" s="60">
        <f t="shared" ref="M42:M46" si="25">L42+(I42*0.5)</f>
        <v>182.70860020896001</v>
      </c>
      <c r="N42" s="60">
        <f t="shared" ref="N42:N46" si="26">L42+I42</f>
        <v>198.82342243596003</v>
      </c>
      <c r="O4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182.70860020896004</v>
      </c>
      <c r="P42" s="96">
        <v>44.776221588356584</v>
      </c>
    </row>
    <row r="43" spans="1:16" x14ac:dyDescent="0.2">
      <c r="A43" s="59">
        <f>IF(TableRBMaster[[#This Row],[Player]]&lt;&gt;0,A42+1,A42)</f>
        <v>30</v>
      </c>
      <c r="B43" s="59" t="str">
        <f>DAL!A$7</f>
        <v>Rico Dowdle</v>
      </c>
      <c r="C43" s="59" t="s">
        <v>101</v>
      </c>
      <c r="D43" s="59">
        <f>DAL!C$8</f>
        <v>7</v>
      </c>
      <c r="E43" s="60">
        <f>DAL!I$7</f>
        <v>149.96769480000003</v>
      </c>
      <c r="F43" s="60">
        <f>DAL!J$7</f>
        <v>632.86367205600015</v>
      </c>
      <c r="G43" s="60">
        <f>DAL!K$7</f>
        <v>5.2488693180000014</v>
      </c>
      <c r="H43" s="60">
        <f>DAL!L$7</f>
        <v>24.39329759999999</v>
      </c>
      <c r="I43" s="60">
        <f>DAL!M$7</f>
        <v>17.929073735999992</v>
      </c>
      <c r="J43" s="60">
        <f>DAL!N$7</f>
        <v>145.58407873631992</v>
      </c>
      <c r="K43" s="60">
        <f>DAL!O$7</f>
        <v>0.7171629494399997</v>
      </c>
      <c r="L43" s="60">
        <f t="shared" si="24"/>
        <v>113.64096868387202</v>
      </c>
      <c r="M43" s="60">
        <f t="shared" si="25"/>
        <v>122.60550555187201</v>
      </c>
      <c r="N43" s="60">
        <f t="shared" si="26"/>
        <v>131.57004241987201</v>
      </c>
      <c r="O4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122.60550555187201</v>
      </c>
      <c r="P43" s="96">
        <v>0</v>
      </c>
    </row>
    <row r="44" spans="1:16" x14ac:dyDescent="0.2">
      <c r="A44" s="59">
        <f>IF(TableRBMaster[[#This Row],[Player]]&lt;&gt;0,A43+1,A43)</f>
        <v>31</v>
      </c>
      <c r="B44" s="59" t="str">
        <f>DAL!A$8</f>
        <v>Royce Freeman</v>
      </c>
      <c r="C44" s="59" t="s">
        <v>101</v>
      </c>
      <c r="D44" s="59">
        <f>DAL!C$7</f>
        <v>7</v>
      </c>
      <c r="E44" s="60">
        <f>DAL!I$8</f>
        <v>24.994615800000002</v>
      </c>
      <c r="F44" s="60">
        <f>DAL!J$8</f>
        <v>104.22754788600001</v>
      </c>
      <c r="G44" s="60">
        <f>DAL!K$8</f>
        <v>0.87481155300000013</v>
      </c>
      <c r="H44" s="60">
        <f>DAL!L$8</f>
        <v>6.0983243999999974</v>
      </c>
      <c r="I44" s="60">
        <f>DAL!M$8</f>
        <v>4.5737432999999985</v>
      </c>
      <c r="J44" s="60">
        <f>DAL!N$8</f>
        <v>32.382102563999993</v>
      </c>
      <c r="K44" s="60">
        <f>DAL!O$8</f>
        <v>0.13721229899999995</v>
      </c>
      <c r="L44" s="60">
        <f t="shared" si="24"/>
        <v>19.733108157</v>
      </c>
      <c r="M44" s="60">
        <f t="shared" si="25"/>
        <v>22.019979806999999</v>
      </c>
      <c r="N44" s="60">
        <f t="shared" si="26"/>
        <v>24.306851457</v>
      </c>
      <c r="O4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22.019979806999999</v>
      </c>
      <c r="P44" s="96">
        <v>0</v>
      </c>
    </row>
    <row r="45" spans="1:16" x14ac:dyDescent="0.2">
      <c r="A45" s="59">
        <f>IF(TableRBMaster[[#This Row],[Player]]&lt;&gt;0,A44+1,A44)</f>
        <v>32</v>
      </c>
      <c r="B45" s="59" t="str">
        <f>DAL!A$9</f>
        <v>Deuce Vaughn</v>
      </c>
      <c r="C45" s="59" t="s">
        <v>101</v>
      </c>
      <c r="D45" s="59">
        <f>DAL!C$9</f>
        <v>7</v>
      </c>
      <c r="E45" s="60">
        <f>DAL!I$9</f>
        <v>13.633426800000001</v>
      </c>
      <c r="F45" s="60">
        <f>DAL!J$9</f>
        <v>55.488047076000008</v>
      </c>
      <c r="G45" s="60">
        <f>DAL!K$9</f>
        <v>0.34083567000000003</v>
      </c>
      <c r="H45" s="60">
        <f>DAL!L$9</f>
        <v>30.491621999999989</v>
      </c>
      <c r="I45" s="60">
        <f>DAL!M$9</f>
        <v>25.12509652799999</v>
      </c>
      <c r="J45" s="60">
        <f>DAL!N$9</f>
        <v>193.9657451961599</v>
      </c>
      <c r="K45" s="60">
        <f>DAL!O$9</f>
        <v>1.0050038611199996</v>
      </c>
      <c r="L45" s="60">
        <f t="shared" si="24"/>
        <v>33.02041641393599</v>
      </c>
      <c r="M45" s="60">
        <f t="shared" si="25"/>
        <v>45.582964677935983</v>
      </c>
      <c r="N45" s="60">
        <f t="shared" si="26"/>
        <v>58.145512941935976</v>
      </c>
      <c r="O4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45.58296467793599</v>
      </c>
      <c r="P45" s="96">
        <v>0</v>
      </c>
    </row>
    <row r="46" spans="1:16" x14ac:dyDescent="0.2">
      <c r="A46" s="59">
        <f>IF(TableRBMaster[[#This Row],[Player]]&lt;&gt;0,A45+1,A45)</f>
        <v>32</v>
      </c>
      <c r="B46" s="59">
        <f>DAL!A$10</f>
        <v>0</v>
      </c>
      <c r="C46" s="59" t="s">
        <v>101</v>
      </c>
      <c r="D46" s="59">
        <f>DAL!C$10</f>
        <v>7</v>
      </c>
      <c r="E46" s="60">
        <f>DAL!I$10</f>
        <v>0</v>
      </c>
      <c r="F46" s="60">
        <f>DAL!J$10</f>
        <v>0</v>
      </c>
      <c r="G46" s="60">
        <f>DAL!K$10</f>
        <v>0</v>
      </c>
      <c r="H46" s="60">
        <f>DAL!L$10</f>
        <v>0</v>
      </c>
      <c r="I46" s="60">
        <f>DAL!M$10</f>
        <v>0</v>
      </c>
      <c r="J46" s="60">
        <f>DAL!N$10</f>
        <v>0</v>
      </c>
      <c r="K46" s="60">
        <f>DAL!O$10</f>
        <v>0</v>
      </c>
      <c r="L46" s="60">
        <f t="shared" si="24"/>
        <v>0</v>
      </c>
      <c r="M46" s="60">
        <f t="shared" si="25"/>
        <v>0</v>
      </c>
      <c r="N46" s="60">
        <f t="shared" si="26"/>
        <v>0</v>
      </c>
      <c r="O4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6" s="96">
        <v>0</v>
      </c>
    </row>
    <row r="47" spans="1:16" x14ac:dyDescent="0.2">
      <c r="A47" s="59">
        <f>IF(TableRBMaster[[#This Row],[Player]]&lt;&gt;0,A46+1,A46)</f>
        <v>33</v>
      </c>
      <c r="B47" s="59" t="str">
        <f>DEN!A$6</f>
        <v>Javonte Williams</v>
      </c>
      <c r="C47" s="59" t="s">
        <v>102</v>
      </c>
      <c r="D47" s="59">
        <f>DEN!C$6</f>
        <v>9</v>
      </c>
      <c r="E47" s="60">
        <f>DEN!I$6</f>
        <v>184.59642600000001</v>
      </c>
      <c r="F47" s="60">
        <f>DEN!J$6</f>
        <v>762.38323937999996</v>
      </c>
      <c r="G47" s="60">
        <f>DEN!K$6</f>
        <v>6.0916820580000008</v>
      </c>
      <c r="H47" s="60">
        <f>DEN!L$6</f>
        <v>34.251881999999995</v>
      </c>
      <c r="I47" s="60">
        <f>DEN!M$6</f>
        <v>25.757415263999995</v>
      </c>
      <c r="J47" s="60">
        <f>DEN!N$6</f>
        <v>156.60508480511999</v>
      </c>
      <c r="K47" s="60">
        <f>DEN!O$6</f>
        <v>0.90150953423999991</v>
      </c>
      <c r="L47" s="60">
        <f t="shared" ref="L47:L51" si="27">(F47/10)+(G47*6)+(J47/10)+(K47*6)</f>
        <v>133.857981971952</v>
      </c>
      <c r="M47" s="60">
        <f t="shared" ref="M47:M51" si="28">L47+(I47*0.5)</f>
        <v>146.73668960395199</v>
      </c>
      <c r="N47" s="60">
        <f t="shared" ref="N47:N51" si="29">L47+I47</f>
        <v>159.615397235952</v>
      </c>
      <c r="O4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146.73668960395202</v>
      </c>
      <c r="P47" s="96">
        <v>20.028772470953456</v>
      </c>
    </row>
    <row r="48" spans="1:16" x14ac:dyDescent="0.2">
      <c r="A48" s="59">
        <f>IF(TableRBMaster[[#This Row],[Player]]&lt;&gt;0,A47+1,A47)</f>
        <v>34</v>
      </c>
      <c r="B48" s="59" t="str">
        <f>DEN!A$7</f>
        <v>Audric Estime</v>
      </c>
      <c r="C48" s="59" t="s">
        <v>102</v>
      </c>
      <c r="D48" s="59">
        <f>DEN!C$8</f>
        <v>9</v>
      </c>
      <c r="E48" s="60">
        <f>DEN!I$7</f>
        <v>114.27397800000003</v>
      </c>
      <c r="F48" s="60">
        <f>DEN!J$7</f>
        <v>494.80632474000015</v>
      </c>
      <c r="G48" s="60">
        <f>DEN!K$7</f>
        <v>3.6567672960000008</v>
      </c>
      <c r="H48" s="60">
        <f>DEN!L$7</f>
        <v>11.417294</v>
      </c>
      <c r="I48" s="60">
        <f>DEN!M$7</f>
        <v>8.3346246199999996</v>
      </c>
      <c r="J48" s="60">
        <f>DEN!N$7</f>
        <v>52.091403874999997</v>
      </c>
      <c r="K48" s="60">
        <f>DEN!O$7</f>
        <v>0.1666924924</v>
      </c>
      <c r="L48" s="60">
        <f t="shared" si="27"/>
        <v>77.630531591900024</v>
      </c>
      <c r="M48" s="60">
        <f t="shared" si="28"/>
        <v>81.797843901900023</v>
      </c>
      <c r="N48" s="60">
        <f t="shared" si="29"/>
        <v>85.965156211900023</v>
      </c>
      <c r="O4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81.797843901900023</v>
      </c>
      <c r="P48" s="96">
        <v>10.939920184371568</v>
      </c>
    </row>
    <row r="49" spans="1:16" x14ac:dyDescent="0.2">
      <c r="A49" s="59">
        <f>IF(TableRBMaster[[#This Row],[Player]]&lt;&gt;0,A48+1,A48)</f>
        <v>35</v>
      </c>
      <c r="B49" s="59" t="str">
        <f>DEN!A$8</f>
        <v>Samaje Perine</v>
      </c>
      <c r="C49" s="59" t="s">
        <v>102</v>
      </c>
      <c r="D49" s="59">
        <f>DEN!C$7</f>
        <v>9</v>
      </c>
      <c r="E49" s="60">
        <f>DEN!I$8</f>
        <v>87.903060000000011</v>
      </c>
      <c r="F49" s="60">
        <f>DEN!J$8</f>
        <v>374.46703560000003</v>
      </c>
      <c r="G49" s="60">
        <f>DEN!K$8</f>
        <v>2.5491887400000004</v>
      </c>
      <c r="H49" s="60">
        <f>DEN!L$8</f>
        <v>39.960529000000001</v>
      </c>
      <c r="I49" s="60">
        <f>DEN!M$8</f>
        <v>30.849528388000003</v>
      </c>
      <c r="J49" s="60">
        <f>DEN!N$8</f>
        <v>223.04209024524005</v>
      </c>
      <c r="K49" s="60">
        <f>DEN!O$8</f>
        <v>0.77123820970000012</v>
      </c>
      <c r="L49" s="60">
        <f t="shared" si="27"/>
        <v>79.673474282724001</v>
      </c>
      <c r="M49" s="60">
        <f t="shared" si="28"/>
        <v>95.098238476724006</v>
      </c>
      <c r="N49" s="60">
        <f t="shared" si="29"/>
        <v>110.523002670724</v>
      </c>
      <c r="O4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95.098238476724006</v>
      </c>
      <c r="P49" s="96">
        <v>0</v>
      </c>
    </row>
    <row r="50" spans="1:16" x14ac:dyDescent="0.2">
      <c r="A50" s="59">
        <f>IF(TableRBMaster[[#This Row],[Player]]&lt;&gt;0,A49+1,A49)</f>
        <v>36</v>
      </c>
      <c r="B50" s="59" t="str">
        <f>DEN!A$9</f>
        <v>Jaleel McLaughlin</v>
      </c>
      <c r="C50" s="59" t="s">
        <v>102</v>
      </c>
      <c r="D50" s="59">
        <f>DEN!C$9</f>
        <v>9</v>
      </c>
      <c r="E50" s="60">
        <f>DEN!I$9</f>
        <v>17.580612000000002</v>
      </c>
      <c r="F50" s="60">
        <f>DEN!J$9</f>
        <v>81.574039679999998</v>
      </c>
      <c r="G50" s="60">
        <f>DEN!K$9</f>
        <v>0.4922571360000001</v>
      </c>
      <c r="H50" s="60">
        <f>DEN!L$9</f>
        <v>11.417294</v>
      </c>
      <c r="I50" s="60">
        <f>DEN!M$9</f>
        <v>8.7913163799999996</v>
      </c>
      <c r="J50" s="60">
        <f>DEN!N$9</f>
        <v>55.473206357799995</v>
      </c>
      <c r="K50" s="60">
        <f>DEN!O$9</f>
        <v>0.21978290950000001</v>
      </c>
      <c r="L50" s="60">
        <f t="shared" si="27"/>
        <v>17.976964876779999</v>
      </c>
      <c r="M50" s="60">
        <f t="shared" si="28"/>
        <v>22.372623066779997</v>
      </c>
      <c r="N50" s="60">
        <f t="shared" si="29"/>
        <v>26.76828125678</v>
      </c>
      <c r="O5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22.372623066780001</v>
      </c>
      <c r="P50" s="96">
        <v>0</v>
      </c>
    </row>
    <row r="51" spans="1:16" x14ac:dyDescent="0.2">
      <c r="A51" s="59">
        <f>IF(TableRBMaster[[#This Row],[Player]]&lt;&gt;0,A50+1,A50)</f>
        <v>36</v>
      </c>
      <c r="B51" s="59">
        <f>DEN!A$10</f>
        <v>0</v>
      </c>
      <c r="C51" s="59" t="s">
        <v>102</v>
      </c>
      <c r="D51" s="59">
        <f>DEN!C$10</f>
        <v>9</v>
      </c>
      <c r="E51" s="60">
        <f>DEN!I$10</f>
        <v>0</v>
      </c>
      <c r="F51" s="60">
        <f>DEN!J$10</f>
        <v>0</v>
      </c>
      <c r="G51" s="60">
        <f>DEN!K$10</f>
        <v>0</v>
      </c>
      <c r="H51" s="60">
        <f>DEN!L$10</f>
        <v>0</v>
      </c>
      <c r="I51" s="60">
        <f>DEN!M$10</f>
        <v>0</v>
      </c>
      <c r="J51" s="60">
        <f>DEN!N$10</f>
        <v>0</v>
      </c>
      <c r="K51" s="60">
        <f>DEN!O$10</f>
        <v>0</v>
      </c>
      <c r="L51" s="60">
        <f t="shared" si="27"/>
        <v>0</v>
      </c>
      <c r="M51" s="60">
        <f t="shared" si="28"/>
        <v>0</v>
      </c>
      <c r="N51" s="60">
        <f t="shared" si="29"/>
        <v>0</v>
      </c>
      <c r="O5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1" s="96">
        <v>0</v>
      </c>
    </row>
    <row r="52" spans="1:16" x14ac:dyDescent="0.2">
      <c r="A52" s="59">
        <f>IF(TableRBMaster[[#This Row],[Player]]&lt;&gt;0,A51+1,A51)</f>
        <v>37</v>
      </c>
      <c r="B52" s="59" t="str">
        <f>DET!A$6</f>
        <v>Jahmyr Gibbs</v>
      </c>
      <c r="C52" s="59" t="s">
        <v>103</v>
      </c>
      <c r="D52" s="59">
        <f>DET!C$6</f>
        <v>9</v>
      </c>
      <c r="E52" s="60">
        <f>DET!I$6</f>
        <v>187.78426800000003</v>
      </c>
      <c r="F52" s="60">
        <f>DET!J$6</f>
        <v>905.12017176000018</v>
      </c>
      <c r="G52" s="60">
        <f>DET!K$6</f>
        <v>8.262507792000001</v>
      </c>
      <c r="H52" s="60">
        <f>DET!L$6</f>
        <v>71.120951999999974</v>
      </c>
      <c r="I52" s="60">
        <f>DET!M$6</f>
        <v>53.340713999999977</v>
      </c>
      <c r="J52" s="60">
        <f>DET!N$6</f>
        <v>394.72128359999982</v>
      </c>
      <c r="K52" s="60">
        <f>DET!O$6</f>
        <v>2.4003321299999989</v>
      </c>
      <c r="L52" s="60">
        <f t="shared" ref="L52:L56" si="30">(F52/10)+(G52*6)+(J52/10)+(K52*6)</f>
        <v>193.96118506800002</v>
      </c>
      <c r="M52" s="60">
        <f t="shared" ref="M52:M56" si="31">L52+(I52*0.5)</f>
        <v>220.63154206800002</v>
      </c>
      <c r="N52" s="60">
        <f t="shared" ref="N52:N56" si="32">L52+I52</f>
        <v>247.30189906800001</v>
      </c>
      <c r="O5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220.63154206799999</v>
      </c>
      <c r="P52" s="96">
        <v>29.543461763955655</v>
      </c>
    </row>
    <row r="53" spans="1:16" x14ac:dyDescent="0.2">
      <c r="A53" s="59">
        <f>IF(TableRBMaster[[#This Row],[Player]]&lt;&gt;0,A52+1,A52)</f>
        <v>38</v>
      </c>
      <c r="B53" s="59" t="str">
        <f>DET!A$7</f>
        <v>David Montgomery</v>
      </c>
      <c r="C53" s="59" t="s">
        <v>103</v>
      </c>
      <c r="D53" s="59">
        <f>DET!C$8</f>
        <v>9</v>
      </c>
      <c r="E53" s="60">
        <f>DET!I$7</f>
        <v>192.25532200000004</v>
      </c>
      <c r="F53" s="60">
        <f>DET!J$7</f>
        <v>861.30384256000025</v>
      </c>
      <c r="G53" s="60">
        <f>DET!K$7</f>
        <v>9.8050214220000012</v>
      </c>
      <c r="H53" s="60">
        <f>DET!L$7</f>
        <v>23.706983999999995</v>
      </c>
      <c r="I53" s="60">
        <f>DET!M$7</f>
        <v>17.377219271999994</v>
      </c>
      <c r="J53" s="60">
        <f>DET!N$7</f>
        <v>123.89957340935996</v>
      </c>
      <c r="K53" s="60">
        <f>DET!O$7</f>
        <v>0.52131657815999977</v>
      </c>
      <c r="L53" s="60">
        <f t="shared" si="30"/>
        <v>160.47836959789603</v>
      </c>
      <c r="M53" s="60">
        <f t="shared" si="31"/>
        <v>169.16697923389603</v>
      </c>
      <c r="N53" s="60">
        <f t="shared" si="32"/>
        <v>177.85558886989602</v>
      </c>
      <c r="O5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169.16697923389603</v>
      </c>
      <c r="P53" s="96">
        <v>8.7678044290027124</v>
      </c>
    </row>
    <row r="54" spans="1:16" x14ac:dyDescent="0.2">
      <c r="A54" s="59">
        <f>IF(TableRBMaster[[#This Row],[Player]]&lt;&gt;0,A53+1,A53)</f>
        <v>39</v>
      </c>
      <c r="B54" s="59" t="str">
        <f>DET!A$8</f>
        <v>Craig Reynolds</v>
      </c>
      <c r="C54" s="59" t="s">
        <v>103</v>
      </c>
      <c r="D54" s="59">
        <f>DET!C$7</f>
        <v>9</v>
      </c>
      <c r="E54" s="60">
        <f>DET!I$8</f>
        <v>22.355270000000004</v>
      </c>
      <c r="F54" s="60">
        <f>DET!J$8</f>
        <v>89.421080000000018</v>
      </c>
      <c r="G54" s="60">
        <f>DET!K$8</f>
        <v>0.80478972000000015</v>
      </c>
      <c r="H54" s="60">
        <f>DET!L$8</f>
        <v>5.9267459999999987</v>
      </c>
      <c r="I54" s="60">
        <f>DET!M$8</f>
        <v>4.148722199999999</v>
      </c>
      <c r="J54" s="60">
        <f>DET!N$8</f>
        <v>29.041055399999994</v>
      </c>
      <c r="K54" s="60">
        <f>DET!O$8</f>
        <v>8.2974443999999981E-2</v>
      </c>
      <c r="L54" s="60">
        <f t="shared" si="30"/>
        <v>17.172798524000001</v>
      </c>
      <c r="M54" s="60">
        <f t="shared" si="31"/>
        <v>19.247159624000002</v>
      </c>
      <c r="N54" s="60">
        <f t="shared" si="32"/>
        <v>21.321520723999999</v>
      </c>
      <c r="O5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19.247159624000005</v>
      </c>
      <c r="P54" s="96">
        <v>0</v>
      </c>
    </row>
    <row r="55" spans="1:16" x14ac:dyDescent="0.2">
      <c r="A55" s="59">
        <f>IF(TableRBMaster[[#This Row],[Player]]&lt;&gt;0,A54+1,A54)</f>
        <v>39</v>
      </c>
      <c r="B55" s="59">
        <f>DET!A$9</f>
        <v>0</v>
      </c>
      <c r="C55" s="59" t="s">
        <v>103</v>
      </c>
      <c r="D55" s="59">
        <f>DET!C$9</f>
        <v>9</v>
      </c>
      <c r="E55" s="60">
        <f>DET!I$9</f>
        <v>0</v>
      </c>
      <c r="F55" s="60">
        <f>DET!J$9</f>
        <v>0</v>
      </c>
      <c r="G55" s="60">
        <f>DET!K$9</f>
        <v>0</v>
      </c>
      <c r="H55" s="60">
        <f>DET!L$9</f>
        <v>0</v>
      </c>
      <c r="I55" s="60">
        <f>DET!M$9</f>
        <v>0</v>
      </c>
      <c r="J55" s="60">
        <f>DET!N$9</f>
        <v>0</v>
      </c>
      <c r="K55" s="60">
        <f>DET!O$9</f>
        <v>0</v>
      </c>
      <c r="L55" s="60">
        <f t="shared" si="30"/>
        <v>0</v>
      </c>
      <c r="M55" s="60">
        <f t="shared" si="31"/>
        <v>0</v>
      </c>
      <c r="N55" s="60">
        <f t="shared" si="32"/>
        <v>0</v>
      </c>
      <c r="O5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5" s="96">
        <v>0</v>
      </c>
    </row>
    <row r="56" spans="1:16" x14ac:dyDescent="0.2">
      <c r="A56" s="59">
        <f>IF(TableRBMaster[[#This Row],[Player]]&lt;&gt;0,A55+1,A55)</f>
        <v>39</v>
      </c>
      <c r="B56" s="59">
        <f>DET!A$10</f>
        <v>0</v>
      </c>
      <c r="C56" s="59" t="s">
        <v>103</v>
      </c>
      <c r="D56" s="59">
        <f>DET!C$10</f>
        <v>9</v>
      </c>
      <c r="E56" s="60">
        <f>DET!I$10</f>
        <v>0</v>
      </c>
      <c r="F56" s="60">
        <f>DET!J$10</f>
        <v>0</v>
      </c>
      <c r="G56" s="60">
        <f>DET!K$10</f>
        <v>0</v>
      </c>
      <c r="H56" s="60">
        <f>DET!L$10</f>
        <v>0</v>
      </c>
      <c r="I56" s="60">
        <f>DET!M$10</f>
        <v>0</v>
      </c>
      <c r="J56" s="60">
        <f>DET!N$10</f>
        <v>0</v>
      </c>
      <c r="K56" s="60">
        <f>DET!O$10</f>
        <v>0</v>
      </c>
      <c r="L56" s="60">
        <f t="shared" si="30"/>
        <v>0</v>
      </c>
      <c r="M56" s="60">
        <f t="shared" si="31"/>
        <v>0</v>
      </c>
      <c r="N56" s="60">
        <f t="shared" si="32"/>
        <v>0</v>
      </c>
      <c r="O5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6" s="96">
        <v>0</v>
      </c>
    </row>
    <row r="57" spans="1:16" x14ac:dyDescent="0.2">
      <c r="A57" s="59">
        <f>IF(TableRBMaster[[#This Row],[Player]]&lt;&gt;0,A56+1,A56)</f>
        <v>40</v>
      </c>
      <c r="B57" s="59" t="str">
        <f>GB!A$6</f>
        <v>Josh Jacobs</v>
      </c>
      <c r="C57" s="59" t="s">
        <v>104</v>
      </c>
      <c r="D57" s="59">
        <f>GB!C$6</f>
        <v>6</v>
      </c>
      <c r="E57" s="60">
        <f>GB!I$6</f>
        <v>224.00839999999997</v>
      </c>
      <c r="F57" s="60">
        <f>GB!J$6</f>
        <v>920.67452399999991</v>
      </c>
      <c r="G57" s="60">
        <f>GB!K$6</f>
        <v>7.6162855999999994</v>
      </c>
      <c r="H57" s="60">
        <f>GB!L$6</f>
        <v>51.318288000000003</v>
      </c>
      <c r="I57" s="60">
        <f>GB!M$6</f>
        <v>39.155853744000005</v>
      </c>
      <c r="J57" s="60">
        <f>GB!N$6</f>
        <v>289.36175916816001</v>
      </c>
      <c r="K57" s="60">
        <f>GB!O$6</f>
        <v>1.5662341497600003</v>
      </c>
      <c r="L57" s="60">
        <f t="shared" ref="L57:L61" si="33">(F57/10)+(G57*6)+(J57/10)+(K57*6)</f>
        <v>176.09874681537602</v>
      </c>
      <c r="M57" s="60">
        <f t="shared" ref="M57:M61" si="34">L57+(I57*0.5)</f>
        <v>195.67667368737602</v>
      </c>
      <c r="N57" s="60">
        <f t="shared" ref="N57:N61" si="35">L57+I57</f>
        <v>215.25460055937603</v>
      </c>
      <c r="O5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195.67667368737602</v>
      </c>
      <c r="P57" s="96">
        <v>40.289314661508477</v>
      </c>
    </row>
    <row r="58" spans="1:16" x14ac:dyDescent="0.2">
      <c r="A58" s="59">
        <f>IF(TableRBMaster[[#This Row],[Player]]&lt;&gt;0,A57+1,A57)</f>
        <v>41</v>
      </c>
      <c r="B58" s="59" t="str">
        <f>GB!A$7</f>
        <v>AJ Dillon</v>
      </c>
      <c r="C58" s="59" t="s">
        <v>104</v>
      </c>
      <c r="D58" s="59">
        <f>GB!C$8</f>
        <v>6</v>
      </c>
      <c r="E58" s="60">
        <f>GB!I$7</f>
        <v>58.242184000000002</v>
      </c>
      <c r="F58" s="60">
        <f>GB!J$7</f>
        <v>235.88084520000001</v>
      </c>
      <c r="G58" s="60">
        <f>GB!K$7</f>
        <v>1.74726552</v>
      </c>
      <c r="H58" s="60">
        <f>GB!L$7</f>
        <v>11.404064</v>
      </c>
      <c r="I58" s="60">
        <f>GB!M$7</f>
        <v>8.9179780480000002</v>
      </c>
      <c r="J58" s="60">
        <f>GB!N$7</f>
        <v>68.311711847680002</v>
      </c>
      <c r="K58" s="60">
        <f>GB!O$7</f>
        <v>0.22294945120000001</v>
      </c>
      <c r="L58" s="60">
        <f t="shared" si="33"/>
        <v>42.24054553196801</v>
      </c>
      <c r="M58" s="60">
        <f t="shared" si="34"/>
        <v>46.699534555968008</v>
      </c>
      <c r="N58" s="60">
        <f t="shared" si="35"/>
        <v>51.158523579968012</v>
      </c>
      <c r="O5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46.699534555968008</v>
      </c>
      <c r="P58" s="96">
        <v>2.090203818393999</v>
      </c>
    </row>
    <row r="59" spans="1:16" x14ac:dyDescent="0.2">
      <c r="A59" s="59">
        <f>IF(TableRBMaster[[#This Row],[Player]]&lt;&gt;0,A58+1,A58)</f>
        <v>42</v>
      </c>
      <c r="B59" s="59" t="str">
        <f>GB!A$8</f>
        <v>MarShawn Lloyd</v>
      </c>
      <c r="C59" s="59" t="s">
        <v>104</v>
      </c>
      <c r="D59" s="59">
        <f>GB!C$7</f>
        <v>6</v>
      </c>
      <c r="E59" s="60">
        <f>GB!I$8</f>
        <v>98.563695999999993</v>
      </c>
      <c r="F59" s="60">
        <f>GB!J$8</f>
        <v>422.83825583999999</v>
      </c>
      <c r="G59" s="60">
        <f>GB!K$8</f>
        <v>3.1540382719999998</v>
      </c>
      <c r="H59" s="60">
        <f>GB!L$8</f>
        <v>28.510160000000003</v>
      </c>
      <c r="I59" s="60">
        <f>GB!M$8</f>
        <v>20.18519328</v>
      </c>
      <c r="J59" s="60">
        <f>GB!N$8</f>
        <v>166.52784456000001</v>
      </c>
      <c r="K59" s="60">
        <f>GB!O$8</f>
        <v>0.70648176480000002</v>
      </c>
      <c r="L59" s="60">
        <f t="shared" si="33"/>
        <v>82.099730260800001</v>
      </c>
      <c r="M59" s="60">
        <f t="shared" si="34"/>
        <v>92.192326900799998</v>
      </c>
      <c r="N59" s="60">
        <f t="shared" si="35"/>
        <v>102.28492354080001</v>
      </c>
      <c r="O5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92.192326900800012</v>
      </c>
      <c r="P59" s="96">
        <v>0</v>
      </c>
    </row>
    <row r="60" spans="1:16" x14ac:dyDescent="0.2">
      <c r="A60" s="59">
        <f>IF(TableRBMaster[[#This Row],[Player]]&lt;&gt;0,A59+1,A59)</f>
        <v>42</v>
      </c>
      <c r="B60" s="59">
        <f>GB!A$9</f>
        <v>0</v>
      </c>
      <c r="C60" s="59" t="s">
        <v>104</v>
      </c>
      <c r="D60" s="59">
        <f>GB!C$9</f>
        <v>6</v>
      </c>
      <c r="E60" s="60">
        <f>GB!I$9</f>
        <v>0</v>
      </c>
      <c r="F60" s="60">
        <f>GB!J$9</f>
        <v>0</v>
      </c>
      <c r="G60" s="60">
        <f>GB!K$9</f>
        <v>0</v>
      </c>
      <c r="H60" s="60">
        <f>GB!L$9</f>
        <v>0</v>
      </c>
      <c r="I60" s="60">
        <f>GB!M$9</f>
        <v>0</v>
      </c>
      <c r="J60" s="60">
        <f>GB!N$9</f>
        <v>0</v>
      </c>
      <c r="K60" s="60">
        <f>GB!O$9</f>
        <v>0</v>
      </c>
      <c r="L60" s="60">
        <f t="shared" si="33"/>
        <v>0</v>
      </c>
      <c r="M60" s="60">
        <f t="shared" si="34"/>
        <v>0</v>
      </c>
      <c r="N60" s="60">
        <f t="shared" si="35"/>
        <v>0</v>
      </c>
      <c r="O6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0" s="96">
        <v>0</v>
      </c>
    </row>
    <row r="61" spans="1:16" x14ac:dyDescent="0.2">
      <c r="A61" s="59">
        <f>IF(TableRBMaster[[#This Row],[Player]]&lt;&gt;0,A60+1,A60)</f>
        <v>42</v>
      </c>
      <c r="B61" s="59">
        <f>GB!A$10</f>
        <v>0</v>
      </c>
      <c r="C61" s="59" t="s">
        <v>104</v>
      </c>
      <c r="D61" s="59">
        <f>GB!C$10</f>
        <v>6</v>
      </c>
      <c r="E61" s="60">
        <f>GB!I$10</f>
        <v>0</v>
      </c>
      <c r="F61" s="60">
        <f>GB!J$10</f>
        <v>0</v>
      </c>
      <c r="G61" s="60">
        <f>GB!K$10</f>
        <v>0</v>
      </c>
      <c r="H61" s="60">
        <f>GB!L$10</f>
        <v>0</v>
      </c>
      <c r="I61" s="60">
        <f>GB!M$10</f>
        <v>0</v>
      </c>
      <c r="J61" s="60">
        <f>GB!N$10</f>
        <v>0</v>
      </c>
      <c r="K61" s="60">
        <f>GB!O$10</f>
        <v>0</v>
      </c>
      <c r="L61" s="60">
        <f t="shared" si="33"/>
        <v>0</v>
      </c>
      <c r="M61" s="60">
        <f t="shared" si="34"/>
        <v>0</v>
      </c>
      <c r="N61" s="60">
        <f t="shared" si="35"/>
        <v>0</v>
      </c>
      <c r="O6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1" s="96">
        <v>0</v>
      </c>
    </row>
    <row r="62" spans="1:16" x14ac:dyDescent="0.2">
      <c r="A62" s="59">
        <f>IF(TableRBMaster[[#This Row],[Player]]&lt;&gt;0,A61+1,A61)</f>
        <v>43</v>
      </c>
      <c r="B62" s="59" t="str">
        <f>HOU!A$6</f>
        <v>Joe Mixon</v>
      </c>
      <c r="C62" s="59" t="s">
        <v>105</v>
      </c>
      <c r="D62" s="59">
        <f>HOU!C$6</f>
        <v>7</v>
      </c>
      <c r="E62" s="60">
        <f>HOU!I$6</f>
        <v>259.584</v>
      </c>
      <c r="F62" s="60">
        <f>HOU!J$6</f>
        <v>1090.2528</v>
      </c>
      <c r="G62" s="60">
        <f>HOU!K$6</f>
        <v>9.6046079999999989</v>
      </c>
      <c r="H62" s="60">
        <f>HOU!L$6</f>
        <v>46.426598399999996</v>
      </c>
      <c r="I62" s="60">
        <f>HOU!M$6</f>
        <v>35.794907366399997</v>
      </c>
      <c r="J62" s="60">
        <f>HOU!N$6</f>
        <v>253.78589322777597</v>
      </c>
      <c r="K62" s="60">
        <f>HOU!O$6</f>
        <v>1.6107708314879998</v>
      </c>
      <c r="L62" s="60">
        <f t="shared" ref="L62:L66" si="36">(F62/10)+(G62*6)+(J62/10)+(K62*6)</f>
        <v>201.69614231170559</v>
      </c>
      <c r="M62" s="60">
        <f t="shared" ref="M62:M66" si="37">L62+(I62*0.5)</f>
        <v>219.59359599490557</v>
      </c>
      <c r="N62" s="60">
        <f t="shared" ref="N62:N66" si="38">L62+I62</f>
        <v>237.49104967810558</v>
      </c>
      <c r="O6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219.5935959949056</v>
      </c>
      <c r="P62" s="96">
        <v>12.571330568704457</v>
      </c>
    </row>
    <row r="63" spans="1:16" x14ac:dyDescent="0.2">
      <c r="A63" s="59">
        <f>IF(TableRBMaster[[#This Row],[Player]]&lt;&gt;0,A62+1,A62)</f>
        <v>44</v>
      </c>
      <c r="B63" s="59" t="str">
        <f>HOU!A$7</f>
        <v>Dameon Pierce</v>
      </c>
      <c r="C63" s="59" t="s">
        <v>105</v>
      </c>
      <c r="D63" s="59">
        <f>HOU!C$8</f>
        <v>7</v>
      </c>
      <c r="E63" s="60">
        <f>HOU!I$7</f>
        <v>64.896000000000001</v>
      </c>
      <c r="F63" s="60">
        <f>HOU!J$7</f>
        <v>255.69023999999999</v>
      </c>
      <c r="G63" s="60">
        <f>HOU!K$7</f>
        <v>1.6224000000000001</v>
      </c>
      <c r="H63" s="60">
        <f>HOU!L$7</f>
        <v>10.1186176</v>
      </c>
      <c r="I63" s="60">
        <f>HOU!M$7</f>
        <v>7.2044557311999995</v>
      </c>
      <c r="J63" s="60">
        <f>HOU!N$7</f>
        <v>50.791412904959998</v>
      </c>
      <c r="K63" s="60">
        <f>HOU!O$7</f>
        <v>0.25215595059200002</v>
      </c>
      <c r="L63" s="60">
        <f t="shared" si="36"/>
        <v>41.895500994048</v>
      </c>
      <c r="M63" s="60">
        <f t="shared" si="37"/>
        <v>45.497728859647999</v>
      </c>
      <c r="N63" s="60">
        <f t="shared" si="38"/>
        <v>49.099956725247999</v>
      </c>
      <c r="O6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45.497728859648007</v>
      </c>
      <c r="P63" s="96">
        <v>0</v>
      </c>
    </row>
    <row r="64" spans="1:16" x14ac:dyDescent="0.2">
      <c r="A64" s="59">
        <f>IF(TableRBMaster[[#This Row],[Player]]&lt;&gt;0,A63+1,A63)</f>
        <v>45</v>
      </c>
      <c r="B64" s="59" t="str">
        <f>HOU!A$8</f>
        <v>Jawhar Jordan</v>
      </c>
      <c r="C64" s="59" t="s">
        <v>105</v>
      </c>
      <c r="D64" s="59">
        <f>HOU!C$7</f>
        <v>7</v>
      </c>
      <c r="E64" s="60">
        <f>HOU!I$8</f>
        <v>43.26400000000001</v>
      </c>
      <c r="F64" s="60">
        <f>HOU!J$8</f>
        <v>178.24768000000006</v>
      </c>
      <c r="G64" s="60">
        <f>HOU!K$8</f>
        <v>1.2979200000000002</v>
      </c>
      <c r="H64" s="60">
        <f>HOU!L$8</f>
        <v>35.712767999999997</v>
      </c>
      <c r="I64" s="60">
        <f>HOU!M$8</f>
        <v>27.677395199999999</v>
      </c>
      <c r="J64" s="60">
        <f>HOU!N$8</f>
        <v>200.66111519999998</v>
      </c>
      <c r="K64" s="60">
        <f>HOU!O$8</f>
        <v>1.107095808</v>
      </c>
      <c r="L64" s="60">
        <f t="shared" si="36"/>
        <v>52.320974368000009</v>
      </c>
      <c r="M64" s="60">
        <f t="shared" si="37"/>
        <v>66.159671968000012</v>
      </c>
      <c r="N64" s="60">
        <f t="shared" si="38"/>
        <v>79.998369568000015</v>
      </c>
      <c r="O6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66.159671968000012</v>
      </c>
      <c r="P64" s="96">
        <v>0</v>
      </c>
    </row>
    <row r="65" spans="1:16" x14ac:dyDescent="0.2">
      <c r="A65" s="59">
        <f>IF(TableRBMaster[[#This Row],[Player]]&lt;&gt;0,A64+1,A64)</f>
        <v>45</v>
      </c>
      <c r="B65" s="59">
        <f>HOU!A$9</f>
        <v>0</v>
      </c>
      <c r="C65" s="59" t="s">
        <v>105</v>
      </c>
      <c r="D65" s="59">
        <f>HOU!C$9</f>
        <v>7</v>
      </c>
      <c r="E65" s="60">
        <f>HOU!I$9</f>
        <v>0</v>
      </c>
      <c r="F65" s="60">
        <f>HOU!J$9</f>
        <v>0</v>
      </c>
      <c r="G65" s="60">
        <f>HOU!K$9</f>
        <v>0</v>
      </c>
      <c r="H65" s="60">
        <f>HOU!L$9</f>
        <v>0</v>
      </c>
      <c r="I65" s="60">
        <f>HOU!M$9</f>
        <v>0</v>
      </c>
      <c r="J65" s="60">
        <f>HOU!N$9</f>
        <v>0</v>
      </c>
      <c r="K65" s="60">
        <f>HOU!O$9</f>
        <v>0</v>
      </c>
      <c r="L65" s="60">
        <f t="shared" si="36"/>
        <v>0</v>
      </c>
      <c r="M65" s="60">
        <f t="shared" si="37"/>
        <v>0</v>
      </c>
      <c r="N65" s="60">
        <f t="shared" si="38"/>
        <v>0</v>
      </c>
      <c r="O6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5" s="96">
        <v>0</v>
      </c>
    </row>
    <row r="66" spans="1:16" x14ac:dyDescent="0.2">
      <c r="A66" s="59">
        <f>IF(TableRBMaster[[#This Row],[Player]]&lt;&gt;0,A65+1,A65)</f>
        <v>45</v>
      </c>
      <c r="B66" s="59">
        <f>HOU!A$10</f>
        <v>0</v>
      </c>
      <c r="C66" s="59" t="s">
        <v>105</v>
      </c>
      <c r="D66" s="59">
        <f>HOU!C$10</f>
        <v>7</v>
      </c>
      <c r="E66" s="60">
        <f>HOU!I$10</f>
        <v>0</v>
      </c>
      <c r="F66" s="60">
        <f>HOU!J$10</f>
        <v>0</v>
      </c>
      <c r="G66" s="60">
        <f>HOU!K$10</f>
        <v>0</v>
      </c>
      <c r="H66" s="60">
        <f>HOU!L$10</f>
        <v>0</v>
      </c>
      <c r="I66" s="60">
        <f>HOU!M$10</f>
        <v>0</v>
      </c>
      <c r="J66" s="60">
        <f>HOU!N$10</f>
        <v>0</v>
      </c>
      <c r="K66" s="60">
        <f>HOU!O$10</f>
        <v>0</v>
      </c>
      <c r="L66" s="60">
        <f t="shared" si="36"/>
        <v>0</v>
      </c>
      <c r="M66" s="60">
        <f t="shared" si="37"/>
        <v>0</v>
      </c>
      <c r="N66" s="60">
        <f t="shared" si="38"/>
        <v>0</v>
      </c>
      <c r="O6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6" s="96">
        <v>0</v>
      </c>
    </row>
    <row r="67" spans="1:16" x14ac:dyDescent="0.2">
      <c r="A67" s="59">
        <f>IF(TableRBMaster[[#This Row],[Player]]&lt;&gt;0,A66+1,A66)</f>
        <v>46</v>
      </c>
      <c r="B67" s="59" t="str">
        <f>IND!A$6</f>
        <v>Jonathan Taylor</v>
      </c>
      <c r="C67" s="59" t="s">
        <v>106</v>
      </c>
      <c r="D67" s="59">
        <f>IND!C$6</f>
        <v>11</v>
      </c>
      <c r="E67" s="60">
        <f>IND!I$6</f>
        <v>292.48295999999993</v>
      </c>
      <c r="F67" s="60">
        <f>IND!J$6</f>
        <v>1316.1733199999996</v>
      </c>
      <c r="G67" s="60">
        <f>IND!K$6</f>
        <v>11.114352479999997</v>
      </c>
      <c r="H67" s="60">
        <f>IND!L$6</f>
        <v>53.662840000000003</v>
      </c>
      <c r="I67" s="60">
        <f>IND!M$6</f>
        <v>39.38852456</v>
      </c>
      <c r="J67" s="60">
        <f>IND!N$6</f>
        <v>317.4715079536</v>
      </c>
      <c r="K67" s="60">
        <f>IND!O$6</f>
        <v>1.3785983596000002</v>
      </c>
      <c r="L67" s="60">
        <f t="shared" ref="L67:L71" si="39">(F67/10)+(G67*6)+(J67/10)+(K67*6)</f>
        <v>238.32218783295997</v>
      </c>
      <c r="M67" s="60">
        <f t="shared" ref="M67:M71" si="40">L67+(I67*0.5)</f>
        <v>258.01645011295994</v>
      </c>
      <c r="N67" s="60">
        <f t="shared" ref="N67:N71" si="41">L67+I67</f>
        <v>277.71071239295998</v>
      </c>
      <c r="O6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258.01645011296</v>
      </c>
      <c r="P67" s="96">
        <v>38.399399452045216</v>
      </c>
    </row>
    <row r="68" spans="1:16" x14ac:dyDescent="0.2">
      <c r="A68" s="59">
        <f>IF(TableRBMaster[[#This Row],[Player]]&lt;&gt;0,A67+1,A67)</f>
        <v>47</v>
      </c>
      <c r="B68" s="59" t="str">
        <f>IND!A$7</f>
        <v>Trey Sermon</v>
      </c>
      <c r="C68" s="59" t="s">
        <v>106</v>
      </c>
      <c r="D68" s="59">
        <f>IND!C$8</f>
        <v>11</v>
      </c>
      <c r="E68" s="60">
        <f>IND!I$7</f>
        <v>43.872443999999994</v>
      </c>
      <c r="F68" s="60">
        <f>IND!J$7</f>
        <v>175.48977599999998</v>
      </c>
      <c r="G68" s="60">
        <f>IND!K$7</f>
        <v>1.2723008759999999</v>
      </c>
      <c r="H68" s="60">
        <f>IND!L$7</f>
        <v>16.098852000000001</v>
      </c>
      <c r="I68" s="60">
        <f>IND!M$7</f>
        <v>11.2691964</v>
      </c>
      <c r="J68" s="60">
        <f>IND!N$7</f>
        <v>80.01129444</v>
      </c>
      <c r="K68" s="60">
        <f>IND!O$7</f>
        <v>0.22538392800000001</v>
      </c>
      <c r="L68" s="60">
        <f t="shared" si="39"/>
        <v>34.536215867999999</v>
      </c>
      <c r="M68" s="60">
        <f t="shared" si="40"/>
        <v>40.170814067999999</v>
      </c>
      <c r="N68" s="60">
        <f t="shared" si="41"/>
        <v>45.805412267999998</v>
      </c>
      <c r="O6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40.170814067999999</v>
      </c>
      <c r="P68" s="96">
        <v>3.3686105886370039</v>
      </c>
    </row>
    <row r="69" spans="1:16" x14ac:dyDescent="0.2">
      <c r="A69" s="59">
        <f>IF(TableRBMaster[[#This Row],[Player]]&lt;&gt;0,A68+1,A68)</f>
        <v>48</v>
      </c>
      <c r="B69" s="59" t="str">
        <f>IND!A$8</f>
        <v>Evan Hull</v>
      </c>
      <c r="C69" s="59" t="s">
        <v>106</v>
      </c>
      <c r="D69" s="59">
        <f>IND!C$7</f>
        <v>11</v>
      </c>
      <c r="E69" s="60">
        <f>IND!I$8</f>
        <v>19.498863999999998</v>
      </c>
      <c r="F69" s="60">
        <f>IND!J$8</f>
        <v>83.65012655999999</v>
      </c>
      <c r="G69" s="60">
        <f>IND!K$8</f>
        <v>0.56546705599999991</v>
      </c>
      <c r="H69" s="60">
        <f>IND!L$8</f>
        <v>10.732568000000001</v>
      </c>
      <c r="I69" s="60">
        <f>IND!M$8</f>
        <v>7.6523209840000002</v>
      </c>
      <c r="J69" s="60">
        <f>IND!N$8</f>
        <v>60.30028935392</v>
      </c>
      <c r="K69" s="60">
        <f>IND!O$8</f>
        <v>0.22956962951999998</v>
      </c>
      <c r="L69" s="60">
        <f t="shared" si="39"/>
        <v>19.165261704511998</v>
      </c>
      <c r="M69" s="60">
        <f t="shared" si="40"/>
        <v>22.991422196511998</v>
      </c>
      <c r="N69" s="60">
        <f t="shared" si="41"/>
        <v>26.817582688511997</v>
      </c>
      <c r="O6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22.991422196511998</v>
      </c>
      <c r="P69" s="96">
        <v>0</v>
      </c>
    </row>
    <row r="70" spans="1:16" x14ac:dyDescent="0.2">
      <c r="A70" s="59">
        <f>IF(TableRBMaster[[#This Row],[Player]]&lt;&gt;0,A69+1,A69)</f>
        <v>48</v>
      </c>
      <c r="B70" s="59">
        <f>IND!A$9</f>
        <v>0</v>
      </c>
      <c r="C70" s="59" t="s">
        <v>106</v>
      </c>
      <c r="D70" s="59">
        <f>IND!C$9</f>
        <v>11</v>
      </c>
      <c r="E70" s="60">
        <f>IND!I$9</f>
        <v>0</v>
      </c>
      <c r="F70" s="60">
        <f>IND!J$9</f>
        <v>0</v>
      </c>
      <c r="G70" s="60">
        <f>IND!K$9</f>
        <v>0</v>
      </c>
      <c r="H70" s="60">
        <f>IND!L$9</f>
        <v>0</v>
      </c>
      <c r="I70" s="60">
        <f>IND!M$9</f>
        <v>0</v>
      </c>
      <c r="J70" s="60">
        <f>IND!N$9</f>
        <v>0</v>
      </c>
      <c r="K70" s="60">
        <f>IND!O$9</f>
        <v>0</v>
      </c>
      <c r="L70" s="60">
        <f t="shared" si="39"/>
        <v>0</v>
      </c>
      <c r="M70" s="60">
        <f t="shared" si="40"/>
        <v>0</v>
      </c>
      <c r="N70" s="60">
        <f t="shared" si="41"/>
        <v>0</v>
      </c>
      <c r="O7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0" s="96">
        <v>0</v>
      </c>
    </row>
    <row r="71" spans="1:16" x14ac:dyDescent="0.2">
      <c r="A71" s="59">
        <f>IF(TableRBMaster[[#This Row],[Player]]&lt;&gt;0,A70+1,A70)</f>
        <v>48</v>
      </c>
      <c r="B71" s="59">
        <f>IND!A$10</f>
        <v>0</v>
      </c>
      <c r="C71" s="59" t="s">
        <v>106</v>
      </c>
      <c r="D71" s="59">
        <f>IND!C$10</f>
        <v>11</v>
      </c>
      <c r="E71" s="60">
        <f>IND!I$10</f>
        <v>0</v>
      </c>
      <c r="F71" s="60">
        <f>IND!J$10</f>
        <v>0</v>
      </c>
      <c r="G71" s="60">
        <f>IND!K$10</f>
        <v>0</v>
      </c>
      <c r="H71" s="60">
        <f>IND!L$10</f>
        <v>0</v>
      </c>
      <c r="I71" s="60">
        <f>IND!M$10</f>
        <v>0</v>
      </c>
      <c r="J71" s="60">
        <f>IND!N$10</f>
        <v>0</v>
      </c>
      <c r="K71" s="60">
        <f>IND!O$10</f>
        <v>0</v>
      </c>
      <c r="L71" s="60">
        <f t="shared" si="39"/>
        <v>0</v>
      </c>
      <c r="M71" s="60">
        <f t="shared" si="40"/>
        <v>0</v>
      </c>
      <c r="N71" s="60">
        <f t="shared" si="41"/>
        <v>0</v>
      </c>
      <c r="O7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1" s="96">
        <v>23.386905058570072</v>
      </c>
    </row>
    <row r="72" spans="1:16" x14ac:dyDescent="0.2">
      <c r="A72" s="59">
        <f>IF(TableRBMaster[[#This Row],[Player]]&lt;&gt;0,A71+1,A71)</f>
        <v>49</v>
      </c>
      <c r="B72" s="59" t="str">
        <f>JAX!A$6</f>
        <v>Travis Etienne</v>
      </c>
      <c r="C72" s="59" t="s">
        <v>124</v>
      </c>
      <c r="D72" s="59">
        <f>JAX!C$6</f>
        <v>9</v>
      </c>
      <c r="E72" s="60">
        <f>JAX!I$6</f>
        <v>214.33090000000001</v>
      </c>
      <c r="F72" s="60">
        <f>JAX!J$6</f>
        <v>893.75985300000002</v>
      </c>
      <c r="G72" s="60">
        <f>JAX!K$6</f>
        <v>8.7875669000000016</v>
      </c>
      <c r="H72" s="60">
        <f>JAX!L$6</f>
        <v>42.298073999999993</v>
      </c>
      <c r="I72" s="60">
        <f>JAX!M$6</f>
        <v>32.992497719999996</v>
      </c>
      <c r="J72" s="60">
        <f>JAX!N$6</f>
        <v>264.92975669159995</v>
      </c>
      <c r="K72" s="60">
        <f>JAX!O$6</f>
        <v>0.98977493159999985</v>
      </c>
      <c r="L72" s="60">
        <f t="shared" ref="L72:L76" si="42">(F72/10)+(G72*6)+(J72/10)+(K72*6)</f>
        <v>174.53301195876</v>
      </c>
      <c r="M72" s="60">
        <f t="shared" ref="M72:M76" si="43">L72+(I72*0.5)</f>
        <v>191.02926081876001</v>
      </c>
      <c r="N72" s="60">
        <f t="shared" ref="N72:N76" si="44">L72+I72</f>
        <v>207.52550967875999</v>
      </c>
      <c r="O7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191.02926081876004</v>
      </c>
      <c r="P72" s="96">
        <v>11.255396975211928</v>
      </c>
    </row>
    <row r="73" spans="1:16" x14ac:dyDescent="0.2">
      <c r="A73" s="59">
        <f>IF(TableRBMaster[[#This Row],[Player]]&lt;&gt;0,A72+1,A72)</f>
        <v>50</v>
      </c>
      <c r="B73" s="59" t="str">
        <f>JAX!A$7</f>
        <v>Tank Bigsby</v>
      </c>
      <c r="C73" s="59" t="s">
        <v>124</v>
      </c>
      <c r="D73" s="59">
        <f>JAX!C$8</f>
        <v>9</v>
      </c>
      <c r="E73" s="60">
        <f>JAX!I$7</f>
        <v>102.878832</v>
      </c>
      <c r="F73" s="60">
        <f>JAX!J$7</f>
        <v>413.57290463999999</v>
      </c>
      <c r="G73" s="60">
        <f>JAX!K$7</f>
        <v>3.2921226240000001</v>
      </c>
      <c r="H73" s="60">
        <f>JAX!L$7</f>
        <v>18.127745999999991</v>
      </c>
      <c r="I73" s="60">
        <f>JAX!M$7</f>
        <v>12.743805437999994</v>
      </c>
      <c r="J73" s="60">
        <f>JAX!N$7</f>
        <v>103.35226210217994</v>
      </c>
      <c r="K73" s="60">
        <f>JAX!O$7</f>
        <v>0.31859513594999989</v>
      </c>
      <c r="L73" s="60">
        <f t="shared" si="42"/>
        <v>73.356823233917993</v>
      </c>
      <c r="M73" s="60">
        <f t="shared" si="43"/>
        <v>79.728725952917983</v>
      </c>
      <c r="N73" s="60">
        <f t="shared" si="44"/>
        <v>86.100628671917988</v>
      </c>
      <c r="O7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79.728725952917998</v>
      </c>
      <c r="P73" s="96">
        <v>0</v>
      </c>
    </row>
    <row r="74" spans="1:16" x14ac:dyDescent="0.2">
      <c r="A74" s="59">
        <f>IF(TableRBMaster[[#This Row],[Player]]&lt;&gt;0,A73+1,A73)</f>
        <v>51</v>
      </c>
      <c r="B74" s="59" t="str">
        <f>JAX!A$8</f>
        <v>D'Ernest Johnson</v>
      </c>
      <c r="C74" s="59" t="s">
        <v>124</v>
      </c>
      <c r="D74" s="59">
        <f>JAX!C$7</f>
        <v>9</v>
      </c>
      <c r="E74" s="60">
        <f>JAX!I$8</f>
        <v>38.579562000000003</v>
      </c>
      <c r="F74" s="60">
        <f>JAX!J$8</f>
        <v>155.47563486000001</v>
      </c>
      <c r="G74" s="60">
        <f>JAX!K$8</f>
        <v>1.2731255460000002</v>
      </c>
      <c r="H74" s="60">
        <f>JAX!L$8</f>
        <v>6.0425819999999977</v>
      </c>
      <c r="I74" s="60">
        <f>JAX!M$8</f>
        <v>4.616532647999998</v>
      </c>
      <c r="J74" s="60">
        <f>JAX!N$8</f>
        <v>33.654523003919984</v>
      </c>
      <c r="K74" s="60">
        <f>JAX!O$8</f>
        <v>0.13849597943999994</v>
      </c>
      <c r="L74" s="60">
        <f t="shared" si="42"/>
        <v>27.382744939032001</v>
      </c>
      <c r="M74" s="60">
        <f t="shared" si="43"/>
        <v>29.691011263031999</v>
      </c>
      <c r="N74" s="60">
        <f t="shared" si="44"/>
        <v>31.999277587031997</v>
      </c>
      <c r="O7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29.691011263031999</v>
      </c>
      <c r="P74" s="96">
        <v>0</v>
      </c>
    </row>
    <row r="75" spans="1:16" x14ac:dyDescent="0.2">
      <c r="A75" s="59">
        <f>IF(TableRBMaster[[#This Row],[Player]]&lt;&gt;0,A74+1,A74)</f>
        <v>52</v>
      </c>
      <c r="B75" s="59" t="str">
        <f>JAX!A$9</f>
        <v>Kellan Robinson</v>
      </c>
      <c r="C75" s="59" t="s">
        <v>124</v>
      </c>
      <c r="D75" s="59">
        <f>JAX!C$9</f>
        <v>9</v>
      </c>
      <c r="E75" s="60">
        <f>JAX!I$9</f>
        <v>8.5732359999999996</v>
      </c>
      <c r="F75" s="60">
        <f>JAX!J$9</f>
        <v>34.035746920000001</v>
      </c>
      <c r="G75" s="60">
        <f>JAX!K$9</f>
        <v>0.25719707999999997</v>
      </c>
      <c r="H75" s="60">
        <f>JAX!L$9</f>
        <v>12.085163999999995</v>
      </c>
      <c r="I75" s="60">
        <f>JAX!M$9</f>
        <v>0</v>
      </c>
      <c r="J75" s="60">
        <f>JAX!N$9</f>
        <v>0</v>
      </c>
      <c r="K75" s="60">
        <f>JAX!O$9</f>
        <v>0</v>
      </c>
      <c r="L75" s="60">
        <f t="shared" si="42"/>
        <v>4.9467571719999999</v>
      </c>
      <c r="M75" s="60">
        <f t="shared" si="43"/>
        <v>4.9467571719999999</v>
      </c>
      <c r="N75" s="60">
        <f t="shared" si="44"/>
        <v>4.9467571719999999</v>
      </c>
      <c r="O7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4.9467571719999999</v>
      </c>
      <c r="P75" s="96">
        <v>0</v>
      </c>
    </row>
    <row r="76" spans="1:16" x14ac:dyDescent="0.2">
      <c r="A76" s="59">
        <f>IF(TableRBMaster[[#This Row],[Player]]&lt;&gt;0,A75+1,A75)</f>
        <v>52</v>
      </c>
      <c r="B76" s="59">
        <f>JAX!A$10</f>
        <v>0</v>
      </c>
      <c r="C76" s="59" t="s">
        <v>124</v>
      </c>
      <c r="D76" s="59">
        <f>JAX!C$10</f>
        <v>9</v>
      </c>
      <c r="E76" s="60">
        <f>JAX!I$10</f>
        <v>0</v>
      </c>
      <c r="F76" s="60">
        <f>JAX!J$10</f>
        <v>0</v>
      </c>
      <c r="G76" s="60">
        <f>JAX!K$10</f>
        <v>0</v>
      </c>
      <c r="H76" s="60">
        <f>JAX!L$10</f>
        <v>0</v>
      </c>
      <c r="I76" s="60">
        <f>JAX!M$10</f>
        <v>0</v>
      </c>
      <c r="J76" s="60">
        <f>JAX!N$10</f>
        <v>0</v>
      </c>
      <c r="K76" s="60">
        <f>JAX!O$10</f>
        <v>0</v>
      </c>
      <c r="L76" s="60">
        <f t="shared" si="42"/>
        <v>0</v>
      </c>
      <c r="M76" s="60">
        <f t="shared" si="43"/>
        <v>0</v>
      </c>
      <c r="N76" s="60">
        <f t="shared" si="44"/>
        <v>0</v>
      </c>
      <c r="O7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6" s="96">
        <v>0</v>
      </c>
    </row>
    <row r="77" spans="1:16" x14ac:dyDescent="0.2">
      <c r="A77" s="59">
        <f>IF(TableRBMaster[[#This Row],[Player]]&lt;&gt;0,A76+1,A76)</f>
        <v>53</v>
      </c>
      <c r="B77" s="59" t="str">
        <f>KC!A$6</f>
        <v>Isiah Pacheco</v>
      </c>
      <c r="C77" s="59" t="s">
        <v>108</v>
      </c>
      <c r="D77" s="59">
        <f>KC!C$6</f>
        <v>10</v>
      </c>
      <c r="E77" s="60">
        <f>KC!I$6</f>
        <v>247.93215999999998</v>
      </c>
      <c r="F77" s="60">
        <f>KC!J$6</f>
        <v>1110.7360768000001</v>
      </c>
      <c r="G77" s="60">
        <f>KC!K$6</f>
        <v>8.9255577599999985</v>
      </c>
      <c r="H77" s="60">
        <f>KC!L$6</f>
        <v>44.123519999999992</v>
      </c>
      <c r="I77" s="60">
        <f>KC!M$6</f>
        <v>36.490151039999994</v>
      </c>
      <c r="J77" s="60">
        <f>KC!N$6</f>
        <v>244.48401196799998</v>
      </c>
      <c r="K77" s="60">
        <f>KC!O$6</f>
        <v>1.6420567967999997</v>
      </c>
      <c r="L77" s="60">
        <f t="shared" ref="L77:L140" si="45">(F77/10)+(G77*6)+(J77/10)+(K77*6)</f>
        <v>198.92769621760002</v>
      </c>
      <c r="M77" s="60">
        <f t="shared" ref="M77:M140" si="46">L77+(I77*0.5)</f>
        <v>217.17277173760002</v>
      </c>
      <c r="N77" s="60">
        <f t="shared" ref="N77:N140" si="47">L77+I77</f>
        <v>235.41784725760002</v>
      </c>
      <c r="O7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217.17277173760002</v>
      </c>
      <c r="P77" s="96">
        <v>28.211098127412054</v>
      </c>
    </row>
    <row r="78" spans="1:16" x14ac:dyDescent="0.2">
      <c r="A78" s="59">
        <f>IF(TableRBMaster[[#This Row],[Player]]&lt;&gt;0,A77+1,A77)</f>
        <v>54</v>
      </c>
      <c r="B78" s="59" t="str">
        <f>KC!A$7</f>
        <v>Clyde Edwards-Helaire</v>
      </c>
      <c r="C78" s="59" t="s">
        <v>108</v>
      </c>
      <c r="D78" s="59">
        <f>KC!C$8</f>
        <v>10</v>
      </c>
      <c r="E78" s="60">
        <f>KC!I$7</f>
        <v>67.235839999999996</v>
      </c>
      <c r="F78" s="60">
        <f>KC!J$7</f>
        <v>279.02873599999998</v>
      </c>
      <c r="G78" s="60">
        <f>KC!K$7</f>
        <v>2.2187827200000001</v>
      </c>
      <c r="H78" s="60">
        <f>KC!L$7</f>
        <v>25.213439999999991</v>
      </c>
      <c r="I78" s="60">
        <f>KC!M$7</f>
        <v>18.733585919999992</v>
      </c>
      <c r="J78" s="60">
        <f>KC!N$7</f>
        <v>150.24335907839992</v>
      </c>
      <c r="K78" s="60">
        <f>KC!O$7</f>
        <v>0.74934343679999971</v>
      </c>
      <c r="L78" s="60">
        <f t="shared" si="45"/>
        <v>60.735966448639985</v>
      </c>
      <c r="M78" s="60">
        <f t="shared" si="46"/>
        <v>70.102759408639983</v>
      </c>
      <c r="N78" s="60">
        <f t="shared" si="47"/>
        <v>79.469552368639981</v>
      </c>
      <c r="O7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70.102759408639983</v>
      </c>
      <c r="P78" s="96">
        <v>0</v>
      </c>
    </row>
    <row r="79" spans="1:16" x14ac:dyDescent="0.2">
      <c r="A79" s="59">
        <f>IF(TableRBMaster[[#This Row],[Player]]&lt;&gt;0,A78+1,A78)</f>
        <v>55</v>
      </c>
      <c r="B79" s="59" t="str">
        <f>KC!A$8</f>
        <v>Keaontay Ingram</v>
      </c>
      <c r="C79" s="59" t="s">
        <v>108</v>
      </c>
      <c r="D79" s="59">
        <f>KC!C$7</f>
        <v>10</v>
      </c>
      <c r="E79" s="60">
        <f>KC!I$8</f>
        <v>29.415680000000005</v>
      </c>
      <c r="F79" s="60">
        <f>KC!J$8</f>
        <v>120.60428800000001</v>
      </c>
      <c r="G79" s="60">
        <f>KC!K$8</f>
        <v>0.8824704000000001</v>
      </c>
      <c r="H79" s="60">
        <f>KC!L$8</f>
        <v>6.3033599999999979</v>
      </c>
      <c r="I79" s="60">
        <f>KC!M$8</f>
        <v>4.4123519999999985</v>
      </c>
      <c r="J79" s="60">
        <f>KC!N$8</f>
        <v>30.886463999999989</v>
      </c>
      <c r="K79" s="60">
        <f>KC!O$8</f>
        <v>0.13237055999999994</v>
      </c>
      <c r="L79" s="60">
        <f t="shared" si="45"/>
        <v>21.23812096</v>
      </c>
      <c r="M79" s="60">
        <f t="shared" si="46"/>
        <v>23.444296959999999</v>
      </c>
      <c r="N79" s="60">
        <f t="shared" si="47"/>
        <v>25.650472959999998</v>
      </c>
      <c r="O7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23.444296960000003</v>
      </c>
      <c r="P79" s="96">
        <v>0</v>
      </c>
    </row>
    <row r="80" spans="1:16" x14ac:dyDescent="0.2">
      <c r="A80" s="59">
        <f>IF(TableRBMaster[[#This Row],[Player]]&lt;&gt;0,A79+1,A79)</f>
        <v>55</v>
      </c>
      <c r="B80" s="59">
        <f>KC!A$9</f>
        <v>0</v>
      </c>
      <c r="C80" s="59" t="s">
        <v>108</v>
      </c>
      <c r="D80" s="59">
        <f>KC!C$9</f>
        <v>10</v>
      </c>
      <c r="E80" s="60">
        <f>KC!I$9</f>
        <v>0</v>
      </c>
      <c r="F80" s="60">
        <f>KC!J$9</f>
        <v>0</v>
      </c>
      <c r="G80" s="60">
        <f>KC!K$9</f>
        <v>0</v>
      </c>
      <c r="H80" s="60">
        <f>KC!L$9</f>
        <v>0</v>
      </c>
      <c r="I80" s="60">
        <f>KC!M$9</f>
        <v>0</v>
      </c>
      <c r="J80" s="60">
        <f>KC!N$9</f>
        <v>0</v>
      </c>
      <c r="K80" s="60">
        <f>KC!O$9</f>
        <v>0</v>
      </c>
      <c r="L80" s="60">
        <f t="shared" si="45"/>
        <v>0</v>
      </c>
      <c r="M80" s="60">
        <f t="shared" si="46"/>
        <v>0</v>
      </c>
      <c r="N80" s="60">
        <f t="shared" si="47"/>
        <v>0</v>
      </c>
      <c r="O8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0" s="96">
        <v>0</v>
      </c>
    </row>
    <row r="81" spans="1:16" x14ac:dyDescent="0.2">
      <c r="A81" s="59">
        <f>IF(TableRBMaster[[#This Row],[Player]]&lt;&gt;0,A80+1,A80)</f>
        <v>55</v>
      </c>
      <c r="B81" s="59">
        <f>KC!A$10</f>
        <v>0</v>
      </c>
      <c r="C81" s="59" t="s">
        <v>108</v>
      </c>
      <c r="D81" s="59">
        <f>KC!C$10</f>
        <v>10</v>
      </c>
      <c r="E81" s="60">
        <f>KC!I$10</f>
        <v>0</v>
      </c>
      <c r="F81" s="60">
        <f>KC!J$10</f>
        <v>0</v>
      </c>
      <c r="G81" s="60">
        <f>KC!K$10</f>
        <v>0</v>
      </c>
      <c r="H81" s="60">
        <f>KC!L$10</f>
        <v>0</v>
      </c>
      <c r="I81" s="60">
        <f>KC!M$10</f>
        <v>0</v>
      </c>
      <c r="J81" s="60">
        <f>KC!N$10</f>
        <v>0</v>
      </c>
      <c r="K81" s="60">
        <f>KC!O$10</f>
        <v>0</v>
      </c>
      <c r="L81" s="60">
        <f t="shared" si="45"/>
        <v>0</v>
      </c>
      <c r="M81" s="60">
        <f t="shared" si="46"/>
        <v>0</v>
      </c>
      <c r="N81" s="60">
        <f t="shared" si="47"/>
        <v>0</v>
      </c>
      <c r="O8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1" s="96">
        <v>0</v>
      </c>
    </row>
    <row r="82" spans="1:16" x14ac:dyDescent="0.2">
      <c r="A82" s="59">
        <f>IF(TableRBMaster[[#This Row],[Player]]&lt;&gt;0,A81+1,A81)</f>
        <v>56</v>
      </c>
      <c r="B82" s="59" t="str">
        <f>LAC!A$6</f>
        <v>Gus Edwards</v>
      </c>
      <c r="C82" s="59" t="s">
        <v>109</v>
      </c>
      <c r="D82" s="59">
        <f>LAC!C$6</f>
        <v>5</v>
      </c>
      <c r="E82" s="60">
        <f>LAC!I$6</f>
        <v>207.00980019999997</v>
      </c>
      <c r="F82" s="60">
        <f>LAC!J$6</f>
        <v>877.72155284799987</v>
      </c>
      <c r="G82" s="60">
        <f>LAC!K$6</f>
        <v>8.2803920079999997</v>
      </c>
      <c r="H82" s="60">
        <f>LAC!L$6</f>
        <v>22.334474399999998</v>
      </c>
      <c r="I82" s="60">
        <f>LAC!M$6</f>
        <v>17.6219003016</v>
      </c>
      <c r="J82" s="60">
        <f>LAC!N$6</f>
        <v>139.21301238264002</v>
      </c>
      <c r="K82" s="60">
        <f>LAC!O$6</f>
        <v>0.70487601206399997</v>
      </c>
      <c r="L82" s="60">
        <f t="shared" si="45"/>
        <v>155.605064643448</v>
      </c>
      <c r="M82" s="60">
        <f t="shared" si="46"/>
        <v>164.41601479424801</v>
      </c>
      <c r="N82" s="60">
        <f t="shared" si="47"/>
        <v>173.226964945048</v>
      </c>
      <c r="O8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164.41601479424801</v>
      </c>
      <c r="P82" s="96">
        <v>40.577336371080563</v>
      </c>
    </row>
    <row r="83" spans="1:16" x14ac:dyDescent="0.2">
      <c r="A83" s="59">
        <f>IF(TableRBMaster[[#This Row],[Player]]&lt;&gt;0,A82+1,A82)</f>
        <v>57</v>
      </c>
      <c r="B83" s="59" t="str">
        <f>LAC!A$7</f>
        <v>J.K. Dobbins</v>
      </c>
      <c r="C83" s="59" t="s">
        <v>109</v>
      </c>
      <c r="D83" s="59">
        <f>LAC!C$8</f>
        <v>5</v>
      </c>
      <c r="E83" s="60">
        <f>LAC!I$7</f>
        <v>120.35453499999998</v>
      </c>
      <c r="F83" s="60">
        <f>LAC!J$7</f>
        <v>505.48904699999997</v>
      </c>
      <c r="G83" s="60">
        <f>LAC!K$7</f>
        <v>4.2124087249999995</v>
      </c>
      <c r="H83" s="60">
        <f>LAC!L$7</f>
        <v>33.501711599999993</v>
      </c>
      <c r="I83" s="60">
        <f>LAC!M$7</f>
        <v>24.288740909999994</v>
      </c>
      <c r="J83" s="60">
        <f>LAC!N$7</f>
        <v>171.72139823369997</v>
      </c>
      <c r="K83" s="60">
        <f>LAC!O$7</f>
        <v>0.85010593184999983</v>
      </c>
      <c r="L83" s="60">
        <f t="shared" si="45"/>
        <v>98.096132464470003</v>
      </c>
      <c r="M83" s="60">
        <f t="shared" si="46"/>
        <v>110.24050291947</v>
      </c>
      <c r="N83" s="60">
        <f t="shared" si="47"/>
        <v>122.38487337447</v>
      </c>
      <c r="O8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110.24050291947</v>
      </c>
      <c r="P83" s="96">
        <v>0</v>
      </c>
    </row>
    <row r="84" spans="1:16" x14ac:dyDescent="0.2">
      <c r="A84" s="59">
        <f>IF(TableRBMaster[[#This Row],[Player]]&lt;&gt;0,A83+1,A83)</f>
        <v>58</v>
      </c>
      <c r="B84" s="59" t="str">
        <f>LAC!A$8</f>
        <v>Kimani Vidal</v>
      </c>
      <c r="C84" s="59" t="s">
        <v>109</v>
      </c>
      <c r="D84" s="59">
        <f>LAC!C$7</f>
        <v>5</v>
      </c>
      <c r="E84" s="60">
        <f>LAC!I$8</f>
        <v>62.584358199999997</v>
      </c>
      <c r="F84" s="60">
        <f>LAC!J$8</f>
        <v>270.36442742399998</v>
      </c>
      <c r="G84" s="60">
        <f>LAC!K$8</f>
        <v>2.2530368951999997</v>
      </c>
      <c r="H84" s="60">
        <f>LAC!L$8</f>
        <v>16.750855799999997</v>
      </c>
      <c r="I84" s="60">
        <f>LAC!M$8</f>
        <v>12.261626445599997</v>
      </c>
      <c r="J84" s="60">
        <f>LAC!N$8</f>
        <v>88.28371040831999</v>
      </c>
      <c r="K84" s="60">
        <f>LAC!O$8</f>
        <v>0.36784879336799992</v>
      </c>
      <c r="L84" s="60">
        <f t="shared" si="45"/>
        <v>51.590127914639993</v>
      </c>
      <c r="M84" s="60">
        <f t="shared" si="46"/>
        <v>57.720941137439993</v>
      </c>
      <c r="N84" s="60">
        <f t="shared" si="47"/>
        <v>63.851754360239994</v>
      </c>
      <c r="O8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57.720941137439993</v>
      </c>
      <c r="P84" s="96">
        <v>0</v>
      </c>
    </row>
    <row r="85" spans="1:16" x14ac:dyDescent="0.2">
      <c r="A85" s="59">
        <f>IF(TableRBMaster[[#This Row],[Player]]&lt;&gt;0,A84+1,A84)</f>
        <v>59</v>
      </c>
      <c r="B85" s="59" t="str">
        <f>LAC!A$9</f>
        <v>Isaiah Spiller</v>
      </c>
      <c r="C85" s="59" t="s">
        <v>109</v>
      </c>
      <c r="D85" s="59">
        <f>LAC!C$9</f>
        <v>5</v>
      </c>
      <c r="E85" s="60">
        <f>LAC!I$9</f>
        <v>24.070906999999998</v>
      </c>
      <c r="F85" s="60">
        <f>LAC!J$9</f>
        <v>93.876537299999995</v>
      </c>
      <c r="G85" s="60">
        <f>LAC!K$9</f>
        <v>0.72212720999999991</v>
      </c>
      <c r="H85" s="60">
        <f>LAC!L$9</f>
        <v>11.167237199999999</v>
      </c>
      <c r="I85" s="60">
        <f>LAC!M$9</f>
        <v>7.9064039375999986</v>
      </c>
      <c r="J85" s="60">
        <f>LAC!N$9</f>
        <v>47.754679783103995</v>
      </c>
      <c r="K85" s="60">
        <f>LAC!O$9</f>
        <v>0.23719211812799995</v>
      </c>
      <c r="L85" s="60">
        <f t="shared" si="45"/>
        <v>19.9190376770784</v>
      </c>
      <c r="M85" s="60">
        <f t="shared" si="46"/>
        <v>23.872239645878398</v>
      </c>
      <c r="N85" s="60">
        <f t="shared" si="47"/>
        <v>27.825441614678397</v>
      </c>
      <c r="O8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23.872239645878398</v>
      </c>
      <c r="P85" s="96">
        <v>0</v>
      </c>
    </row>
    <row r="86" spans="1:16" x14ac:dyDescent="0.2">
      <c r="A86" s="59">
        <f>IF(TableRBMaster[[#This Row],[Player]]&lt;&gt;0,A85+1,A85)</f>
        <v>59</v>
      </c>
      <c r="B86" s="59">
        <f>LAC!A$10</f>
        <v>0</v>
      </c>
      <c r="C86" s="59" t="s">
        <v>109</v>
      </c>
      <c r="D86" s="59">
        <f>LAC!C$10</f>
        <v>5</v>
      </c>
      <c r="E86" s="60">
        <f>LAC!I$10</f>
        <v>0</v>
      </c>
      <c r="F86" s="60">
        <f>LAC!J$10</f>
        <v>0</v>
      </c>
      <c r="G86" s="60">
        <f>LAC!K$10</f>
        <v>0</v>
      </c>
      <c r="H86" s="60">
        <f>LAC!L$10</f>
        <v>0</v>
      </c>
      <c r="I86" s="60">
        <f>LAC!M$10</f>
        <v>0</v>
      </c>
      <c r="J86" s="60">
        <f>LAC!N$10</f>
        <v>0</v>
      </c>
      <c r="K86" s="60">
        <f>LAC!O$10</f>
        <v>0</v>
      </c>
      <c r="L86" s="60">
        <f t="shared" si="45"/>
        <v>0</v>
      </c>
      <c r="M86" s="60">
        <f t="shared" si="46"/>
        <v>0</v>
      </c>
      <c r="N86" s="60">
        <f t="shared" si="47"/>
        <v>0</v>
      </c>
      <c r="O8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6" s="96">
        <v>0</v>
      </c>
    </row>
    <row r="87" spans="1:16" x14ac:dyDescent="0.2">
      <c r="A87" s="59">
        <f>IF(TableRBMaster[[#This Row],[Player]]&lt;&gt;0,A86+1,A86)</f>
        <v>60</v>
      </c>
      <c r="B87" s="59" t="str">
        <f>LAR!A$6</f>
        <v>Kyren Williams</v>
      </c>
      <c r="C87" s="59" t="s">
        <v>110</v>
      </c>
      <c r="D87" s="59">
        <f>LAR!C$6</f>
        <v>10</v>
      </c>
      <c r="E87" s="60">
        <f>LAR!I$6</f>
        <v>248.57164919999997</v>
      </c>
      <c r="F87" s="60">
        <f>LAR!J$6</f>
        <v>1135.972436844</v>
      </c>
      <c r="G87" s="60">
        <f>LAR!K$6</f>
        <v>10.440009266399999</v>
      </c>
      <c r="H87" s="60">
        <f>LAR!L$6</f>
        <v>48.301769599999986</v>
      </c>
      <c r="I87" s="60">
        <f>LAR!M$6</f>
        <v>34.390859955199986</v>
      </c>
      <c r="J87" s="60">
        <f>LAR!N$6</f>
        <v>252.4289120711679</v>
      </c>
      <c r="K87" s="60">
        <f>LAR!O$6</f>
        <v>1.7195429977599994</v>
      </c>
      <c r="L87" s="60">
        <f t="shared" si="45"/>
        <v>211.7974484764768</v>
      </c>
      <c r="M87" s="60">
        <f t="shared" si="46"/>
        <v>228.99287845407679</v>
      </c>
      <c r="N87" s="60">
        <f t="shared" si="47"/>
        <v>246.18830843167677</v>
      </c>
      <c r="O8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228.99287845407679</v>
      </c>
      <c r="P87" s="96">
        <v>36.440729570389564</v>
      </c>
    </row>
    <row r="88" spans="1:16" x14ac:dyDescent="0.2">
      <c r="A88" s="59">
        <f>IF(TableRBMaster[[#This Row],[Player]]&lt;&gt;0,A87+1,A87)</f>
        <v>61</v>
      </c>
      <c r="B88" s="59" t="str">
        <f>LAR!A$7</f>
        <v>Blake Corum</v>
      </c>
      <c r="C88" s="59" t="s">
        <v>110</v>
      </c>
      <c r="D88" s="59">
        <f>LAR!C$8</f>
        <v>10</v>
      </c>
      <c r="E88" s="60">
        <f>LAR!I$7</f>
        <v>126.392364</v>
      </c>
      <c r="F88" s="60">
        <f>LAR!J$7</f>
        <v>542.22324156000002</v>
      </c>
      <c r="G88" s="60">
        <f>LAR!K$7</f>
        <v>5.0556945600000001</v>
      </c>
      <c r="H88" s="60">
        <f>LAR!L$7</f>
        <v>24.150884799999993</v>
      </c>
      <c r="I88" s="60">
        <f>LAR!M$7</f>
        <v>16.760714051199994</v>
      </c>
      <c r="J88" s="60">
        <f>LAR!N$7</f>
        <v>114.30806982918396</v>
      </c>
      <c r="K88" s="60">
        <f>LAR!O$7</f>
        <v>0.58662499179199978</v>
      </c>
      <c r="L88" s="60">
        <f t="shared" si="45"/>
        <v>99.507048449670393</v>
      </c>
      <c r="M88" s="60">
        <f t="shared" si="46"/>
        <v>107.88740547527038</v>
      </c>
      <c r="N88" s="60">
        <f t="shared" si="47"/>
        <v>116.26776250087039</v>
      </c>
      <c r="O8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107.8874054752704</v>
      </c>
      <c r="P88" s="96">
        <v>0</v>
      </c>
    </row>
    <row r="89" spans="1:16" x14ac:dyDescent="0.2">
      <c r="A89" s="59">
        <f>IF(TableRBMaster[[#This Row],[Player]]&lt;&gt;0,A88+1,A88)</f>
        <v>62</v>
      </c>
      <c r="B89" s="59" t="str">
        <f>LAR!A$8</f>
        <v>Zach Evans</v>
      </c>
      <c r="C89" s="59" t="s">
        <v>110</v>
      </c>
      <c r="D89" s="59">
        <f>LAR!C$7</f>
        <v>10</v>
      </c>
      <c r="E89" s="60">
        <f>LAR!I$8</f>
        <v>8.4261575999999998</v>
      </c>
      <c r="F89" s="60">
        <f>LAR!J$8</f>
        <v>34.800030887999995</v>
      </c>
      <c r="G89" s="60">
        <f>LAR!K$8</f>
        <v>0.29491551600000004</v>
      </c>
      <c r="H89" s="60">
        <f>LAR!L$8</f>
        <v>12.075442399999996</v>
      </c>
      <c r="I89" s="60">
        <f>LAR!M$8</f>
        <v>8.5252623343999971</v>
      </c>
      <c r="J89" s="60">
        <f>LAR!N$8</f>
        <v>55.840468290319983</v>
      </c>
      <c r="K89" s="60">
        <f>LAR!O$8</f>
        <v>0.2557578700319999</v>
      </c>
      <c r="L89" s="60">
        <f t="shared" si="45"/>
        <v>12.368090234023999</v>
      </c>
      <c r="M89" s="60">
        <f t="shared" si="46"/>
        <v>16.630721401223997</v>
      </c>
      <c r="N89" s="60">
        <f t="shared" si="47"/>
        <v>20.893352568423996</v>
      </c>
      <c r="O8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16.630721401223997</v>
      </c>
      <c r="P89" s="96">
        <v>0</v>
      </c>
    </row>
    <row r="90" spans="1:16" x14ac:dyDescent="0.2">
      <c r="A90" s="59">
        <f>IF(TableRBMaster[[#This Row],[Player]]&lt;&gt;0,A89+1,A89)</f>
        <v>62</v>
      </c>
      <c r="B90" s="59">
        <f>LAR!A$9</f>
        <v>0</v>
      </c>
      <c r="C90" s="59" t="s">
        <v>110</v>
      </c>
      <c r="D90" s="59">
        <f>LAR!C$9</f>
        <v>10</v>
      </c>
      <c r="E90" s="60">
        <f>LAR!I$9</f>
        <v>0</v>
      </c>
      <c r="F90" s="60">
        <f>LAR!J$9</f>
        <v>0</v>
      </c>
      <c r="G90" s="60">
        <f>LAR!K$9</f>
        <v>0</v>
      </c>
      <c r="H90" s="60">
        <f>LAR!L$9</f>
        <v>0</v>
      </c>
      <c r="I90" s="60">
        <f>LAR!M$9</f>
        <v>0</v>
      </c>
      <c r="J90" s="60">
        <f>LAR!N$9</f>
        <v>0</v>
      </c>
      <c r="K90" s="60">
        <f>LAR!O$9</f>
        <v>0</v>
      </c>
      <c r="L90" s="60">
        <f t="shared" si="45"/>
        <v>0</v>
      </c>
      <c r="M90" s="60">
        <f t="shared" si="46"/>
        <v>0</v>
      </c>
      <c r="N90" s="60">
        <f t="shared" si="47"/>
        <v>0</v>
      </c>
      <c r="O9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0" s="96">
        <v>0</v>
      </c>
    </row>
    <row r="91" spans="1:16" x14ac:dyDescent="0.2">
      <c r="A91" s="59">
        <f>IF(TableRBMaster[[#This Row],[Player]]&lt;&gt;0,A90+1,A90)</f>
        <v>62</v>
      </c>
      <c r="B91" s="59">
        <f>LAR!A$10</f>
        <v>0</v>
      </c>
      <c r="C91" s="59" t="s">
        <v>110</v>
      </c>
      <c r="D91" s="59">
        <f>LAR!C$10</f>
        <v>10</v>
      </c>
      <c r="E91" s="60">
        <f>LAR!I$10</f>
        <v>0</v>
      </c>
      <c r="F91" s="60">
        <f>LAR!J$10</f>
        <v>0</v>
      </c>
      <c r="G91" s="60">
        <f>LAR!K$10</f>
        <v>0</v>
      </c>
      <c r="H91" s="60">
        <f>LAR!L$10</f>
        <v>0</v>
      </c>
      <c r="I91" s="60">
        <f>LAR!M$10</f>
        <v>0</v>
      </c>
      <c r="J91" s="60">
        <f>LAR!N$10</f>
        <v>0</v>
      </c>
      <c r="K91" s="60">
        <f>LAR!O$10</f>
        <v>0</v>
      </c>
      <c r="L91" s="60">
        <f t="shared" si="45"/>
        <v>0</v>
      </c>
      <c r="M91" s="60">
        <f t="shared" si="46"/>
        <v>0</v>
      </c>
      <c r="N91" s="60">
        <f t="shared" si="47"/>
        <v>0</v>
      </c>
      <c r="O9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1" s="96">
        <v>0</v>
      </c>
    </row>
    <row r="92" spans="1:16" x14ac:dyDescent="0.2">
      <c r="A92" s="59">
        <f>IF(TableRBMaster[[#This Row],[Player]]&lt;&gt;0,A91+1,A91)</f>
        <v>63</v>
      </c>
      <c r="B92" s="59" t="str">
        <f>LV!A$6</f>
        <v>Zamir White</v>
      </c>
      <c r="C92" s="59" t="s">
        <v>169</v>
      </c>
      <c r="D92" s="59">
        <f>LV!C$6</f>
        <v>13</v>
      </c>
      <c r="E92" s="60">
        <f>LV!I$6</f>
        <v>253.13400000000001</v>
      </c>
      <c r="F92" s="60">
        <f>LV!J$6</f>
        <v>1070.7568200000001</v>
      </c>
      <c r="G92" s="60">
        <f>LV!K$6</f>
        <v>7.5940200000000004</v>
      </c>
      <c r="H92" s="60">
        <f>LV!L$6</f>
        <v>34.956599999999987</v>
      </c>
      <c r="I92" s="60">
        <f>LV!M$6</f>
        <v>25.51831799999999</v>
      </c>
      <c r="J92" s="60">
        <f>LV!N$6</f>
        <v>197.00141495999992</v>
      </c>
      <c r="K92" s="60">
        <f>LV!O$6</f>
        <v>0.81658617599999972</v>
      </c>
      <c r="L92" s="60">
        <f t="shared" si="45"/>
        <v>177.239460552</v>
      </c>
      <c r="M92" s="60">
        <f t="shared" si="46"/>
        <v>189.99861955199998</v>
      </c>
      <c r="N92" s="60">
        <f t="shared" si="47"/>
        <v>202.75777855199999</v>
      </c>
      <c r="O9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189.99861955200001</v>
      </c>
      <c r="P92" s="96">
        <v>26.712974459123956</v>
      </c>
    </row>
    <row r="93" spans="1:16" x14ac:dyDescent="0.2">
      <c r="A93" s="59">
        <f>IF(TableRBMaster[[#This Row],[Player]]&lt;&gt;0,A92+1,A92)</f>
        <v>64</v>
      </c>
      <c r="B93" s="59" t="str">
        <f>LV!A$7</f>
        <v>Alexander Mattison</v>
      </c>
      <c r="C93" s="59" t="s">
        <v>169</v>
      </c>
      <c r="D93" s="59">
        <f>LV!C$8</f>
        <v>13</v>
      </c>
      <c r="E93" s="60">
        <f>LV!I$7</f>
        <v>80.159100000000009</v>
      </c>
      <c r="F93" s="60">
        <f>LV!J$7</f>
        <v>315.82685400000003</v>
      </c>
      <c r="G93" s="60">
        <f>LV!K$7</f>
        <v>2.2444548000000002</v>
      </c>
      <c r="H93" s="60">
        <f>LV!L$7</f>
        <v>29.130499999999994</v>
      </c>
      <c r="I93" s="60">
        <f>LV!M$7</f>
        <v>20.449610999999994</v>
      </c>
      <c r="J93" s="60">
        <f>LV!N$7</f>
        <v>145.19223809999994</v>
      </c>
      <c r="K93" s="60">
        <f>LV!O$7</f>
        <v>0.6134883299999998</v>
      </c>
      <c r="L93" s="60">
        <f t="shared" si="45"/>
        <v>63.249567989999996</v>
      </c>
      <c r="M93" s="60">
        <f t="shared" si="46"/>
        <v>73.474373489999991</v>
      </c>
      <c r="N93" s="60">
        <f t="shared" si="47"/>
        <v>83.699178989999993</v>
      </c>
      <c r="O9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73.474373489999991</v>
      </c>
      <c r="P93" s="96">
        <v>10.012353442884301</v>
      </c>
    </row>
    <row r="94" spans="1:16" x14ac:dyDescent="0.2">
      <c r="A94" s="59">
        <f>IF(TableRBMaster[[#This Row],[Player]]&lt;&gt;0,A93+1,A93)</f>
        <v>65</v>
      </c>
      <c r="B94" s="59" t="str">
        <f>LV!A$8</f>
        <v>Dylan Laube</v>
      </c>
      <c r="C94" s="59" t="s">
        <v>169</v>
      </c>
      <c r="D94" s="59">
        <f>LV!C$7</f>
        <v>13</v>
      </c>
      <c r="E94" s="60">
        <f>LV!I$8</f>
        <v>63.283500000000004</v>
      </c>
      <c r="F94" s="60">
        <f>LV!J$8</f>
        <v>267.05637000000002</v>
      </c>
      <c r="G94" s="60">
        <f>LV!K$8</f>
        <v>2.278206</v>
      </c>
      <c r="H94" s="60">
        <f>LV!L$8</f>
        <v>23.304399999999994</v>
      </c>
      <c r="I94" s="60">
        <f>LV!M$8</f>
        <v>17.105429599999994</v>
      </c>
      <c r="J94" s="60">
        <f>LV!N$8</f>
        <v>135.13289383999995</v>
      </c>
      <c r="K94" s="60">
        <f>LV!O$8</f>
        <v>0.56447917679999982</v>
      </c>
      <c r="L94" s="60">
        <f t="shared" si="45"/>
        <v>57.275037444799999</v>
      </c>
      <c r="M94" s="60">
        <f t="shared" si="46"/>
        <v>65.827752244799996</v>
      </c>
      <c r="N94" s="60">
        <f t="shared" si="47"/>
        <v>74.380467044799985</v>
      </c>
      <c r="O9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65.827752244799996</v>
      </c>
      <c r="P94" s="96">
        <v>0</v>
      </c>
    </row>
    <row r="95" spans="1:16" x14ac:dyDescent="0.2">
      <c r="A95" s="59">
        <f>IF(TableRBMaster[[#This Row],[Player]]&lt;&gt;0,A94+1,A94)</f>
        <v>65</v>
      </c>
      <c r="B95" s="59">
        <f>LV!A$9</f>
        <v>0</v>
      </c>
      <c r="C95" s="59" t="s">
        <v>169</v>
      </c>
      <c r="D95" s="59">
        <f>LV!C$9</f>
        <v>13</v>
      </c>
      <c r="E95" s="60">
        <f>LV!I$9</f>
        <v>0</v>
      </c>
      <c r="F95" s="60">
        <f>LV!J$9</f>
        <v>0</v>
      </c>
      <c r="G95" s="60">
        <f>LV!K$9</f>
        <v>0</v>
      </c>
      <c r="H95" s="60">
        <f>LV!L$9</f>
        <v>0</v>
      </c>
      <c r="I95" s="60">
        <f>LV!M$9</f>
        <v>0</v>
      </c>
      <c r="J95" s="60">
        <f>LV!N$9</f>
        <v>0</v>
      </c>
      <c r="K95" s="60">
        <f>LV!O$9</f>
        <v>0</v>
      </c>
      <c r="L95" s="60">
        <f t="shared" si="45"/>
        <v>0</v>
      </c>
      <c r="M95" s="60">
        <f t="shared" si="46"/>
        <v>0</v>
      </c>
      <c r="N95" s="60">
        <f t="shared" si="47"/>
        <v>0</v>
      </c>
      <c r="O9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5" s="96">
        <v>0</v>
      </c>
    </row>
    <row r="96" spans="1:16" x14ac:dyDescent="0.2">
      <c r="A96" s="59">
        <f>IF(TableRBMaster[[#This Row],[Player]]&lt;&gt;0,A95+1,A95)</f>
        <v>65</v>
      </c>
      <c r="B96" s="59">
        <f>LV!A$10</f>
        <v>0</v>
      </c>
      <c r="C96" s="59" t="s">
        <v>169</v>
      </c>
      <c r="D96" s="59">
        <f>LV!C$10</f>
        <v>13</v>
      </c>
      <c r="E96" s="60">
        <f>LV!I$10</f>
        <v>0</v>
      </c>
      <c r="F96" s="60">
        <f>LV!J$10</f>
        <v>0</v>
      </c>
      <c r="G96" s="60">
        <f>LV!K$10</f>
        <v>0</v>
      </c>
      <c r="H96" s="60">
        <f>LV!L$10</f>
        <v>0</v>
      </c>
      <c r="I96" s="60">
        <f>LV!M$10</f>
        <v>0</v>
      </c>
      <c r="J96" s="60">
        <f>LV!N$10</f>
        <v>0</v>
      </c>
      <c r="K96" s="60">
        <f>LV!O$10</f>
        <v>0</v>
      </c>
      <c r="L96" s="60">
        <f t="shared" si="45"/>
        <v>0</v>
      </c>
      <c r="M96" s="60">
        <f t="shared" si="46"/>
        <v>0</v>
      </c>
      <c r="N96" s="60">
        <f t="shared" si="47"/>
        <v>0</v>
      </c>
      <c r="O9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6" s="96">
        <v>0</v>
      </c>
    </row>
    <row r="97" spans="1:16" x14ac:dyDescent="0.2">
      <c r="A97" s="59">
        <f>IF(TableRBMaster[[#This Row],[Player]]&lt;&gt;0,A96+1,A96)</f>
        <v>66</v>
      </c>
      <c r="B97" s="59" t="str">
        <f>MIA!A$6</f>
        <v>Raheem Mostert</v>
      </c>
      <c r="C97" s="59" t="s">
        <v>111</v>
      </c>
      <c r="D97" s="59">
        <f>MIA!C$6</f>
        <v>10</v>
      </c>
      <c r="E97" s="60">
        <f>MIA!I$6</f>
        <v>160.02176960000003</v>
      </c>
      <c r="F97" s="60">
        <f>MIA!J$6</f>
        <v>752.10231712000018</v>
      </c>
      <c r="G97" s="60">
        <f>MIA!K$6</f>
        <v>9.2812626368000029</v>
      </c>
      <c r="H97" s="60">
        <f>MIA!L$6</f>
        <v>26.384853599999996</v>
      </c>
      <c r="I97" s="60">
        <f>MIA!M$6</f>
        <v>19.735870492799997</v>
      </c>
      <c r="J97" s="60">
        <f>MIA!N$6</f>
        <v>141.11147402351997</v>
      </c>
      <c r="K97" s="60">
        <f>MIA!O$6</f>
        <v>1.1841522295679998</v>
      </c>
      <c r="L97" s="60">
        <f t="shared" si="45"/>
        <v>152.11386831256004</v>
      </c>
      <c r="M97" s="60">
        <f t="shared" si="46"/>
        <v>161.98180355896005</v>
      </c>
      <c r="N97" s="60">
        <f t="shared" si="47"/>
        <v>171.84973880536003</v>
      </c>
      <c r="O9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161.98180355896005</v>
      </c>
      <c r="P97" s="96">
        <v>21.962355357853792</v>
      </c>
    </row>
    <row r="98" spans="1:16" x14ac:dyDescent="0.2">
      <c r="A98" s="59">
        <f>IF(TableRBMaster[[#This Row],[Player]]&lt;&gt;0,A97+1,A97)</f>
        <v>67</v>
      </c>
      <c r="B98" s="59" t="str">
        <f>MIA!A$7</f>
        <v>De'Von Achane</v>
      </c>
      <c r="C98" s="59" t="s">
        <v>111</v>
      </c>
      <c r="D98" s="59">
        <f>MIA!C$8</f>
        <v>10</v>
      </c>
      <c r="E98" s="60">
        <f>MIA!I$7</f>
        <v>147.38847200000001</v>
      </c>
      <c r="F98" s="60">
        <f>MIA!J$7</f>
        <v>744.31178360000001</v>
      </c>
      <c r="G98" s="60">
        <f>MIA!K$7</f>
        <v>7.3694236000000011</v>
      </c>
      <c r="H98" s="60">
        <f>MIA!L$7</f>
        <v>73.291259999999994</v>
      </c>
      <c r="I98" s="60">
        <f>MIA!M$7</f>
        <v>53.502619799999991</v>
      </c>
      <c r="J98" s="60">
        <f>MIA!N$7</f>
        <v>429.09101079599992</v>
      </c>
      <c r="K98" s="60">
        <f>MIA!O$7</f>
        <v>3.4776702869999996</v>
      </c>
      <c r="L98" s="60">
        <f t="shared" si="45"/>
        <v>182.42284276160001</v>
      </c>
      <c r="M98" s="60">
        <f t="shared" si="46"/>
        <v>209.1741526616</v>
      </c>
      <c r="N98" s="60">
        <f t="shared" si="47"/>
        <v>235.9254625616</v>
      </c>
      <c r="O9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209.1741526616</v>
      </c>
      <c r="P98" s="96">
        <v>0</v>
      </c>
    </row>
    <row r="99" spans="1:16" x14ac:dyDescent="0.2">
      <c r="A99" s="59">
        <f>IF(TableRBMaster[[#This Row],[Player]]&lt;&gt;0,A98+1,A98)</f>
        <v>68</v>
      </c>
      <c r="B99" s="59" t="str">
        <f>MIA!A$8</f>
        <v>Jaylen Wright</v>
      </c>
      <c r="C99" s="59" t="s">
        <v>111</v>
      </c>
      <c r="D99" s="59">
        <f>MIA!C$7</f>
        <v>10</v>
      </c>
      <c r="E99" s="60">
        <f>MIA!I$8</f>
        <v>63.166488000000008</v>
      </c>
      <c r="F99" s="60">
        <f>MIA!J$8</f>
        <v>300.04081800000006</v>
      </c>
      <c r="G99" s="60">
        <f>MIA!K$8</f>
        <v>3.0951579120000003</v>
      </c>
      <c r="H99" s="60">
        <f>MIA!L$8</f>
        <v>35.179804799999992</v>
      </c>
      <c r="I99" s="60">
        <f>MIA!M$8</f>
        <v>25.751617113599995</v>
      </c>
      <c r="J99" s="60">
        <f>MIA!N$8</f>
        <v>213.73842204287996</v>
      </c>
      <c r="K99" s="60">
        <f>MIA!O$8</f>
        <v>1.4163389412479996</v>
      </c>
      <c r="L99" s="60">
        <f t="shared" si="45"/>
        <v>78.446905123776006</v>
      </c>
      <c r="M99" s="60">
        <f t="shared" si="46"/>
        <v>91.322713680576001</v>
      </c>
      <c r="N99" s="60">
        <f t="shared" si="47"/>
        <v>104.198522237376</v>
      </c>
      <c r="O9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91.322713680576001</v>
      </c>
      <c r="P99" s="96">
        <v>0</v>
      </c>
    </row>
    <row r="100" spans="1:16" x14ac:dyDescent="0.2">
      <c r="A100" s="59">
        <f>IF(TableRBMaster[[#This Row],[Player]]&lt;&gt;0,A99+1,A99)</f>
        <v>69</v>
      </c>
      <c r="B100" s="59" t="str">
        <f>MIA!A$9</f>
        <v>Jeff Wilson</v>
      </c>
      <c r="C100" s="59" t="s">
        <v>111</v>
      </c>
      <c r="D100" s="59">
        <f>MIA!C$9</f>
        <v>10</v>
      </c>
      <c r="E100" s="60">
        <f>MIA!I$9</f>
        <v>8.422198400000001</v>
      </c>
      <c r="F100" s="60">
        <f>MIA!J$9</f>
        <v>37.057672960000005</v>
      </c>
      <c r="G100" s="60">
        <f>MIA!K$9</f>
        <v>0.37057672960000004</v>
      </c>
      <c r="H100" s="60">
        <f>MIA!L$9</f>
        <v>5.8633007999999993</v>
      </c>
      <c r="I100" s="60">
        <f>MIA!M$9</f>
        <v>4.1043105599999992</v>
      </c>
      <c r="J100" s="60">
        <f>MIA!N$9</f>
        <v>28.730173919999995</v>
      </c>
      <c r="K100" s="60">
        <f>MIA!O$9</f>
        <v>0.20521552799999998</v>
      </c>
      <c r="L100" s="60">
        <f t="shared" si="45"/>
        <v>10.033538233600002</v>
      </c>
      <c r="M100" s="60">
        <f t="shared" si="46"/>
        <v>12.085693513600001</v>
      </c>
      <c r="N100" s="60">
        <f t="shared" si="47"/>
        <v>14.1378487936</v>
      </c>
      <c r="O10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12.085693513600001</v>
      </c>
      <c r="P100" s="96">
        <v>0</v>
      </c>
    </row>
    <row r="101" spans="1:16" x14ac:dyDescent="0.2">
      <c r="A101" s="59">
        <f>IF(TableRBMaster[[#This Row],[Player]]&lt;&gt;0,A100+1,A100)</f>
        <v>69</v>
      </c>
      <c r="B101" s="59">
        <f>MIA!A$10</f>
        <v>0</v>
      </c>
      <c r="C101" s="59" t="s">
        <v>111</v>
      </c>
      <c r="D101" s="59">
        <f>MIA!C$10</f>
        <v>10</v>
      </c>
      <c r="E101" s="60">
        <f>MIA!I$10</f>
        <v>0</v>
      </c>
      <c r="F101" s="60">
        <f>MIA!J$10</f>
        <v>0</v>
      </c>
      <c r="G101" s="60">
        <f>MIA!K$10</f>
        <v>0</v>
      </c>
      <c r="H101" s="60">
        <f>MIA!L$10</f>
        <v>0</v>
      </c>
      <c r="I101" s="60">
        <f>MIA!M$10</f>
        <v>0</v>
      </c>
      <c r="J101" s="60">
        <f>MIA!N$10</f>
        <v>0</v>
      </c>
      <c r="K101" s="60">
        <f>MIA!O$10</f>
        <v>0</v>
      </c>
      <c r="L101" s="60">
        <f t="shared" si="45"/>
        <v>0</v>
      </c>
      <c r="M101" s="60">
        <f t="shared" si="46"/>
        <v>0</v>
      </c>
      <c r="N101" s="60">
        <f t="shared" si="47"/>
        <v>0</v>
      </c>
      <c r="O10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1" s="96">
        <v>0</v>
      </c>
    </row>
    <row r="102" spans="1:16" x14ac:dyDescent="0.2">
      <c r="A102" s="59">
        <f>IF(TableRBMaster[[#This Row],[Player]]&lt;&gt;0,A101+1,A101)</f>
        <v>70</v>
      </c>
      <c r="B102" s="59" t="str">
        <f>MIN!A$6</f>
        <v>Aaron Jones</v>
      </c>
      <c r="C102" s="59" t="s">
        <v>112</v>
      </c>
      <c r="D102" s="59">
        <f>MIN!C$6</f>
        <v>13</v>
      </c>
      <c r="E102" s="60">
        <f>MIN!I$6</f>
        <v>211.51536000000004</v>
      </c>
      <c r="F102" s="60">
        <f>MIN!J$6</f>
        <v>951.81912000000023</v>
      </c>
      <c r="G102" s="60">
        <f>MIN!K$6</f>
        <v>7.403037600000002</v>
      </c>
      <c r="H102" s="60">
        <f>MIN!L$6</f>
        <v>62.2104</v>
      </c>
      <c r="I102" s="60">
        <f>MIN!M$6</f>
        <v>45.600223200000002</v>
      </c>
      <c r="J102" s="60">
        <f>MIN!N$6</f>
        <v>354.76973649600001</v>
      </c>
      <c r="K102" s="60">
        <f>MIN!O$6</f>
        <v>1.8696091512000002</v>
      </c>
      <c r="L102" s="60">
        <f t="shared" si="45"/>
        <v>186.29476615680002</v>
      </c>
      <c r="M102" s="60">
        <f t="shared" si="46"/>
        <v>209.09487775680003</v>
      </c>
      <c r="N102" s="60">
        <f t="shared" si="47"/>
        <v>231.89498935680001</v>
      </c>
      <c r="O10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209.09487775680006</v>
      </c>
      <c r="P102" s="96">
        <v>52.319014609527478</v>
      </c>
    </row>
    <row r="103" spans="1:16" x14ac:dyDescent="0.2">
      <c r="A103" s="59">
        <f>IF(TableRBMaster[[#This Row],[Player]]&lt;&gt;0,A102+1,A102)</f>
        <v>71</v>
      </c>
      <c r="B103" s="59" t="str">
        <f>MIN!A$7</f>
        <v>Ty Chandler</v>
      </c>
      <c r="C103" s="59" t="s">
        <v>112</v>
      </c>
      <c r="D103" s="59">
        <f>MIN!C$8</f>
        <v>13</v>
      </c>
      <c r="E103" s="60">
        <f>MIN!I$7</f>
        <v>143.08392000000001</v>
      </c>
      <c r="F103" s="60">
        <f>MIN!J$7</f>
        <v>618.12253440000006</v>
      </c>
      <c r="G103" s="60">
        <f>MIN!K$7</f>
        <v>4.5786854400000001</v>
      </c>
      <c r="H103" s="60">
        <f>MIN!L$7</f>
        <v>24.884159999999998</v>
      </c>
      <c r="I103" s="60">
        <f>MIN!M$7</f>
        <v>18.563583359999999</v>
      </c>
      <c r="J103" s="60">
        <f>MIN!N$7</f>
        <v>139.22687519999999</v>
      </c>
      <c r="K103" s="60">
        <f>MIN!O$7</f>
        <v>0.72397975104000001</v>
      </c>
      <c r="L103" s="60">
        <f t="shared" si="45"/>
        <v>107.55093210624001</v>
      </c>
      <c r="M103" s="60">
        <f t="shared" si="46"/>
        <v>116.83272378624001</v>
      </c>
      <c r="N103" s="60">
        <f t="shared" si="47"/>
        <v>126.11451546624001</v>
      </c>
      <c r="O10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116.83272378624001</v>
      </c>
      <c r="P103" s="96">
        <v>0</v>
      </c>
    </row>
    <row r="104" spans="1:16" x14ac:dyDescent="0.2">
      <c r="A104" s="59">
        <f>IF(TableRBMaster[[#This Row],[Player]]&lt;&gt;0,A103+1,A103)</f>
        <v>72</v>
      </c>
      <c r="B104" s="59" t="str">
        <f>MIN!A$8</f>
        <v>Kene Nwangwu</v>
      </c>
      <c r="C104" s="59" t="s">
        <v>112</v>
      </c>
      <c r="D104" s="59">
        <f>MIN!C$7</f>
        <v>13</v>
      </c>
      <c r="E104" s="60">
        <f>MIN!I$8</f>
        <v>12.442080000000001</v>
      </c>
      <c r="F104" s="60">
        <f>MIN!J$8</f>
        <v>52.256736000000004</v>
      </c>
      <c r="G104" s="60">
        <f>MIN!K$8</f>
        <v>0.31105200000000005</v>
      </c>
      <c r="H104" s="60">
        <f>MIN!L$8</f>
        <v>6.2210399999999995</v>
      </c>
      <c r="I104" s="60">
        <f>MIN!M$8</f>
        <v>4.1992019999999997</v>
      </c>
      <c r="J104" s="60">
        <f>MIN!N$8</f>
        <v>31.913935199999997</v>
      </c>
      <c r="K104" s="60">
        <f>MIN!O$8</f>
        <v>0.10078084799999999</v>
      </c>
      <c r="L104" s="60">
        <f t="shared" si="45"/>
        <v>10.888064208000001</v>
      </c>
      <c r="M104" s="60">
        <f t="shared" si="46"/>
        <v>12.987665208000001</v>
      </c>
      <c r="N104" s="60">
        <f t="shared" si="47"/>
        <v>15.087266208000001</v>
      </c>
      <c r="O10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12.987665208000001</v>
      </c>
      <c r="P104" s="96">
        <v>0</v>
      </c>
    </row>
    <row r="105" spans="1:16" x14ac:dyDescent="0.2">
      <c r="A105" s="59">
        <f>IF(TableRBMaster[[#This Row],[Player]]&lt;&gt;0,A104+1,A104)</f>
        <v>72</v>
      </c>
      <c r="B105" s="59">
        <f>MIN!A$9</f>
        <v>0</v>
      </c>
      <c r="C105" s="59" t="s">
        <v>112</v>
      </c>
      <c r="D105" s="59">
        <f>MIN!C$9</f>
        <v>13</v>
      </c>
      <c r="E105" s="60">
        <f>MIN!I$9</f>
        <v>0</v>
      </c>
      <c r="F105" s="60">
        <f>MIN!J$9</f>
        <v>0</v>
      </c>
      <c r="G105" s="60">
        <f>MIN!K$9</f>
        <v>0</v>
      </c>
      <c r="H105" s="60">
        <f>MIN!L$9</f>
        <v>0</v>
      </c>
      <c r="I105" s="60">
        <f>MIN!M$9</f>
        <v>0</v>
      </c>
      <c r="J105" s="60">
        <f>MIN!N$9</f>
        <v>0</v>
      </c>
      <c r="K105" s="60">
        <f>MIN!O$9</f>
        <v>0</v>
      </c>
      <c r="L105" s="60">
        <f t="shared" si="45"/>
        <v>0</v>
      </c>
      <c r="M105" s="60">
        <f t="shared" si="46"/>
        <v>0</v>
      </c>
      <c r="N105" s="60">
        <f t="shared" si="47"/>
        <v>0</v>
      </c>
      <c r="O10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5" s="96">
        <v>0</v>
      </c>
    </row>
    <row r="106" spans="1:16" x14ac:dyDescent="0.2">
      <c r="A106" s="59">
        <f>IF(TableRBMaster[[#This Row],[Player]]&lt;&gt;0,A105+1,A105)</f>
        <v>72</v>
      </c>
      <c r="B106" s="59">
        <f>MIN!A$10</f>
        <v>0</v>
      </c>
      <c r="C106" s="59" t="s">
        <v>112</v>
      </c>
      <c r="D106" s="59">
        <f>MIN!C$10</f>
        <v>13</v>
      </c>
      <c r="E106" s="60">
        <f>MIN!I$10</f>
        <v>0</v>
      </c>
      <c r="F106" s="60">
        <f>MIN!J$10</f>
        <v>0</v>
      </c>
      <c r="G106" s="60">
        <f>MIN!K$10</f>
        <v>0</v>
      </c>
      <c r="H106" s="60">
        <f>MIN!L$10</f>
        <v>0</v>
      </c>
      <c r="I106" s="60">
        <f>MIN!M$10</f>
        <v>0</v>
      </c>
      <c r="J106" s="60">
        <f>MIN!N$10</f>
        <v>0</v>
      </c>
      <c r="K106" s="60">
        <f>MIN!O$10</f>
        <v>0</v>
      </c>
      <c r="L106" s="60">
        <f t="shared" si="45"/>
        <v>0</v>
      </c>
      <c r="M106" s="60">
        <f t="shared" si="46"/>
        <v>0</v>
      </c>
      <c r="N106" s="60">
        <f t="shared" si="47"/>
        <v>0</v>
      </c>
      <c r="O10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6" s="96">
        <v>0</v>
      </c>
    </row>
    <row r="107" spans="1:16" x14ac:dyDescent="0.2">
      <c r="A107" s="59">
        <f>IF(TableRBMaster[[#This Row],[Player]]&lt;&gt;0,A106+1,A106)</f>
        <v>73</v>
      </c>
      <c r="B107" s="59" t="str">
        <f>NE!A$6</f>
        <v>Rhamondre Stevenson</v>
      </c>
      <c r="C107" s="59" t="s">
        <v>113</v>
      </c>
      <c r="D107" s="59">
        <f>NE!C$6</f>
        <v>11</v>
      </c>
      <c r="E107" s="60">
        <f>NE!I$6</f>
        <v>217.33852000000002</v>
      </c>
      <c r="F107" s="60">
        <f>NE!J$6</f>
        <v>964.98302880000017</v>
      </c>
      <c r="G107" s="60">
        <f>NE!K$6</f>
        <v>6.73749412</v>
      </c>
      <c r="H107" s="60">
        <f>NE!L$6</f>
        <v>56.688295999999987</v>
      </c>
      <c r="I107" s="60">
        <f>NE!M$6</f>
        <v>41.38245607999999</v>
      </c>
      <c r="J107" s="60">
        <f>NE!N$6</f>
        <v>307.47164867439989</v>
      </c>
      <c r="K107" s="60">
        <f>NE!O$6</f>
        <v>1.6552982431999996</v>
      </c>
      <c r="L107" s="60">
        <f t="shared" si="45"/>
        <v>177.60222192663997</v>
      </c>
      <c r="M107" s="60">
        <f t="shared" si="46"/>
        <v>198.29344996663997</v>
      </c>
      <c r="N107" s="60">
        <f t="shared" si="47"/>
        <v>218.98467800663997</v>
      </c>
      <c r="O10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198.29344996664003</v>
      </c>
      <c r="P107" s="96">
        <v>16.241836919688957</v>
      </c>
    </row>
    <row r="108" spans="1:16" x14ac:dyDescent="0.2">
      <c r="A108" s="59">
        <f>IF(TableRBMaster[[#This Row],[Player]]&lt;&gt;0,A107+1,A107)</f>
        <v>74</v>
      </c>
      <c r="B108" s="59" t="str">
        <f>NE!A$7</f>
        <v>Antonio Gibson</v>
      </c>
      <c r="C108" s="59" t="s">
        <v>113</v>
      </c>
      <c r="D108" s="59">
        <f>NE!C$8</f>
        <v>11</v>
      </c>
      <c r="E108" s="60">
        <f>NE!I$7</f>
        <v>126.0563416</v>
      </c>
      <c r="F108" s="60">
        <f>NE!J$7</f>
        <v>530.697198136</v>
      </c>
      <c r="G108" s="60">
        <f>NE!K$7</f>
        <v>3.5295775647999998</v>
      </c>
      <c r="H108" s="60">
        <f>NE!L$7</f>
        <v>34.012977599999992</v>
      </c>
      <c r="I108" s="60">
        <f>NE!M$7</f>
        <v>25.577759155199995</v>
      </c>
      <c r="J108" s="60">
        <f>NE!N$7</f>
        <v>194.90252476262395</v>
      </c>
      <c r="K108" s="60">
        <f>NE!O$7</f>
        <v>0.97195484789759978</v>
      </c>
      <c r="L108" s="60">
        <f t="shared" si="45"/>
        <v>99.569166766047999</v>
      </c>
      <c r="M108" s="60">
        <f t="shared" si="46"/>
        <v>112.358046343648</v>
      </c>
      <c r="N108" s="60">
        <f t="shared" si="47"/>
        <v>125.146925921248</v>
      </c>
      <c r="O10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112.358046343648</v>
      </c>
      <c r="P108" s="96">
        <v>0.42055879671300284</v>
      </c>
    </row>
    <row r="109" spans="1:16" x14ac:dyDescent="0.2">
      <c r="A109" s="59">
        <f>IF(TableRBMaster[[#This Row],[Player]]&lt;&gt;0,A108+1,A108)</f>
        <v>75</v>
      </c>
      <c r="B109" s="59" t="str">
        <f>NE!A$8</f>
        <v>Kevin Harris</v>
      </c>
      <c r="C109" s="59" t="s">
        <v>113</v>
      </c>
      <c r="D109" s="59">
        <f>NE!C$7</f>
        <v>11</v>
      </c>
      <c r="E109" s="60">
        <f>NE!I$8</f>
        <v>30.427392800000007</v>
      </c>
      <c r="F109" s="60">
        <f>NE!J$8</f>
        <v>125.66513226400002</v>
      </c>
      <c r="G109" s="60">
        <f>NE!K$8</f>
        <v>0.88239439120000029</v>
      </c>
      <c r="H109" s="60">
        <f>NE!L$8</f>
        <v>5.6688295999999987</v>
      </c>
      <c r="I109" s="60">
        <f>NE!M$8</f>
        <v>3.8377976391999993</v>
      </c>
      <c r="J109" s="60">
        <f>NE!N$8</f>
        <v>30.894270995559996</v>
      </c>
      <c r="K109" s="60">
        <f>NE!O$8</f>
        <v>0.134322917372</v>
      </c>
      <c r="L109" s="60">
        <f t="shared" si="45"/>
        <v>21.756244177387998</v>
      </c>
      <c r="M109" s="60">
        <f t="shared" si="46"/>
        <v>23.675142996987997</v>
      </c>
      <c r="N109" s="60">
        <f t="shared" si="47"/>
        <v>25.594041816587996</v>
      </c>
      <c r="O10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23.675142996988001</v>
      </c>
      <c r="P109" s="96">
        <v>0</v>
      </c>
    </row>
    <row r="110" spans="1:16" x14ac:dyDescent="0.2">
      <c r="A110" s="59">
        <f>IF(TableRBMaster[[#This Row],[Player]]&lt;&gt;0,A109+1,A109)</f>
        <v>75</v>
      </c>
      <c r="B110" s="59">
        <f>NE!A$9</f>
        <v>0</v>
      </c>
      <c r="C110" s="59" t="s">
        <v>113</v>
      </c>
      <c r="D110" s="59">
        <f>NE!C$9</f>
        <v>11</v>
      </c>
      <c r="E110" s="60">
        <f>NE!I$9</f>
        <v>0</v>
      </c>
      <c r="F110" s="60">
        <f>NE!J$9</f>
        <v>0</v>
      </c>
      <c r="G110" s="60">
        <f>NE!K$9</f>
        <v>0</v>
      </c>
      <c r="H110" s="60">
        <f>NE!L$9</f>
        <v>0</v>
      </c>
      <c r="I110" s="60">
        <f>NE!M$9</f>
        <v>0</v>
      </c>
      <c r="J110" s="60">
        <f>NE!N$9</f>
        <v>0</v>
      </c>
      <c r="K110" s="60">
        <f>NE!O$9</f>
        <v>0</v>
      </c>
      <c r="L110" s="60">
        <f t="shared" si="45"/>
        <v>0</v>
      </c>
      <c r="M110" s="60">
        <f t="shared" si="46"/>
        <v>0</v>
      </c>
      <c r="N110" s="60">
        <f t="shared" si="47"/>
        <v>0</v>
      </c>
      <c r="O11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0" s="96">
        <v>0</v>
      </c>
    </row>
    <row r="111" spans="1:16" x14ac:dyDescent="0.2">
      <c r="A111" s="59">
        <f>IF(TableRBMaster[[#This Row],[Player]]&lt;&gt;0,A110+1,A110)</f>
        <v>75</v>
      </c>
      <c r="B111" s="59">
        <f>NE!A$10</f>
        <v>0</v>
      </c>
      <c r="C111" s="59" t="s">
        <v>113</v>
      </c>
      <c r="D111" s="59">
        <f>NE!C$10</f>
        <v>11</v>
      </c>
      <c r="E111" s="60">
        <f>NE!I$10</f>
        <v>0</v>
      </c>
      <c r="F111" s="60">
        <f>NE!J$10</f>
        <v>0</v>
      </c>
      <c r="G111" s="60">
        <f>NE!K$10</f>
        <v>0</v>
      </c>
      <c r="H111" s="60">
        <f>NE!L$10</f>
        <v>0</v>
      </c>
      <c r="I111" s="60">
        <f>NE!M$10</f>
        <v>0</v>
      </c>
      <c r="J111" s="60">
        <f>NE!N$10</f>
        <v>0</v>
      </c>
      <c r="K111" s="60">
        <f>NE!O$10</f>
        <v>0</v>
      </c>
      <c r="L111" s="60">
        <f t="shared" si="45"/>
        <v>0</v>
      </c>
      <c r="M111" s="60">
        <f t="shared" si="46"/>
        <v>0</v>
      </c>
      <c r="N111" s="60">
        <f t="shared" si="47"/>
        <v>0</v>
      </c>
      <c r="O11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1" s="96">
        <v>0</v>
      </c>
    </row>
    <row r="112" spans="1:16" x14ac:dyDescent="0.2">
      <c r="A112" s="59">
        <f>IF(TableRBMaster[[#This Row],[Player]]&lt;&gt;0,A111+1,A111)</f>
        <v>76</v>
      </c>
      <c r="B112" s="59" t="str">
        <f>NO!A$6</f>
        <v>Alvin Kamara</v>
      </c>
      <c r="C112" s="59" t="s">
        <v>114</v>
      </c>
      <c r="D112" s="59">
        <f>NO!C$6</f>
        <v>11</v>
      </c>
      <c r="E112" s="60">
        <f>NO!I$6</f>
        <v>175.91235200000003</v>
      </c>
      <c r="F112" s="60">
        <f>NO!J$6</f>
        <v>687.81729632000008</v>
      </c>
      <c r="G112" s="60">
        <f>NO!K$6</f>
        <v>5.4532829120000006</v>
      </c>
      <c r="H112" s="60">
        <f>NO!L$6</f>
        <v>72.323283031999992</v>
      </c>
      <c r="I112" s="60">
        <f>NO!M$6</f>
        <v>59.305092086239988</v>
      </c>
      <c r="J112" s="60">
        <f>NO!N$6</f>
        <v>409.20513539505595</v>
      </c>
      <c r="K112" s="60">
        <f>NO!O$6</f>
        <v>2.3722036834495994</v>
      </c>
      <c r="L112" s="60">
        <f t="shared" si="45"/>
        <v>156.65516274420318</v>
      </c>
      <c r="M112" s="60">
        <f t="shared" si="46"/>
        <v>186.30770878732318</v>
      </c>
      <c r="N112" s="60">
        <f t="shared" si="47"/>
        <v>215.96025483044318</v>
      </c>
      <c r="O11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186.30770878732321</v>
      </c>
      <c r="P112" s="96">
        <v>46.235196286398271</v>
      </c>
    </row>
    <row r="113" spans="1:16" x14ac:dyDescent="0.2">
      <c r="A113" s="59">
        <f>IF(TableRBMaster[[#This Row],[Player]]&lt;&gt;0,A112+1,A112)</f>
        <v>77</v>
      </c>
      <c r="B113" s="59" t="str">
        <f>NO!A$7</f>
        <v>Jamaal Williams</v>
      </c>
      <c r="C113" s="59" t="s">
        <v>114</v>
      </c>
      <c r="D113" s="59">
        <f>NO!C$8</f>
        <v>11</v>
      </c>
      <c r="E113" s="60">
        <f>NO!I$7</f>
        <v>65.967132000000007</v>
      </c>
      <c r="F113" s="60">
        <f>NO!J$7</f>
        <v>247.37674500000003</v>
      </c>
      <c r="G113" s="60">
        <f>NO!K$7</f>
        <v>1.8470796960000002</v>
      </c>
      <c r="H113" s="60">
        <f>NO!L$7</f>
        <v>11.126658927999998</v>
      </c>
      <c r="I113" s="60">
        <f>NO!M$7</f>
        <v>8.8234405299039977</v>
      </c>
      <c r="J113" s="60">
        <f>NO!N$7</f>
        <v>54.528862474806701</v>
      </c>
      <c r="K113" s="60">
        <f>NO!O$7</f>
        <v>0.22058601324759997</v>
      </c>
      <c r="L113" s="60">
        <f t="shared" si="45"/>
        <v>42.596555002966277</v>
      </c>
      <c r="M113" s="60">
        <f t="shared" si="46"/>
        <v>47.008275267918279</v>
      </c>
      <c r="N113" s="60">
        <f t="shared" si="47"/>
        <v>51.419995532870274</v>
      </c>
      <c r="O11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47.008275267918272</v>
      </c>
      <c r="P113" s="96">
        <v>5.4452613993322192</v>
      </c>
    </row>
    <row r="114" spans="1:16" x14ac:dyDescent="0.2">
      <c r="A114" s="59">
        <f>IF(TableRBMaster[[#This Row],[Player]]&lt;&gt;0,A113+1,A113)</f>
        <v>78</v>
      </c>
      <c r="B114" s="59" t="str">
        <f>NO!A$8</f>
        <v>Kendre Miller</v>
      </c>
      <c r="C114" s="59" t="s">
        <v>114</v>
      </c>
      <c r="D114" s="59">
        <f>NO!C$7</f>
        <v>11</v>
      </c>
      <c r="E114" s="60">
        <f>NO!I$8</f>
        <v>123.13864640000003</v>
      </c>
      <c r="F114" s="60">
        <f>NO!J$8</f>
        <v>541.81004416000019</v>
      </c>
      <c r="G114" s="60">
        <f>NO!K$8</f>
        <v>3.817298038400001</v>
      </c>
      <c r="H114" s="60">
        <f>NO!L$8</f>
        <v>27.816647319999998</v>
      </c>
      <c r="I114" s="60">
        <f>NO!M$8</f>
        <v>21.001568726599999</v>
      </c>
      <c r="J114" s="60">
        <f>NO!N$8</f>
        <v>143.02068302814598</v>
      </c>
      <c r="K114" s="60">
        <f>NO!O$8</f>
        <v>0.73505490543100005</v>
      </c>
      <c r="L114" s="60">
        <f t="shared" si="45"/>
        <v>95.797190381800633</v>
      </c>
      <c r="M114" s="60">
        <f t="shared" si="46"/>
        <v>106.29797474510063</v>
      </c>
      <c r="N114" s="60">
        <f t="shared" si="47"/>
        <v>116.79875910840063</v>
      </c>
      <c r="O11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106.29797474510063</v>
      </c>
      <c r="P114" s="96">
        <v>0</v>
      </c>
    </row>
    <row r="115" spans="1:16" x14ac:dyDescent="0.2">
      <c r="A115" s="59">
        <f>IF(TableRBMaster[[#This Row],[Player]]&lt;&gt;0,A114+1,A114)</f>
        <v>78</v>
      </c>
      <c r="B115" s="59">
        <f>NO!A$9</f>
        <v>0</v>
      </c>
      <c r="C115" s="59" t="s">
        <v>114</v>
      </c>
      <c r="D115" s="59">
        <f>NO!C$9</f>
        <v>11</v>
      </c>
      <c r="E115" s="60">
        <f>NO!I$9</f>
        <v>0</v>
      </c>
      <c r="F115" s="60">
        <f>NO!J$9</f>
        <v>0</v>
      </c>
      <c r="G115" s="60">
        <f>NO!K$9</f>
        <v>0</v>
      </c>
      <c r="H115" s="60">
        <f>NO!L$9</f>
        <v>0</v>
      </c>
      <c r="I115" s="60">
        <f>NO!M$9</f>
        <v>0</v>
      </c>
      <c r="J115" s="60">
        <f>NO!N$9</f>
        <v>0</v>
      </c>
      <c r="K115" s="60">
        <f>NO!O$9</f>
        <v>0</v>
      </c>
      <c r="L115" s="60">
        <f t="shared" si="45"/>
        <v>0</v>
      </c>
      <c r="M115" s="60">
        <f t="shared" si="46"/>
        <v>0</v>
      </c>
      <c r="N115" s="60">
        <f t="shared" si="47"/>
        <v>0</v>
      </c>
      <c r="O11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5" s="96">
        <v>0</v>
      </c>
    </row>
    <row r="116" spans="1:16" x14ac:dyDescent="0.2">
      <c r="A116" s="59">
        <f>IF(TableRBMaster[[#This Row],[Player]]&lt;&gt;0,A115+1,A115)</f>
        <v>78</v>
      </c>
      <c r="B116" s="59">
        <f>NO!A$10</f>
        <v>0</v>
      </c>
      <c r="C116" s="59" t="s">
        <v>114</v>
      </c>
      <c r="D116" s="59">
        <f>NO!C$10</f>
        <v>11</v>
      </c>
      <c r="E116" s="60">
        <f>NO!I$10</f>
        <v>0</v>
      </c>
      <c r="F116" s="60">
        <f>NO!J$10</f>
        <v>0</v>
      </c>
      <c r="G116" s="60">
        <f>NO!K$10</f>
        <v>0</v>
      </c>
      <c r="H116" s="60">
        <f>NO!L$10</f>
        <v>0</v>
      </c>
      <c r="I116" s="60">
        <f>NO!M$10</f>
        <v>0</v>
      </c>
      <c r="J116" s="60">
        <f>NO!N$10</f>
        <v>0</v>
      </c>
      <c r="K116" s="60">
        <f>NO!O$10</f>
        <v>0</v>
      </c>
      <c r="L116" s="60">
        <f t="shared" si="45"/>
        <v>0</v>
      </c>
      <c r="M116" s="60">
        <f t="shared" si="46"/>
        <v>0</v>
      </c>
      <c r="N116" s="60">
        <f t="shared" si="47"/>
        <v>0</v>
      </c>
      <c r="O11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6" s="96">
        <v>0</v>
      </c>
    </row>
    <row r="117" spans="1:16" x14ac:dyDescent="0.2">
      <c r="A117" s="59">
        <f>IF(TableRBMaster[[#This Row],[Player]]&lt;&gt;0,A116+1,A116)</f>
        <v>79</v>
      </c>
      <c r="B117" s="59" t="str">
        <f>NYG!A$6</f>
        <v>Devin Singletary</v>
      </c>
      <c r="C117" s="59" t="s">
        <v>115</v>
      </c>
      <c r="D117" s="59">
        <f>NYG!C$6</f>
        <v>13</v>
      </c>
      <c r="E117" s="60">
        <f>NYG!I$6</f>
        <v>197.34573600000002</v>
      </c>
      <c r="F117" s="60">
        <f>NYG!J$6</f>
        <v>820.95826176000014</v>
      </c>
      <c r="G117" s="60">
        <f>NYG!K$6</f>
        <v>5.3283348720000001</v>
      </c>
      <c r="H117" s="60">
        <f>NYG!L$6</f>
        <v>47.079513599999984</v>
      </c>
      <c r="I117" s="60">
        <f>NYG!M$6</f>
        <v>34.650522009599989</v>
      </c>
      <c r="J117" s="60">
        <f>NYG!N$6</f>
        <v>232.15849746431994</v>
      </c>
      <c r="K117" s="60">
        <f>NYG!O$6</f>
        <v>1.0048651382783997</v>
      </c>
      <c r="L117" s="60">
        <f t="shared" si="45"/>
        <v>143.31087598410241</v>
      </c>
      <c r="M117" s="60">
        <f t="shared" si="46"/>
        <v>160.63613698890239</v>
      </c>
      <c r="N117" s="60">
        <f t="shared" si="47"/>
        <v>177.96139799370241</v>
      </c>
      <c r="O11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160.63613698890239</v>
      </c>
      <c r="P117" s="96">
        <v>43.954818451247363</v>
      </c>
    </row>
    <row r="118" spans="1:16" x14ac:dyDescent="0.2">
      <c r="A118" s="59">
        <f>IF(TableRBMaster[[#This Row],[Player]]&lt;&gt;0,A117+1,A117)</f>
        <v>80</v>
      </c>
      <c r="B118" s="59" t="str">
        <f>NYG!A$7</f>
        <v>Eric Gray</v>
      </c>
      <c r="C118" s="59" t="s">
        <v>115</v>
      </c>
      <c r="D118" s="59">
        <f>NYG!C$8</f>
        <v>13</v>
      </c>
      <c r="E118" s="60">
        <f>NYG!I$7</f>
        <v>70.16737280000001</v>
      </c>
      <c r="F118" s="60">
        <f>NYG!J$7</f>
        <v>289.08957593600007</v>
      </c>
      <c r="G118" s="60">
        <f>NYG!K$7</f>
        <v>2.4558580480000005</v>
      </c>
      <c r="H118" s="60">
        <f>NYG!L$7</f>
        <v>17.654817599999994</v>
      </c>
      <c r="I118" s="60">
        <f>NYG!M$7</f>
        <v>13.276422835199996</v>
      </c>
      <c r="J118" s="60">
        <f>NYG!N$7</f>
        <v>95.988537098495982</v>
      </c>
      <c r="K118" s="60">
        <f>NYG!O$7</f>
        <v>0.45139837639679992</v>
      </c>
      <c r="L118" s="60">
        <f t="shared" si="45"/>
        <v>55.951349849830414</v>
      </c>
      <c r="M118" s="60">
        <f t="shared" si="46"/>
        <v>62.589561267430412</v>
      </c>
      <c r="N118" s="60">
        <f t="shared" si="47"/>
        <v>69.227772685030416</v>
      </c>
      <c r="O11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62.589561267430412</v>
      </c>
      <c r="P118" s="96">
        <v>0</v>
      </c>
    </row>
    <row r="119" spans="1:16" x14ac:dyDescent="0.2">
      <c r="A119" s="59">
        <f>IF(TableRBMaster[[#This Row],[Player]]&lt;&gt;0,A118+1,A118)</f>
        <v>81</v>
      </c>
      <c r="B119" s="59" t="str">
        <f>NYG!A$8</f>
        <v>Deon Jackson</v>
      </c>
      <c r="C119" s="59" t="s">
        <v>115</v>
      </c>
      <c r="D119" s="59">
        <f>NYG!C$7</f>
        <v>13</v>
      </c>
      <c r="E119" s="60">
        <f>NYG!I$8</f>
        <v>21.927304000000003</v>
      </c>
      <c r="F119" s="60">
        <f>NYG!J$8</f>
        <v>86.612850800000018</v>
      </c>
      <c r="G119" s="60">
        <f>NYG!K$8</f>
        <v>0.74552833600000012</v>
      </c>
      <c r="H119" s="60">
        <f>NYG!L$8</f>
        <v>5.884939199999998</v>
      </c>
      <c r="I119" s="60">
        <f>NYG!M$8</f>
        <v>4.1959616495999983</v>
      </c>
      <c r="J119" s="60">
        <f>NYG!N$8</f>
        <v>31.469712371999986</v>
      </c>
      <c r="K119" s="60">
        <f>NYG!O$8</f>
        <v>0.12587884948799993</v>
      </c>
      <c r="L119" s="60">
        <f t="shared" si="45"/>
        <v>17.036699430128003</v>
      </c>
      <c r="M119" s="60">
        <f t="shared" si="46"/>
        <v>19.134680254928004</v>
      </c>
      <c r="N119" s="60">
        <f t="shared" si="47"/>
        <v>21.232661079728</v>
      </c>
      <c r="O11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19.134680254928</v>
      </c>
      <c r="P119" s="96">
        <v>0</v>
      </c>
    </row>
    <row r="120" spans="1:16" x14ac:dyDescent="0.2">
      <c r="A120" s="59">
        <f>IF(TableRBMaster[[#This Row],[Player]]&lt;&gt;0,A119+1,A119)</f>
        <v>82</v>
      </c>
      <c r="B120" s="59" t="str">
        <f>NYG!A$9</f>
        <v>Tyrone Tracy</v>
      </c>
      <c r="C120" s="59" t="s">
        <v>115</v>
      </c>
      <c r="D120" s="59">
        <f>NYG!C$9</f>
        <v>13</v>
      </c>
      <c r="E120" s="60">
        <f>NYG!I$9</f>
        <v>65.781912000000005</v>
      </c>
      <c r="F120" s="60">
        <f>NYG!J$9</f>
        <v>277.59966864</v>
      </c>
      <c r="G120" s="60">
        <f>NYG!K$9</f>
        <v>2.1050211840000004</v>
      </c>
      <c r="H120" s="60">
        <f>NYG!L$9</f>
        <v>17.654817599999994</v>
      </c>
      <c r="I120" s="60">
        <f>NYG!M$9</f>
        <v>13.364696923199995</v>
      </c>
      <c r="J120" s="60">
        <f>NYG!N$9</f>
        <v>97.695934508591961</v>
      </c>
      <c r="K120" s="60">
        <f>NYG!O$9</f>
        <v>0.46776439231199984</v>
      </c>
      <c r="L120" s="60">
        <f t="shared" si="45"/>
        <v>52.966273772731199</v>
      </c>
      <c r="M120" s="60">
        <f t="shared" si="46"/>
        <v>59.648622234331199</v>
      </c>
      <c r="N120" s="60">
        <f t="shared" si="47"/>
        <v>66.3309706959312</v>
      </c>
      <c r="O12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59.648622234331199</v>
      </c>
      <c r="P120" s="96">
        <v>0</v>
      </c>
    </row>
    <row r="121" spans="1:16" x14ac:dyDescent="0.2">
      <c r="A121" s="59">
        <f>IF(TableRBMaster[[#This Row],[Player]]&lt;&gt;0,A120+1,A120)</f>
        <v>82</v>
      </c>
      <c r="B121" s="59">
        <f>NYG!A$10</f>
        <v>0</v>
      </c>
      <c r="C121" s="59" t="s">
        <v>115</v>
      </c>
      <c r="D121" s="59">
        <f>NYG!C$10</f>
        <v>13</v>
      </c>
      <c r="E121" s="60">
        <f>NYG!I$10</f>
        <v>0</v>
      </c>
      <c r="F121" s="60">
        <f>NYG!J$10</f>
        <v>0</v>
      </c>
      <c r="G121" s="60">
        <f>NYG!K$10</f>
        <v>0</v>
      </c>
      <c r="H121" s="60">
        <f>NYG!L$10</f>
        <v>0</v>
      </c>
      <c r="I121" s="60">
        <f>NYG!M$10</f>
        <v>0</v>
      </c>
      <c r="J121" s="60">
        <f>NYG!N$10</f>
        <v>0</v>
      </c>
      <c r="K121" s="60">
        <f>NYG!O$10</f>
        <v>0</v>
      </c>
      <c r="L121" s="60">
        <f t="shared" si="45"/>
        <v>0</v>
      </c>
      <c r="M121" s="60">
        <f t="shared" si="46"/>
        <v>0</v>
      </c>
      <c r="N121" s="60">
        <f t="shared" si="47"/>
        <v>0</v>
      </c>
      <c r="O12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1" s="96">
        <v>0</v>
      </c>
    </row>
    <row r="122" spans="1:16" x14ac:dyDescent="0.2">
      <c r="A122" s="59">
        <f>IF(TableRBMaster[[#This Row],[Player]]&lt;&gt;0,A121+1,A121)</f>
        <v>83</v>
      </c>
      <c r="B122" s="59" t="str">
        <f>NYJ!A$6</f>
        <v>Breece Hall</v>
      </c>
      <c r="C122" s="59" t="s">
        <v>116</v>
      </c>
      <c r="D122" s="59">
        <f>NYJ!C$6</f>
        <v>7</v>
      </c>
      <c r="E122" s="60">
        <f>NYJ!I$6</f>
        <v>241.62470360000006</v>
      </c>
      <c r="F122" s="60">
        <f>NYJ!J$6</f>
        <v>1101.8086484160001</v>
      </c>
      <c r="G122" s="60">
        <f>NYJ!K$6</f>
        <v>9.4233634404000028</v>
      </c>
      <c r="H122" s="60">
        <f>NYJ!L$6</f>
        <v>74.06398999999999</v>
      </c>
      <c r="I122" s="60">
        <f>NYJ!M$6</f>
        <v>58.066168159999997</v>
      </c>
      <c r="J122" s="60">
        <f>NYJ!N$6</f>
        <v>452.91611164799997</v>
      </c>
      <c r="K122" s="60">
        <f>NYJ!O$6</f>
        <v>2.6710437353599996</v>
      </c>
      <c r="L122" s="60">
        <f t="shared" si="45"/>
        <v>228.03891906096004</v>
      </c>
      <c r="M122" s="60">
        <f t="shared" si="46"/>
        <v>257.07200314096002</v>
      </c>
      <c r="N122" s="60">
        <f t="shared" si="47"/>
        <v>286.10508722096006</v>
      </c>
      <c r="O12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257.07200314096002</v>
      </c>
      <c r="P122" s="96">
        <v>18.18702898521515</v>
      </c>
    </row>
    <row r="123" spans="1:16" x14ac:dyDescent="0.2">
      <c r="A123" s="59">
        <f>IF(TableRBMaster[[#This Row],[Player]]&lt;&gt;0,A122+1,A122)</f>
        <v>84</v>
      </c>
      <c r="B123" s="59" t="str">
        <f>NYJ!A$7</f>
        <v>Israel Abanikanda</v>
      </c>
      <c r="C123" s="59" t="s">
        <v>116</v>
      </c>
      <c r="D123" s="59">
        <f>NYJ!C$8</f>
        <v>7</v>
      </c>
      <c r="E123" s="60">
        <f>NYJ!I$7</f>
        <v>31.034365600000008</v>
      </c>
      <c r="F123" s="60">
        <f>NYJ!J$7</f>
        <v>130.34433552000004</v>
      </c>
      <c r="G123" s="60">
        <f>NYJ!K$7</f>
        <v>1.0241340648000004</v>
      </c>
      <c r="H123" s="60">
        <f>NYJ!L$7</f>
        <v>11.850238399999999</v>
      </c>
      <c r="I123" s="60">
        <f>NYJ!M$7</f>
        <v>9.5157414351999989</v>
      </c>
      <c r="J123" s="60">
        <f>NYJ!N$7</f>
        <v>69.750384720015987</v>
      </c>
      <c r="K123" s="60">
        <f>NYJ!O$7</f>
        <v>0.38062965740799998</v>
      </c>
      <c r="L123" s="60">
        <f t="shared" si="45"/>
        <v>28.438054357249609</v>
      </c>
      <c r="M123" s="60">
        <f t="shared" si="46"/>
        <v>33.195925074849612</v>
      </c>
      <c r="N123" s="60">
        <f t="shared" si="47"/>
        <v>37.953795792449611</v>
      </c>
      <c r="O12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33.195925074849605</v>
      </c>
      <c r="P123" s="96">
        <v>0</v>
      </c>
    </row>
    <row r="124" spans="1:16" x14ac:dyDescent="0.2">
      <c r="A124" s="59">
        <f>IF(TableRBMaster[[#This Row],[Player]]&lt;&gt;0,A123+1,A123)</f>
        <v>85</v>
      </c>
      <c r="B124" s="59" t="str">
        <f>NYJ!A$8</f>
        <v>Braelon Allen</v>
      </c>
      <c r="C124" s="59" t="s">
        <v>116</v>
      </c>
      <c r="D124" s="59">
        <f>NYJ!C$7</f>
        <v>7</v>
      </c>
      <c r="E124" s="60">
        <f>NYJ!I$8</f>
        <v>97.536577600000015</v>
      </c>
      <c r="F124" s="60">
        <f>NYJ!J$8</f>
        <v>429.1609414400001</v>
      </c>
      <c r="G124" s="60">
        <f>NYJ!K$8</f>
        <v>3.9014631040000007</v>
      </c>
      <c r="H124" s="60">
        <f>NYJ!L$8</f>
        <v>5.9251191999999993</v>
      </c>
      <c r="I124" s="60">
        <f>NYJ!M$8</f>
        <v>4.337187254399999</v>
      </c>
      <c r="J124" s="60">
        <f>NYJ!N$8</f>
        <v>31.227748231679993</v>
      </c>
      <c r="K124" s="60">
        <f>NYJ!O$8</f>
        <v>0.16481311566719994</v>
      </c>
      <c r="L124" s="60">
        <f t="shared" si="45"/>
        <v>70.436526285171226</v>
      </c>
      <c r="M124" s="60">
        <f t="shared" si="46"/>
        <v>72.605119912371222</v>
      </c>
      <c r="N124" s="60">
        <f t="shared" si="47"/>
        <v>74.773713539571219</v>
      </c>
      <c r="O12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72.605119912371222</v>
      </c>
      <c r="P124" s="96">
        <v>0</v>
      </c>
    </row>
    <row r="125" spans="1:16" x14ac:dyDescent="0.2">
      <c r="A125" s="59">
        <f>IF(TableRBMaster[[#This Row],[Player]]&lt;&gt;0,A124+1,A124)</f>
        <v>86</v>
      </c>
      <c r="B125" s="59" t="str">
        <f>NYJ!A$9</f>
        <v>Isaiah Davis</v>
      </c>
      <c r="C125" s="59" t="s">
        <v>116</v>
      </c>
      <c r="D125" s="59">
        <f>NYJ!C$9</f>
        <v>7</v>
      </c>
      <c r="E125" s="60">
        <f>NYJ!I$9</f>
        <v>35.467846400000006</v>
      </c>
      <c r="F125" s="60">
        <f>NYJ!J$9</f>
        <v>150.02899027200004</v>
      </c>
      <c r="G125" s="60">
        <f>NYJ!K$9</f>
        <v>1.1349710848000003</v>
      </c>
      <c r="H125" s="60">
        <f>NYJ!L$9</f>
        <v>20.737917199999998</v>
      </c>
      <c r="I125" s="60">
        <f>NYJ!M$9</f>
        <v>16.382954588</v>
      </c>
      <c r="J125" s="60">
        <f>NYJ!N$9</f>
        <v>123.19981850175999</v>
      </c>
      <c r="K125" s="60">
        <f>NYJ!O$9</f>
        <v>0.65531818352000004</v>
      </c>
      <c r="L125" s="60">
        <f t="shared" si="45"/>
        <v>38.064616487296007</v>
      </c>
      <c r="M125" s="60">
        <f t="shared" si="46"/>
        <v>46.256093781296009</v>
      </c>
      <c r="N125" s="60">
        <f t="shared" si="47"/>
        <v>54.447571075296011</v>
      </c>
      <c r="O12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46.256093781296009</v>
      </c>
      <c r="P125" s="96">
        <v>0</v>
      </c>
    </row>
    <row r="126" spans="1:16" x14ac:dyDescent="0.2">
      <c r="A126" s="59">
        <f>IF(TableRBMaster[[#This Row],[Player]]&lt;&gt;0,A125+1,A125)</f>
        <v>86</v>
      </c>
      <c r="B126" s="59">
        <f>NYJ!A$10</f>
        <v>0</v>
      </c>
      <c r="C126" s="59" t="s">
        <v>116</v>
      </c>
      <c r="D126" s="59">
        <f>NYJ!C$10</f>
        <v>7</v>
      </c>
      <c r="E126" s="60">
        <f>NYJ!I$10</f>
        <v>0</v>
      </c>
      <c r="F126" s="60">
        <f>NYJ!J$10</f>
        <v>0</v>
      </c>
      <c r="G126" s="60">
        <f>NYJ!K$10</f>
        <v>0</v>
      </c>
      <c r="H126" s="60">
        <f>NYJ!L$10</f>
        <v>0</v>
      </c>
      <c r="I126" s="60">
        <f>NYJ!M$10</f>
        <v>0</v>
      </c>
      <c r="J126" s="60">
        <f>NYJ!N$10</f>
        <v>0</v>
      </c>
      <c r="K126" s="60">
        <f>NYJ!O$10</f>
        <v>0</v>
      </c>
      <c r="L126" s="60">
        <f t="shared" si="45"/>
        <v>0</v>
      </c>
      <c r="M126" s="60">
        <f t="shared" si="46"/>
        <v>0</v>
      </c>
      <c r="N126" s="60">
        <f t="shared" si="47"/>
        <v>0</v>
      </c>
      <c r="O12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6" s="96">
        <v>0</v>
      </c>
    </row>
    <row r="127" spans="1:16" x14ac:dyDescent="0.2">
      <c r="A127" s="59">
        <f>IF(TableRBMaster[[#This Row],[Player]]&lt;&gt;0,A126+1,A126)</f>
        <v>87</v>
      </c>
      <c r="B127" s="59" t="str">
        <f>PHI!A$6</f>
        <v>Saquon Barkley</v>
      </c>
      <c r="C127" s="59" t="s">
        <v>117</v>
      </c>
      <c r="D127" s="59">
        <f>PHI!C$6</f>
        <v>10</v>
      </c>
      <c r="E127" s="60">
        <f>PHI!I$6</f>
        <v>251.11457280000002</v>
      </c>
      <c r="F127" s="60">
        <f>PHI!J$6</f>
        <v>1104.9041203200002</v>
      </c>
      <c r="G127" s="60">
        <f>PHI!K$6</f>
        <v>9.5423537663999998</v>
      </c>
      <c r="H127" s="60">
        <f>PHI!L$6</f>
        <v>61.363209600000005</v>
      </c>
      <c r="I127" s="60">
        <f>PHI!M$6</f>
        <v>46.758765715200006</v>
      </c>
      <c r="J127" s="60">
        <f>PHI!N$6</f>
        <v>346.01486629248006</v>
      </c>
      <c r="K127" s="60">
        <f>PHI!O$6</f>
        <v>1.7768330971776003</v>
      </c>
      <c r="L127" s="60">
        <f t="shared" si="45"/>
        <v>213.00701984271365</v>
      </c>
      <c r="M127" s="60">
        <f t="shared" si="46"/>
        <v>236.38640270031365</v>
      </c>
      <c r="N127" s="60">
        <f t="shared" si="47"/>
        <v>259.76578555791366</v>
      </c>
      <c r="O12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236.38640270031365</v>
      </c>
      <c r="P127" s="96">
        <v>22.128522326878127</v>
      </c>
    </row>
    <row r="128" spans="1:16" x14ac:dyDescent="0.2">
      <c r="A128" s="59">
        <f>IF(TableRBMaster[[#This Row],[Player]]&lt;&gt;0,A127+1,A127)</f>
        <v>88</v>
      </c>
      <c r="B128" s="59" t="str">
        <f>PHI!A$7</f>
        <v>Kenneth Gainwell</v>
      </c>
      <c r="C128" s="59" t="s">
        <v>117</v>
      </c>
      <c r="D128" s="59">
        <f>PHI!C$8</f>
        <v>10</v>
      </c>
      <c r="E128" s="60">
        <f>PHI!I$7</f>
        <v>62.778643200000005</v>
      </c>
      <c r="F128" s="60">
        <f>PHI!J$7</f>
        <v>271.20373862400004</v>
      </c>
      <c r="G128" s="60">
        <f>PHI!K$7</f>
        <v>2.5111457280000002</v>
      </c>
      <c r="H128" s="60">
        <f>PHI!L$7</f>
        <v>27.892368000000005</v>
      </c>
      <c r="I128" s="60">
        <f>PHI!M$7</f>
        <v>20.751921792000005</v>
      </c>
      <c r="J128" s="60">
        <f>PHI!N$7</f>
        <v>146.71608706944005</v>
      </c>
      <c r="K128" s="60">
        <f>PHI!O$7</f>
        <v>0.62255765376000016</v>
      </c>
      <c r="L128" s="60">
        <f t="shared" si="45"/>
        <v>60.594202859904009</v>
      </c>
      <c r="M128" s="60">
        <f t="shared" si="46"/>
        <v>70.970163755904011</v>
      </c>
      <c r="N128" s="60">
        <f t="shared" si="47"/>
        <v>81.346124651904006</v>
      </c>
      <c r="O12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70.970163755904011</v>
      </c>
      <c r="P128" s="96">
        <v>0</v>
      </c>
    </row>
    <row r="129" spans="1:16" x14ac:dyDescent="0.2">
      <c r="A129" s="59">
        <f>IF(TableRBMaster[[#This Row],[Player]]&lt;&gt;0,A128+1,A128)</f>
        <v>89</v>
      </c>
      <c r="B129" s="59" t="str">
        <f>PHI!A$8</f>
        <v>Will Shipley</v>
      </c>
      <c r="C129" s="59" t="s">
        <v>117</v>
      </c>
      <c r="D129" s="59">
        <f>PHI!C$7</f>
        <v>10</v>
      </c>
      <c r="E129" s="60">
        <f>PHI!I$8</f>
        <v>33.803884799999999</v>
      </c>
      <c r="F129" s="60">
        <f>PHI!J$8</f>
        <v>143.66651039999999</v>
      </c>
      <c r="G129" s="60">
        <f>PHI!K$8</f>
        <v>1.2169398527999999</v>
      </c>
      <c r="H129" s="60">
        <f>PHI!L$8</f>
        <v>22.313894400000002</v>
      </c>
      <c r="I129" s="60">
        <f>PHI!M$8</f>
        <v>16.958559744000002</v>
      </c>
      <c r="J129" s="60">
        <f>PHI!N$8</f>
        <v>121.59287336448001</v>
      </c>
      <c r="K129" s="60">
        <f>PHI!O$8</f>
        <v>0.62746671052800007</v>
      </c>
      <c r="L129" s="60">
        <f t="shared" si="45"/>
        <v>37.592377756415999</v>
      </c>
      <c r="M129" s="60">
        <f t="shared" si="46"/>
        <v>46.071657628415998</v>
      </c>
      <c r="N129" s="60">
        <f t="shared" si="47"/>
        <v>54.550937500415998</v>
      </c>
      <c r="O12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46.071657628416006</v>
      </c>
      <c r="P129" s="96">
        <v>0</v>
      </c>
    </row>
    <row r="130" spans="1:16" x14ac:dyDescent="0.2">
      <c r="A130" s="59">
        <f>IF(TableRBMaster[[#This Row],[Player]]&lt;&gt;0,A129+1,A129)</f>
        <v>89</v>
      </c>
      <c r="B130" s="59">
        <f>PHI!A$9</f>
        <v>0</v>
      </c>
      <c r="C130" s="59" t="s">
        <v>117</v>
      </c>
      <c r="D130" s="59">
        <f>PHI!C$9</f>
        <v>10</v>
      </c>
      <c r="E130" s="60">
        <f>PHI!I$9</f>
        <v>0</v>
      </c>
      <c r="F130" s="60">
        <f>PHI!J$9</f>
        <v>0</v>
      </c>
      <c r="G130" s="60">
        <f>PHI!K$9</f>
        <v>0</v>
      </c>
      <c r="H130" s="60">
        <f>PHI!L$9</f>
        <v>0</v>
      </c>
      <c r="I130" s="60">
        <f>PHI!M$9</f>
        <v>0</v>
      </c>
      <c r="J130" s="60">
        <f>PHI!N$9</f>
        <v>0</v>
      </c>
      <c r="K130" s="60">
        <f>PHI!O$9</f>
        <v>0</v>
      </c>
      <c r="L130" s="60">
        <f t="shared" si="45"/>
        <v>0</v>
      </c>
      <c r="M130" s="60">
        <f t="shared" si="46"/>
        <v>0</v>
      </c>
      <c r="N130" s="60">
        <f t="shared" si="47"/>
        <v>0</v>
      </c>
      <c r="O13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0" s="96">
        <v>0</v>
      </c>
    </row>
    <row r="131" spans="1:16" x14ac:dyDescent="0.2">
      <c r="A131" s="59">
        <f>IF(TableRBMaster[[#This Row],[Player]]&lt;&gt;0,A130+1,A130)</f>
        <v>89</v>
      </c>
      <c r="B131" s="59">
        <f>PHI!A$10</f>
        <v>0</v>
      </c>
      <c r="C131" s="59" t="s">
        <v>117</v>
      </c>
      <c r="D131" s="59">
        <f>PHI!C$10</f>
        <v>10</v>
      </c>
      <c r="E131" s="60">
        <f>PHI!I$10</f>
        <v>0</v>
      </c>
      <c r="F131" s="60">
        <f>PHI!J$10</f>
        <v>0</v>
      </c>
      <c r="G131" s="60">
        <f>PHI!K$10</f>
        <v>0</v>
      </c>
      <c r="H131" s="60">
        <f>PHI!L$10</f>
        <v>0</v>
      </c>
      <c r="I131" s="60">
        <f>PHI!M$10</f>
        <v>0</v>
      </c>
      <c r="J131" s="60">
        <f>PHI!N$10</f>
        <v>0</v>
      </c>
      <c r="K131" s="60">
        <f>PHI!O$10</f>
        <v>0</v>
      </c>
      <c r="L131" s="60">
        <f t="shared" si="45"/>
        <v>0</v>
      </c>
      <c r="M131" s="60">
        <f t="shared" si="46"/>
        <v>0</v>
      </c>
      <c r="N131" s="60">
        <f t="shared" si="47"/>
        <v>0</v>
      </c>
      <c r="O13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1" s="96">
        <v>0</v>
      </c>
    </row>
    <row r="132" spans="1:16" x14ac:dyDescent="0.2">
      <c r="A132" s="59">
        <f>IF(TableRBMaster[[#This Row],[Player]]&lt;&gt;0,A131+1,A131)</f>
        <v>90</v>
      </c>
      <c r="B132" s="59" t="str">
        <f>PIT!A$6</f>
        <v>Najee Harris</v>
      </c>
      <c r="C132" s="59" t="s">
        <v>118</v>
      </c>
      <c r="D132" s="59">
        <f>PIT!C$6</f>
        <v>6</v>
      </c>
      <c r="E132" s="60">
        <f>PIT!I$6</f>
        <v>200.96369999999999</v>
      </c>
      <c r="F132" s="60">
        <f>PIT!J$6</f>
        <v>821.94153299999994</v>
      </c>
      <c r="G132" s="60">
        <f>PIT!K$6</f>
        <v>7.0337295000000006</v>
      </c>
      <c r="H132" s="60">
        <f>PIT!L$6</f>
        <v>28.62678</v>
      </c>
      <c r="I132" s="60">
        <f>PIT!M$6</f>
        <v>21.384204660000002</v>
      </c>
      <c r="J132" s="60">
        <f>PIT!N$6</f>
        <v>133.00975298520001</v>
      </c>
      <c r="K132" s="60">
        <f>PIT!O$6</f>
        <v>0.64152613980000006</v>
      </c>
      <c r="L132" s="60">
        <f t="shared" si="45"/>
        <v>141.54666243732001</v>
      </c>
      <c r="M132" s="60">
        <f t="shared" si="46"/>
        <v>152.23876476732002</v>
      </c>
      <c r="N132" s="60">
        <f t="shared" si="47"/>
        <v>162.93086709732</v>
      </c>
      <c r="O13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152.23876476732002</v>
      </c>
      <c r="P132" s="96">
        <v>37.568835049776624</v>
      </c>
    </row>
    <row r="133" spans="1:16" x14ac:dyDescent="0.2">
      <c r="A133" s="59">
        <f>IF(TableRBMaster[[#This Row],[Player]]&lt;&gt;0,A132+1,A132)</f>
        <v>91</v>
      </c>
      <c r="B133" s="59" t="str">
        <f>PIT!A$7</f>
        <v>Jaylen Warren</v>
      </c>
      <c r="C133" s="59" t="s">
        <v>118</v>
      </c>
      <c r="D133" s="59">
        <f>PIT!C$8</f>
        <v>6</v>
      </c>
      <c r="E133" s="60">
        <f>PIT!I$7</f>
        <v>148.33035000000001</v>
      </c>
      <c r="F133" s="60">
        <f>PIT!J$7</f>
        <v>700.11925199999996</v>
      </c>
      <c r="G133" s="60">
        <f>PIT!K$7</f>
        <v>4.4499105000000005</v>
      </c>
      <c r="H133" s="60">
        <f>PIT!L$7</f>
        <v>36.884504999999997</v>
      </c>
      <c r="I133" s="60">
        <f>PIT!M$7</f>
        <v>29.58137301</v>
      </c>
      <c r="J133" s="60">
        <f>PIT!N$7</f>
        <v>209.73193464089999</v>
      </c>
      <c r="K133" s="60">
        <f>PIT!O$7</f>
        <v>1.1832549204</v>
      </c>
      <c r="L133" s="60">
        <f t="shared" si="45"/>
        <v>124.78411118648999</v>
      </c>
      <c r="M133" s="60">
        <f t="shared" si="46"/>
        <v>139.57479769149001</v>
      </c>
      <c r="N133" s="60">
        <f t="shared" si="47"/>
        <v>154.36548419649</v>
      </c>
      <c r="O13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139.57479769148998</v>
      </c>
      <c r="P133" s="96">
        <v>0</v>
      </c>
    </row>
    <row r="134" spans="1:16" x14ac:dyDescent="0.2">
      <c r="A134" s="59">
        <f>IF(TableRBMaster[[#This Row],[Player]]&lt;&gt;0,A133+1,A133)</f>
        <v>92</v>
      </c>
      <c r="B134" s="59" t="str">
        <f>PIT!A$8</f>
        <v>Cordarrelle Patterson</v>
      </c>
      <c r="C134" s="59" t="s">
        <v>118</v>
      </c>
      <c r="D134" s="59">
        <f>PIT!C$7</f>
        <v>6</v>
      </c>
      <c r="E134" s="60">
        <f>PIT!I$8</f>
        <v>47.848500000000001</v>
      </c>
      <c r="F134" s="60">
        <f>PIT!J$8</f>
        <v>189.001575</v>
      </c>
      <c r="G134" s="60">
        <f>PIT!K$8</f>
        <v>1.9617885000000002</v>
      </c>
      <c r="H134" s="60">
        <f>PIT!L$8</f>
        <v>45.692745000000002</v>
      </c>
      <c r="I134" s="60">
        <f>PIT!M$8</f>
        <v>35.046335415000001</v>
      </c>
      <c r="J134" s="60">
        <f>PIT!N$8</f>
        <v>230.60488703070001</v>
      </c>
      <c r="K134" s="60">
        <f>PIT!O$8</f>
        <v>1.577085093675</v>
      </c>
      <c r="L134" s="60">
        <f t="shared" si="45"/>
        <v>63.193887765119996</v>
      </c>
      <c r="M134" s="60">
        <f t="shared" si="46"/>
        <v>80.71705547261999</v>
      </c>
      <c r="N134" s="60">
        <f t="shared" si="47"/>
        <v>98.240223180119997</v>
      </c>
      <c r="O13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80.717055472620004</v>
      </c>
      <c r="P134" s="96">
        <v>0</v>
      </c>
    </row>
    <row r="135" spans="1:16" x14ac:dyDescent="0.2">
      <c r="A135" s="59">
        <f>IF(TableRBMaster[[#This Row],[Player]]&lt;&gt;0,A134+1,A134)</f>
        <v>92</v>
      </c>
      <c r="B135" s="59">
        <f>PIT!A$9</f>
        <v>0</v>
      </c>
      <c r="C135" s="59" t="s">
        <v>118</v>
      </c>
      <c r="D135" s="59">
        <f>PIT!C$9</f>
        <v>6</v>
      </c>
      <c r="E135" s="60">
        <f>PIT!I$9</f>
        <v>0</v>
      </c>
      <c r="F135" s="60">
        <f>PIT!J$9</f>
        <v>0</v>
      </c>
      <c r="G135" s="60">
        <f>PIT!K$9</f>
        <v>0</v>
      </c>
      <c r="H135" s="60">
        <f>PIT!L$9</f>
        <v>0</v>
      </c>
      <c r="I135" s="60">
        <f>PIT!M$9</f>
        <v>0</v>
      </c>
      <c r="J135" s="60">
        <f>PIT!N$9</f>
        <v>0</v>
      </c>
      <c r="K135" s="60">
        <f>PIT!O$9</f>
        <v>0</v>
      </c>
      <c r="L135" s="60">
        <f t="shared" si="45"/>
        <v>0</v>
      </c>
      <c r="M135" s="60">
        <f t="shared" si="46"/>
        <v>0</v>
      </c>
      <c r="N135" s="60">
        <f t="shared" si="47"/>
        <v>0</v>
      </c>
      <c r="O13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5" s="96">
        <v>0</v>
      </c>
    </row>
    <row r="136" spans="1:16" x14ac:dyDescent="0.2">
      <c r="A136" s="59">
        <f>IF(TableRBMaster[[#This Row],[Player]]&lt;&gt;0,A135+1,A135)</f>
        <v>92</v>
      </c>
      <c r="B136" s="59">
        <f>PIT!A$10</f>
        <v>0</v>
      </c>
      <c r="C136" s="59" t="s">
        <v>118</v>
      </c>
      <c r="D136" s="59">
        <f>PIT!C$10</f>
        <v>6</v>
      </c>
      <c r="E136" s="60">
        <f>PIT!I$10</f>
        <v>0</v>
      </c>
      <c r="F136" s="60">
        <f>PIT!J$10</f>
        <v>0</v>
      </c>
      <c r="G136" s="60">
        <f>PIT!K$10</f>
        <v>0</v>
      </c>
      <c r="H136" s="60">
        <f>PIT!L$10</f>
        <v>0</v>
      </c>
      <c r="I136" s="60">
        <f>PIT!M$10</f>
        <v>0</v>
      </c>
      <c r="J136" s="60">
        <f>PIT!N$10</f>
        <v>0</v>
      </c>
      <c r="K136" s="60">
        <f>PIT!O$10</f>
        <v>0</v>
      </c>
      <c r="L136" s="60">
        <f t="shared" si="45"/>
        <v>0</v>
      </c>
      <c r="M136" s="60">
        <f t="shared" si="46"/>
        <v>0</v>
      </c>
      <c r="N136" s="60">
        <f t="shared" si="47"/>
        <v>0</v>
      </c>
      <c r="O13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6" s="96">
        <v>0</v>
      </c>
    </row>
    <row r="137" spans="1:16" x14ac:dyDescent="0.2">
      <c r="A137" s="59">
        <f>IF(TableRBMaster[[#This Row],[Player]]&lt;&gt;0,A136+1,A136)</f>
        <v>93</v>
      </c>
      <c r="B137" s="59" t="str">
        <f>SEA!A$6</f>
        <v>Kenneth Walker</v>
      </c>
      <c r="C137" s="59" t="s">
        <v>119</v>
      </c>
      <c r="D137" s="59">
        <f>SEA!C$6</f>
        <v>5</v>
      </c>
      <c r="E137" s="60">
        <f>SEA!I$6</f>
        <v>228.64274160000005</v>
      </c>
      <c r="F137" s="60">
        <f>SEA!J$6</f>
        <v>1006.0280630400003</v>
      </c>
      <c r="G137" s="60">
        <f>SEA!K$6</f>
        <v>8.4597814392000021</v>
      </c>
      <c r="H137" s="60">
        <f>SEA!L$6</f>
        <v>34.828945199999993</v>
      </c>
      <c r="I137" s="60">
        <f>SEA!M$6</f>
        <v>26.853116749199994</v>
      </c>
      <c r="J137" s="60">
        <f>SEA!N$6</f>
        <v>210.52843531372795</v>
      </c>
      <c r="K137" s="60">
        <f>SEA!O$6</f>
        <v>0.80559350247599981</v>
      </c>
      <c r="L137" s="60">
        <f t="shared" si="45"/>
        <v>177.24789948542883</v>
      </c>
      <c r="M137" s="60">
        <f t="shared" si="46"/>
        <v>190.67445786002884</v>
      </c>
      <c r="N137" s="60">
        <f t="shared" si="47"/>
        <v>204.10101623462882</v>
      </c>
      <c r="O13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190.67445786002884</v>
      </c>
      <c r="P137" s="96">
        <v>30.121228835514525</v>
      </c>
    </row>
    <row r="138" spans="1:16" x14ac:dyDescent="0.2">
      <c r="A138" s="59">
        <f>IF(TableRBMaster[[#This Row],[Player]]&lt;&gt;0,A137+1,A137)</f>
        <v>94</v>
      </c>
      <c r="B138" s="59" t="str">
        <f>SEA!A$7</f>
        <v>Zach Charbonnet</v>
      </c>
      <c r="C138" s="59" t="s">
        <v>119</v>
      </c>
      <c r="D138" s="59">
        <f>SEA!C$8</f>
        <v>5</v>
      </c>
      <c r="E138" s="60">
        <f>SEA!I$7</f>
        <v>140.70322560000002</v>
      </c>
      <c r="F138" s="60">
        <f>SEA!J$7</f>
        <v>609.2449668480001</v>
      </c>
      <c r="G138" s="60">
        <f>SEA!K$7</f>
        <v>4.2210967680000007</v>
      </c>
      <c r="H138" s="60">
        <f>SEA!L$7</f>
        <v>49.341005699999997</v>
      </c>
      <c r="I138" s="60">
        <f>SEA!M$7</f>
        <v>39.226099531499997</v>
      </c>
      <c r="J138" s="60">
        <f>SEA!N$7</f>
        <v>282.03565563148499</v>
      </c>
      <c r="K138" s="60">
        <f>SEA!O$7</f>
        <v>1.1767829859449999</v>
      </c>
      <c r="L138" s="60">
        <f t="shared" si="45"/>
        <v>121.51534077161853</v>
      </c>
      <c r="M138" s="60">
        <f t="shared" si="46"/>
        <v>141.12839053736852</v>
      </c>
      <c r="N138" s="60">
        <f t="shared" si="47"/>
        <v>160.74144030311851</v>
      </c>
      <c r="O13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141.12839053736855</v>
      </c>
      <c r="P138" s="96">
        <v>1.3563751124543861</v>
      </c>
    </row>
    <row r="139" spans="1:16" x14ac:dyDescent="0.2">
      <c r="A139" s="59">
        <f>IF(TableRBMaster[[#This Row],[Player]]&lt;&gt;0,A138+1,A138)</f>
        <v>95</v>
      </c>
      <c r="B139" s="59" t="str">
        <f>SEA!A$8</f>
        <v>Kenny McIntosh</v>
      </c>
      <c r="C139" s="59" t="s">
        <v>119</v>
      </c>
      <c r="D139" s="59">
        <f>SEA!C$7</f>
        <v>5</v>
      </c>
      <c r="E139" s="60">
        <f>SEA!I$8</f>
        <v>21.984879000000003</v>
      </c>
      <c r="F139" s="60">
        <f>SEA!J$8</f>
        <v>91.896794220000004</v>
      </c>
      <c r="G139" s="60">
        <f>SEA!K$8</f>
        <v>0.65954637000000005</v>
      </c>
      <c r="H139" s="60">
        <f>SEA!L$8</f>
        <v>14.512060499999999</v>
      </c>
      <c r="I139" s="60">
        <f>SEA!M$8</f>
        <v>11.406479552999999</v>
      </c>
      <c r="J139" s="60">
        <f>SEA!N$8</f>
        <v>82.696976759249992</v>
      </c>
      <c r="K139" s="60">
        <f>SEA!O$8</f>
        <v>0.28516198882499999</v>
      </c>
      <c r="L139" s="60">
        <f t="shared" si="45"/>
        <v>23.127627250874998</v>
      </c>
      <c r="M139" s="60">
        <f t="shared" si="46"/>
        <v>28.830867027374996</v>
      </c>
      <c r="N139" s="60">
        <f t="shared" si="47"/>
        <v>34.534106803874998</v>
      </c>
      <c r="O13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28.830867027374996</v>
      </c>
      <c r="P139" s="96">
        <v>0</v>
      </c>
    </row>
    <row r="140" spans="1:16" x14ac:dyDescent="0.2">
      <c r="A140" s="59">
        <f>IF(TableRBMaster[[#This Row],[Player]]&lt;&gt;0,A139+1,A139)</f>
        <v>95</v>
      </c>
      <c r="B140" s="59">
        <f>SEA!A$9</f>
        <v>0</v>
      </c>
      <c r="C140" s="59" t="s">
        <v>119</v>
      </c>
      <c r="D140" s="59">
        <f>SEA!C$9</f>
        <v>5</v>
      </c>
      <c r="E140" s="60">
        <f>SEA!I$9</f>
        <v>0</v>
      </c>
      <c r="F140" s="60">
        <f>SEA!J$9</f>
        <v>0</v>
      </c>
      <c r="G140" s="60">
        <f>SEA!K$9</f>
        <v>0</v>
      </c>
      <c r="H140" s="60">
        <f>SEA!L$9</f>
        <v>0</v>
      </c>
      <c r="I140" s="60">
        <f>SEA!M$9</f>
        <v>0</v>
      </c>
      <c r="J140" s="60">
        <f>SEA!N$9</f>
        <v>0</v>
      </c>
      <c r="K140" s="60">
        <f>SEA!O$9</f>
        <v>0</v>
      </c>
      <c r="L140" s="60">
        <f t="shared" si="45"/>
        <v>0</v>
      </c>
      <c r="M140" s="60">
        <f t="shared" si="46"/>
        <v>0</v>
      </c>
      <c r="N140" s="60">
        <f t="shared" si="47"/>
        <v>0</v>
      </c>
      <c r="O14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0" s="96">
        <v>0</v>
      </c>
    </row>
    <row r="141" spans="1:16" x14ac:dyDescent="0.2">
      <c r="A141" s="59">
        <f>IF(TableRBMaster[[#This Row],[Player]]&lt;&gt;0,A140+1,A140)</f>
        <v>95</v>
      </c>
      <c r="B141" s="59">
        <f>SEA!A$10</f>
        <v>0</v>
      </c>
      <c r="C141" s="59" t="s">
        <v>119</v>
      </c>
      <c r="D141" s="59">
        <f>SEA!C$10</f>
        <v>5</v>
      </c>
      <c r="E141" s="60">
        <f>SEA!I$10</f>
        <v>0</v>
      </c>
      <c r="F141" s="60">
        <f>SEA!J$10</f>
        <v>0</v>
      </c>
      <c r="G141" s="60">
        <f>SEA!K$10</f>
        <v>0</v>
      </c>
      <c r="H141" s="60">
        <f>SEA!L$10</f>
        <v>0</v>
      </c>
      <c r="I141" s="60">
        <f>SEA!M$10</f>
        <v>0</v>
      </c>
      <c r="J141" s="60">
        <f>SEA!N$10</f>
        <v>0</v>
      </c>
      <c r="K141" s="60">
        <f>SEA!O$10</f>
        <v>0</v>
      </c>
      <c r="L141" s="60">
        <f t="shared" ref="L141:L161" si="48">(F141/10)+(G141*6)+(J141/10)+(K141*6)</f>
        <v>0</v>
      </c>
      <c r="M141" s="60">
        <f t="shared" ref="M141:M161" si="49">L141+(I141*0.5)</f>
        <v>0</v>
      </c>
      <c r="N141" s="60">
        <f t="shared" ref="N141:N161" si="50">L141+I141</f>
        <v>0</v>
      </c>
      <c r="O14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1" s="96">
        <v>0</v>
      </c>
    </row>
    <row r="142" spans="1:16" x14ac:dyDescent="0.2">
      <c r="A142" s="59">
        <f>IF(TableRBMaster[[#This Row],[Player]]&lt;&gt;0,A141+1,A141)</f>
        <v>96</v>
      </c>
      <c r="B142" s="59" t="str">
        <f>SF!A$6</f>
        <v>Christian McCaffrey</v>
      </c>
      <c r="C142" s="59" t="s">
        <v>120</v>
      </c>
      <c r="D142" s="59">
        <f>SF!C$6</f>
        <v>9</v>
      </c>
      <c r="E142" s="60">
        <f>SF!I$6</f>
        <v>219.44071799999998</v>
      </c>
      <c r="F142" s="60">
        <f>SF!J$6</f>
        <v>1059.89866794</v>
      </c>
      <c r="G142" s="60">
        <f>SF!K$6</f>
        <v>11.849798771999998</v>
      </c>
      <c r="H142" s="60">
        <f>SF!L$6</f>
        <v>90.530773199999985</v>
      </c>
      <c r="I142" s="60">
        <f>SF!M$6</f>
        <v>72.424618559999985</v>
      </c>
      <c r="J142" s="60">
        <f>SF!N$6</f>
        <v>600.4000878623998</v>
      </c>
      <c r="K142" s="60">
        <f>SF!O$6</f>
        <v>4.8524494435199994</v>
      </c>
      <c r="L142" s="60">
        <f t="shared" si="48"/>
        <v>266.24336487335995</v>
      </c>
      <c r="M142" s="60">
        <f t="shared" si="49"/>
        <v>302.45567415335995</v>
      </c>
      <c r="N142" s="60">
        <f t="shared" si="50"/>
        <v>338.66798343335995</v>
      </c>
      <c r="O14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302.45567415335995</v>
      </c>
      <c r="P142" s="96">
        <v>21.533108930351833</v>
      </c>
    </row>
    <row r="143" spans="1:16" x14ac:dyDescent="0.2">
      <c r="A143" s="59">
        <f>IF(TableRBMaster[[#This Row],[Player]]&lt;&gt;0,A142+1,A142)</f>
        <v>97</v>
      </c>
      <c r="B143" s="59" t="str">
        <f>SF!A$7</f>
        <v>Elijah Mitchell</v>
      </c>
      <c r="C143" s="59" t="s">
        <v>120</v>
      </c>
      <c r="D143" s="59">
        <f>SF!C$8</f>
        <v>9</v>
      </c>
      <c r="E143" s="60">
        <f>SF!I$7</f>
        <v>97.529207999999997</v>
      </c>
      <c r="F143" s="60">
        <f>SF!J$7</f>
        <v>391.09212407999996</v>
      </c>
      <c r="G143" s="60">
        <f>SF!K$7</f>
        <v>2.92587624</v>
      </c>
      <c r="H143" s="60">
        <f>SF!L$7</f>
        <v>10.650679199999999</v>
      </c>
      <c r="I143" s="60">
        <f>SF!M$7</f>
        <v>8.7442076231999994</v>
      </c>
      <c r="J143" s="60">
        <f>SF!N$7</f>
        <v>54.563855568767998</v>
      </c>
      <c r="K143" s="60">
        <f>SF!O$7</f>
        <v>0.28855885156560002</v>
      </c>
      <c r="L143" s="60">
        <f t="shared" si="48"/>
        <v>63.852208514270394</v>
      </c>
      <c r="M143" s="60">
        <f t="shared" si="49"/>
        <v>68.2243123258704</v>
      </c>
      <c r="N143" s="60">
        <f t="shared" si="50"/>
        <v>72.596416137470399</v>
      </c>
      <c r="O14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68.224312325870386</v>
      </c>
      <c r="P143" s="96">
        <v>6.803798802020828</v>
      </c>
    </row>
    <row r="144" spans="1:16" x14ac:dyDescent="0.2">
      <c r="A144" s="59">
        <f>IF(TableRBMaster[[#This Row],[Player]]&lt;&gt;0,A143+1,A143)</f>
        <v>98</v>
      </c>
      <c r="B144" s="59" t="str">
        <f>SF!A$8</f>
        <v>Jordan Mason</v>
      </c>
      <c r="C144" s="59" t="s">
        <v>120</v>
      </c>
      <c r="D144" s="59">
        <f>SF!C$7</f>
        <v>9</v>
      </c>
      <c r="E144" s="60">
        <f>SF!I$8</f>
        <v>14.629381199999997</v>
      </c>
      <c r="F144" s="60">
        <f>SF!J$8</f>
        <v>63.637808219999982</v>
      </c>
      <c r="G144" s="60">
        <f>SF!K$8</f>
        <v>0.36573452999999995</v>
      </c>
      <c r="H144" s="60">
        <f>SF!L$8</f>
        <v>5.3253395999999995</v>
      </c>
      <c r="I144" s="60">
        <f>SF!M$8</f>
        <v>3.7277377199999995</v>
      </c>
      <c r="J144" s="60">
        <f>SF!N$8</f>
        <v>30.530171926799994</v>
      </c>
      <c r="K144" s="60">
        <f>SF!O$8</f>
        <v>0.14165403335999999</v>
      </c>
      <c r="L144" s="60">
        <f t="shared" si="48"/>
        <v>12.461129394839997</v>
      </c>
      <c r="M144" s="60">
        <f t="shared" si="49"/>
        <v>14.324998254839997</v>
      </c>
      <c r="N144" s="60">
        <f t="shared" si="50"/>
        <v>16.188867114839997</v>
      </c>
      <c r="O14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14.324998254839997</v>
      </c>
      <c r="P144" s="96">
        <v>0</v>
      </c>
    </row>
    <row r="145" spans="1:16" x14ac:dyDescent="0.2">
      <c r="A145" s="59">
        <f>IF(TableRBMaster[[#This Row],[Player]]&lt;&gt;0,A144+1,A144)</f>
        <v>99</v>
      </c>
      <c r="B145" s="59" t="str">
        <f>SF!A$9</f>
        <v>Isaac Guerendo</v>
      </c>
      <c r="C145" s="59" t="s">
        <v>120</v>
      </c>
      <c r="D145" s="59">
        <f>SF!C$9</f>
        <v>9</v>
      </c>
      <c r="E145" s="60">
        <f>SF!I$9</f>
        <v>73.146905999999987</v>
      </c>
      <c r="F145" s="60">
        <f>SF!J$9</f>
        <v>330.62401511999991</v>
      </c>
      <c r="G145" s="60">
        <f>SF!K$9</f>
        <v>2.3407009919999995</v>
      </c>
      <c r="H145" s="60">
        <f>SF!L$9</f>
        <v>15.976018799999997</v>
      </c>
      <c r="I145" s="60">
        <f>SF!M$9</f>
        <v>12.109822250399997</v>
      </c>
      <c r="J145" s="60">
        <f>SF!N$9</f>
        <v>96.878578003199976</v>
      </c>
      <c r="K145" s="60">
        <f>SF!O$9</f>
        <v>0.5207223567671998</v>
      </c>
      <c r="L145" s="60">
        <f t="shared" si="48"/>
        <v>59.918799404923185</v>
      </c>
      <c r="M145" s="60">
        <f t="shared" si="49"/>
        <v>65.973710530123185</v>
      </c>
      <c r="N145" s="60">
        <f t="shared" si="50"/>
        <v>72.028621655323178</v>
      </c>
      <c r="O14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65.973710530123185</v>
      </c>
      <c r="P145" s="96">
        <v>0</v>
      </c>
    </row>
    <row r="146" spans="1:16" x14ac:dyDescent="0.2">
      <c r="A146" s="59">
        <f>IF(TableRBMaster[[#This Row],[Player]]&lt;&gt;0,A145+1,A145)</f>
        <v>99</v>
      </c>
      <c r="B146" s="59">
        <f>SF!A$10</f>
        <v>0</v>
      </c>
      <c r="C146" s="59" t="s">
        <v>120</v>
      </c>
      <c r="D146" s="59">
        <f>SF!C$10</f>
        <v>9</v>
      </c>
      <c r="E146" s="60">
        <f>SF!I$10</f>
        <v>0</v>
      </c>
      <c r="F146" s="60">
        <f>SF!J$10</f>
        <v>0</v>
      </c>
      <c r="G146" s="60">
        <f>SF!K$10</f>
        <v>0</v>
      </c>
      <c r="H146" s="60">
        <f>SF!L$10</f>
        <v>0</v>
      </c>
      <c r="I146" s="60">
        <f>SF!M$10</f>
        <v>0</v>
      </c>
      <c r="J146" s="60">
        <f>SF!N$10</f>
        <v>0</v>
      </c>
      <c r="K146" s="60">
        <f>SF!O$10</f>
        <v>0</v>
      </c>
      <c r="L146" s="60">
        <f t="shared" si="48"/>
        <v>0</v>
      </c>
      <c r="M146" s="60">
        <f t="shared" si="49"/>
        <v>0</v>
      </c>
      <c r="N146" s="60">
        <f t="shared" si="50"/>
        <v>0</v>
      </c>
      <c r="O14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6" s="96">
        <v>0</v>
      </c>
    </row>
    <row r="147" spans="1:16" x14ac:dyDescent="0.2">
      <c r="A147" s="59">
        <f>IF(TableRBMaster[[#This Row],[Player]]&lt;&gt;0,A146+1,A146)</f>
        <v>100</v>
      </c>
      <c r="B147" s="59" t="str">
        <f>TB!A$6</f>
        <v>Rachaad White</v>
      </c>
      <c r="C147" s="59" t="s">
        <v>121</v>
      </c>
      <c r="D147" s="59">
        <f>TB!C$6</f>
        <v>5</v>
      </c>
      <c r="E147" s="60">
        <f>TB!I$6</f>
        <v>216.33643080000004</v>
      </c>
      <c r="F147" s="60">
        <f>TB!J$6</f>
        <v>886.97936628000014</v>
      </c>
      <c r="G147" s="60">
        <f>TB!K$6</f>
        <v>6.4900929240000007</v>
      </c>
      <c r="H147" s="60">
        <f>TB!L$6</f>
        <v>62.270346599999996</v>
      </c>
      <c r="I147" s="60">
        <f>TB!M$6</f>
        <v>50.812602825599996</v>
      </c>
      <c r="J147" s="60">
        <f>TB!N$6</f>
        <v>416.66334316991993</v>
      </c>
      <c r="K147" s="60">
        <f>TB!O$6</f>
        <v>2.0325041130239998</v>
      </c>
      <c r="L147" s="60">
        <f t="shared" si="48"/>
        <v>181.499853167136</v>
      </c>
      <c r="M147" s="60">
        <f t="shared" si="49"/>
        <v>206.90615457993599</v>
      </c>
      <c r="N147" s="60">
        <f t="shared" si="50"/>
        <v>232.31245599273598</v>
      </c>
      <c r="O14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206.90615457993601</v>
      </c>
      <c r="P147" s="96">
        <v>14.38777229796065</v>
      </c>
    </row>
    <row r="148" spans="1:16" x14ac:dyDescent="0.2">
      <c r="A148" s="59">
        <f>IF(TableRBMaster[[#This Row],[Player]]&lt;&gt;0,A147+1,A147)</f>
        <v>101</v>
      </c>
      <c r="B148" s="59" t="str">
        <f>TB!A$7</f>
        <v>Chase Edmonds</v>
      </c>
      <c r="C148" s="59" t="s">
        <v>121</v>
      </c>
      <c r="D148" s="59">
        <f>TB!C$8</f>
        <v>5</v>
      </c>
      <c r="E148" s="60">
        <f>TB!I$7</f>
        <v>55.144580400000017</v>
      </c>
      <c r="F148" s="60">
        <f>TB!J$7</f>
        <v>215.61530936400007</v>
      </c>
      <c r="G148" s="60">
        <f>TB!K$7</f>
        <v>1.4889036708000005</v>
      </c>
      <c r="H148" s="60">
        <f>TB!L$7</f>
        <v>26.687291399999999</v>
      </c>
      <c r="I148" s="60">
        <f>TB!M$7</f>
        <v>19.348286264999999</v>
      </c>
      <c r="J148" s="60">
        <f>TB!N$7</f>
        <v>137.95328106944999</v>
      </c>
      <c r="K148" s="60">
        <f>TB!O$7</f>
        <v>0.77393145060000001</v>
      </c>
      <c r="L148" s="60">
        <f t="shared" si="48"/>
        <v>48.933869771745009</v>
      </c>
      <c r="M148" s="60">
        <f t="shared" si="49"/>
        <v>58.608012904245008</v>
      </c>
      <c r="N148" s="60">
        <f t="shared" si="50"/>
        <v>68.282156036745008</v>
      </c>
      <c r="O14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58.608012904245008</v>
      </c>
      <c r="P148" s="96">
        <v>8.5722927714506358</v>
      </c>
    </row>
    <row r="149" spans="1:16" x14ac:dyDescent="0.2">
      <c r="A149" s="59">
        <f>IF(TableRBMaster[[#This Row],[Player]]&lt;&gt;0,A148+1,A148)</f>
        <v>102</v>
      </c>
      <c r="B149" s="59" t="str">
        <f>TB!A$8</f>
        <v>Sean Tucker</v>
      </c>
      <c r="C149" s="59" t="s">
        <v>121</v>
      </c>
      <c r="D149" s="59">
        <f>TB!C$7</f>
        <v>5</v>
      </c>
      <c r="E149" s="60">
        <f>TB!I$8</f>
        <v>12.725672400000001</v>
      </c>
      <c r="F149" s="60">
        <f>TB!J$8</f>
        <v>51.284459772000005</v>
      </c>
      <c r="G149" s="60">
        <f>TB!K$8</f>
        <v>0.38177017200000002</v>
      </c>
      <c r="H149" s="60">
        <f>TB!L$8</f>
        <v>8.8957637999999992</v>
      </c>
      <c r="I149" s="60">
        <f>TB!M$8</f>
        <v>6.3960541721999995</v>
      </c>
      <c r="J149" s="60">
        <f>TB!N$8</f>
        <v>43.621089454404</v>
      </c>
      <c r="K149" s="60">
        <f>TB!O$8</f>
        <v>0.15990135430499999</v>
      </c>
      <c r="L149" s="60">
        <f t="shared" si="48"/>
        <v>12.7405840804704</v>
      </c>
      <c r="M149" s="60">
        <f t="shared" si="49"/>
        <v>15.9386111665704</v>
      </c>
      <c r="N149" s="60">
        <f t="shared" si="50"/>
        <v>19.136638252670402</v>
      </c>
      <c r="O14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15.938611166570402</v>
      </c>
      <c r="P149" s="96">
        <v>0</v>
      </c>
    </row>
    <row r="150" spans="1:16" x14ac:dyDescent="0.2">
      <c r="A150" s="59">
        <f>IF(TableRBMaster[[#This Row],[Player]]&lt;&gt;0,A149+1,A149)</f>
        <v>103</v>
      </c>
      <c r="B150" s="59" t="str">
        <f>TB!A$9</f>
        <v>Bucky Irving</v>
      </c>
      <c r="C150" s="59" t="s">
        <v>121</v>
      </c>
      <c r="D150" s="59">
        <f>TB!C$9</f>
        <v>5</v>
      </c>
      <c r="E150" s="60">
        <f>TB!I$9</f>
        <v>84.837816000000018</v>
      </c>
      <c r="F150" s="60">
        <f>TB!J$9</f>
        <v>355.47044904000012</v>
      </c>
      <c r="G150" s="60">
        <f>TB!K$9</f>
        <v>2.6299722960000005</v>
      </c>
      <c r="H150" s="60">
        <f>TB!L$9</f>
        <v>23.722036799999998</v>
      </c>
      <c r="I150" s="60">
        <f>TB!M$9</f>
        <v>19.119961660799998</v>
      </c>
      <c r="J150" s="60">
        <f>TB!N$9</f>
        <v>153.72449175283197</v>
      </c>
      <c r="K150" s="60">
        <f>TB!O$9</f>
        <v>0.66919865812799995</v>
      </c>
      <c r="L150" s="60">
        <f t="shared" si="48"/>
        <v>70.714519804051221</v>
      </c>
      <c r="M150" s="60">
        <f t="shared" si="49"/>
        <v>80.274500634451215</v>
      </c>
      <c r="N150" s="60">
        <f t="shared" si="50"/>
        <v>89.834481464851223</v>
      </c>
      <c r="O15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80.274500634451215</v>
      </c>
      <c r="P150" s="96">
        <v>0</v>
      </c>
    </row>
    <row r="151" spans="1:16" x14ac:dyDescent="0.2">
      <c r="A151" s="59">
        <f>IF(TableRBMaster[[#This Row],[Player]]&lt;&gt;0,A150+1,A150)</f>
        <v>103</v>
      </c>
      <c r="B151" s="59">
        <f>TB!A$10</f>
        <v>0</v>
      </c>
      <c r="C151" s="59" t="s">
        <v>121</v>
      </c>
      <c r="D151" s="59">
        <f>TB!C$10</f>
        <v>5</v>
      </c>
      <c r="E151" s="60">
        <f>TB!I$10</f>
        <v>0</v>
      </c>
      <c r="F151" s="60">
        <f>TB!J$10</f>
        <v>0</v>
      </c>
      <c r="G151" s="60">
        <f>TB!K$10</f>
        <v>0</v>
      </c>
      <c r="H151" s="60">
        <f>TB!L$10</f>
        <v>0</v>
      </c>
      <c r="I151" s="60">
        <f>TB!M$10</f>
        <v>0</v>
      </c>
      <c r="J151" s="60">
        <f>TB!N$10</f>
        <v>0</v>
      </c>
      <c r="K151" s="60">
        <f>TB!O$10</f>
        <v>0</v>
      </c>
      <c r="L151" s="60">
        <f t="shared" si="48"/>
        <v>0</v>
      </c>
      <c r="M151" s="60">
        <f t="shared" si="49"/>
        <v>0</v>
      </c>
      <c r="N151" s="60">
        <f t="shared" si="50"/>
        <v>0</v>
      </c>
      <c r="O15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1" s="96">
        <v>0</v>
      </c>
    </row>
    <row r="152" spans="1:16" x14ac:dyDescent="0.2">
      <c r="A152" s="59">
        <f>IF(TableRBMaster[[#This Row],[Player]]&lt;&gt;0,A151+1,A151)</f>
        <v>104</v>
      </c>
      <c r="B152" s="59" t="str">
        <f>TEN!A$6</f>
        <v>Tony Pollard</v>
      </c>
      <c r="C152" s="59" t="s">
        <v>122</v>
      </c>
      <c r="D152" s="59">
        <f>TEN!C$6</f>
        <v>7</v>
      </c>
      <c r="E152" s="60">
        <f>TEN!I$6</f>
        <v>187.224345</v>
      </c>
      <c r="F152" s="60">
        <f>TEN!J$6</f>
        <v>786.34224900000004</v>
      </c>
      <c r="G152" s="60">
        <f>TEN!K$6</f>
        <v>5.6167303500000001</v>
      </c>
      <c r="H152" s="60">
        <f>TEN!L$6</f>
        <v>41.054012999999991</v>
      </c>
      <c r="I152" s="60">
        <f>TEN!M$6</f>
        <v>31.488427970999993</v>
      </c>
      <c r="J152" s="60">
        <f>TEN!N$6</f>
        <v>234.27390410423996</v>
      </c>
      <c r="K152" s="60">
        <f>TEN!O$6</f>
        <v>1.1020949789849999</v>
      </c>
      <c r="L152" s="60">
        <f t="shared" si="48"/>
        <v>142.37456728433398</v>
      </c>
      <c r="M152" s="60">
        <f t="shared" si="49"/>
        <v>158.11878126983396</v>
      </c>
      <c r="N152" s="60">
        <f t="shared" si="50"/>
        <v>173.86299525533397</v>
      </c>
      <c r="O15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158.11878126983396</v>
      </c>
      <c r="P152" s="96">
        <v>49.098734107865603</v>
      </c>
    </row>
    <row r="153" spans="1:16" x14ac:dyDescent="0.2">
      <c r="A153" s="59">
        <f>IF(TableRBMaster[[#This Row],[Player]]&lt;&gt;0,A152+1,A152)</f>
        <v>105</v>
      </c>
      <c r="B153" s="59" t="str">
        <f>TEN!A$7</f>
        <v>Tyjae Spears</v>
      </c>
      <c r="C153" s="59" t="s">
        <v>122</v>
      </c>
      <c r="D153" s="59">
        <f>TEN!C$8</f>
        <v>7</v>
      </c>
      <c r="E153" s="60">
        <f>TEN!I$7</f>
        <v>166.42164000000002</v>
      </c>
      <c r="F153" s="60">
        <f>TEN!J$7</f>
        <v>722.2699176000001</v>
      </c>
      <c r="G153" s="60">
        <f>TEN!K$7</f>
        <v>5.4919141200000015</v>
      </c>
      <c r="H153" s="60">
        <f>TEN!L$7</f>
        <v>64.51344899999998</v>
      </c>
      <c r="I153" s="60">
        <f>TEN!M$7</f>
        <v>48.707653994999987</v>
      </c>
      <c r="J153" s="60">
        <f>TEN!N$7</f>
        <v>385.27754310044992</v>
      </c>
      <c r="K153" s="60">
        <f>TEN!O$7</f>
        <v>1.9483061597999995</v>
      </c>
      <c r="L153" s="60">
        <f t="shared" si="48"/>
        <v>155.39606774884498</v>
      </c>
      <c r="M153" s="60">
        <f t="shared" si="49"/>
        <v>179.74989474634498</v>
      </c>
      <c r="N153" s="60">
        <f t="shared" si="50"/>
        <v>204.10372174384497</v>
      </c>
      <c r="O15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179.74989474634501</v>
      </c>
      <c r="P153" s="96">
        <v>0</v>
      </c>
    </row>
    <row r="154" spans="1:16" x14ac:dyDescent="0.2">
      <c r="A154" s="59">
        <f>IF(TableRBMaster[[#This Row],[Player]]&lt;&gt;0,A153+1,A153)</f>
        <v>106</v>
      </c>
      <c r="B154" s="59" t="str">
        <f>TEN!A$8</f>
        <v>Hassan Haskins</v>
      </c>
      <c r="C154" s="59" t="s">
        <v>122</v>
      </c>
      <c r="D154" s="59">
        <f>TEN!C$7</f>
        <v>7</v>
      </c>
      <c r="E154" s="60">
        <f>TEN!I$8</f>
        <v>20.802705000000003</v>
      </c>
      <c r="F154" s="60">
        <f>TEN!J$8</f>
        <v>83.834901150000022</v>
      </c>
      <c r="G154" s="60">
        <f>TEN!K$8</f>
        <v>0.72809467500000014</v>
      </c>
      <c r="H154" s="60">
        <f>TEN!L$8</f>
        <v>11.729717999999997</v>
      </c>
      <c r="I154" s="60">
        <f>TEN!M$8</f>
        <v>7.9175596499999985</v>
      </c>
      <c r="J154" s="60">
        <f>TEN!N$8</f>
        <v>56.214673514999987</v>
      </c>
      <c r="K154" s="60">
        <f>TEN!O$8</f>
        <v>0.19793899124999997</v>
      </c>
      <c r="L154" s="60">
        <f t="shared" si="48"/>
        <v>19.561159464000003</v>
      </c>
      <c r="M154" s="60">
        <f t="shared" si="49"/>
        <v>23.519939289000003</v>
      </c>
      <c r="N154" s="60">
        <f t="shared" si="50"/>
        <v>27.478719114</v>
      </c>
      <c r="O15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23.519939289</v>
      </c>
      <c r="P154" s="96">
        <v>0</v>
      </c>
    </row>
    <row r="155" spans="1:16" x14ac:dyDescent="0.2">
      <c r="A155" s="59">
        <f>IF(TableRBMaster[[#This Row],[Player]]&lt;&gt;0,A154+1,A154)</f>
        <v>106</v>
      </c>
      <c r="B155" s="59">
        <f>TEN!A$9</f>
        <v>0</v>
      </c>
      <c r="C155" s="59" t="s">
        <v>122</v>
      </c>
      <c r="D155" s="59">
        <f>TEN!C$9</f>
        <v>7</v>
      </c>
      <c r="E155" s="60">
        <f>TEN!I$9</f>
        <v>0</v>
      </c>
      <c r="F155" s="60">
        <f>TEN!J$9</f>
        <v>0</v>
      </c>
      <c r="G155" s="60">
        <f>TEN!K$9</f>
        <v>0</v>
      </c>
      <c r="H155" s="60">
        <f>TEN!L$9</f>
        <v>0</v>
      </c>
      <c r="I155" s="60">
        <f>TEN!M$9</f>
        <v>0</v>
      </c>
      <c r="J155" s="60">
        <f>TEN!N$9</f>
        <v>0</v>
      </c>
      <c r="K155" s="60">
        <f>TEN!O$9</f>
        <v>0</v>
      </c>
      <c r="L155" s="60">
        <f t="shared" si="48"/>
        <v>0</v>
      </c>
      <c r="M155" s="60">
        <f t="shared" si="49"/>
        <v>0</v>
      </c>
      <c r="N155" s="60">
        <f t="shared" si="50"/>
        <v>0</v>
      </c>
      <c r="O15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5" s="96">
        <v>0</v>
      </c>
    </row>
    <row r="156" spans="1:16" x14ac:dyDescent="0.2">
      <c r="A156" s="59">
        <f>IF(TableRBMaster[[#This Row],[Player]]&lt;&gt;0,A155+1,A155)</f>
        <v>106</v>
      </c>
      <c r="B156" s="59">
        <f>TEN!A$10</f>
        <v>0</v>
      </c>
      <c r="C156" s="59" t="s">
        <v>122</v>
      </c>
      <c r="D156" s="59">
        <f>TEN!C$10</f>
        <v>7</v>
      </c>
      <c r="E156" s="60">
        <f>TEN!I$10</f>
        <v>0</v>
      </c>
      <c r="F156" s="60">
        <f>TEN!J$10</f>
        <v>0</v>
      </c>
      <c r="G156" s="60">
        <f>TEN!K$10</f>
        <v>0</v>
      </c>
      <c r="H156" s="60">
        <f>TEN!L$10</f>
        <v>0</v>
      </c>
      <c r="I156" s="60">
        <f>TEN!M$10</f>
        <v>0</v>
      </c>
      <c r="J156" s="60">
        <f>TEN!N$10</f>
        <v>0</v>
      </c>
      <c r="K156" s="60">
        <f>TEN!O$10</f>
        <v>0</v>
      </c>
      <c r="L156" s="60">
        <f t="shared" si="48"/>
        <v>0</v>
      </c>
      <c r="M156" s="60">
        <f t="shared" si="49"/>
        <v>0</v>
      </c>
      <c r="N156" s="60">
        <f t="shared" si="50"/>
        <v>0</v>
      </c>
      <c r="O15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6" s="96">
        <v>0</v>
      </c>
    </row>
    <row r="157" spans="1:16" x14ac:dyDescent="0.2">
      <c r="A157" s="59">
        <f>IF(TableRBMaster[[#This Row],[Player]]&lt;&gt;0,A156+1,A156)</f>
        <v>107</v>
      </c>
      <c r="B157" s="59" t="str">
        <f>WSH!A$6</f>
        <v>Austin Ekeler</v>
      </c>
      <c r="C157" s="59" t="s">
        <v>125</v>
      </c>
      <c r="D157" s="59">
        <f>WSH!C$6</f>
        <v>14</v>
      </c>
      <c r="E157" s="60">
        <f>WSH!I$6</f>
        <v>113.73416949999998</v>
      </c>
      <c r="F157" s="60">
        <f>WSH!J$6</f>
        <v>466.31009494999989</v>
      </c>
      <c r="G157" s="60">
        <f>WSH!K$6</f>
        <v>3.5257592544999992</v>
      </c>
      <c r="H157" s="60">
        <f>WSH!L$6</f>
        <v>65.513073500000004</v>
      </c>
      <c r="I157" s="60">
        <f>WSH!M$6</f>
        <v>49.396857419000007</v>
      </c>
      <c r="J157" s="60">
        <f>WSH!N$6</f>
        <v>396.65676507457005</v>
      </c>
      <c r="K157" s="60">
        <f>WSH!O$6</f>
        <v>1.7288900096650004</v>
      </c>
      <c r="L157" s="60">
        <f t="shared" si="48"/>
        <v>117.824581587447</v>
      </c>
      <c r="M157" s="60">
        <f t="shared" si="49"/>
        <v>142.52301029694701</v>
      </c>
      <c r="N157" s="60">
        <f t="shared" si="50"/>
        <v>167.22143900644701</v>
      </c>
      <c r="O15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142.52301029694701</v>
      </c>
      <c r="P157" s="96">
        <v>33.598856158456854</v>
      </c>
    </row>
    <row r="158" spans="1:16" x14ac:dyDescent="0.2">
      <c r="A158" s="59">
        <f>IF(TableRBMaster[[#This Row],[Player]]&lt;&gt;0,A157+1,A157)</f>
        <v>108</v>
      </c>
      <c r="B158" s="59" t="str">
        <f>WSH!A$7</f>
        <v>Brian Robinson</v>
      </c>
      <c r="C158" s="59" t="s">
        <v>125</v>
      </c>
      <c r="D158" s="59">
        <f>WSH!C$8</f>
        <v>14</v>
      </c>
      <c r="E158" s="60">
        <f>WSH!I$7</f>
        <v>208.89949499999997</v>
      </c>
      <c r="F158" s="60">
        <f>WSH!J$7</f>
        <v>883.64486384999998</v>
      </c>
      <c r="G158" s="60">
        <f>WSH!K$7</f>
        <v>6.6847838399999997</v>
      </c>
      <c r="H158" s="60">
        <f>WSH!L$7</f>
        <v>34.180733999999994</v>
      </c>
      <c r="I158" s="60">
        <f>WSH!M$7</f>
        <v>25.327923893999994</v>
      </c>
      <c r="J158" s="60">
        <f>WSH!N$7</f>
        <v>195.02501398379997</v>
      </c>
      <c r="K158" s="60">
        <f>WSH!O$7</f>
        <v>0.78516564071399986</v>
      </c>
      <c r="L158" s="60">
        <f t="shared" si="48"/>
        <v>152.68668466766397</v>
      </c>
      <c r="M158" s="60">
        <f t="shared" si="49"/>
        <v>165.35064661466396</v>
      </c>
      <c r="N158" s="60">
        <f t="shared" si="50"/>
        <v>178.01460856166398</v>
      </c>
      <c r="O15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165.35064661466396</v>
      </c>
      <c r="P158" s="96">
        <v>0</v>
      </c>
    </row>
    <row r="159" spans="1:16" x14ac:dyDescent="0.2">
      <c r="A159" s="59">
        <f>IF(TableRBMaster[[#This Row],[Player]]&lt;&gt;0,A158+1,A158)</f>
        <v>109</v>
      </c>
      <c r="B159" s="59" t="str">
        <f>WSH!A$8</f>
        <v>Chris Rodriguez</v>
      </c>
      <c r="C159" s="59" t="s">
        <v>125</v>
      </c>
      <c r="D159" s="59">
        <f>WSH!C$7</f>
        <v>14</v>
      </c>
      <c r="E159" s="60">
        <f>WSH!I$8</f>
        <v>16.247738500000001</v>
      </c>
      <c r="F159" s="60">
        <f>WSH!J$8</f>
        <v>68.24050170000001</v>
      </c>
      <c r="G159" s="60">
        <f>WSH!K$8</f>
        <v>0.40619346250000005</v>
      </c>
      <c r="H159" s="60">
        <f>WSH!L$8</f>
        <v>8.5451834999999985</v>
      </c>
      <c r="I159" s="60">
        <f>WSH!M$8</f>
        <v>6.1781676704999988</v>
      </c>
      <c r="J159" s="60">
        <f>WSH!N$8</f>
        <v>43.123610340089996</v>
      </c>
      <c r="K159" s="60">
        <f>WSH!O$8</f>
        <v>0.15445419176249997</v>
      </c>
      <c r="L159" s="60">
        <f t="shared" si="48"/>
        <v>14.500297129584002</v>
      </c>
      <c r="M159" s="60">
        <f t="shared" si="49"/>
        <v>17.589380964834</v>
      </c>
      <c r="N159" s="60">
        <f t="shared" si="50"/>
        <v>20.678464800084001</v>
      </c>
      <c r="O15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17.589380964834</v>
      </c>
      <c r="P159" s="96">
        <v>0</v>
      </c>
    </row>
    <row r="160" spans="1:16" x14ac:dyDescent="0.2">
      <c r="A160" s="59">
        <f>IF(TableRBMaster[[#This Row],[Player]]&lt;&gt;0,A159+1,A159)</f>
        <v>109</v>
      </c>
      <c r="B160" s="59">
        <f>WSH!A$9</f>
        <v>0</v>
      </c>
      <c r="C160" s="59" t="s">
        <v>125</v>
      </c>
      <c r="D160" s="59">
        <f>WSH!C$9</f>
        <v>14</v>
      </c>
      <c r="E160" s="60">
        <f>WSH!I$9</f>
        <v>0</v>
      </c>
      <c r="F160" s="60">
        <f>WSH!J$9</f>
        <v>0</v>
      </c>
      <c r="G160" s="60">
        <f>WSH!K$9</f>
        <v>0</v>
      </c>
      <c r="H160" s="60">
        <f>WSH!L$9</f>
        <v>0</v>
      </c>
      <c r="I160" s="60">
        <f>WSH!M$9</f>
        <v>0</v>
      </c>
      <c r="J160" s="60">
        <f>WSH!N$9</f>
        <v>0</v>
      </c>
      <c r="K160" s="60">
        <f>WSH!O$9</f>
        <v>0</v>
      </c>
      <c r="L160" s="60">
        <f t="shared" si="48"/>
        <v>0</v>
      </c>
      <c r="M160" s="60">
        <f t="shared" si="49"/>
        <v>0</v>
      </c>
      <c r="N160" s="60">
        <f t="shared" si="50"/>
        <v>0</v>
      </c>
      <c r="O16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0" s="96">
        <v>0</v>
      </c>
    </row>
    <row r="161" spans="1:16" x14ac:dyDescent="0.2">
      <c r="A161" s="59">
        <f>IF(TableRBMaster[[#This Row],[Player]]&lt;&gt;0,A160+1,A160)</f>
        <v>109</v>
      </c>
      <c r="B161" s="59">
        <f>WSH!A$10</f>
        <v>0</v>
      </c>
      <c r="C161" s="59" t="s">
        <v>125</v>
      </c>
      <c r="D161" s="59">
        <f>WSH!C$10</f>
        <v>14</v>
      </c>
      <c r="E161" s="60">
        <f>WSH!I$10</f>
        <v>0</v>
      </c>
      <c r="F161" s="60">
        <f>WSH!J$10</f>
        <v>0</v>
      </c>
      <c r="G161" s="60">
        <f>WSH!K$10</f>
        <v>0</v>
      </c>
      <c r="H161" s="60">
        <f>WSH!L$10</f>
        <v>0</v>
      </c>
      <c r="I161" s="60">
        <f>WSH!M$10</f>
        <v>0</v>
      </c>
      <c r="J161" s="60">
        <f>WSH!N$10</f>
        <v>0</v>
      </c>
      <c r="K161" s="60">
        <f>WSH!O$10</f>
        <v>0</v>
      </c>
      <c r="L161" s="60">
        <f t="shared" si="48"/>
        <v>0</v>
      </c>
      <c r="M161" s="60">
        <f t="shared" si="49"/>
        <v>0</v>
      </c>
      <c r="N161" s="60">
        <f t="shared" si="50"/>
        <v>0</v>
      </c>
      <c r="O16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1" s="96">
        <v>0</v>
      </c>
    </row>
  </sheetData>
  <sortState xmlns:xlrd2="http://schemas.microsoft.com/office/spreadsheetml/2017/richdata2" ref="B2:N120">
    <sortCondition ref="C2:C120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"/>
  <dimension ref="A1:O203"/>
  <sheetViews>
    <sheetView showGridLines="0" zoomScale="85" zoomScaleNormal="85" workbookViewId="0"/>
  </sheetViews>
  <sheetFormatPr baseColWidth="10" defaultColWidth="9.19921875" defaultRowHeight="15" x14ac:dyDescent="0.2"/>
  <cols>
    <col min="1" max="1" width="9.796875" style="59" bestFit="1" customWidth="1"/>
    <col min="2" max="2" width="25.59765625" style="59" bestFit="1" customWidth="1"/>
    <col min="3" max="3" width="6.59765625" style="59" bestFit="1" customWidth="1"/>
    <col min="4" max="4" width="7" style="59" bestFit="1" customWidth="1"/>
    <col min="5" max="6" width="8.796875" style="59" bestFit="1" customWidth="1"/>
    <col min="7" max="7" width="7.19921875" style="59" bestFit="1" customWidth="1"/>
    <col min="8" max="8" width="7" style="59" bestFit="1" customWidth="1"/>
    <col min="9" max="10" width="8.3984375" style="59" bestFit="1" customWidth="1"/>
    <col min="11" max="11" width="6.796875" style="59" bestFit="1" customWidth="1"/>
    <col min="12" max="12" width="8.19921875" style="59" bestFit="1" customWidth="1"/>
    <col min="13" max="13" width="7" style="59" bestFit="1" customWidth="1"/>
    <col min="14" max="14" width="10" style="59" bestFit="1" customWidth="1"/>
    <col min="15" max="15" width="8.3984375" style="59" bestFit="1" customWidth="1"/>
    <col min="16" max="16384" width="9.19921875" style="59"/>
  </cols>
  <sheetData>
    <row r="1" spans="1:15" x14ac:dyDescent="0.2">
      <c r="A1" s="88" t="s">
        <v>377</v>
      </c>
      <c r="B1" s="88" t="s">
        <v>340</v>
      </c>
      <c r="C1" s="88" t="s">
        <v>92</v>
      </c>
      <c r="D1" s="88" t="s">
        <v>128</v>
      </c>
      <c r="E1" s="87" t="s">
        <v>135</v>
      </c>
      <c r="F1" s="87" t="s">
        <v>136</v>
      </c>
      <c r="G1" s="87" t="s">
        <v>3</v>
      </c>
      <c r="H1" s="87" t="s">
        <v>4</v>
      </c>
      <c r="I1" s="87" t="s">
        <v>144</v>
      </c>
      <c r="J1" s="87" t="s">
        <v>145</v>
      </c>
      <c r="K1" s="88" t="s">
        <v>123</v>
      </c>
      <c r="L1" s="88" t="s">
        <v>126</v>
      </c>
      <c r="M1" s="88" t="s">
        <v>127</v>
      </c>
      <c r="N1" s="88" t="s">
        <v>336</v>
      </c>
      <c r="O1" s="88" t="s">
        <v>310</v>
      </c>
    </row>
    <row r="2" spans="1:15" x14ac:dyDescent="0.2">
      <c r="A2" s="59">
        <v>1</v>
      </c>
      <c r="B2" s="59" t="str">
        <f>ARI!A13</f>
        <v>Marvin Harrison</v>
      </c>
      <c r="C2" s="59" t="s">
        <v>93</v>
      </c>
      <c r="D2" s="59">
        <f>ARI!C13</f>
        <v>14</v>
      </c>
      <c r="E2" s="60">
        <f>ARI!J13</f>
        <v>0</v>
      </c>
      <c r="F2" s="60">
        <f>ARI!K13</f>
        <v>0</v>
      </c>
      <c r="G2" s="60">
        <f>ARI!L13</f>
        <v>141.52572000000001</v>
      </c>
      <c r="H2" s="60">
        <f>ARI!M13</f>
        <v>88.595100720000005</v>
      </c>
      <c r="I2" s="60">
        <f>ARI!N13</f>
        <v>1190.7181536768001</v>
      </c>
      <c r="J2" s="60">
        <f>ARI!O13</f>
        <v>6.9104178561600005</v>
      </c>
      <c r="K2" s="60">
        <f t="shared" ref="K2:K65" si="0">(E2/10)+(F2*6)+(I2/10)+(J2*6)</f>
        <v>160.53432250463999</v>
      </c>
      <c r="L2" s="60">
        <f t="shared" ref="L2:L33" si="1">K2+(H2*0.5)</f>
        <v>204.83187286463999</v>
      </c>
      <c r="M2" s="60">
        <f t="shared" ref="M2:M33" si="2">K2+H2</f>
        <v>249.12942322463999</v>
      </c>
      <c r="N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204.83187286464002</v>
      </c>
      <c r="O2" s="96">
        <v>36.388473674194124</v>
      </c>
    </row>
    <row r="3" spans="1:15" x14ac:dyDescent="0.2">
      <c r="A3" s="59">
        <f>IF(TableWRMaster[[#This Row],[Player]]&lt;&gt;0,A2+1,A2)</f>
        <v>2</v>
      </c>
      <c r="B3" s="59" t="str">
        <f>ARI!A14</f>
        <v>Michael Wilson</v>
      </c>
      <c r="C3" s="59" t="s">
        <v>93</v>
      </c>
      <c r="D3" s="59">
        <f>ARI!C14</f>
        <v>14</v>
      </c>
      <c r="E3" s="60">
        <f>ARI!J14</f>
        <v>0</v>
      </c>
      <c r="F3" s="60">
        <f>ARI!K14</f>
        <v>0</v>
      </c>
      <c r="G3" s="60">
        <f>ARI!L14</f>
        <v>109.0927425</v>
      </c>
      <c r="H3" s="60">
        <f>ARI!M14</f>
        <v>65.782923727499991</v>
      </c>
      <c r="I3" s="60">
        <f>ARI!N14</f>
        <v>828.86483896649986</v>
      </c>
      <c r="J3" s="60">
        <f>ARI!O14</f>
        <v>4.8021534321074988</v>
      </c>
      <c r="K3" s="60">
        <f t="shared" si="0"/>
        <v>111.69940448929498</v>
      </c>
      <c r="L3" s="60">
        <f t="shared" si="1"/>
        <v>144.59086635304499</v>
      </c>
      <c r="M3" s="60">
        <f t="shared" si="2"/>
        <v>177.48232821679497</v>
      </c>
      <c r="N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144.59086635304499</v>
      </c>
      <c r="O3" s="96">
        <v>0</v>
      </c>
    </row>
    <row r="4" spans="1:15" x14ac:dyDescent="0.2">
      <c r="A4" s="59">
        <f>IF(TableWRMaster[[#This Row],[Player]]&lt;&gt;0,A3+1,A3)</f>
        <v>3</v>
      </c>
      <c r="B4" s="59" t="str">
        <f>ARI!A15</f>
        <v>Greg Dortch</v>
      </c>
      <c r="C4" s="59" t="s">
        <v>93</v>
      </c>
      <c r="D4" s="59">
        <f>ARI!C15</f>
        <v>14</v>
      </c>
      <c r="E4" s="60">
        <f>ARI!J15</f>
        <v>45.582553799999999</v>
      </c>
      <c r="F4" s="60">
        <f>ARI!K15</f>
        <v>0.18160380000000001</v>
      </c>
      <c r="G4" s="60">
        <f>ARI!L15</f>
        <v>64.865955</v>
      </c>
      <c r="H4" s="60">
        <f>ARI!M15</f>
        <v>42.162870750000003</v>
      </c>
      <c r="I4" s="60">
        <f>ARI!N15</f>
        <v>448.19131607250006</v>
      </c>
      <c r="J4" s="60">
        <f>ARI!O15</f>
        <v>2.3189578912500002</v>
      </c>
      <c r="K4" s="60">
        <f t="shared" si="0"/>
        <v>64.380757134750013</v>
      </c>
      <c r="L4" s="60">
        <f t="shared" si="1"/>
        <v>85.462192509750011</v>
      </c>
      <c r="M4" s="60">
        <f t="shared" si="2"/>
        <v>106.54362788475001</v>
      </c>
      <c r="N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85.462192509750011</v>
      </c>
      <c r="O4" s="96">
        <v>0</v>
      </c>
    </row>
    <row r="5" spans="1:15" x14ac:dyDescent="0.2">
      <c r="A5" s="59">
        <f>IF(TableWRMaster[[#This Row],[Player]]&lt;&gt;0,A4+1,A4)</f>
        <v>4</v>
      </c>
      <c r="B5" s="59" t="str">
        <f>ARI!A16</f>
        <v>Chris Moore</v>
      </c>
      <c r="C5" s="59" t="s">
        <v>93</v>
      </c>
      <c r="D5" s="59">
        <f>ARI!C16</f>
        <v>14</v>
      </c>
      <c r="E5" s="60">
        <f>ARI!J16</f>
        <v>0</v>
      </c>
      <c r="F5" s="60">
        <f>ARI!K16</f>
        <v>0</v>
      </c>
      <c r="G5" s="60">
        <f>ARI!L16</f>
        <v>20.639167500000003</v>
      </c>
      <c r="H5" s="60">
        <f>ARI!M16</f>
        <v>12.383500500000002</v>
      </c>
      <c r="I5" s="60">
        <f>ARI!N16</f>
        <v>134.98015545000001</v>
      </c>
      <c r="J5" s="60">
        <f>ARI!O16</f>
        <v>0.6191750250000001</v>
      </c>
      <c r="K5" s="60">
        <f t="shared" si="0"/>
        <v>17.213065695000001</v>
      </c>
      <c r="L5" s="60">
        <f t="shared" si="1"/>
        <v>23.404815945000003</v>
      </c>
      <c r="M5" s="60">
        <f t="shared" si="2"/>
        <v>29.596566195000001</v>
      </c>
      <c r="N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23.404815945000003</v>
      </c>
      <c r="O5" s="96">
        <v>0</v>
      </c>
    </row>
    <row r="6" spans="1:15" x14ac:dyDescent="0.2">
      <c r="A6" s="59">
        <f>IF(TableWRMaster[[#This Row],[Player]]&lt;&gt;0,A5+1,A5)</f>
        <v>5</v>
      </c>
      <c r="B6" s="59" t="str">
        <f>ARI!A17</f>
        <v>Zach Pascal</v>
      </c>
      <c r="C6" s="59" t="s">
        <v>93</v>
      </c>
      <c r="D6" s="59">
        <f>ARI!C17</f>
        <v>14</v>
      </c>
      <c r="E6" s="60">
        <f>ARI!J17</f>
        <v>0</v>
      </c>
      <c r="F6" s="60">
        <f>ARI!K17</f>
        <v>0</v>
      </c>
      <c r="G6" s="60">
        <f>ARI!L17</f>
        <v>11.793810000000001</v>
      </c>
      <c r="H6" s="60">
        <f>ARI!M17</f>
        <v>6.8522036100000001</v>
      </c>
      <c r="I6" s="60">
        <f>ARI!N17</f>
        <v>77.429900793000002</v>
      </c>
      <c r="J6" s="60">
        <f>ARI!O17</f>
        <v>0.41113221659999999</v>
      </c>
      <c r="K6" s="60">
        <f t="shared" si="0"/>
        <v>10.209783378899999</v>
      </c>
      <c r="L6" s="60">
        <f t="shared" si="1"/>
        <v>13.635885183899999</v>
      </c>
      <c r="M6" s="60">
        <f t="shared" si="2"/>
        <v>17.061986988899999</v>
      </c>
      <c r="N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13.635885183900001</v>
      </c>
      <c r="O6" s="96">
        <v>0</v>
      </c>
    </row>
    <row r="7" spans="1:15" x14ac:dyDescent="0.2">
      <c r="A7" s="59">
        <f>IF(TableWRMaster[[#This Row],[Player]]&lt;&gt;0,A6+1,A6)</f>
        <v>5</v>
      </c>
      <c r="B7" s="59">
        <f>ARI!A18</f>
        <v>0</v>
      </c>
      <c r="C7" s="59" t="s">
        <v>93</v>
      </c>
      <c r="D7" s="59">
        <f>ARI!C18</f>
        <v>14</v>
      </c>
      <c r="E7" s="60">
        <f>ARI!J18</f>
        <v>0</v>
      </c>
      <c r="F7" s="60">
        <f>ARI!K18</f>
        <v>0</v>
      </c>
      <c r="G7" s="60">
        <f>ARI!L18</f>
        <v>0</v>
      </c>
      <c r="H7" s="60">
        <f>ARI!M18</f>
        <v>0</v>
      </c>
      <c r="I7" s="60">
        <f>ARI!N18</f>
        <v>0</v>
      </c>
      <c r="J7" s="60">
        <f>ARI!O18</f>
        <v>0</v>
      </c>
      <c r="K7" s="60">
        <f t="shared" si="0"/>
        <v>0</v>
      </c>
      <c r="L7" s="60">
        <f t="shared" si="1"/>
        <v>0</v>
      </c>
      <c r="M7" s="60">
        <f t="shared" si="2"/>
        <v>0</v>
      </c>
      <c r="N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7" s="96">
        <v>0</v>
      </c>
    </row>
    <row r="8" spans="1:15" x14ac:dyDescent="0.2">
      <c r="A8" s="59">
        <f>IF(TableWRMaster[[#This Row],[Player]]&lt;&gt;0,A7+1,A7)</f>
        <v>6</v>
      </c>
      <c r="B8" s="59" t="str">
        <f>ATL!A13</f>
        <v>Drake London</v>
      </c>
      <c r="C8" s="59" t="s">
        <v>94</v>
      </c>
      <c r="D8" s="59">
        <f>ATL!C13</f>
        <v>11</v>
      </c>
      <c r="E8" s="60">
        <f>ATL!J13</f>
        <v>0</v>
      </c>
      <c r="F8" s="60">
        <f>ATL!K13</f>
        <v>0</v>
      </c>
      <c r="G8" s="60">
        <f>ATL!L13</f>
        <v>129.40527599999996</v>
      </c>
      <c r="H8" s="60">
        <f>ATL!M13</f>
        <v>84.242834675999973</v>
      </c>
      <c r="I8" s="60">
        <f>ATL!N13</f>
        <v>1078.3082838527996</v>
      </c>
      <c r="J8" s="60">
        <f>ATL!O13</f>
        <v>7.7503407901919976</v>
      </c>
      <c r="K8" s="60">
        <f t="shared" si="0"/>
        <v>154.33287312643193</v>
      </c>
      <c r="L8" s="60">
        <f t="shared" si="1"/>
        <v>196.45429046443192</v>
      </c>
      <c r="M8" s="60">
        <f t="shared" si="2"/>
        <v>238.57570780243191</v>
      </c>
      <c r="N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196.45429046443195</v>
      </c>
      <c r="O8" s="96">
        <v>36.61908422611036</v>
      </c>
    </row>
    <row r="9" spans="1:15" x14ac:dyDescent="0.2">
      <c r="A9" s="59">
        <f>IF(TableWRMaster[[#This Row],[Player]]&lt;&gt;0,A8+1,A8)</f>
        <v>7</v>
      </c>
      <c r="B9" s="59" t="str">
        <f>ATL!A14</f>
        <v>Darnell Mooney</v>
      </c>
      <c r="C9" s="59" t="s">
        <v>94</v>
      </c>
      <c r="D9" s="59">
        <f>ATL!C14</f>
        <v>11</v>
      </c>
      <c r="E9" s="60">
        <f>ATL!J14</f>
        <v>0</v>
      </c>
      <c r="F9" s="60">
        <f>ATL!K14</f>
        <v>0</v>
      </c>
      <c r="G9" s="60">
        <f>ATL!L14</f>
        <v>92.02152959999998</v>
      </c>
      <c r="H9" s="60">
        <f>ATL!M14</f>
        <v>55.581003878399983</v>
      </c>
      <c r="I9" s="60">
        <f>ATL!N14</f>
        <v>772.57595390975973</v>
      </c>
      <c r="J9" s="60">
        <f>ATL!O14</f>
        <v>5.5581003878399988</v>
      </c>
      <c r="K9" s="60">
        <f t="shared" si="0"/>
        <v>110.60619771801598</v>
      </c>
      <c r="L9" s="60">
        <f t="shared" si="1"/>
        <v>138.39669965721598</v>
      </c>
      <c r="M9" s="60">
        <f t="shared" si="2"/>
        <v>166.18720159641595</v>
      </c>
      <c r="N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138.39669965721598</v>
      </c>
      <c r="O9" s="96">
        <v>0.86653756075019195</v>
      </c>
    </row>
    <row r="10" spans="1:15" x14ac:dyDescent="0.2">
      <c r="A10" s="59">
        <f>IF(TableWRMaster[[#This Row],[Player]]&lt;&gt;0,A9+1,A9)</f>
        <v>8</v>
      </c>
      <c r="B10" s="59" t="str">
        <f>ATL!A15</f>
        <v>Rondale Moore</v>
      </c>
      <c r="C10" s="59" t="s">
        <v>94</v>
      </c>
      <c r="D10" s="59">
        <f>ATL!C15</f>
        <v>11</v>
      </c>
      <c r="E10" s="60">
        <f>ATL!J15</f>
        <v>0</v>
      </c>
      <c r="F10" s="60">
        <f>ATL!K15</f>
        <v>0</v>
      </c>
      <c r="G10" s="60">
        <f>ATL!L15</f>
        <v>66.140474399999988</v>
      </c>
      <c r="H10" s="60">
        <f>ATL!M15</f>
        <v>47.687282042399993</v>
      </c>
      <c r="I10" s="60">
        <f>ATL!N15</f>
        <v>472.10409221975993</v>
      </c>
      <c r="J10" s="60">
        <f>ATL!O15</f>
        <v>3.1950478968407996</v>
      </c>
      <c r="K10" s="60">
        <f t="shared" si="0"/>
        <v>66.380696603020795</v>
      </c>
      <c r="L10" s="60">
        <f t="shared" si="1"/>
        <v>90.224337624220794</v>
      </c>
      <c r="M10" s="60">
        <f t="shared" si="2"/>
        <v>114.06797864542079</v>
      </c>
      <c r="N1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90.224337624220794</v>
      </c>
      <c r="O10" s="96">
        <v>0</v>
      </c>
    </row>
    <row r="11" spans="1:15" x14ac:dyDescent="0.2">
      <c r="A11" s="59">
        <f>IF(TableWRMaster[[#This Row],[Player]]&lt;&gt;0,A10+1,A10)</f>
        <v>9</v>
      </c>
      <c r="B11" s="59" t="str">
        <f>ATL!A16</f>
        <v>Ray-Ray McCloud</v>
      </c>
      <c r="C11" s="59" t="s">
        <v>94</v>
      </c>
      <c r="D11" s="59">
        <f>ATL!C16</f>
        <v>11</v>
      </c>
      <c r="E11" s="60">
        <f>ATL!J16</f>
        <v>0</v>
      </c>
      <c r="F11" s="60">
        <f>ATL!K16</f>
        <v>0</v>
      </c>
      <c r="G11" s="60">
        <f>ATL!L16</f>
        <v>17.254036799999994</v>
      </c>
      <c r="H11" s="60">
        <f>ATL!M16</f>
        <v>12.233112091199995</v>
      </c>
      <c r="I11" s="60">
        <f>ATL!N16</f>
        <v>125.02240557206396</v>
      </c>
      <c r="J11" s="60">
        <f>ATL!O16</f>
        <v>0.85631784638399977</v>
      </c>
      <c r="K11" s="60">
        <f t="shared" si="0"/>
        <v>17.640147635510395</v>
      </c>
      <c r="L11" s="60">
        <f t="shared" si="1"/>
        <v>23.756703681110395</v>
      </c>
      <c r="M11" s="60">
        <f t="shared" si="2"/>
        <v>29.873259726710391</v>
      </c>
      <c r="N1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23.756703681110395</v>
      </c>
      <c r="O11" s="96">
        <v>0</v>
      </c>
    </row>
    <row r="12" spans="1:15" x14ac:dyDescent="0.2">
      <c r="A12" s="59">
        <f>IF(TableWRMaster[[#This Row],[Player]]&lt;&gt;0,A11+1,A11)</f>
        <v>10</v>
      </c>
      <c r="B12" s="59" t="str">
        <f>ATL!A17</f>
        <v>KhaDarel Hodge</v>
      </c>
      <c r="C12" s="59" t="s">
        <v>94</v>
      </c>
      <c r="D12" s="59">
        <f>ATL!C17</f>
        <v>11</v>
      </c>
      <c r="E12" s="60">
        <f>ATL!J17</f>
        <v>0</v>
      </c>
      <c r="F12" s="60">
        <f>ATL!K17</f>
        <v>0</v>
      </c>
      <c r="G12" s="60">
        <f>ATL!L17</f>
        <v>17.254036799999994</v>
      </c>
      <c r="H12" s="60">
        <f>ATL!M17</f>
        <v>10.593978595199996</v>
      </c>
      <c r="I12" s="60">
        <f>ATL!N17</f>
        <v>106.57542466771196</v>
      </c>
      <c r="J12" s="60">
        <f>ATL!O17</f>
        <v>0.74157850166399975</v>
      </c>
      <c r="K12" s="60">
        <f t="shared" si="0"/>
        <v>15.107013476755194</v>
      </c>
      <c r="L12" s="60">
        <f t="shared" si="1"/>
        <v>20.404002774355192</v>
      </c>
      <c r="M12" s="60">
        <f t="shared" si="2"/>
        <v>25.700992071955191</v>
      </c>
      <c r="N1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20.404002774355192</v>
      </c>
      <c r="O12" s="96">
        <v>0</v>
      </c>
    </row>
    <row r="13" spans="1:15" x14ac:dyDescent="0.2">
      <c r="A13" s="59">
        <f>IF(TableWRMaster[[#This Row],[Player]]&lt;&gt;0,A12+1,A12)</f>
        <v>11</v>
      </c>
      <c r="B13" s="59" t="str">
        <f>ATL!A18</f>
        <v>Casey Washington</v>
      </c>
      <c r="C13" s="59" t="s">
        <v>94</v>
      </c>
      <c r="D13" s="59">
        <f>ATL!C18</f>
        <v>11</v>
      </c>
      <c r="E13" s="60">
        <f>ATL!J18</f>
        <v>0</v>
      </c>
      <c r="F13" s="60">
        <f>ATL!K18</f>
        <v>0</v>
      </c>
      <c r="G13" s="60">
        <f>ATL!L18</f>
        <v>5.7513455999999987</v>
      </c>
      <c r="H13" s="60">
        <f>ATL!M18</f>
        <v>3.7556286767999993</v>
      </c>
      <c r="I13" s="60">
        <f>ATL!N18</f>
        <v>36.429598164959991</v>
      </c>
      <c r="J13" s="60">
        <f>ATL!O18</f>
        <v>0.24411586399199997</v>
      </c>
      <c r="K13" s="60">
        <f t="shared" si="0"/>
        <v>5.1076550004479984</v>
      </c>
      <c r="L13" s="60">
        <f t="shared" si="1"/>
        <v>6.9854693388479978</v>
      </c>
      <c r="M13" s="60">
        <f t="shared" si="2"/>
        <v>8.8632836772479973</v>
      </c>
      <c r="N1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6.9854693388479987</v>
      </c>
      <c r="O13" s="96">
        <v>0</v>
      </c>
    </row>
    <row r="14" spans="1:15" x14ac:dyDescent="0.2">
      <c r="A14" s="59">
        <f>IF(TableWRMaster[[#This Row],[Player]]&lt;&gt;0,A13+1,A13)</f>
        <v>12</v>
      </c>
      <c r="B14" s="59" t="str">
        <f>BAL!A13</f>
        <v>Zay Flowers</v>
      </c>
      <c r="C14" s="59" t="s">
        <v>95</v>
      </c>
      <c r="D14" s="59">
        <f>BAL!C13</f>
        <v>13</v>
      </c>
      <c r="E14" s="60">
        <f>BAL!J13</f>
        <v>41.826687335999992</v>
      </c>
      <c r="F14" s="60">
        <f>BAL!K13</f>
        <v>0.35446345199999996</v>
      </c>
      <c r="G14" s="60">
        <f>BAL!L13</f>
        <v>113.81002640000001</v>
      </c>
      <c r="H14" s="60">
        <f>BAL!M13</f>
        <v>78.07367811040001</v>
      </c>
      <c r="I14" s="60">
        <f>BAL!N13</f>
        <v>911.90056032947211</v>
      </c>
      <c r="J14" s="60">
        <f>BAL!O13</f>
        <v>5.8555258582800009</v>
      </c>
      <c r="K14" s="60">
        <f t="shared" si="0"/>
        <v>132.6326606282272</v>
      </c>
      <c r="L14" s="60">
        <f t="shared" si="1"/>
        <v>171.6694996834272</v>
      </c>
      <c r="M14" s="60">
        <f t="shared" si="2"/>
        <v>210.70633873862721</v>
      </c>
      <c r="N1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171.6694996834272</v>
      </c>
      <c r="O14" s="96">
        <v>0.97004667829305213</v>
      </c>
    </row>
    <row r="15" spans="1:15" x14ac:dyDescent="0.2">
      <c r="A15" s="59">
        <f>IF(TableWRMaster[[#This Row],[Player]]&lt;&gt;0,A14+1,A14)</f>
        <v>13</v>
      </c>
      <c r="B15" s="59" t="str">
        <f>BAL!A14</f>
        <v>Rashod Bateman</v>
      </c>
      <c r="C15" s="59" t="s">
        <v>95</v>
      </c>
      <c r="D15" s="59">
        <f>BAL!C14</f>
        <v>13</v>
      </c>
      <c r="E15" s="60">
        <f>BAL!J14</f>
        <v>0</v>
      </c>
      <c r="F15" s="60">
        <f>BAL!K14</f>
        <v>0</v>
      </c>
      <c r="G15" s="60">
        <f>BAL!L14</f>
        <v>79.402343999999999</v>
      </c>
      <c r="H15" s="60">
        <f>BAL!M14</f>
        <v>47.244394679999999</v>
      </c>
      <c r="I15" s="60">
        <f>BAL!N14</f>
        <v>607.56291558479995</v>
      </c>
      <c r="J15" s="60">
        <f>BAL!O14</f>
        <v>3.3071076276000002</v>
      </c>
      <c r="K15" s="60">
        <f t="shared" si="0"/>
        <v>80.598937324079998</v>
      </c>
      <c r="L15" s="60">
        <f t="shared" si="1"/>
        <v>104.22113466408</v>
      </c>
      <c r="M15" s="60">
        <f t="shared" si="2"/>
        <v>127.84333200408</v>
      </c>
      <c r="N1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104.22113466408</v>
      </c>
      <c r="O15" s="96">
        <v>0</v>
      </c>
    </row>
    <row r="16" spans="1:15" x14ac:dyDescent="0.2">
      <c r="A16" s="59">
        <f>IF(TableWRMaster[[#This Row],[Player]]&lt;&gt;0,A15+1,A15)</f>
        <v>14</v>
      </c>
      <c r="B16" s="59" t="str">
        <f>BAL!A15</f>
        <v>Nelson Agholor</v>
      </c>
      <c r="C16" s="59" t="s">
        <v>95</v>
      </c>
      <c r="D16" s="59">
        <f>BAL!C15</f>
        <v>13</v>
      </c>
      <c r="E16" s="60">
        <f>BAL!J15</f>
        <v>0</v>
      </c>
      <c r="F16" s="60">
        <f>BAL!K15</f>
        <v>0</v>
      </c>
      <c r="G16" s="60">
        <f>BAL!L15</f>
        <v>63.521875200000004</v>
      </c>
      <c r="H16" s="60">
        <f>BAL!M15</f>
        <v>40.082303251200003</v>
      </c>
      <c r="I16" s="60">
        <f>BAL!N15</f>
        <v>462.95060255136008</v>
      </c>
      <c r="J16" s="60">
        <f>BAL!O15</f>
        <v>3.2065842600960002</v>
      </c>
      <c r="K16" s="60">
        <f t="shared" si="0"/>
        <v>65.534565815712</v>
      </c>
      <c r="L16" s="60">
        <f t="shared" si="1"/>
        <v>85.575717441312008</v>
      </c>
      <c r="M16" s="60">
        <f t="shared" si="2"/>
        <v>105.616869066912</v>
      </c>
      <c r="N1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85.575717441312008</v>
      </c>
      <c r="O16" s="96">
        <v>0</v>
      </c>
    </row>
    <row r="17" spans="1:15" x14ac:dyDescent="0.2">
      <c r="A17" s="59">
        <f>IF(TableWRMaster[[#This Row],[Player]]&lt;&gt;0,A16+1,A16)</f>
        <v>15</v>
      </c>
      <c r="B17" s="59" t="str">
        <f>BAL!A16</f>
        <v>Deonte Harty</v>
      </c>
      <c r="C17" s="59" t="s">
        <v>95</v>
      </c>
      <c r="D17" s="59">
        <f>BAL!C17</f>
        <v>13</v>
      </c>
      <c r="E17" s="60">
        <f>BAL!J17</f>
        <v>0</v>
      </c>
      <c r="F17" s="60">
        <f>BAL!K17</f>
        <v>0</v>
      </c>
      <c r="G17" s="60">
        <f>BAL!L16</f>
        <v>21.1739584</v>
      </c>
      <c r="H17" s="60">
        <f>BAL!M16</f>
        <v>13.593681292799999</v>
      </c>
      <c r="I17" s="60">
        <f>BAL!N16</f>
        <v>149.122683782016</v>
      </c>
      <c r="J17" s="60">
        <f>BAL!O16</f>
        <v>1.087494503424</v>
      </c>
      <c r="K17" s="60">
        <f t="shared" si="0"/>
        <v>21.437235398745599</v>
      </c>
      <c r="L17" s="60">
        <f t="shared" si="1"/>
        <v>28.234076045145599</v>
      </c>
      <c r="M17" s="60">
        <f t="shared" si="2"/>
        <v>35.030916691545599</v>
      </c>
      <c r="N1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28.234076045145603</v>
      </c>
      <c r="O17" s="96">
        <v>0</v>
      </c>
    </row>
    <row r="18" spans="1:15" x14ac:dyDescent="0.2">
      <c r="A18" s="59">
        <f>IF(TableWRMaster[[#This Row],[Player]]&lt;&gt;0,A17+1,A17)</f>
        <v>16</v>
      </c>
      <c r="B18" s="59" t="str">
        <f>BAL!A17</f>
        <v>Devontez Walker</v>
      </c>
      <c r="C18" s="59" t="s">
        <v>95</v>
      </c>
      <c r="D18" s="59">
        <f>BAL!C18</f>
        <v>13</v>
      </c>
      <c r="E18" s="60">
        <f>BAL!J18</f>
        <v>0</v>
      </c>
      <c r="F18" s="60">
        <f>BAL!K18</f>
        <v>0</v>
      </c>
      <c r="G18" s="60">
        <f>BAL!L17</f>
        <v>31.760937600000002</v>
      </c>
      <c r="H18" s="60">
        <f>BAL!M17</f>
        <v>18.707192246400002</v>
      </c>
      <c r="I18" s="60">
        <f>BAL!N17</f>
        <v>246.37372188508803</v>
      </c>
      <c r="J18" s="60">
        <f>BAL!O17</f>
        <v>1.3095034572480002</v>
      </c>
      <c r="K18" s="60">
        <f t="shared" si="0"/>
        <v>32.494392931996806</v>
      </c>
      <c r="L18" s="60">
        <f t="shared" si="1"/>
        <v>41.847989055196805</v>
      </c>
      <c r="M18" s="60">
        <f t="shared" si="2"/>
        <v>51.201585178396812</v>
      </c>
      <c r="N1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41.847989055196805</v>
      </c>
      <c r="O18" s="96">
        <v>0</v>
      </c>
    </row>
    <row r="19" spans="1:15" x14ac:dyDescent="0.2">
      <c r="A19" s="59">
        <f>IF(TableWRMaster[[#This Row],[Player]]&lt;&gt;0,A18+1,A18)</f>
        <v>16</v>
      </c>
      <c r="B19" s="59">
        <f>BAL!A18</f>
        <v>0</v>
      </c>
      <c r="C19" s="59" t="s">
        <v>95</v>
      </c>
      <c r="D19" s="59">
        <f>BAL!C16</f>
        <v>13</v>
      </c>
      <c r="E19" s="60">
        <f>BAL!J16</f>
        <v>0</v>
      </c>
      <c r="F19" s="60">
        <f>BAL!K16</f>
        <v>0</v>
      </c>
      <c r="G19" s="60">
        <f>BAL!L18</f>
        <v>0</v>
      </c>
      <c r="H19" s="60">
        <f>BAL!M18</f>
        <v>0</v>
      </c>
      <c r="I19" s="60">
        <f>BAL!N18</f>
        <v>0</v>
      </c>
      <c r="J19" s="60">
        <f>BAL!O18</f>
        <v>0</v>
      </c>
      <c r="K19" s="60">
        <f t="shared" si="0"/>
        <v>0</v>
      </c>
      <c r="L19" s="60">
        <f t="shared" si="1"/>
        <v>0</v>
      </c>
      <c r="M19" s="60">
        <f t="shared" si="2"/>
        <v>0</v>
      </c>
      <c r="N1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9" s="96">
        <v>0</v>
      </c>
    </row>
    <row r="20" spans="1:15" x14ac:dyDescent="0.2">
      <c r="A20" s="59">
        <f>IF(TableWRMaster[[#This Row],[Player]]&lt;&gt;0,A19+1,A19)</f>
        <v>17</v>
      </c>
      <c r="B20" s="59" t="str">
        <f>BUF!A13</f>
        <v>Curtis Samuel</v>
      </c>
      <c r="C20" s="59" t="s">
        <v>96</v>
      </c>
      <c r="D20" s="59">
        <f>BUF!C13</f>
        <v>13</v>
      </c>
      <c r="E20" s="60">
        <f>BUF!J13</f>
        <v>72.430122240000003</v>
      </c>
      <c r="F20" s="60">
        <f>BUF!K13</f>
        <v>0.73771420800000009</v>
      </c>
      <c r="G20" s="60">
        <f>BUF!L13</f>
        <v>115.40229119999996</v>
      </c>
      <c r="H20" s="60">
        <f>BUF!M13</f>
        <v>76.16551219199998</v>
      </c>
      <c r="I20" s="60">
        <f>BUF!N13</f>
        <v>845.43718533119977</v>
      </c>
      <c r="J20" s="60">
        <f>BUF!O13</f>
        <v>5.5600823900159986</v>
      </c>
      <c r="K20" s="60">
        <f t="shared" si="0"/>
        <v>129.57351034521596</v>
      </c>
      <c r="L20" s="60">
        <f t="shared" si="1"/>
        <v>167.65626644121596</v>
      </c>
      <c r="M20" s="60">
        <f t="shared" si="2"/>
        <v>205.73902253721593</v>
      </c>
      <c r="N2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167.65626644121596</v>
      </c>
      <c r="O20" s="96">
        <v>40.616501915999407</v>
      </c>
    </row>
    <row r="21" spans="1:15" x14ac:dyDescent="0.2">
      <c r="A21" s="59">
        <f>IF(TableWRMaster[[#This Row],[Player]]&lt;&gt;0,A20+1,A20)</f>
        <v>18</v>
      </c>
      <c r="B21" s="59" t="str">
        <f>BUF!A14</f>
        <v>Keon Coleman</v>
      </c>
      <c r="C21" s="59" t="s">
        <v>96</v>
      </c>
      <c r="D21" s="59">
        <f>BUF!C14</f>
        <v>13</v>
      </c>
      <c r="E21" s="60">
        <f>BUF!J14</f>
        <v>0</v>
      </c>
      <c r="F21" s="60">
        <f>BUF!K14</f>
        <v>0</v>
      </c>
      <c r="G21" s="60">
        <f>BUF!L14</f>
        <v>121.47609599999996</v>
      </c>
      <c r="H21" s="60">
        <f>BUF!M14</f>
        <v>73.250085887999973</v>
      </c>
      <c r="I21" s="60">
        <f>BUF!N14</f>
        <v>922.21858132991963</v>
      </c>
      <c r="J21" s="60">
        <f>BUF!O14</f>
        <v>6.2995073863679973</v>
      </c>
      <c r="K21" s="60">
        <f t="shared" si="0"/>
        <v>130.01890245119995</v>
      </c>
      <c r="L21" s="60">
        <f t="shared" si="1"/>
        <v>166.64394539519992</v>
      </c>
      <c r="M21" s="60">
        <f t="shared" si="2"/>
        <v>203.26898833919992</v>
      </c>
      <c r="N2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166.64394539519995</v>
      </c>
      <c r="O21" s="96">
        <v>6.1881734118932492</v>
      </c>
    </row>
    <row r="22" spans="1:15" x14ac:dyDescent="0.2">
      <c r="A22" s="59">
        <f>IF(TableWRMaster[[#This Row],[Player]]&lt;&gt;0,A21+1,A21)</f>
        <v>19</v>
      </c>
      <c r="B22" s="59" t="str">
        <f>BUF!A15</f>
        <v>Khalil Shakir</v>
      </c>
      <c r="C22" s="59" t="s">
        <v>96</v>
      </c>
      <c r="D22" s="59">
        <f>BUF!C16</f>
        <v>13</v>
      </c>
      <c r="E22" s="60">
        <f>BUF!J16</f>
        <v>0</v>
      </c>
      <c r="F22" s="60">
        <f>BUF!K16</f>
        <v>0</v>
      </c>
      <c r="G22" s="60">
        <f>BUF!L15</f>
        <v>94.143974399999976</v>
      </c>
      <c r="H22" s="60">
        <f>BUF!M15</f>
        <v>61.85259118079999</v>
      </c>
      <c r="I22" s="60">
        <f>BUF!N15</f>
        <v>812.12452220390389</v>
      </c>
      <c r="J22" s="60">
        <f>BUF!O15</f>
        <v>4.3296813826560001</v>
      </c>
      <c r="K22" s="60">
        <f t="shared" si="0"/>
        <v>107.19054051632639</v>
      </c>
      <c r="L22" s="60">
        <f t="shared" si="1"/>
        <v>138.1168361067264</v>
      </c>
      <c r="M22" s="60">
        <f t="shared" si="2"/>
        <v>169.0431316971264</v>
      </c>
      <c r="N2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138.1168361067264</v>
      </c>
      <c r="O22" s="96">
        <v>4.1471716410938786</v>
      </c>
    </row>
    <row r="23" spans="1:15" x14ac:dyDescent="0.2">
      <c r="A23" s="59">
        <f>IF(TableWRMaster[[#This Row],[Player]]&lt;&gt;0,A22+1,A22)</f>
        <v>20</v>
      </c>
      <c r="B23" s="59" t="str">
        <f>BUF!A16</f>
        <v>Mack Hollins</v>
      </c>
      <c r="C23" s="59" t="s">
        <v>96</v>
      </c>
      <c r="D23" s="59">
        <f>BUF!C15</f>
        <v>13</v>
      </c>
      <c r="E23" s="60">
        <f>BUF!J15</f>
        <v>22.444395903999997</v>
      </c>
      <c r="F23" s="60">
        <f>BUF!K15</f>
        <v>6.7064927999999996E-2</v>
      </c>
      <c r="G23" s="60">
        <f>BUF!L16</f>
        <v>24.295219199999995</v>
      </c>
      <c r="H23" s="60">
        <f>BUF!M16</f>
        <v>14.528541081599997</v>
      </c>
      <c r="I23" s="60">
        <f>BUF!N16</f>
        <v>187.41817995263997</v>
      </c>
      <c r="J23" s="60">
        <f>BUF!O16</f>
        <v>1.0896405811199996</v>
      </c>
      <c r="K23" s="60">
        <f t="shared" si="0"/>
        <v>27.926490640383996</v>
      </c>
      <c r="L23" s="60">
        <f t="shared" si="1"/>
        <v>35.190761181183994</v>
      </c>
      <c r="M23" s="60">
        <f t="shared" si="2"/>
        <v>42.455031721983993</v>
      </c>
      <c r="N2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35.190761181183994</v>
      </c>
      <c r="O23" s="96">
        <v>0</v>
      </c>
    </row>
    <row r="24" spans="1:15" x14ac:dyDescent="0.2">
      <c r="A24" s="59">
        <f>IF(TableWRMaster[[#This Row],[Player]]&lt;&gt;0,A23+1,A23)</f>
        <v>21</v>
      </c>
      <c r="B24" s="59" t="str">
        <f>BUF!A17</f>
        <v>Andy Isabella</v>
      </c>
      <c r="C24" s="59" t="s">
        <v>96</v>
      </c>
      <c r="D24" s="59">
        <f>BUF!C17</f>
        <v>13</v>
      </c>
      <c r="E24" s="60">
        <f>BUF!J17</f>
        <v>0</v>
      </c>
      <c r="F24" s="60">
        <f>BUF!K17</f>
        <v>0</v>
      </c>
      <c r="G24" s="60">
        <f>BUF!L17</f>
        <v>9.1107071999999967</v>
      </c>
      <c r="H24" s="60">
        <f>BUF!M17</f>
        <v>5.1019960319999988</v>
      </c>
      <c r="I24" s="60">
        <f>BUF!N17</f>
        <v>58.672954367999985</v>
      </c>
      <c r="J24" s="60">
        <f>BUF!O17</f>
        <v>0.3061197619199999</v>
      </c>
      <c r="K24" s="60">
        <f t="shared" si="0"/>
        <v>7.7040140083199979</v>
      </c>
      <c r="L24" s="60">
        <f t="shared" si="1"/>
        <v>10.255012024319997</v>
      </c>
      <c r="M24" s="60">
        <f t="shared" si="2"/>
        <v>12.806010040319997</v>
      </c>
      <c r="N2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10.255012024319997</v>
      </c>
      <c r="O24" s="96">
        <v>0</v>
      </c>
    </row>
    <row r="25" spans="1:15" x14ac:dyDescent="0.2">
      <c r="A25" s="59">
        <f>IF(TableWRMaster[[#This Row],[Player]]&lt;&gt;0,A24+1,A24)</f>
        <v>22</v>
      </c>
      <c r="B25" s="59" t="str">
        <f>BUF!A18</f>
        <v>Justin Shorter</v>
      </c>
      <c r="C25" s="59" t="s">
        <v>96</v>
      </c>
      <c r="D25" s="59">
        <f>BUF!C18</f>
        <v>13</v>
      </c>
      <c r="E25" s="60">
        <f>BUF!J18</f>
        <v>0</v>
      </c>
      <c r="F25" s="60">
        <f>BUF!K18</f>
        <v>0</v>
      </c>
      <c r="G25" s="60">
        <f>BUF!L18</f>
        <v>9.1107071999999967</v>
      </c>
      <c r="H25" s="60">
        <f>BUF!M18</f>
        <v>5.466424319999998</v>
      </c>
      <c r="I25" s="60">
        <f>BUF!N18</f>
        <v>57.397455359999981</v>
      </c>
      <c r="J25" s="60">
        <f>BUF!O18</f>
        <v>0.27332121599999992</v>
      </c>
      <c r="K25" s="60">
        <f t="shared" si="0"/>
        <v>7.379672831999998</v>
      </c>
      <c r="L25" s="60">
        <f t="shared" si="1"/>
        <v>10.112884991999998</v>
      </c>
      <c r="M25" s="60">
        <f t="shared" si="2"/>
        <v>12.846097151999995</v>
      </c>
      <c r="N2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10.112884991999998</v>
      </c>
      <c r="O25" s="96">
        <v>0</v>
      </c>
    </row>
    <row r="26" spans="1:15" x14ac:dyDescent="0.2">
      <c r="A26" s="59">
        <f>IF(TableWRMaster[[#This Row],[Player]]&lt;&gt;0,A25+1,A25)</f>
        <v>22</v>
      </c>
      <c r="B26" s="59">
        <f>BUF!A19</f>
        <v>0</v>
      </c>
      <c r="C26" s="59" t="s">
        <v>96</v>
      </c>
      <c r="D26" s="59">
        <f>BUF!C19</f>
        <v>13</v>
      </c>
      <c r="E26" s="60">
        <f>BUF!J19</f>
        <v>0</v>
      </c>
      <c r="F26" s="60">
        <f>BUF!K19</f>
        <v>0</v>
      </c>
      <c r="G26" s="60">
        <f>BUF!L19</f>
        <v>0</v>
      </c>
      <c r="H26" s="60">
        <f>BUF!M19</f>
        <v>0</v>
      </c>
      <c r="I26" s="60">
        <f>BUF!N19</f>
        <v>0</v>
      </c>
      <c r="J26" s="60">
        <f>BUF!O19</f>
        <v>0</v>
      </c>
      <c r="K26" s="60">
        <f t="shared" si="0"/>
        <v>0</v>
      </c>
      <c r="L26" s="60">
        <f t="shared" si="1"/>
        <v>0</v>
      </c>
      <c r="M26" s="60">
        <f t="shared" si="2"/>
        <v>0</v>
      </c>
      <c r="N2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6" s="96">
        <v>0</v>
      </c>
    </row>
    <row r="27" spans="1:15" x14ac:dyDescent="0.2">
      <c r="A27" s="59">
        <f>IF(TableWRMaster[[#This Row],[Player]]&lt;&gt;0,A26+1,A26)</f>
        <v>23</v>
      </c>
      <c r="B27" s="59" t="str">
        <f>CAR!A13</f>
        <v>Diontae Johnson</v>
      </c>
      <c r="C27" s="59" t="s">
        <v>97</v>
      </c>
      <c r="D27" s="59">
        <f>CAR!C13</f>
        <v>7</v>
      </c>
      <c r="E27" s="60">
        <f>CAR!J13</f>
        <v>0</v>
      </c>
      <c r="F27" s="60">
        <f>CAR!K13</f>
        <v>0</v>
      </c>
      <c r="G27" s="60">
        <f>CAR!L13</f>
        <v>121.62574199999997</v>
      </c>
      <c r="H27" s="60">
        <f>CAR!M13</f>
        <v>73.340322425999986</v>
      </c>
      <c r="I27" s="60">
        <f>CAR!N13</f>
        <v>905.01957873683978</v>
      </c>
      <c r="J27" s="60">
        <f>CAR!O13</f>
        <v>4.9871419249679994</v>
      </c>
      <c r="K27" s="60">
        <f t="shared" si="0"/>
        <v>120.42480942349198</v>
      </c>
      <c r="L27" s="60">
        <f t="shared" si="1"/>
        <v>157.09497063649198</v>
      </c>
      <c r="M27" s="60">
        <f t="shared" si="2"/>
        <v>193.76513184949198</v>
      </c>
      <c r="N2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157.09497063649198</v>
      </c>
      <c r="O27" s="96">
        <v>17.941744686042725</v>
      </c>
    </row>
    <row r="28" spans="1:15" x14ac:dyDescent="0.2">
      <c r="A28" s="59">
        <f>IF(TableWRMaster[[#This Row],[Player]]&lt;&gt;0,A27+1,A27)</f>
        <v>24</v>
      </c>
      <c r="B28" s="59" t="str">
        <f>CAR!A14</f>
        <v>Xavier Legette</v>
      </c>
      <c r="C28" s="59" t="s">
        <v>97</v>
      </c>
      <c r="D28" s="59">
        <f>CAR!C14</f>
        <v>7</v>
      </c>
      <c r="E28" s="60">
        <f>CAR!J14</f>
        <v>26.754587999999998</v>
      </c>
      <c r="F28" s="60">
        <f>CAR!K14</f>
        <v>0.22295490000000001</v>
      </c>
      <c r="G28" s="60">
        <f>CAR!L14</f>
        <v>112.93818899999998</v>
      </c>
      <c r="H28" s="60">
        <f>CAR!M14</f>
        <v>70.360491746999983</v>
      </c>
      <c r="I28" s="60">
        <f>CAR!N14</f>
        <v>935.79454023509982</v>
      </c>
      <c r="J28" s="60">
        <f>CAR!O14</f>
        <v>5.0659554057839982</v>
      </c>
      <c r="K28" s="60">
        <f t="shared" si="0"/>
        <v>127.98837465821397</v>
      </c>
      <c r="L28" s="60">
        <f t="shared" si="1"/>
        <v>163.16862053171397</v>
      </c>
      <c r="M28" s="60">
        <f t="shared" si="2"/>
        <v>198.34886640521395</v>
      </c>
      <c r="N2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163.16862053171394</v>
      </c>
      <c r="O28" s="96">
        <v>14.406806585771708</v>
      </c>
    </row>
    <row r="29" spans="1:15" x14ac:dyDescent="0.2">
      <c r="A29" s="59">
        <f>IF(TableWRMaster[[#This Row],[Player]]&lt;&gt;0,A28+1,A28)</f>
        <v>25</v>
      </c>
      <c r="B29" s="59" t="str">
        <f>CAR!A15</f>
        <v>Adam Thielen</v>
      </c>
      <c r="C29" s="59" t="s">
        <v>97</v>
      </c>
      <c r="D29" s="59">
        <f>CAR!C15</f>
        <v>7</v>
      </c>
      <c r="E29" s="60">
        <f>CAR!J15</f>
        <v>0</v>
      </c>
      <c r="F29" s="60">
        <f>CAR!K15</f>
        <v>0</v>
      </c>
      <c r="G29" s="60">
        <f>CAR!L15</f>
        <v>95.563082999999992</v>
      </c>
      <c r="H29" s="60">
        <f>CAR!M15</f>
        <v>62.211567032999994</v>
      </c>
      <c r="I29" s="60">
        <f>CAR!N15</f>
        <v>628.33682703329987</v>
      </c>
      <c r="J29" s="60">
        <f>CAR!O15</f>
        <v>3.9815402901119996</v>
      </c>
      <c r="K29" s="60">
        <f t="shared" si="0"/>
        <v>86.72292444400199</v>
      </c>
      <c r="L29" s="60">
        <f t="shared" si="1"/>
        <v>117.82870796050199</v>
      </c>
      <c r="M29" s="60">
        <f t="shared" si="2"/>
        <v>148.93449147700198</v>
      </c>
      <c r="N2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117.82870796050199</v>
      </c>
      <c r="O29" s="96">
        <v>0</v>
      </c>
    </row>
    <row r="30" spans="1:15" x14ac:dyDescent="0.2">
      <c r="A30" s="59">
        <f>IF(TableWRMaster[[#This Row],[Player]]&lt;&gt;0,A29+1,A29)</f>
        <v>26</v>
      </c>
      <c r="B30" s="59" t="str">
        <f>CAR!A16</f>
        <v>Jonathan Mingo</v>
      </c>
      <c r="C30" s="59" t="s">
        <v>97</v>
      </c>
      <c r="D30" s="59">
        <f>CAR!C16</f>
        <v>7</v>
      </c>
      <c r="E30" s="60">
        <f>CAR!J16</f>
        <v>0</v>
      </c>
      <c r="F30" s="60">
        <f>CAR!K16</f>
        <v>0</v>
      </c>
      <c r="G30" s="60">
        <f>CAR!L16</f>
        <v>23.166807999999996</v>
      </c>
      <c r="H30" s="60">
        <f>CAR!M16</f>
        <v>13.251414175999997</v>
      </c>
      <c r="I30" s="60">
        <f>CAR!N16</f>
        <v>186.31488331455998</v>
      </c>
      <c r="J30" s="60">
        <f>CAR!O16</f>
        <v>0.7288277796799999</v>
      </c>
      <c r="K30" s="60">
        <f t="shared" si="0"/>
        <v>23.004455009535995</v>
      </c>
      <c r="L30" s="60">
        <f t="shared" si="1"/>
        <v>29.630162097535994</v>
      </c>
      <c r="M30" s="60">
        <f t="shared" si="2"/>
        <v>36.255869185535992</v>
      </c>
      <c r="N3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29.630162097535994</v>
      </c>
      <c r="O30" s="96">
        <v>0</v>
      </c>
    </row>
    <row r="31" spans="1:15" x14ac:dyDescent="0.2">
      <c r="A31" s="59">
        <f>IF(TableWRMaster[[#This Row],[Player]]&lt;&gt;0,A30+1,A30)</f>
        <v>27</v>
      </c>
      <c r="B31" s="59" t="str">
        <f>CAR!A17</f>
        <v>Terrace Marshall</v>
      </c>
      <c r="C31" s="59" t="s">
        <v>97</v>
      </c>
      <c r="D31" s="59">
        <f>CAR!C17</f>
        <v>7</v>
      </c>
      <c r="E31" s="60">
        <f>CAR!J17</f>
        <v>0</v>
      </c>
      <c r="F31" s="60">
        <f>CAR!K17</f>
        <v>0</v>
      </c>
      <c r="G31" s="60">
        <f>CAR!L17</f>
        <v>23.166807999999996</v>
      </c>
      <c r="H31" s="60">
        <f>CAR!M17</f>
        <v>13.737917143999997</v>
      </c>
      <c r="I31" s="60">
        <f>CAR!N17</f>
        <v>176.66961447183996</v>
      </c>
      <c r="J31" s="60">
        <f>CAR!O17</f>
        <v>0.74184752577599988</v>
      </c>
      <c r="K31" s="60">
        <f t="shared" si="0"/>
        <v>22.118046601839996</v>
      </c>
      <c r="L31" s="60">
        <f t="shared" si="1"/>
        <v>28.987005173839997</v>
      </c>
      <c r="M31" s="60">
        <f t="shared" si="2"/>
        <v>35.855963745839993</v>
      </c>
      <c r="N3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28.987005173839997</v>
      </c>
      <c r="O31" s="96">
        <v>0</v>
      </c>
    </row>
    <row r="32" spans="1:15" x14ac:dyDescent="0.2">
      <c r="A32" s="59">
        <f>IF(TableWRMaster[[#This Row],[Player]]&lt;&gt;0,A31+1,A31)</f>
        <v>28</v>
      </c>
      <c r="B32" s="59" t="str">
        <f>CAR!A18</f>
        <v>David Moore</v>
      </c>
      <c r="C32" s="59" t="s">
        <v>97</v>
      </c>
      <c r="D32" s="59">
        <f>CAR!C18</f>
        <v>7</v>
      </c>
      <c r="E32" s="60">
        <f>CAR!J18</f>
        <v>0</v>
      </c>
      <c r="F32" s="60">
        <f>CAR!K18</f>
        <v>0</v>
      </c>
      <c r="G32" s="60">
        <f>CAR!L18</f>
        <v>11.583403999999998</v>
      </c>
      <c r="H32" s="60">
        <f>CAR!M18</f>
        <v>6.7183743199999988</v>
      </c>
      <c r="I32" s="60">
        <f>CAR!N18</f>
        <v>74.57395495199998</v>
      </c>
      <c r="J32" s="60">
        <f>CAR!O18</f>
        <v>0.33591871599999995</v>
      </c>
      <c r="K32" s="60">
        <f t="shared" si="0"/>
        <v>9.4729077911999973</v>
      </c>
      <c r="L32" s="60">
        <f t="shared" si="1"/>
        <v>12.832094951199997</v>
      </c>
      <c r="M32" s="60">
        <f t="shared" si="2"/>
        <v>16.191282111199996</v>
      </c>
      <c r="N3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12.832094951199998</v>
      </c>
      <c r="O32" s="96">
        <v>0</v>
      </c>
    </row>
    <row r="33" spans="1:15" x14ac:dyDescent="0.2">
      <c r="A33" s="59">
        <f>IF(TableWRMaster[[#This Row],[Player]]&lt;&gt;0,A32+1,A32)</f>
        <v>28</v>
      </c>
      <c r="B33" s="59">
        <f>CAR!A19</f>
        <v>0</v>
      </c>
      <c r="C33" s="59" t="s">
        <v>97</v>
      </c>
      <c r="D33" s="59">
        <f>CAR!C19</f>
        <v>7</v>
      </c>
      <c r="E33" s="60">
        <f>CAR!J19</f>
        <v>0</v>
      </c>
      <c r="F33" s="60">
        <f>CAR!K19</f>
        <v>0</v>
      </c>
      <c r="G33" s="60">
        <f>CAR!L19</f>
        <v>0</v>
      </c>
      <c r="H33" s="60">
        <f>CAR!M19</f>
        <v>0</v>
      </c>
      <c r="I33" s="60">
        <f>CAR!N19</f>
        <v>0</v>
      </c>
      <c r="J33" s="60">
        <f>CAR!O19</f>
        <v>0</v>
      </c>
      <c r="K33" s="60">
        <f t="shared" si="0"/>
        <v>0</v>
      </c>
      <c r="L33" s="60">
        <f t="shared" si="1"/>
        <v>0</v>
      </c>
      <c r="M33" s="60">
        <f t="shared" si="2"/>
        <v>0</v>
      </c>
      <c r="N3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3" s="96">
        <v>0</v>
      </c>
    </row>
    <row r="34" spans="1:15" x14ac:dyDescent="0.2">
      <c r="A34" s="59">
        <f>IF(TableWRMaster[[#This Row],[Player]]&lt;&gt;0,A33+1,A33)</f>
        <v>29</v>
      </c>
      <c r="B34" s="59" t="str">
        <f>CHI!A13</f>
        <v>DJ Moore</v>
      </c>
      <c r="C34" s="59" t="s">
        <v>98</v>
      </c>
      <c r="D34" s="59">
        <f>CHI!C13</f>
        <v>13</v>
      </c>
      <c r="E34" s="60">
        <f>CHI!J13</f>
        <v>22.906838303999997</v>
      </c>
      <c r="F34" s="60">
        <f>CHI!K13</f>
        <v>0.22815575999999999</v>
      </c>
      <c r="G34" s="60">
        <f>CHI!L13</f>
        <v>130.36595039999997</v>
      </c>
      <c r="H34" s="60">
        <f>CHI!M13</f>
        <v>78.871399991999979</v>
      </c>
      <c r="I34" s="60">
        <f>CHI!N13</f>
        <v>1100.2560298883996</v>
      </c>
      <c r="J34" s="60">
        <f>CHI!O13</f>
        <v>6.3097119993599984</v>
      </c>
      <c r="K34" s="60">
        <f t="shared" si="0"/>
        <v>151.54349337539995</v>
      </c>
      <c r="L34" s="60">
        <f t="shared" ref="L34:L65" si="3">K34+(H34*0.5)</f>
        <v>190.97919337139993</v>
      </c>
      <c r="M34" s="60">
        <f t="shared" ref="M34:M65" si="4">K34+H34</f>
        <v>230.41489336739994</v>
      </c>
      <c r="N3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190.97919337139996</v>
      </c>
      <c r="O34" s="96">
        <v>26.619108615592406</v>
      </c>
    </row>
    <row r="35" spans="1:15" x14ac:dyDescent="0.2">
      <c r="A35" s="59">
        <f>IF(TableWRMaster[[#This Row],[Player]]&lt;&gt;0,A34+1,A34)</f>
        <v>30</v>
      </c>
      <c r="B35" s="59" t="str">
        <f>CHI!A14</f>
        <v>Keenan Allen</v>
      </c>
      <c r="C35" s="59" t="s">
        <v>98</v>
      </c>
      <c r="D35" s="59">
        <f>CHI!C14</f>
        <v>13</v>
      </c>
      <c r="E35" s="60">
        <f>CHI!J14</f>
        <v>0</v>
      </c>
      <c r="F35" s="60">
        <f>CHI!K14</f>
        <v>0</v>
      </c>
      <c r="G35" s="60">
        <f>CHI!L14</f>
        <v>113.36169599999997</v>
      </c>
      <c r="H35" s="60">
        <f>CHI!M14</f>
        <v>73.685102399999977</v>
      </c>
      <c r="I35" s="60">
        <f>CHI!N14</f>
        <v>832.64165711999976</v>
      </c>
      <c r="J35" s="60">
        <f>CHI!O14</f>
        <v>5.1579571679999985</v>
      </c>
      <c r="K35" s="60">
        <f t="shared" si="0"/>
        <v>114.21190871999997</v>
      </c>
      <c r="L35" s="60">
        <f t="shared" si="3"/>
        <v>151.05445991999994</v>
      </c>
      <c r="M35" s="60">
        <f t="shared" si="4"/>
        <v>187.89701111999995</v>
      </c>
      <c r="N3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151.05445991999994</v>
      </c>
      <c r="O35" s="96">
        <v>3.2302874195346365</v>
      </c>
    </row>
    <row r="36" spans="1:15" x14ac:dyDescent="0.2">
      <c r="A36" s="59">
        <f>IF(TableWRMaster[[#This Row],[Player]]&lt;&gt;0,A35+1,A35)</f>
        <v>31</v>
      </c>
      <c r="B36" s="59" t="str">
        <f>CHI!A15</f>
        <v>Rome Odunze</v>
      </c>
      <c r="C36" s="59" t="s">
        <v>98</v>
      </c>
      <c r="D36" s="59">
        <f>CHI!C15</f>
        <v>13</v>
      </c>
      <c r="E36" s="60">
        <f>CHI!J15</f>
        <v>0</v>
      </c>
      <c r="F36" s="60">
        <f>CHI!K15</f>
        <v>0</v>
      </c>
      <c r="G36" s="60">
        <f>CHI!L15</f>
        <v>96.357441599999973</v>
      </c>
      <c r="H36" s="60">
        <f>CHI!M15</f>
        <v>58.778039375999981</v>
      </c>
      <c r="I36" s="60">
        <f>CHI!N15</f>
        <v>758.23670795039982</v>
      </c>
      <c r="J36" s="60">
        <f>CHI!O15</f>
        <v>4.9961333469599989</v>
      </c>
      <c r="K36" s="60">
        <f t="shared" si="0"/>
        <v>105.80047087679998</v>
      </c>
      <c r="L36" s="60">
        <f t="shared" si="3"/>
        <v>135.18949056479997</v>
      </c>
      <c r="M36" s="60">
        <f t="shared" si="4"/>
        <v>164.57851025279996</v>
      </c>
      <c r="N3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135.18949056479997</v>
      </c>
      <c r="O36" s="96">
        <v>0</v>
      </c>
    </row>
    <row r="37" spans="1:15" x14ac:dyDescent="0.2">
      <c r="A37" s="59">
        <f>IF(TableWRMaster[[#This Row],[Player]]&lt;&gt;0,A36+1,A36)</f>
        <v>32</v>
      </c>
      <c r="B37" s="59" t="str">
        <f>CHI!A16</f>
        <v>Tyler Scott</v>
      </c>
      <c r="C37" s="59" t="s">
        <v>98</v>
      </c>
      <c r="D37" s="59">
        <f>CHI!C16</f>
        <v>13</v>
      </c>
      <c r="E37" s="60">
        <f>CHI!J16</f>
        <v>0</v>
      </c>
      <c r="F37" s="60">
        <f>CHI!K16</f>
        <v>0</v>
      </c>
      <c r="G37" s="60">
        <f>CHI!L16</f>
        <v>17.004254399999994</v>
      </c>
      <c r="H37" s="60">
        <f>CHI!M16</f>
        <v>10.032510095999996</v>
      </c>
      <c r="I37" s="60">
        <f>CHI!N16</f>
        <v>123.39987418079996</v>
      </c>
      <c r="J37" s="60">
        <f>CHI!O16</f>
        <v>0.65211315623999977</v>
      </c>
      <c r="K37" s="60">
        <f t="shared" si="0"/>
        <v>16.252666355519995</v>
      </c>
      <c r="L37" s="60">
        <f t="shared" si="3"/>
        <v>21.268921403519993</v>
      </c>
      <c r="M37" s="60">
        <f t="shared" si="4"/>
        <v>26.285176451519991</v>
      </c>
      <c r="N3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21.268921403519993</v>
      </c>
      <c r="O37" s="96">
        <v>0</v>
      </c>
    </row>
    <row r="38" spans="1:15" x14ac:dyDescent="0.2">
      <c r="A38" s="59">
        <f>IF(TableWRMaster[[#This Row],[Player]]&lt;&gt;0,A37+1,A37)</f>
        <v>33</v>
      </c>
      <c r="B38" s="59" t="str">
        <f>CHI!A17</f>
        <v>Velus Jones</v>
      </c>
      <c r="C38" s="59" t="s">
        <v>98</v>
      </c>
      <c r="D38" s="59">
        <f>CHI!C17</f>
        <v>13</v>
      </c>
      <c r="E38" s="60">
        <f>CHI!J17</f>
        <v>0</v>
      </c>
      <c r="F38" s="60">
        <f>CHI!K17</f>
        <v>0</v>
      </c>
      <c r="G38" s="60">
        <f>CHI!L17</f>
        <v>11.336169599999996</v>
      </c>
      <c r="H38" s="60">
        <f>CHI!M17</f>
        <v>6.5749783679999974</v>
      </c>
      <c r="I38" s="60">
        <f>CHI!N17</f>
        <v>82.844727436799971</v>
      </c>
      <c r="J38" s="60">
        <f>CHI!O17</f>
        <v>0.46024848575999988</v>
      </c>
      <c r="K38" s="60">
        <f t="shared" si="0"/>
        <v>11.045963658239996</v>
      </c>
      <c r="L38" s="60">
        <f t="shared" si="3"/>
        <v>14.333452842239994</v>
      </c>
      <c r="M38" s="60">
        <f t="shared" si="4"/>
        <v>17.620942026239995</v>
      </c>
      <c r="N3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14.333452842239994</v>
      </c>
      <c r="O38" s="96">
        <v>0</v>
      </c>
    </row>
    <row r="39" spans="1:15" x14ac:dyDescent="0.2">
      <c r="A39" s="59">
        <f>IF(TableWRMaster[[#This Row],[Player]]&lt;&gt;0,A38+1,A38)</f>
        <v>33</v>
      </c>
      <c r="B39" s="59">
        <f>CHI!A18</f>
        <v>0</v>
      </c>
      <c r="C39" s="59" t="s">
        <v>98</v>
      </c>
      <c r="D39" s="59">
        <f>CHI!C18</f>
        <v>13</v>
      </c>
      <c r="E39" s="60">
        <f>CHI!J18</f>
        <v>0</v>
      </c>
      <c r="F39" s="60">
        <f>CHI!K18</f>
        <v>0</v>
      </c>
      <c r="G39" s="60">
        <f>CHI!L18</f>
        <v>0</v>
      </c>
      <c r="H39" s="60">
        <f>CHI!M18</f>
        <v>0</v>
      </c>
      <c r="I39" s="60">
        <f>CHI!N18</f>
        <v>0</v>
      </c>
      <c r="J39" s="60">
        <f>CHI!O18</f>
        <v>0</v>
      </c>
      <c r="K39" s="60">
        <f t="shared" si="0"/>
        <v>0</v>
      </c>
      <c r="L39" s="60">
        <f t="shared" si="3"/>
        <v>0</v>
      </c>
      <c r="M39" s="60">
        <f t="shared" si="4"/>
        <v>0</v>
      </c>
      <c r="N3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9" s="96">
        <v>0</v>
      </c>
    </row>
    <row r="40" spans="1:15" x14ac:dyDescent="0.2">
      <c r="A40" s="59">
        <f>IF(TableWRMaster[[#This Row],[Player]]&lt;&gt;0,A39+1,A39)</f>
        <v>33</v>
      </c>
      <c r="B40" s="59">
        <f>CHI!A19</f>
        <v>0</v>
      </c>
      <c r="C40" s="59" t="s">
        <v>98</v>
      </c>
      <c r="D40" s="59">
        <f>CHI!C19</f>
        <v>13</v>
      </c>
      <c r="E40" s="60">
        <f>CHI!J19</f>
        <v>0</v>
      </c>
      <c r="F40" s="60">
        <f>CHI!K19</f>
        <v>0</v>
      </c>
      <c r="G40" s="60">
        <f>CHI!L19</f>
        <v>0</v>
      </c>
      <c r="H40" s="60">
        <f>CHI!M19</f>
        <v>0</v>
      </c>
      <c r="I40" s="60">
        <f>CHI!N19</f>
        <v>0</v>
      </c>
      <c r="J40" s="60">
        <f>CHI!O19</f>
        <v>0</v>
      </c>
      <c r="K40" s="60">
        <f t="shared" si="0"/>
        <v>0</v>
      </c>
      <c r="L40" s="60">
        <f t="shared" si="3"/>
        <v>0</v>
      </c>
      <c r="M40" s="60">
        <f t="shared" si="4"/>
        <v>0</v>
      </c>
      <c r="N4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40" s="96">
        <v>0</v>
      </c>
    </row>
    <row r="41" spans="1:15" x14ac:dyDescent="0.2">
      <c r="A41" s="59">
        <f>IF(TableWRMaster[[#This Row],[Player]]&lt;&gt;0,A40+1,A40)</f>
        <v>34</v>
      </c>
      <c r="B41" s="59" t="str">
        <f>CIN!A13</f>
        <v>Ja'Marr Chase</v>
      </c>
      <c r="C41" s="59" t="s">
        <v>99</v>
      </c>
      <c r="D41" s="59">
        <f>CIN!C13</f>
        <v>7</v>
      </c>
      <c r="E41" s="60">
        <f>CIN!J13</f>
        <v>0</v>
      </c>
      <c r="F41" s="60">
        <f>CIN!K13</f>
        <v>0</v>
      </c>
      <c r="G41" s="60">
        <f>CIN!L13</f>
        <v>155.89203000000001</v>
      </c>
      <c r="H41" s="60">
        <f>CIN!M13</f>
        <v>105.85068837000001</v>
      </c>
      <c r="I41" s="60">
        <f>CIN!N13</f>
        <v>1291.378398114</v>
      </c>
      <c r="J41" s="60">
        <f>CIN!O13</f>
        <v>9.5265619533000017</v>
      </c>
      <c r="K41" s="60">
        <f t="shared" si="0"/>
        <v>186.29721153119999</v>
      </c>
      <c r="L41" s="60">
        <f t="shared" si="3"/>
        <v>239.22255571619999</v>
      </c>
      <c r="M41" s="60">
        <f t="shared" si="4"/>
        <v>292.14789990119999</v>
      </c>
      <c r="N4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239.22255571620002</v>
      </c>
      <c r="O41" s="96">
        <v>20.933498198048646</v>
      </c>
    </row>
    <row r="42" spans="1:15" x14ac:dyDescent="0.2">
      <c r="A42" s="59">
        <f>IF(TableWRMaster[[#This Row],[Player]]&lt;&gt;0,A41+1,A41)</f>
        <v>35</v>
      </c>
      <c r="B42" s="59" t="str">
        <f>CIN!A14</f>
        <v>Tee Higgins</v>
      </c>
      <c r="C42" s="59" t="s">
        <v>99</v>
      </c>
      <c r="D42" s="59">
        <f>CIN!C14</f>
        <v>7</v>
      </c>
      <c r="E42" s="60">
        <f>CIN!J14</f>
        <v>0</v>
      </c>
      <c r="F42" s="60">
        <f>CIN!K14</f>
        <v>0</v>
      </c>
      <c r="G42" s="60">
        <f>CIN!L14</f>
        <v>130.9493052</v>
      </c>
      <c r="H42" s="60">
        <f>CIN!M14</f>
        <v>84.069453938400002</v>
      </c>
      <c r="I42" s="60">
        <f>CIN!N14</f>
        <v>1134.9376281684001</v>
      </c>
      <c r="J42" s="60">
        <f>CIN!O14</f>
        <v>7.5662508544560003</v>
      </c>
      <c r="K42" s="60">
        <f t="shared" si="0"/>
        <v>158.89126794357603</v>
      </c>
      <c r="L42" s="60">
        <f t="shared" si="3"/>
        <v>200.92599491277602</v>
      </c>
      <c r="M42" s="60">
        <f t="shared" si="4"/>
        <v>242.96072188197604</v>
      </c>
      <c r="N4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200.92599491277602</v>
      </c>
      <c r="O42" s="96">
        <v>18.616559514554787</v>
      </c>
    </row>
    <row r="43" spans="1:15" x14ac:dyDescent="0.2">
      <c r="A43" s="59">
        <f>IF(TableWRMaster[[#This Row],[Player]]&lt;&gt;0,A42+1,A42)</f>
        <v>36</v>
      </c>
      <c r="B43" s="59" t="str">
        <f>CIN!A15</f>
        <v>Andrei Iosivas</v>
      </c>
      <c r="C43" s="59" t="s">
        <v>99</v>
      </c>
      <c r="D43" s="59">
        <f>CIN!C15</f>
        <v>7</v>
      </c>
      <c r="E43" s="60">
        <f>CIN!J15</f>
        <v>0</v>
      </c>
      <c r="F43" s="60">
        <f>CIN!K15</f>
        <v>0</v>
      </c>
      <c r="G43" s="60">
        <f>CIN!L15</f>
        <v>62.356811999999998</v>
      </c>
      <c r="H43" s="60">
        <f>CIN!M15</f>
        <v>39.347148371999999</v>
      </c>
      <c r="I43" s="60">
        <f>CIN!N15</f>
        <v>452.49220627799997</v>
      </c>
      <c r="J43" s="60">
        <f>CIN!O15</f>
        <v>3.1477718697600001</v>
      </c>
      <c r="K43" s="60">
        <f t="shared" si="0"/>
        <v>64.135851846359998</v>
      </c>
      <c r="L43" s="60">
        <f t="shared" si="3"/>
        <v>83.809426032359994</v>
      </c>
      <c r="M43" s="60">
        <f t="shared" si="4"/>
        <v>103.48300021835999</v>
      </c>
      <c r="N4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83.809426032359994</v>
      </c>
      <c r="O43" s="96">
        <v>11.308631676443813</v>
      </c>
    </row>
    <row r="44" spans="1:15" x14ac:dyDescent="0.2">
      <c r="A44" s="59">
        <f>IF(TableWRMaster[[#This Row],[Player]]&lt;&gt;0,A43+1,A43)</f>
        <v>37</v>
      </c>
      <c r="B44" s="59" t="str">
        <f>CIN!A16</f>
        <v>Charlie Jones</v>
      </c>
      <c r="C44" s="59" t="s">
        <v>99</v>
      </c>
      <c r="D44" s="59">
        <f>CIN!C16</f>
        <v>7</v>
      </c>
      <c r="E44" s="60">
        <f>CIN!J16</f>
        <v>0</v>
      </c>
      <c r="F44" s="60">
        <f>CIN!K16</f>
        <v>0</v>
      </c>
      <c r="G44" s="60">
        <f>CIN!L16</f>
        <v>18.707043599999999</v>
      </c>
      <c r="H44" s="60">
        <f>CIN!M16</f>
        <v>12.589840342800001</v>
      </c>
      <c r="I44" s="60">
        <f>CIN!N16</f>
        <v>137.22925973652002</v>
      </c>
      <c r="J44" s="60">
        <f>CIN!O16</f>
        <v>0.94423802571000004</v>
      </c>
      <c r="K44" s="60">
        <f t="shared" si="0"/>
        <v>19.388354127912002</v>
      </c>
      <c r="L44" s="60">
        <f t="shared" si="3"/>
        <v>25.683274299312004</v>
      </c>
      <c r="M44" s="60">
        <f t="shared" si="4"/>
        <v>31.978194470712005</v>
      </c>
      <c r="N4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25.683274299312004</v>
      </c>
      <c r="O44" s="96">
        <v>0</v>
      </c>
    </row>
    <row r="45" spans="1:15" x14ac:dyDescent="0.2">
      <c r="A45" s="59">
        <f>IF(TableWRMaster[[#This Row],[Player]]&lt;&gt;0,A44+1,A44)</f>
        <v>38</v>
      </c>
      <c r="B45" s="59" t="str">
        <f>CIN!A17</f>
        <v>Jermaine Burton</v>
      </c>
      <c r="C45" s="59" t="s">
        <v>99</v>
      </c>
      <c r="D45" s="59">
        <f>CIN!C17</f>
        <v>7</v>
      </c>
      <c r="E45" s="60">
        <f>CIN!J17</f>
        <v>0</v>
      </c>
      <c r="F45" s="60">
        <f>CIN!K17</f>
        <v>0</v>
      </c>
      <c r="G45" s="60">
        <f>CIN!L17</f>
        <v>81.063855600000011</v>
      </c>
      <c r="H45" s="60">
        <f>CIN!M17</f>
        <v>52.772569995600008</v>
      </c>
      <c r="I45" s="60">
        <f>CIN!N17</f>
        <v>654.37986794544008</v>
      </c>
      <c r="J45" s="60">
        <f>CIN!O17</f>
        <v>4.4856684496260009</v>
      </c>
      <c r="K45" s="60">
        <f t="shared" si="0"/>
        <v>92.351997492300001</v>
      </c>
      <c r="L45" s="60">
        <f t="shared" si="3"/>
        <v>118.7382824901</v>
      </c>
      <c r="M45" s="60">
        <f t="shared" si="4"/>
        <v>145.12456748790001</v>
      </c>
      <c r="N4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118.73828249010003</v>
      </c>
      <c r="O45" s="96">
        <v>0</v>
      </c>
    </row>
    <row r="46" spans="1:15" x14ac:dyDescent="0.2">
      <c r="A46" s="59">
        <f>IF(TableWRMaster[[#This Row],[Player]]&lt;&gt;0,A45+1,A45)</f>
        <v>39</v>
      </c>
      <c r="B46" s="59" t="str">
        <f>CLE!A13</f>
        <v>Amari Cooper</v>
      </c>
      <c r="C46" s="59" t="s">
        <v>100</v>
      </c>
      <c r="D46" s="59">
        <f>CLE!C13</f>
        <v>5</v>
      </c>
      <c r="E46" s="60">
        <f>CLE!J13</f>
        <v>0</v>
      </c>
      <c r="F46" s="60">
        <f>CLE!K13</f>
        <v>0</v>
      </c>
      <c r="G46" s="60">
        <f>CLE!L13</f>
        <v>129.03659999999999</v>
      </c>
      <c r="H46" s="60">
        <f>CLE!M13</f>
        <v>77.680033199999997</v>
      </c>
      <c r="I46" s="60">
        <f>CLE!N13</f>
        <v>1095.2884681199998</v>
      </c>
      <c r="J46" s="60">
        <f>CLE!O13</f>
        <v>6.2144026559999999</v>
      </c>
      <c r="K46" s="60">
        <f t="shared" si="0"/>
        <v>146.81526274799998</v>
      </c>
      <c r="L46" s="60">
        <f t="shared" si="3"/>
        <v>185.65527934799997</v>
      </c>
      <c r="M46" s="60">
        <f t="shared" si="4"/>
        <v>224.49529594799998</v>
      </c>
      <c r="N4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185.65527934799999</v>
      </c>
      <c r="O46" s="96">
        <v>14.220208165902186</v>
      </c>
    </row>
    <row r="47" spans="1:15" x14ac:dyDescent="0.2">
      <c r="A47" s="59">
        <f>IF(TableWRMaster[[#This Row],[Player]]&lt;&gt;0,A46+1,A46)</f>
        <v>40</v>
      </c>
      <c r="B47" s="59" t="str">
        <f>CLE!A14</f>
        <v>Jerry Jeudy</v>
      </c>
      <c r="C47" s="59" t="s">
        <v>100</v>
      </c>
      <c r="D47" s="59">
        <f>CLE!C14</f>
        <v>5</v>
      </c>
      <c r="E47" s="60">
        <f>CLE!J14</f>
        <v>0</v>
      </c>
      <c r="F47" s="60">
        <f>CLE!K14</f>
        <v>0</v>
      </c>
      <c r="G47" s="60">
        <f>CLE!L14</f>
        <v>94.089187499999994</v>
      </c>
      <c r="H47" s="60">
        <f>CLE!M14</f>
        <v>59.7466340625</v>
      </c>
      <c r="I47" s="60">
        <f>CLE!N14</f>
        <v>734.88359896874999</v>
      </c>
      <c r="J47" s="60">
        <f>CLE!O14</f>
        <v>4.1822643843750003</v>
      </c>
      <c r="K47" s="60">
        <f t="shared" si="0"/>
        <v>98.581946203125</v>
      </c>
      <c r="L47" s="60">
        <f t="shared" si="3"/>
        <v>128.455263234375</v>
      </c>
      <c r="M47" s="60">
        <f t="shared" si="4"/>
        <v>158.32858026562499</v>
      </c>
      <c r="N4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128.455263234375</v>
      </c>
      <c r="O47" s="96">
        <v>5.0997417510922762</v>
      </c>
    </row>
    <row r="48" spans="1:15" x14ac:dyDescent="0.2">
      <c r="A48" s="59">
        <f>IF(TableWRMaster[[#This Row],[Player]]&lt;&gt;0,A47+1,A47)</f>
        <v>41</v>
      </c>
      <c r="B48" s="59" t="str">
        <f>CLE!A15</f>
        <v>Elijah Moore</v>
      </c>
      <c r="C48" s="59" t="s">
        <v>100</v>
      </c>
      <c r="D48" s="59">
        <f>CLE!C15</f>
        <v>5</v>
      </c>
      <c r="E48" s="60">
        <f>CLE!J15</f>
        <v>0</v>
      </c>
      <c r="F48" s="60">
        <f>CLE!K15</f>
        <v>0</v>
      </c>
      <c r="G48" s="60">
        <f>CLE!L15</f>
        <v>72.583087500000005</v>
      </c>
      <c r="H48" s="60">
        <f>CLE!M15</f>
        <v>43.404686325</v>
      </c>
      <c r="I48" s="60">
        <f>CLE!N15</f>
        <v>473.1110809425</v>
      </c>
      <c r="J48" s="60">
        <f>CLE!O15</f>
        <v>2.6042811795</v>
      </c>
      <c r="K48" s="60">
        <f t="shared" si="0"/>
        <v>62.936795171250004</v>
      </c>
      <c r="L48" s="60">
        <f t="shared" si="3"/>
        <v>84.639138333749997</v>
      </c>
      <c r="M48" s="60">
        <f t="shared" si="4"/>
        <v>106.34148149625</v>
      </c>
      <c r="N4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84.639138333749997</v>
      </c>
      <c r="O48" s="96">
        <v>0</v>
      </c>
    </row>
    <row r="49" spans="1:15" x14ac:dyDescent="0.2">
      <c r="A49" s="59">
        <f>IF(TableWRMaster[[#This Row],[Player]]&lt;&gt;0,A48+1,A48)</f>
        <v>42</v>
      </c>
      <c r="B49" s="59" t="str">
        <f>CLE!A16</f>
        <v>Cedric Tillman</v>
      </c>
      <c r="C49" s="59" t="s">
        <v>100</v>
      </c>
      <c r="D49" s="59">
        <f>CLE!C16</f>
        <v>5</v>
      </c>
      <c r="E49" s="60">
        <f>CLE!J16</f>
        <v>0</v>
      </c>
      <c r="F49" s="60">
        <f>CLE!K16</f>
        <v>0</v>
      </c>
      <c r="G49" s="60">
        <f>CLE!L16</f>
        <v>32.259149999999998</v>
      </c>
      <c r="H49" s="60">
        <f>CLE!M16</f>
        <v>18.065124000000001</v>
      </c>
      <c r="I49" s="60">
        <f>CLE!N16</f>
        <v>224.00753760000001</v>
      </c>
      <c r="J49" s="60">
        <f>CLE!O16</f>
        <v>1.4452099200000001</v>
      </c>
      <c r="K49" s="60">
        <f t="shared" si="0"/>
        <v>31.07201328</v>
      </c>
      <c r="L49" s="60">
        <f t="shared" si="3"/>
        <v>40.104575279999999</v>
      </c>
      <c r="M49" s="60">
        <f t="shared" si="4"/>
        <v>49.137137280000005</v>
      </c>
      <c r="N4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40.104575279999999</v>
      </c>
      <c r="O49" s="96">
        <v>0</v>
      </c>
    </row>
    <row r="50" spans="1:15" x14ac:dyDescent="0.2">
      <c r="A50" s="59">
        <f>IF(TableWRMaster[[#This Row],[Player]]&lt;&gt;0,A49+1,A49)</f>
        <v>43</v>
      </c>
      <c r="B50" s="59" t="str">
        <f>CLE!A17</f>
        <v>David Bell</v>
      </c>
      <c r="C50" s="59" t="s">
        <v>100</v>
      </c>
      <c r="D50" s="59">
        <f>CLE!C17</f>
        <v>5</v>
      </c>
      <c r="E50" s="60">
        <f>CLE!J17</f>
        <v>0</v>
      </c>
      <c r="F50" s="60">
        <f>CLE!K17</f>
        <v>0</v>
      </c>
      <c r="G50" s="60">
        <f>CLE!L17</f>
        <v>5.376525</v>
      </c>
      <c r="H50" s="60">
        <f>CLE!M17</f>
        <v>3.6130248000000003</v>
      </c>
      <c r="I50" s="60">
        <f>CLE!N17</f>
        <v>36.130248000000002</v>
      </c>
      <c r="J50" s="60">
        <f>CLE!O17</f>
        <v>0.18065124000000002</v>
      </c>
      <c r="K50" s="60">
        <f t="shared" si="0"/>
        <v>4.6969322400000006</v>
      </c>
      <c r="L50" s="60">
        <f t="shared" si="3"/>
        <v>6.5034446400000006</v>
      </c>
      <c r="M50" s="60">
        <f t="shared" si="4"/>
        <v>8.3099570400000005</v>
      </c>
      <c r="N5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6.5034446400000006</v>
      </c>
      <c r="O50" s="96">
        <v>0</v>
      </c>
    </row>
    <row r="51" spans="1:15" x14ac:dyDescent="0.2">
      <c r="A51" s="59">
        <f>IF(TableWRMaster[[#This Row],[Player]]&lt;&gt;0,A50+1,A50)</f>
        <v>44</v>
      </c>
      <c r="B51" s="59" t="str">
        <f>CLE!A18</f>
        <v>Jamari Thrash</v>
      </c>
      <c r="C51" s="59" t="s">
        <v>100</v>
      </c>
      <c r="D51" s="59">
        <f>CLE!C18</f>
        <v>5</v>
      </c>
      <c r="E51" s="60">
        <f>CLE!J18</f>
        <v>0</v>
      </c>
      <c r="F51" s="60">
        <f>CLE!K18</f>
        <v>0</v>
      </c>
      <c r="G51" s="60">
        <f>CLE!L18</f>
        <v>16.129574999999999</v>
      </c>
      <c r="H51" s="60">
        <f>CLE!M18</f>
        <v>10.032595649999999</v>
      </c>
      <c r="I51" s="60">
        <f>CLE!N18</f>
        <v>117.18071719199999</v>
      </c>
      <c r="J51" s="60">
        <f>CLE!O18</f>
        <v>0.60195573899999999</v>
      </c>
      <c r="K51" s="60">
        <f t="shared" si="0"/>
        <v>15.3298061532</v>
      </c>
      <c r="L51" s="60">
        <f t="shared" si="3"/>
        <v>20.346103978199999</v>
      </c>
      <c r="M51" s="60">
        <f t="shared" si="4"/>
        <v>25.362401803200001</v>
      </c>
      <c r="N5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20.346103978199999</v>
      </c>
      <c r="O51" s="96">
        <v>0</v>
      </c>
    </row>
    <row r="52" spans="1:15" x14ac:dyDescent="0.2">
      <c r="A52" s="59">
        <f>IF(TableWRMaster[[#This Row],[Player]]&lt;&gt;0,A51+1,A51)</f>
        <v>45</v>
      </c>
      <c r="B52" s="59" t="str">
        <f>DAL!A13</f>
        <v>CeeDee Lamb</v>
      </c>
      <c r="C52" s="59" t="s">
        <v>101</v>
      </c>
      <c r="D52" s="59">
        <f>DAL!C13</f>
        <v>7</v>
      </c>
      <c r="E52" s="60">
        <f>DAL!J13</f>
        <v>78.801206903999997</v>
      </c>
      <c r="F52" s="60">
        <f>DAL!K13</f>
        <v>0.73620504720000002</v>
      </c>
      <c r="G52" s="60">
        <f>DAL!L13</f>
        <v>146.35978559999995</v>
      </c>
      <c r="H52" s="60">
        <f>DAL!M13</f>
        <v>101.72005099199995</v>
      </c>
      <c r="I52" s="60">
        <f>DAL!N13</f>
        <v>1315.2402593265595</v>
      </c>
      <c r="J52" s="60">
        <f>DAL!O13</f>
        <v>9.6634048442399951</v>
      </c>
      <c r="K52" s="60">
        <f t="shared" si="0"/>
        <v>201.80180597169593</v>
      </c>
      <c r="L52" s="60">
        <f t="shared" si="3"/>
        <v>252.66183146769589</v>
      </c>
      <c r="M52" s="60">
        <f t="shared" si="4"/>
        <v>303.52185696369588</v>
      </c>
      <c r="N5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252.66183146769589</v>
      </c>
      <c r="O52" s="96">
        <v>24.447212469858798</v>
      </c>
    </row>
    <row r="53" spans="1:15" x14ac:dyDescent="0.2">
      <c r="A53" s="59">
        <f>IF(TableWRMaster[[#This Row],[Player]]&lt;&gt;0,A52+1,A52)</f>
        <v>46</v>
      </c>
      <c r="B53" s="59" t="str">
        <f>DAL!A14</f>
        <v>Brandin Cooks</v>
      </c>
      <c r="C53" s="59" t="s">
        <v>101</v>
      </c>
      <c r="D53" s="59">
        <f>DAL!C14</f>
        <v>7</v>
      </c>
      <c r="E53" s="60">
        <f>DAL!J14</f>
        <v>0</v>
      </c>
      <c r="F53" s="60">
        <f>DAL!K14</f>
        <v>0</v>
      </c>
      <c r="G53" s="60">
        <f>DAL!L14</f>
        <v>109.76983919999996</v>
      </c>
      <c r="H53" s="60">
        <f>DAL!M14</f>
        <v>72.009014515199979</v>
      </c>
      <c r="I53" s="60">
        <f>DAL!N14</f>
        <v>871.30907563391975</v>
      </c>
      <c r="J53" s="60">
        <f>DAL!O14</f>
        <v>6.1207662337919988</v>
      </c>
      <c r="K53" s="60">
        <f t="shared" si="0"/>
        <v>123.85550496614397</v>
      </c>
      <c r="L53" s="60">
        <f t="shared" si="3"/>
        <v>159.86001222374395</v>
      </c>
      <c r="M53" s="60">
        <f t="shared" si="4"/>
        <v>195.86451948134396</v>
      </c>
      <c r="N5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159.86001222374398</v>
      </c>
      <c r="O53" s="96">
        <v>23.90004724831903</v>
      </c>
    </row>
    <row r="54" spans="1:15" x14ac:dyDescent="0.2">
      <c r="A54" s="59">
        <f>IF(TableWRMaster[[#This Row],[Player]]&lt;&gt;0,A53+1,A53)</f>
        <v>47</v>
      </c>
      <c r="B54" s="59" t="str">
        <f>DAL!A15</f>
        <v>Jalen Tolbert</v>
      </c>
      <c r="C54" s="59" t="s">
        <v>101</v>
      </c>
      <c r="D54" s="59">
        <f>DAL!C15</f>
        <v>7</v>
      </c>
      <c r="E54" s="60">
        <f>DAL!J15</f>
        <v>0</v>
      </c>
      <c r="F54" s="60">
        <f>DAL!K15</f>
        <v>0</v>
      </c>
      <c r="G54" s="60">
        <f>DAL!L15</f>
        <v>60.983243999999978</v>
      </c>
      <c r="H54" s="60">
        <f>DAL!M15</f>
        <v>37.260762083999985</v>
      </c>
      <c r="I54" s="60">
        <f>DAL!N15</f>
        <v>486.99816043787985</v>
      </c>
      <c r="J54" s="60">
        <f>DAL!O15</f>
        <v>2.7945571562999989</v>
      </c>
      <c r="K54" s="60">
        <f t="shared" si="0"/>
        <v>65.467158981587971</v>
      </c>
      <c r="L54" s="60">
        <f t="shared" si="3"/>
        <v>84.097540023587968</v>
      </c>
      <c r="M54" s="60">
        <f t="shared" si="4"/>
        <v>102.72792106558796</v>
      </c>
      <c r="N5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84.097540023587982</v>
      </c>
      <c r="O54" s="96">
        <v>7.0024089687553328</v>
      </c>
    </row>
    <row r="55" spans="1:15" x14ac:dyDescent="0.2">
      <c r="A55" s="59">
        <f>IF(TableWRMaster[[#This Row],[Player]]&lt;&gt;0,A54+1,A54)</f>
        <v>48</v>
      </c>
      <c r="B55" s="59" t="str">
        <f>DAL!A16</f>
        <v>Racey McMath</v>
      </c>
      <c r="C55" s="59" t="s">
        <v>101</v>
      </c>
      <c r="D55" s="59">
        <f>DAL!C16</f>
        <v>7</v>
      </c>
      <c r="E55" s="60">
        <f>DAL!J16</f>
        <v>0</v>
      </c>
      <c r="F55" s="60">
        <f>DAL!K16</f>
        <v>0</v>
      </c>
      <c r="G55" s="60">
        <f>DAL!L16</f>
        <v>18.294973199999994</v>
      </c>
      <c r="H55" s="60">
        <f>DAL!M16</f>
        <v>11.159933651999996</v>
      </c>
      <c r="I55" s="60">
        <f>DAL!N16</f>
        <v>111.59933651999995</v>
      </c>
      <c r="J55" s="60">
        <f>DAL!O16</f>
        <v>0.78119535563999976</v>
      </c>
      <c r="K55" s="60">
        <f t="shared" si="0"/>
        <v>15.847105785839995</v>
      </c>
      <c r="L55" s="60">
        <f t="shared" si="3"/>
        <v>21.427072611839993</v>
      </c>
      <c r="M55" s="60">
        <f t="shared" si="4"/>
        <v>27.007039437839993</v>
      </c>
      <c r="N5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21.427072611839996</v>
      </c>
      <c r="O55" s="96">
        <v>0</v>
      </c>
    </row>
    <row r="56" spans="1:15" x14ac:dyDescent="0.2">
      <c r="A56" s="59">
        <f>IF(TableWRMaster[[#This Row],[Player]]&lt;&gt;0,A55+1,A55)</f>
        <v>49</v>
      </c>
      <c r="B56" s="59" t="str">
        <f>DAL!A17</f>
        <v>KaVontae Turpin</v>
      </c>
      <c r="C56" s="59" t="s">
        <v>101</v>
      </c>
      <c r="D56" s="59">
        <f>DAL!C17</f>
        <v>7</v>
      </c>
      <c r="E56" s="60">
        <f>DAL!J17</f>
        <v>0</v>
      </c>
      <c r="F56" s="60">
        <f>DAL!K17</f>
        <v>0</v>
      </c>
      <c r="G56" s="60">
        <f>DAL!L17</f>
        <v>24.39329759999999</v>
      </c>
      <c r="H56" s="60">
        <f>DAL!M17</f>
        <v>15.294597595199994</v>
      </c>
      <c r="I56" s="60">
        <f>DAL!N17</f>
        <v>177.57027808027192</v>
      </c>
      <c r="J56" s="60">
        <f>DAL!O17</f>
        <v>1.3765137835679995</v>
      </c>
      <c r="K56" s="60">
        <f t="shared" si="0"/>
        <v>26.01611050943519</v>
      </c>
      <c r="L56" s="60">
        <f t="shared" si="3"/>
        <v>33.663409307035188</v>
      </c>
      <c r="M56" s="60">
        <f t="shared" si="4"/>
        <v>41.310708104635182</v>
      </c>
      <c r="N5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33.663409307035188</v>
      </c>
      <c r="O56" s="96">
        <v>0</v>
      </c>
    </row>
    <row r="57" spans="1:15" x14ac:dyDescent="0.2">
      <c r="A57" s="59">
        <f>IF(TableWRMaster[[#This Row],[Player]]&lt;&gt;0,A56+1,A56)</f>
        <v>50</v>
      </c>
      <c r="B57" s="59" t="str">
        <f>DAL!A18</f>
        <v>Ryan Flournoy</v>
      </c>
      <c r="C57" s="59" t="s">
        <v>101</v>
      </c>
      <c r="D57" s="59">
        <f>DAL!C18</f>
        <v>7</v>
      </c>
      <c r="E57" s="60">
        <f>DAL!J18</f>
        <v>0</v>
      </c>
      <c r="F57" s="60">
        <f>DAL!K18</f>
        <v>0</v>
      </c>
      <c r="G57" s="60">
        <f>DAL!L18</f>
        <v>18.294973199999994</v>
      </c>
      <c r="H57" s="60">
        <f>DAL!M18</f>
        <v>11.306293437599995</v>
      </c>
      <c r="I57" s="60">
        <f>DAL!N18</f>
        <v>145.39893360753592</v>
      </c>
      <c r="J57" s="60">
        <f>DAL!O18</f>
        <v>0.96103494219599972</v>
      </c>
      <c r="K57" s="60">
        <f t="shared" si="0"/>
        <v>20.30610301392959</v>
      </c>
      <c r="L57" s="60">
        <f t="shared" si="3"/>
        <v>25.959249732729589</v>
      </c>
      <c r="M57" s="60">
        <f t="shared" si="4"/>
        <v>31.612396451529584</v>
      </c>
      <c r="N5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25.959249732729589</v>
      </c>
      <c r="O57" s="96">
        <v>0</v>
      </c>
    </row>
    <row r="58" spans="1:15" x14ac:dyDescent="0.2">
      <c r="A58" s="59">
        <f>IF(TableWRMaster[[#This Row],[Player]]&lt;&gt;0,A57+1,A57)</f>
        <v>51</v>
      </c>
      <c r="B58" s="59" t="str">
        <f>DEN!A13</f>
        <v>Courtland Sutton</v>
      </c>
      <c r="C58" s="59" t="s">
        <v>102</v>
      </c>
      <c r="D58" s="59">
        <f>DEN!C13</f>
        <v>9</v>
      </c>
      <c r="E58" s="60">
        <f>DEN!J13</f>
        <v>0</v>
      </c>
      <c r="F58" s="60">
        <f>DEN!K13</f>
        <v>0</v>
      </c>
      <c r="G58" s="60">
        <f>DEN!L13</f>
        <v>131.29888099999999</v>
      </c>
      <c r="H58" s="60">
        <f>DEN!M13</f>
        <v>79.435823004999989</v>
      </c>
      <c r="I58" s="60">
        <f>DEN!N13</f>
        <v>957.99602544029995</v>
      </c>
      <c r="J58" s="60">
        <f>DEN!O13</f>
        <v>6.7520449554249993</v>
      </c>
      <c r="K58" s="60">
        <f t="shared" si="0"/>
        <v>136.31187227658</v>
      </c>
      <c r="L58" s="60">
        <f t="shared" si="3"/>
        <v>176.02978377907999</v>
      </c>
      <c r="M58" s="60">
        <f t="shared" si="4"/>
        <v>215.74769528157998</v>
      </c>
      <c r="N5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176.02978377907999</v>
      </c>
      <c r="O58" s="96">
        <v>14.156941054184479</v>
      </c>
    </row>
    <row r="59" spans="1:15" x14ac:dyDescent="0.2">
      <c r="A59" s="59">
        <f>IF(TableWRMaster[[#This Row],[Player]]&lt;&gt;0,A58+1,A58)</f>
        <v>52</v>
      </c>
      <c r="B59" s="59" t="str">
        <f>DEN!A14</f>
        <v>Marvin Mims</v>
      </c>
      <c r="C59" s="59" t="s">
        <v>102</v>
      </c>
      <c r="D59" s="59">
        <f>DEN!C14</f>
        <v>9</v>
      </c>
      <c r="E59" s="60">
        <f>DEN!J14</f>
        <v>0</v>
      </c>
      <c r="F59" s="60">
        <f>DEN!K14</f>
        <v>0</v>
      </c>
      <c r="G59" s="60">
        <f>DEN!L14</f>
        <v>79.921058000000002</v>
      </c>
      <c r="H59" s="60">
        <f>DEN!M14</f>
        <v>47.952634799999998</v>
      </c>
      <c r="I59" s="60">
        <f>DEN!N14</f>
        <v>616.67088352799999</v>
      </c>
      <c r="J59" s="60">
        <f>DEN!O14</f>
        <v>3.116921262</v>
      </c>
      <c r="K59" s="60">
        <f t="shared" si="0"/>
        <v>80.368615924799997</v>
      </c>
      <c r="L59" s="60">
        <f t="shared" si="3"/>
        <v>104.3449333248</v>
      </c>
      <c r="M59" s="60">
        <f t="shared" si="4"/>
        <v>128.3212507248</v>
      </c>
      <c r="N5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104.3449333248</v>
      </c>
      <c r="O59" s="96">
        <v>5.499602009943378</v>
      </c>
    </row>
    <row r="60" spans="1:15" x14ac:dyDescent="0.2">
      <c r="A60" s="59">
        <f>IF(TableWRMaster[[#This Row],[Player]]&lt;&gt;0,A59+1,A59)</f>
        <v>53</v>
      </c>
      <c r="B60" s="59" t="str">
        <f>DEN!A15</f>
        <v>Josh Reynolds</v>
      </c>
      <c r="C60" s="59" t="s">
        <v>102</v>
      </c>
      <c r="D60" s="59">
        <f>DEN!C15</f>
        <v>9</v>
      </c>
      <c r="E60" s="60">
        <f>DEN!J15</f>
        <v>0</v>
      </c>
      <c r="F60" s="60">
        <f>DEN!K15</f>
        <v>0</v>
      </c>
      <c r="G60" s="60">
        <f>DEN!L15</f>
        <v>85.629704999999987</v>
      </c>
      <c r="H60" s="60">
        <f>DEN!M15</f>
        <v>50.77841506499999</v>
      </c>
      <c r="I60" s="60">
        <f>DEN!N15</f>
        <v>601.21643436959982</v>
      </c>
      <c r="J60" s="60">
        <f>DEN!O15</f>
        <v>3.3005969792249994</v>
      </c>
      <c r="K60" s="60">
        <f t="shared" si="0"/>
        <v>79.925225312309976</v>
      </c>
      <c r="L60" s="60">
        <f t="shared" si="3"/>
        <v>105.31443284480997</v>
      </c>
      <c r="M60" s="60">
        <f t="shared" si="4"/>
        <v>130.70364037730997</v>
      </c>
      <c r="N6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105.31443284480997</v>
      </c>
      <c r="O60" s="96">
        <v>0</v>
      </c>
    </row>
    <row r="61" spans="1:15" x14ac:dyDescent="0.2">
      <c r="A61" s="59">
        <f>IF(TableWRMaster[[#This Row],[Player]]&lt;&gt;0,A60+1,A60)</f>
        <v>54</v>
      </c>
      <c r="B61" s="59" t="str">
        <f>DEN!A16</f>
        <v>Troy Franklin</v>
      </c>
      <c r="C61" s="59" t="s">
        <v>102</v>
      </c>
      <c r="D61" s="59">
        <f>DEN!C16</f>
        <v>9</v>
      </c>
      <c r="E61" s="60">
        <f>DEN!J16</f>
        <v>0</v>
      </c>
      <c r="F61" s="60">
        <f>DEN!K16</f>
        <v>0</v>
      </c>
      <c r="G61" s="60">
        <f>DEN!L16</f>
        <v>68.50376399999999</v>
      </c>
      <c r="H61" s="60">
        <f>DEN!M16</f>
        <v>40.759739579999994</v>
      </c>
      <c r="I61" s="60">
        <f>DEN!N16</f>
        <v>513.98031610379985</v>
      </c>
      <c r="J61" s="60">
        <f>DEN!O16</f>
        <v>3.0569804684999995</v>
      </c>
      <c r="K61" s="60">
        <f t="shared" si="0"/>
        <v>69.739914421379979</v>
      </c>
      <c r="L61" s="60">
        <f t="shared" si="3"/>
        <v>90.119784211379979</v>
      </c>
      <c r="M61" s="60">
        <f t="shared" si="4"/>
        <v>110.49965400137998</v>
      </c>
      <c r="N6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90.119784211379994</v>
      </c>
      <c r="O61" s="96">
        <v>0</v>
      </c>
    </row>
    <row r="62" spans="1:15" x14ac:dyDescent="0.2">
      <c r="A62" s="59">
        <f>IF(TableWRMaster[[#This Row],[Player]]&lt;&gt;0,A61+1,A61)</f>
        <v>55</v>
      </c>
      <c r="B62" s="59" t="str">
        <f>DEN!A17</f>
        <v>Tim Patrick</v>
      </c>
      <c r="C62" s="59" t="s">
        <v>102</v>
      </c>
      <c r="D62" s="59">
        <f>DEN!C17</f>
        <v>9</v>
      </c>
      <c r="E62" s="60">
        <f>DEN!J17</f>
        <v>0</v>
      </c>
      <c r="F62" s="60">
        <f>DEN!K17</f>
        <v>0</v>
      </c>
      <c r="G62" s="60">
        <f>DEN!L17</f>
        <v>22.834588</v>
      </c>
      <c r="H62" s="60">
        <f>DEN!M17</f>
        <v>13.472406919999999</v>
      </c>
      <c r="I62" s="60">
        <f>DEN!N17</f>
        <v>155.47157585679997</v>
      </c>
      <c r="J62" s="60">
        <f>DEN!O17</f>
        <v>0.94306848440000002</v>
      </c>
      <c r="K62" s="60">
        <f t="shared" si="0"/>
        <v>21.205568492079998</v>
      </c>
      <c r="L62" s="60">
        <f t="shared" si="3"/>
        <v>27.941771952079996</v>
      </c>
      <c r="M62" s="60">
        <f t="shared" si="4"/>
        <v>34.677975412079995</v>
      </c>
      <c r="N6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27.941771952079996</v>
      </c>
      <c r="O62" s="96">
        <v>0</v>
      </c>
    </row>
    <row r="63" spans="1:15" x14ac:dyDescent="0.2">
      <c r="A63" s="59">
        <f>IF(TableWRMaster[[#This Row],[Player]]&lt;&gt;0,A62+1,A62)</f>
        <v>56</v>
      </c>
      <c r="B63" s="59" t="str">
        <f>DEN!A18</f>
        <v>Brandon Johnson</v>
      </c>
      <c r="C63" s="59" t="s">
        <v>102</v>
      </c>
      <c r="D63" s="59">
        <f>DEN!C18</f>
        <v>9</v>
      </c>
      <c r="E63" s="60">
        <f>DEN!J18</f>
        <v>0</v>
      </c>
      <c r="F63" s="60">
        <f>DEN!K18</f>
        <v>0</v>
      </c>
      <c r="G63" s="60">
        <f>DEN!L18</f>
        <v>11.417294</v>
      </c>
      <c r="H63" s="60">
        <f>DEN!M18</f>
        <v>6.3365981700000003</v>
      </c>
      <c r="I63" s="60">
        <f>DEN!N18</f>
        <v>81.742116393000003</v>
      </c>
      <c r="J63" s="60">
        <f>DEN!O18</f>
        <v>0.31682990850000003</v>
      </c>
      <c r="K63" s="60">
        <f t="shared" si="0"/>
        <v>10.075191090300001</v>
      </c>
      <c r="L63" s="60">
        <f t="shared" si="3"/>
        <v>13.2434901753</v>
      </c>
      <c r="M63" s="60">
        <f t="shared" si="4"/>
        <v>16.411789260300001</v>
      </c>
      <c r="N6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13.243490175300002</v>
      </c>
      <c r="O63" s="96">
        <v>0</v>
      </c>
    </row>
    <row r="64" spans="1:15" x14ac:dyDescent="0.2">
      <c r="A64" s="59">
        <f>IF(TableWRMaster[[#This Row],[Player]]&lt;&gt;0,A63+1,A63)</f>
        <v>57</v>
      </c>
      <c r="B64" s="59" t="str">
        <f>DET!A14</f>
        <v>Jameson Williams</v>
      </c>
      <c r="C64" s="59" t="s">
        <v>103</v>
      </c>
      <c r="D64" s="59">
        <f>DET!C14</f>
        <v>9</v>
      </c>
      <c r="E64" s="60">
        <f>DET!J14</f>
        <v>0</v>
      </c>
      <c r="F64" s="60">
        <f>DET!K14</f>
        <v>0</v>
      </c>
      <c r="G64" s="60">
        <f>DET!L14</f>
        <v>109.64480099999997</v>
      </c>
      <c r="H64" s="60">
        <f>DET!M14</f>
        <v>65.567590997999986</v>
      </c>
      <c r="I64" s="60">
        <f>DET!N14</f>
        <v>981.54683724005986</v>
      </c>
      <c r="J64" s="60">
        <f>DET!O14</f>
        <v>6.6223266907979994</v>
      </c>
      <c r="K64" s="60">
        <f t="shared" si="0"/>
        <v>137.88864386879399</v>
      </c>
      <c r="L64" s="60">
        <f t="shared" si="3"/>
        <v>170.67243936779397</v>
      </c>
      <c r="M64" s="60">
        <f t="shared" si="4"/>
        <v>203.45623486679398</v>
      </c>
      <c r="N6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170.67243936779397</v>
      </c>
      <c r="O64" s="96">
        <v>0</v>
      </c>
    </row>
    <row r="65" spans="1:15" x14ac:dyDescent="0.2">
      <c r="A65" s="59">
        <f>IF(TableWRMaster[[#This Row],[Player]]&lt;&gt;0,A64+1,A64)</f>
        <v>58</v>
      </c>
      <c r="B65" s="59" t="str">
        <f>DET!A13</f>
        <v>Amon-Ra St. Brown</v>
      </c>
      <c r="C65" s="59" t="s">
        <v>103</v>
      </c>
      <c r="D65" s="59">
        <f>DET!C13</f>
        <v>9</v>
      </c>
      <c r="E65" s="60">
        <f>DET!J13</f>
        <v>123.26695878000001</v>
      </c>
      <c r="F65" s="60">
        <f>DET!K13</f>
        <v>0.34874221200000005</v>
      </c>
      <c r="G65" s="60">
        <f>DET!L13</f>
        <v>151.13202299999998</v>
      </c>
      <c r="H65" s="60">
        <f>DET!M13</f>
        <v>107.75713239899997</v>
      </c>
      <c r="I65" s="60">
        <f>DET!N13</f>
        <v>1339.4211557195697</v>
      </c>
      <c r="J65" s="60">
        <f>DET!O13</f>
        <v>8.0817849299249982</v>
      </c>
      <c r="K65" s="60">
        <f t="shared" si="0"/>
        <v>196.85197430150697</v>
      </c>
      <c r="L65" s="60">
        <f t="shared" si="3"/>
        <v>250.73054050100694</v>
      </c>
      <c r="M65" s="60">
        <f t="shared" si="4"/>
        <v>304.60910670050691</v>
      </c>
      <c r="N6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250.73054050100694</v>
      </c>
      <c r="O65" s="96">
        <v>0</v>
      </c>
    </row>
    <row r="66" spans="1:15" x14ac:dyDescent="0.2">
      <c r="A66" s="59">
        <f>IF(TableWRMaster[[#This Row],[Player]]&lt;&gt;0,A65+1,A65)</f>
        <v>59</v>
      </c>
      <c r="B66" s="59" t="str">
        <f>DET!A16</f>
        <v>Donovan Peoples-Jones</v>
      </c>
      <c r="C66" s="59" t="s">
        <v>103</v>
      </c>
      <c r="D66" s="59">
        <f>DET!C16</f>
        <v>9</v>
      </c>
      <c r="E66" s="60">
        <f>DET!J16</f>
        <v>0</v>
      </c>
      <c r="F66" s="60">
        <f>DET!K16</f>
        <v>0</v>
      </c>
      <c r="G66" s="60">
        <f>DET!L16</f>
        <v>23.706983999999995</v>
      </c>
      <c r="H66" s="60">
        <f>DET!M16</f>
        <v>13.323325007999998</v>
      </c>
      <c r="I66" s="60">
        <f>DET!N16</f>
        <v>184.79451786095996</v>
      </c>
      <c r="J66" s="60">
        <f>DET!O16</f>
        <v>0.93263275055999995</v>
      </c>
      <c r="K66" s="60">
        <f t="shared" ref="K66:K130" si="5">(E66/10)+(F66*6)+(I66/10)+(J66*6)</f>
        <v>24.075248289455995</v>
      </c>
      <c r="L66" s="60">
        <f t="shared" ref="L66:L97" si="6">K66+(H66*0.5)</f>
        <v>30.736910793455994</v>
      </c>
      <c r="M66" s="60">
        <f t="shared" ref="M66:M97" si="7">K66+H66</f>
        <v>37.398573297455997</v>
      </c>
      <c r="N6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30.736910793455994</v>
      </c>
      <c r="O66" s="96">
        <v>0</v>
      </c>
    </row>
    <row r="67" spans="1:15" x14ac:dyDescent="0.2">
      <c r="A67" s="59">
        <f>IF(TableWRMaster[[#This Row],[Player]]&lt;&gt;0,A66+1,A66)</f>
        <v>60</v>
      </c>
      <c r="B67" s="59" t="str">
        <f>DET!A15</f>
        <v>Kalif Raymond</v>
      </c>
      <c r="C67" s="59" t="s">
        <v>103</v>
      </c>
      <c r="D67" s="59">
        <f>DET!C15</f>
        <v>9</v>
      </c>
      <c r="E67" s="60">
        <f>DET!J15</f>
        <v>0</v>
      </c>
      <c r="F67" s="60">
        <f>DET!K15</f>
        <v>0</v>
      </c>
      <c r="G67" s="60">
        <f>DET!L15</f>
        <v>41.487221999999996</v>
      </c>
      <c r="H67" s="60">
        <f>DET!M15</f>
        <v>29.207004287999997</v>
      </c>
      <c r="I67" s="60">
        <f>DET!N15</f>
        <v>351.36026158463994</v>
      </c>
      <c r="J67" s="60">
        <f>DET!O15</f>
        <v>1.7524202572799998</v>
      </c>
      <c r="K67" s="60">
        <f t="shared" si="5"/>
        <v>45.650547702143989</v>
      </c>
      <c r="L67" s="60">
        <f t="shared" si="6"/>
        <v>60.254049846143985</v>
      </c>
      <c r="M67" s="60">
        <f t="shared" si="7"/>
        <v>74.857551990143989</v>
      </c>
      <c r="N6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60.254049846143992</v>
      </c>
      <c r="O67" s="96">
        <v>0</v>
      </c>
    </row>
    <row r="68" spans="1:15" x14ac:dyDescent="0.2">
      <c r="A68" s="59">
        <f>IF(TableWRMaster[[#This Row],[Player]]&lt;&gt;0,A67+1,A67)</f>
        <v>60</v>
      </c>
      <c r="B68" s="59">
        <f>DET!A18</f>
        <v>0</v>
      </c>
      <c r="C68" s="59" t="s">
        <v>103</v>
      </c>
      <c r="D68" s="59">
        <f>DET!C18</f>
        <v>9</v>
      </c>
      <c r="E68" s="60">
        <f>DET!J18</f>
        <v>0</v>
      </c>
      <c r="F68" s="60">
        <f>DET!K18</f>
        <v>0</v>
      </c>
      <c r="G68" s="60">
        <f>DET!L18</f>
        <v>0</v>
      </c>
      <c r="H68" s="60">
        <f>DET!M18</f>
        <v>0</v>
      </c>
      <c r="I68" s="60">
        <f>DET!N18</f>
        <v>0</v>
      </c>
      <c r="J68" s="60">
        <f>DET!O18</f>
        <v>0</v>
      </c>
      <c r="K68" s="60">
        <f t="shared" si="5"/>
        <v>0</v>
      </c>
      <c r="L68" s="60">
        <f t="shared" si="6"/>
        <v>0</v>
      </c>
      <c r="M68" s="60">
        <f t="shared" si="7"/>
        <v>0</v>
      </c>
      <c r="N6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68" s="96">
        <v>0</v>
      </c>
    </row>
    <row r="69" spans="1:15" x14ac:dyDescent="0.2">
      <c r="A69" s="59">
        <f>IF(TableWRMaster[[#This Row],[Player]]&lt;&gt;0,A68+1,A68)</f>
        <v>61</v>
      </c>
      <c r="B69" s="59" t="str">
        <f>DET!A17</f>
        <v>Antoine Green</v>
      </c>
      <c r="C69" s="59" t="s">
        <v>103</v>
      </c>
      <c r="D69" s="59">
        <f>DET!C17</f>
        <v>9</v>
      </c>
      <c r="E69" s="60">
        <f>DET!J17</f>
        <v>0</v>
      </c>
      <c r="F69" s="60">
        <f>DET!K17</f>
        <v>0</v>
      </c>
      <c r="G69" s="60">
        <f>DET!L17</f>
        <v>17.780237999999994</v>
      </c>
      <c r="H69" s="60">
        <f>DET!M17</f>
        <v>10.134735659999995</v>
      </c>
      <c r="I69" s="60">
        <f>DET!N17</f>
        <v>128.71114288199993</v>
      </c>
      <c r="J69" s="60">
        <f>DET!O17</f>
        <v>0.60808413959999974</v>
      </c>
      <c r="K69" s="60">
        <f t="shared" si="5"/>
        <v>16.519619125799991</v>
      </c>
      <c r="L69" s="60">
        <f t="shared" si="6"/>
        <v>21.58698695579999</v>
      </c>
      <c r="M69" s="60">
        <f t="shared" si="7"/>
        <v>26.654354785799988</v>
      </c>
      <c r="N6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21.58698695579999</v>
      </c>
      <c r="O69" s="96">
        <v>0</v>
      </c>
    </row>
    <row r="70" spans="1:15" x14ac:dyDescent="0.2">
      <c r="A70" s="59">
        <f>IF(TableWRMaster[[#This Row],[Player]]&lt;&gt;0,A69+1,A69)</f>
        <v>62</v>
      </c>
      <c r="B70" s="59" t="str">
        <f>GB!A13</f>
        <v>Christian Watson</v>
      </c>
      <c r="C70" s="59" t="s">
        <v>104</v>
      </c>
      <c r="D70" s="59">
        <f>GB!C13</f>
        <v>6</v>
      </c>
      <c r="E70" s="60">
        <f>GB!J13</f>
        <v>29.210695359999999</v>
      </c>
      <c r="F70" s="60">
        <f>GB!K13</f>
        <v>0.12544470399999999</v>
      </c>
      <c r="G70" s="60">
        <f>GB!L13</f>
        <v>102.63657600000001</v>
      </c>
      <c r="H70" s="60">
        <f>GB!M13</f>
        <v>59.837123808000001</v>
      </c>
      <c r="I70" s="60">
        <f>GB!N13</f>
        <v>892.76988721535997</v>
      </c>
      <c r="J70" s="60">
        <f>GB!O13</f>
        <v>7.18045485696</v>
      </c>
      <c r="K70" s="60">
        <f t="shared" si="5"/>
        <v>136.03345562329599</v>
      </c>
      <c r="L70" s="60">
        <f t="shared" si="6"/>
        <v>165.95201752729599</v>
      </c>
      <c r="M70" s="60">
        <f t="shared" si="7"/>
        <v>195.87057943129599</v>
      </c>
      <c r="N7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165.95201752729599</v>
      </c>
      <c r="O70" s="96">
        <v>48</v>
      </c>
    </row>
    <row r="71" spans="1:15" x14ac:dyDescent="0.2">
      <c r="A71" s="59">
        <f>IF(TableWRMaster[[#This Row],[Player]]&lt;&gt;0,A70+1,A70)</f>
        <v>63</v>
      </c>
      <c r="B71" s="59" t="str">
        <f>GB!A14</f>
        <v>Romeo Doubs</v>
      </c>
      <c r="C71" s="59" t="s">
        <v>104</v>
      </c>
      <c r="D71" s="59">
        <f>GB!C14</f>
        <v>6</v>
      </c>
      <c r="E71" s="60">
        <f>GB!J14</f>
        <v>0</v>
      </c>
      <c r="F71" s="60">
        <f>GB!K14</f>
        <v>0</v>
      </c>
      <c r="G71" s="60">
        <f>GB!L14</f>
        <v>96.934544000000002</v>
      </c>
      <c r="H71" s="60">
        <f>GB!M14</f>
        <v>60.777959088000003</v>
      </c>
      <c r="I71" s="60">
        <f>GB!N14</f>
        <v>718.39547642016009</v>
      </c>
      <c r="J71" s="60">
        <f>GB!O14</f>
        <v>5.7739061133600007</v>
      </c>
      <c r="K71" s="60">
        <f t="shared" si="5"/>
        <v>106.48298432217602</v>
      </c>
      <c r="L71" s="60">
        <f t="shared" si="6"/>
        <v>136.87196386617603</v>
      </c>
      <c r="M71" s="60">
        <f t="shared" si="7"/>
        <v>167.26094341017603</v>
      </c>
      <c r="N7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136.87196386617603</v>
      </c>
      <c r="O71" s="96">
        <v>0</v>
      </c>
    </row>
    <row r="72" spans="1:15" x14ac:dyDescent="0.2">
      <c r="A72" s="59">
        <f>IF(TableWRMaster[[#This Row],[Player]]&lt;&gt;0,A71+1,A71)</f>
        <v>64</v>
      </c>
      <c r="B72" s="59" t="str">
        <f>GB!A15</f>
        <v>Jayden Reed</v>
      </c>
      <c r="C72" s="59" t="s">
        <v>104</v>
      </c>
      <c r="D72" s="59">
        <f>GB!C15</f>
        <v>6</v>
      </c>
      <c r="E72" s="60">
        <f>GB!J15</f>
        <v>137.09314079999999</v>
      </c>
      <c r="F72" s="60">
        <f>GB!K15</f>
        <v>1.2365263679999998</v>
      </c>
      <c r="G72" s="60">
        <f>GB!L15</f>
        <v>108.33860800000001</v>
      </c>
      <c r="H72" s="60">
        <f>GB!M15</f>
        <v>72.478528752000003</v>
      </c>
      <c r="I72" s="60">
        <f>GB!N15</f>
        <v>909.60553583760009</v>
      </c>
      <c r="J72" s="60">
        <f>GB!O15</f>
        <v>7.2478528752000004</v>
      </c>
      <c r="K72" s="60">
        <f t="shared" si="5"/>
        <v>155.57614312295999</v>
      </c>
      <c r="L72" s="60">
        <f t="shared" si="6"/>
        <v>191.81540749895998</v>
      </c>
      <c r="M72" s="60">
        <f t="shared" si="7"/>
        <v>228.05467187495998</v>
      </c>
      <c r="N7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191.81540749896001</v>
      </c>
      <c r="O72" s="96">
        <v>0</v>
      </c>
    </row>
    <row r="73" spans="1:15" x14ac:dyDescent="0.2">
      <c r="A73" s="59">
        <f>IF(TableWRMaster[[#This Row],[Player]]&lt;&gt;0,A72+1,A72)</f>
        <v>65</v>
      </c>
      <c r="B73" s="59" t="str">
        <f>GB!A16</f>
        <v>Dontayvion Wicks</v>
      </c>
      <c r="C73" s="59" t="s">
        <v>104</v>
      </c>
      <c r="D73" s="59">
        <f>GB!C16</f>
        <v>6</v>
      </c>
      <c r="E73" s="60">
        <f>GB!J16</f>
        <v>0</v>
      </c>
      <c r="F73" s="60">
        <f>GB!K16</f>
        <v>0</v>
      </c>
      <c r="G73" s="60">
        <f>GB!L16</f>
        <v>39.914224000000004</v>
      </c>
      <c r="H73" s="60">
        <f>GB!M16</f>
        <v>25.385446464000005</v>
      </c>
      <c r="I73" s="60">
        <f>GB!N16</f>
        <v>325.44142366848007</v>
      </c>
      <c r="J73" s="60">
        <f>GB!O16</f>
        <v>2.4116174140800006</v>
      </c>
      <c r="K73" s="60">
        <f t="shared" si="5"/>
        <v>47.013846851328012</v>
      </c>
      <c r="L73" s="60">
        <f t="shared" si="6"/>
        <v>59.706570083328018</v>
      </c>
      <c r="M73" s="60">
        <f t="shared" si="7"/>
        <v>72.399293315328009</v>
      </c>
      <c r="N7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59.706570083328018</v>
      </c>
      <c r="O73" s="96">
        <v>0</v>
      </c>
    </row>
    <row r="74" spans="1:15" x14ac:dyDescent="0.2">
      <c r="A74" s="59">
        <f>IF(TableWRMaster[[#This Row],[Player]]&lt;&gt;0,A73+1,A73)</f>
        <v>66</v>
      </c>
      <c r="B74" s="59" t="str">
        <f>GB!A17</f>
        <v>Bo Melton</v>
      </c>
      <c r="C74" s="59" t="s">
        <v>104</v>
      </c>
      <c r="D74" s="59">
        <f>GB!C17</f>
        <v>6</v>
      </c>
      <c r="E74" s="60">
        <f>GB!J17</f>
        <v>0</v>
      </c>
      <c r="F74" s="60">
        <f>GB!K17</f>
        <v>0</v>
      </c>
      <c r="G74" s="60">
        <f>GB!L17</f>
        <v>17.106096000000001</v>
      </c>
      <c r="H74" s="60">
        <f>GB!M17</f>
        <v>10.896583152000002</v>
      </c>
      <c r="I74" s="60">
        <f>GB!N17</f>
        <v>133.91900693808</v>
      </c>
      <c r="J74" s="60">
        <f>GB!O17</f>
        <v>0.98069248368000006</v>
      </c>
      <c r="K74" s="60">
        <f t="shared" si="5"/>
        <v>19.276055595888003</v>
      </c>
      <c r="L74" s="60">
        <f t="shared" si="6"/>
        <v>24.724347171888006</v>
      </c>
      <c r="M74" s="60">
        <f t="shared" si="7"/>
        <v>30.172638747888005</v>
      </c>
      <c r="N7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24.724347171887999</v>
      </c>
      <c r="O74" s="96">
        <v>0</v>
      </c>
    </row>
    <row r="75" spans="1:15" x14ac:dyDescent="0.2">
      <c r="A75" s="59">
        <f>IF(TableWRMaster[[#This Row],[Player]]&lt;&gt;0,A74+1,A74)</f>
        <v>66</v>
      </c>
      <c r="B75" s="59">
        <f>GB!A18</f>
        <v>0</v>
      </c>
      <c r="C75" s="59" t="s">
        <v>104</v>
      </c>
      <c r="D75" s="59">
        <f>GB!C18</f>
        <v>6</v>
      </c>
      <c r="E75" s="60">
        <f>GB!J18</f>
        <v>0</v>
      </c>
      <c r="F75" s="60">
        <f>GB!K18</f>
        <v>0</v>
      </c>
      <c r="G75" s="60">
        <f>GB!L18</f>
        <v>0</v>
      </c>
      <c r="H75" s="60">
        <f>GB!M18</f>
        <v>0</v>
      </c>
      <c r="I75" s="60">
        <f>GB!N18</f>
        <v>0</v>
      </c>
      <c r="J75" s="60">
        <f>GB!O18</f>
        <v>0</v>
      </c>
      <c r="K75" s="60">
        <f t="shared" si="5"/>
        <v>0</v>
      </c>
      <c r="L75" s="60">
        <f t="shared" si="6"/>
        <v>0</v>
      </c>
      <c r="M75" s="60">
        <f t="shared" si="7"/>
        <v>0</v>
      </c>
      <c r="N7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75" s="96">
        <v>0</v>
      </c>
    </row>
    <row r="76" spans="1:15" x14ac:dyDescent="0.2">
      <c r="A76" s="59">
        <f>IF(TableWRMaster[[#This Row],[Player]]&lt;&gt;0,A75+1,A75)</f>
        <v>66</v>
      </c>
      <c r="B76" s="59">
        <f>GB!A19</f>
        <v>0</v>
      </c>
      <c r="C76" s="59" t="s">
        <v>104</v>
      </c>
      <c r="D76" s="59">
        <f>GB!C19</f>
        <v>6</v>
      </c>
      <c r="E76" s="60">
        <f>GB!J19</f>
        <v>0</v>
      </c>
      <c r="F76" s="60">
        <f>GB!K19</f>
        <v>0</v>
      </c>
      <c r="G76" s="60">
        <f>GB!L19</f>
        <v>0</v>
      </c>
      <c r="H76" s="60">
        <f>GB!M19</f>
        <v>0</v>
      </c>
      <c r="I76" s="60">
        <f>GB!N19</f>
        <v>0</v>
      </c>
      <c r="J76" s="60">
        <f>GB!O19</f>
        <v>0</v>
      </c>
      <c r="K76" s="60">
        <f t="shared" si="5"/>
        <v>0</v>
      </c>
      <c r="L76" s="60">
        <f t="shared" si="6"/>
        <v>0</v>
      </c>
      <c r="M76" s="60">
        <f t="shared" si="7"/>
        <v>0</v>
      </c>
      <c r="N7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76" s="96">
        <v>0</v>
      </c>
    </row>
    <row r="77" spans="1:15" x14ac:dyDescent="0.2">
      <c r="A77" s="59">
        <f>IF(TableWRMaster[[#This Row],[Player]]&lt;&gt;0,A76+1,A76)</f>
        <v>67</v>
      </c>
      <c r="B77" s="59" t="str">
        <f>HOU!A13</f>
        <v>Stefon Diggs</v>
      </c>
      <c r="C77" s="59" t="s">
        <v>105</v>
      </c>
      <c r="D77" s="59">
        <f>HOU!C13</f>
        <v>7</v>
      </c>
      <c r="E77" s="60">
        <f>HOU!J13</f>
        <v>21.718527999999999</v>
      </c>
      <c r="F77" s="60">
        <f>HOU!K13</f>
        <v>6.4896000000000009E-2</v>
      </c>
      <c r="G77" s="60">
        <f>HOU!L13</f>
        <v>122.018624</v>
      </c>
      <c r="H77" s="60">
        <f>HOU!M13</f>
        <v>81.752478080000003</v>
      </c>
      <c r="I77" s="60">
        <f>HOU!N13</f>
        <v>978.57716261760004</v>
      </c>
      <c r="J77" s="60">
        <f>HOU!O13</f>
        <v>6.7037032025600007</v>
      </c>
      <c r="K77" s="60">
        <f t="shared" si="5"/>
        <v>140.64116427712</v>
      </c>
      <c r="L77" s="60">
        <f t="shared" si="6"/>
        <v>181.51740331712</v>
      </c>
      <c r="M77" s="60">
        <f t="shared" si="7"/>
        <v>222.39364235712</v>
      </c>
      <c r="N7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181.51740331712003</v>
      </c>
      <c r="O77" s="96">
        <v>15.101987749916791</v>
      </c>
    </row>
    <row r="78" spans="1:15" x14ac:dyDescent="0.2">
      <c r="A78" s="59">
        <f>IF(TableWRMaster[[#This Row],[Player]]&lt;&gt;0,A77+1,A77)</f>
        <v>68</v>
      </c>
      <c r="B78" s="59" t="str">
        <f>HOU!A14</f>
        <v>Nico Collins</v>
      </c>
      <c r="C78" s="59" t="s">
        <v>105</v>
      </c>
      <c r="D78" s="59">
        <f>HOU!C14</f>
        <v>7</v>
      </c>
      <c r="E78" s="60">
        <f>HOU!J14</f>
        <v>0</v>
      </c>
      <c r="F78" s="60">
        <f>HOU!K14</f>
        <v>0</v>
      </c>
      <c r="G78" s="60">
        <f>HOU!L14</f>
        <v>123.2090496</v>
      </c>
      <c r="H78" s="60">
        <f>HOU!M14</f>
        <v>79.839464140800004</v>
      </c>
      <c r="I78" s="60">
        <f>HOU!N14</f>
        <v>1173.64012286976</v>
      </c>
      <c r="J78" s="60">
        <f>HOU!O14</f>
        <v>7.9839464140800009</v>
      </c>
      <c r="K78" s="60">
        <f t="shared" si="5"/>
        <v>165.26769077145602</v>
      </c>
      <c r="L78" s="60">
        <f t="shared" si="6"/>
        <v>205.18742284185601</v>
      </c>
      <c r="M78" s="60">
        <f t="shared" si="7"/>
        <v>245.10715491225602</v>
      </c>
      <c r="N7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205.18742284185601</v>
      </c>
      <c r="O78" s="96">
        <v>0</v>
      </c>
    </row>
    <row r="79" spans="1:15" x14ac:dyDescent="0.2">
      <c r="A79" s="59">
        <f>IF(TableWRMaster[[#This Row],[Player]]&lt;&gt;0,A78+1,A78)</f>
        <v>69</v>
      </c>
      <c r="B79" s="59" t="str">
        <f>HOU!A15</f>
        <v>Tank Dell</v>
      </c>
      <c r="C79" s="59" t="s">
        <v>105</v>
      </c>
      <c r="D79" s="59">
        <f>HOU!C15</f>
        <v>7</v>
      </c>
      <c r="E79" s="60">
        <f>HOU!J15</f>
        <v>108.116736</v>
      </c>
      <c r="F79" s="60">
        <f>HOU!K15</f>
        <v>0.97343999999999997</v>
      </c>
      <c r="G79" s="60">
        <f>HOU!L15</f>
        <v>104.16224</v>
      </c>
      <c r="H79" s="60">
        <f>HOU!M15</f>
        <v>64.059777600000004</v>
      </c>
      <c r="I79" s="60">
        <f>HOU!N15</f>
        <v>914.133026352</v>
      </c>
      <c r="J79" s="60">
        <f>HOU!O15</f>
        <v>6.2778582048000002</v>
      </c>
      <c r="K79" s="60">
        <f t="shared" si="5"/>
        <v>145.73276546400001</v>
      </c>
      <c r="L79" s="60">
        <f t="shared" si="6"/>
        <v>177.76265426400002</v>
      </c>
      <c r="M79" s="60">
        <f t="shared" si="7"/>
        <v>209.79254306400003</v>
      </c>
      <c r="N7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177.76265426399999</v>
      </c>
      <c r="O79" s="96">
        <v>0</v>
      </c>
    </row>
    <row r="80" spans="1:15" x14ac:dyDescent="0.2">
      <c r="A80" s="59">
        <f>IF(TableWRMaster[[#This Row],[Player]]&lt;&gt;0,A79+1,A79)</f>
        <v>70</v>
      </c>
      <c r="B80" s="59" t="str">
        <f>HOU!A16</f>
        <v>Robert Woods</v>
      </c>
      <c r="C80" s="59" t="s">
        <v>105</v>
      </c>
      <c r="D80" s="59">
        <f>HOU!C16</f>
        <v>7</v>
      </c>
      <c r="E80" s="60">
        <f>HOU!J16</f>
        <v>0</v>
      </c>
      <c r="F80" s="60">
        <f>HOU!K16</f>
        <v>0</v>
      </c>
      <c r="G80" s="60">
        <f>HOU!L16</f>
        <v>23.808512</v>
      </c>
      <c r="H80" s="60">
        <f>HOU!M16</f>
        <v>14.666043392000001</v>
      </c>
      <c r="I80" s="60">
        <f>HOU!N16</f>
        <v>156.63334342656</v>
      </c>
      <c r="J80" s="60">
        <f>HOU!O16</f>
        <v>0.87996260352</v>
      </c>
      <c r="K80" s="60">
        <f t="shared" si="5"/>
        <v>20.943109963775999</v>
      </c>
      <c r="L80" s="60">
        <f t="shared" si="6"/>
        <v>28.276131659775999</v>
      </c>
      <c r="M80" s="60">
        <f t="shared" si="7"/>
        <v>35.609153355776002</v>
      </c>
      <c r="N8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28.276131659775999</v>
      </c>
      <c r="O80" s="96">
        <v>0</v>
      </c>
    </row>
    <row r="81" spans="1:15" x14ac:dyDescent="0.2">
      <c r="A81" s="59">
        <f>IF(TableWRMaster[[#This Row],[Player]]&lt;&gt;0,A80+1,A80)</f>
        <v>71</v>
      </c>
      <c r="B81" s="59" t="str">
        <f>HOU!A17</f>
        <v>Noah Brown</v>
      </c>
      <c r="C81" s="59" t="s">
        <v>105</v>
      </c>
      <c r="D81" s="59">
        <f>HOU!C17</f>
        <v>7</v>
      </c>
      <c r="E81" s="60">
        <f>HOU!J17</f>
        <v>0</v>
      </c>
      <c r="F81" s="60">
        <f>HOU!K17</f>
        <v>0</v>
      </c>
      <c r="G81" s="60">
        <f>HOU!L17</f>
        <v>20.832448000000003</v>
      </c>
      <c r="H81" s="60">
        <f>HOU!M17</f>
        <v>12.520301248000001</v>
      </c>
      <c r="I81" s="60">
        <f>HOU!N17</f>
        <v>185.30045847040003</v>
      </c>
      <c r="J81" s="60">
        <f>HOU!O17</f>
        <v>1.0016240998400001</v>
      </c>
      <c r="K81" s="60">
        <f t="shared" si="5"/>
        <v>24.539790446080005</v>
      </c>
      <c r="L81" s="60">
        <f t="shared" si="6"/>
        <v>30.799941070080006</v>
      </c>
      <c r="M81" s="60">
        <f t="shared" si="7"/>
        <v>37.060091694080008</v>
      </c>
      <c r="N8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30.799941070080006</v>
      </c>
      <c r="O81" s="96">
        <v>0</v>
      </c>
    </row>
    <row r="82" spans="1:15" x14ac:dyDescent="0.2">
      <c r="A82" s="59">
        <f>IF(TableWRMaster[[#This Row],[Player]]&lt;&gt;0,A81+1,A81)</f>
        <v>72</v>
      </c>
      <c r="B82" s="59" t="str">
        <f>HOU!A18</f>
        <v>Xavier Hutchinson</v>
      </c>
      <c r="C82" s="59" t="s">
        <v>105</v>
      </c>
      <c r="D82" s="59">
        <f>HOU!C18</f>
        <v>7</v>
      </c>
      <c r="E82" s="60">
        <f>HOU!J18</f>
        <v>0</v>
      </c>
      <c r="F82" s="60">
        <f>HOU!K18</f>
        <v>0</v>
      </c>
      <c r="G82" s="60">
        <f>HOU!L18</f>
        <v>11.904256</v>
      </c>
      <c r="H82" s="60">
        <f>HOU!M18</f>
        <v>6.6187663360000011</v>
      </c>
      <c r="I82" s="60">
        <f>HOU!N18</f>
        <v>82.734579200000013</v>
      </c>
      <c r="J82" s="60">
        <f>HOU!O18</f>
        <v>0.43021981184000008</v>
      </c>
      <c r="K82" s="60">
        <f t="shared" si="5"/>
        <v>10.854776791040003</v>
      </c>
      <c r="L82" s="60">
        <f t="shared" si="6"/>
        <v>14.164159959040003</v>
      </c>
      <c r="M82" s="60">
        <f t="shared" si="7"/>
        <v>17.473543127040003</v>
      </c>
      <c r="N8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14.164159959040003</v>
      </c>
      <c r="O82" s="96">
        <v>0</v>
      </c>
    </row>
    <row r="83" spans="1:15" x14ac:dyDescent="0.2">
      <c r="A83" s="59">
        <f>IF(TableWRMaster[[#This Row],[Player]]&lt;&gt;0,A82+1,A82)</f>
        <v>73</v>
      </c>
      <c r="B83" s="59" t="str">
        <f>HOU!A19</f>
        <v>John Metchie</v>
      </c>
      <c r="C83" s="59" t="s">
        <v>105</v>
      </c>
      <c r="D83" s="59">
        <f>HOU!C19</f>
        <v>7</v>
      </c>
      <c r="E83" s="60">
        <f>HOU!J19</f>
        <v>0</v>
      </c>
      <c r="F83" s="60">
        <f>HOU!K19</f>
        <v>0</v>
      </c>
      <c r="G83" s="60">
        <f>HOU!L19</f>
        <v>5.9521280000000001</v>
      </c>
      <c r="H83" s="60">
        <f>HOU!M19</f>
        <v>3.6486544639999998</v>
      </c>
      <c r="I83" s="60">
        <f>HOU!N19</f>
        <v>40.317631827200003</v>
      </c>
      <c r="J83" s="60">
        <f>HOU!O19</f>
        <v>0.23716254015999999</v>
      </c>
      <c r="K83" s="60">
        <f t="shared" si="5"/>
        <v>5.4547384236800003</v>
      </c>
      <c r="L83" s="60">
        <f t="shared" si="6"/>
        <v>7.2790656556800002</v>
      </c>
      <c r="M83" s="60">
        <f t="shared" si="7"/>
        <v>9.1033928876800001</v>
      </c>
      <c r="N8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7.2790656556800002</v>
      </c>
      <c r="O83" s="96">
        <v>0</v>
      </c>
    </row>
    <row r="84" spans="1:15" x14ac:dyDescent="0.2">
      <c r="A84" s="59">
        <f>IF(TableWRMaster[[#This Row],[Player]]&lt;&gt;0,A83+1,A83)</f>
        <v>74</v>
      </c>
      <c r="B84" s="59" t="str">
        <f>IND!A13</f>
        <v>Michael Pittman</v>
      </c>
      <c r="C84" s="59" t="s">
        <v>106</v>
      </c>
      <c r="D84" s="59">
        <f>IND!C13</f>
        <v>11</v>
      </c>
      <c r="E84" s="60">
        <f>IND!J13</f>
        <v>0</v>
      </c>
      <c r="F84" s="60">
        <f>IND!K13</f>
        <v>0</v>
      </c>
      <c r="G84" s="60">
        <f>IND!L13</f>
        <v>121.81464680000001</v>
      </c>
      <c r="H84" s="60">
        <f>IND!M13</f>
        <v>77.474115364799999</v>
      </c>
      <c r="I84" s="60">
        <f>IND!N13</f>
        <v>910.32085553640002</v>
      </c>
      <c r="J84" s="60">
        <f>IND!O13</f>
        <v>5.2682398448064003</v>
      </c>
      <c r="K84" s="60">
        <f t="shared" si="5"/>
        <v>122.6415246224784</v>
      </c>
      <c r="L84" s="60">
        <f t="shared" si="6"/>
        <v>161.37858230487839</v>
      </c>
      <c r="M84" s="60">
        <f t="shared" si="7"/>
        <v>200.1156399872784</v>
      </c>
      <c r="N8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161.37858230487842</v>
      </c>
      <c r="O84" s="96">
        <v>3.1584315476577665</v>
      </c>
    </row>
    <row r="85" spans="1:15" x14ac:dyDescent="0.2">
      <c r="A85" s="59">
        <f>IF(TableWRMaster[[#This Row],[Player]]&lt;&gt;0,A84+1,A84)</f>
        <v>75</v>
      </c>
      <c r="B85" s="59" t="str">
        <f>IND!A14</f>
        <v>Adonai Mitchell</v>
      </c>
      <c r="C85" s="59" t="s">
        <v>106</v>
      </c>
      <c r="D85" s="59">
        <f>IND!C14</f>
        <v>11</v>
      </c>
      <c r="E85" s="60">
        <f>IND!J14</f>
        <v>0</v>
      </c>
      <c r="F85" s="60">
        <f>IND!K14</f>
        <v>0</v>
      </c>
      <c r="G85" s="60">
        <f>IND!L14</f>
        <v>85.860544000000004</v>
      </c>
      <c r="H85" s="60">
        <f>IND!M14</f>
        <v>51.602186944000003</v>
      </c>
      <c r="I85" s="60">
        <f>IND!N14</f>
        <v>665.6682115776</v>
      </c>
      <c r="J85" s="60">
        <f>IND!O14</f>
        <v>3.6121530860800006</v>
      </c>
      <c r="K85" s="60">
        <f t="shared" si="5"/>
        <v>88.239739674240013</v>
      </c>
      <c r="L85" s="60">
        <f t="shared" si="6"/>
        <v>114.04083314624002</v>
      </c>
      <c r="M85" s="60">
        <f t="shared" si="7"/>
        <v>139.84192661824002</v>
      </c>
      <c r="N8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114.04083314624</v>
      </c>
      <c r="O85" s="96">
        <v>0.64776135372820753</v>
      </c>
    </row>
    <row r="86" spans="1:15" x14ac:dyDescent="0.2">
      <c r="A86" s="59">
        <f>IF(TableWRMaster[[#This Row],[Player]]&lt;&gt;0,A85+1,A85)</f>
        <v>76</v>
      </c>
      <c r="B86" s="59" t="str">
        <f>IND!A15</f>
        <v>Josh Downs</v>
      </c>
      <c r="C86" s="59" t="s">
        <v>106</v>
      </c>
      <c r="D86" s="59">
        <f>IND!C15</f>
        <v>11</v>
      </c>
      <c r="E86" s="60">
        <f>IND!J15</f>
        <v>0</v>
      </c>
      <c r="F86" s="60">
        <f>IND!K15</f>
        <v>0</v>
      </c>
      <c r="G86" s="60">
        <f>IND!L15</f>
        <v>98.202997200000013</v>
      </c>
      <c r="H86" s="60">
        <f>IND!M15</f>
        <v>62.849918208000012</v>
      </c>
      <c r="I86" s="60">
        <f>IND!N15</f>
        <v>734.08704466944016</v>
      </c>
      <c r="J86" s="60">
        <f>IND!O15</f>
        <v>3.7709950924800006</v>
      </c>
      <c r="K86" s="60">
        <f t="shared" si="5"/>
        <v>96.034675021824029</v>
      </c>
      <c r="L86" s="60">
        <f t="shared" si="6"/>
        <v>127.45963412582404</v>
      </c>
      <c r="M86" s="60">
        <f t="shared" si="7"/>
        <v>158.88459322982405</v>
      </c>
      <c r="N8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127.45963412582404</v>
      </c>
      <c r="O86" s="96">
        <v>0</v>
      </c>
    </row>
    <row r="87" spans="1:15" x14ac:dyDescent="0.2">
      <c r="A87" s="59">
        <f>IF(TableWRMaster[[#This Row],[Player]]&lt;&gt;0,A86+1,A86)</f>
        <v>77</v>
      </c>
      <c r="B87" s="59" t="str">
        <f>IND!A16</f>
        <v>Alec Pierce</v>
      </c>
      <c r="C87" s="59" t="s">
        <v>106</v>
      </c>
      <c r="D87" s="59">
        <f>IND!C16</f>
        <v>11</v>
      </c>
      <c r="E87" s="60">
        <f>IND!J16</f>
        <v>0</v>
      </c>
      <c r="F87" s="60">
        <f>IND!K16</f>
        <v>0</v>
      </c>
      <c r="G87" s="60">
        <f>IND!L16</f>
        <v>26.831420000000001</v>
      </c>
      <c r="H87" s="60">
        <f>IND!M16</f>
        <v>13.818181300000001</v>
      </c>
      <c r="I87" s="60">
        <f>IND!N16</f>
        <v>200.639992476</v>
      </c>
      <c r="J87" s="60">
        <f>IND!O16</f>
        <v>0.87054542190000006</v>
      </c>
      <c r="K87" s="60">
        <f t="shared" si="5"/>
        <v>25.287271779000001</v>
      </c>
      <c r="L87" s="60">
        <f t="shared" si="6"/>
        <v>32.196362429000004</v>
      </c>
      <c r="M87" s="60">
        <f t="shared" si="7"/>
        <v>39.105453079</v>
      </c>
      <c r="N8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32.196362429000004</v>
      </c>
      <c r="O87" s="96">
        <v>0</v>
      </c>
    </row>
    <row r="88" spans="1:15" x14ac:dyDescent="0.2">
      <c r="A88" s="59">
        <f>IF(TableWRMaster[[#This Row],[Player]]&lt;&gt;0,A87+1,A87)</f>
        <v>78</v>
      </c>
      <c r="B88" s="59" t="str">
        <f>IND!A17</f>
        <v>Anthony Gould</v>
      </c>
      <c r="C88" s="59" t="s">
        <v>106</v>
      </c>
      <c r="D88" s="59">
        <f>IND!C17</f>
        <v>11</v>
      </c>
      <c r="E88" s="60">
        <f>IND!J17</f>
        <v>0</v>
      </c>
      <c r="F88" s="60">
        <f>IND!K17</f>
        <v>0</v>
      </c>
      <c r="G88" s="60">
        <f>IND!L17</f>
        <v>21.465136000000001</v>
      </c>
      <c r="H88" s="60">
        <f>IND!M17</f>
        <v>12.621499968</v>
      </c>
      <c r="I88" s="60">
        <f>IND!N17</f>
        <v>147.79776462528002</v>
      </c>
      <c r="J88" s="60">
        <f>IND!O17</f>
        <v>0.75728999807999997</v>
      </c>
      <c r="K88" s="60">
        <f t="shared" si="5"/>
        <v>19.323516451008</v>
      </c>
      <c r="L88" s="60">
        <f t="shared" si="6"/>
        <v>25.634266435008001</v>
      </c>
      <c r="M88" s="60">
        <f t="shared" si="7"/>
        <v>31.945016419007999</v>
      </c>
      <c r="N8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25.634266435008001</v>
      </c>
      <c r="O88" s="96">
        <v>0</v>
      </c>
    </row>
    <row r="89" spans="1:15" x14ac:dyDescent="0.2">
      <c r="A89" s="59">
        <f>IF(TableWRMaster[[#This Row],[Player]]&lt;&gt;0,A88+1,A88)</f>
        <v>78</v>
      </c>
      <c r="B89" s="59">
        <f>IND!A18</f>
        <v>0</v>
      </c>
      <c r="C89" s="59" t="s">
        <v>106</v>
      </c>
      <c r="D89" s="59">
        <f>IND!C18</f>
        <v>11</v>
      </c>
      <c r="E89" s="60">
        <f>IND!J18</f>
        <v>0</v>
      </c>
      <c r="F89" s="60">
        <f>IND!K18</f>
        <v>0</v>
      </c>
      <c r="G89" s="60">
        <f>IND!L18</f>
        <v>0</v>
      </c>
      <c r="H89" s="60">
        <f>IND!M18</f>
        <v>0</v>
      </c>
      <c r="I89" s="60">
        <f>IND!N18</f>
        <v>0</v>
      </c>
      <c r="J89" s="60">
        <f>IND!O18</f>
        <v>0</v>
      </c>
      <c r="K89" s="60">
        <f t="shared" si="5"/>
        <v>0</v>
      </c>
      <c r="L89" s="60">
        <f t="shared" si="6"/>
        <v>0</v>
      </c>
      <c r="M89" s="60">
        <f t="shared" si="7"/>
        <v>0</v>
      </c>
      <c r="N8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89" s="96">
        <v>0</v>
      </c>
    </row>
    <row r="90" spans="1:15" x14ac:dyDescent="0.2">
      <c r="A90" s="59">
        <f>IF(TableWRMaster[[#This Row],[Player]]&lt;&gt;0,A89+1,A89)</f>
        <v>79</v>
      </c>
      <c r="B90" s="59" t="str">
        <f>JAX!A13</f>
        <v>Brian Thomas</v>
      </c>
      <c r="C90" s="59" t="s">
        <v>124</v>
      </c>
      <c r="D90" s="59">
        <f>JAX!C13</f>
        <v>9</v>
      </c>
      <c r="E90" s="60">
        <f>JAX!J13</f>
        <v>0</v>
      </c>
      <c r="F90" s="60">
        <f>JAX!K13</f>
        <v>0</v>
      </c>
      <c r="G90" s="60">
        <f>JAX!L13</f>
        <v>120.85163999999996</v>
      </c>
      <c r="H90" s="60">
        <f>JAX!M13</f>
        <v>75.53227499999997</v>
      </c>
      <c r="I90" s="60">
        <f>JAX!N13</f>
        <v>1016.6644214999997</v>
      </c>
      <c r="J90" s="60">
        <f>JAX!O13</f>
        <v>6.2691788249999982</v>
      </c>
      <c r="K90" s="60">
        <f t="shared" si="5"/>
        <v>139.28151509999995</v>
      </c>
      <c r="L90" s="60">
        <f t="shared" si="6"/>
        <v>177.04765259999994</v>
      </c>
      <c r="M90" s="60">
        <f t="shared" si="7"/>
        <v>214.81379009999992</v>
      </c>
      <c r="N9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177.04765259999994</v>
      </c>
      <c r="O90" s="96">
        <v>15.838701358844826</v>
      </c>
    </row>
    <row r="91" spans="1:15" x14ac:dyDescent="0.2">
      <c r="A91" s="59">
        <f>IF(TableWRMaster[[#This Row],[Player]]&lt;&gt;0,A90+1,A90)</f>
        <v>80</v>
      </c>
      <c r="B91" s="59" t="str">
        <f>JAX!A14</f>
        <v>Christian Kirk</v>
      </c>
      <c r="C91" s="59" t="s">
        <v>124</v>
      </c>
      <c r="D91" s="59">
        <f>JAX!C14</f>
        <v>9</v>
      </c>
      <c r="E91" s="60">
        <f>JAX!J14</f>
        <v>20.061372239999997</v>
      </c>
      <c r="F91" s="60">
        <f>JAX!K14</f>
        <v>0.102878832</v>
      </c>
      <c r="G91" s="60">
        <f>JAX!L14</f>
        <v>126.89422199999994</v>
      </c>
      <c r="H91" s="60">
        <f>JAX!M14</f>
        <v>82.608138521999962</v>
      </c>
      <c r="I91" s="60">
        <f>JAX!N14</f>
        <v>1044.1668709180797</v>
      </c>
      <c r="J91" s="60">
        <f>JAX!O14</f>
        <v>4.9564883113199976</v>
      </c>
      <c r="K91" s="60">
        <f t="shared" si="5"/>
        <v>136.77902717572795</v>
      </c>
      <c r="L91" s="60">
        <f t="shared" si="6"/>
        <v>178.08309643672794</v>
      </c>
      <c r="M91" s="60">
        <f t="shared" si="7"/>
        <v>219.38716569772791</v>
      </c>
      <c r="N9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178.08309643672794</v>
      </c>
      <c r="O91" s="96">
        <v>10.083300050857609</v>
      </c>
    </row>
    <row r="92" spans="1:15" x14ac:dyDescent="0.2">
      <c r="A92" s="59">
        <f>IF(TableWRMaster[[#This Row],[Player]]&lt;&gt;0,A91+1,A91)</f>
        <v>81</v>
      </c>
      <c r="B92" s="59" t="str">
        <f>JAX!A15</f>
        <v>Gabe Davis</v>
      </c>
      <c r="C92" s="59" t="s">
        <v>124</v>
      </c>
      <c r="D92" s="59">
        <f>JAX!C15</f>
        <v>9</v>
      </c>
      <c r="E92" s="60">
        <f>JAX!J15</f>
        <v>0</v>
      </c>
      <c r="F92" s="60">
        <f>JAX!K15</f>
        <v>0</v>
      </c>
      <c r="G92" s="60">
        <f>JAX!L15</f>
        <v>96.681311999999963</v>
      </c>
      <c r="H92" s="60">
        <f>JAX!M15</f>
        <v>56.075160959999977</v>
      </c>
      <c r="I92" s="60">
        <f>JAX!N15</f>
        <v>773.83722124799976</v>
      </c>
      <c r="J92" s="60">
        <f>JAX!O15</f>
        <v>4.7663886815999987</v>
      </c>
      <c r="K92" s="60">
        <f t="shared" si="5"/>
        <v>105.98205421439997</v>
      </c>
      <c r="L92" s="60">
        <f t="shared" si="6"/>
        <v>134.01963469439994</v>
      </c>
      <c r="M92" s="60">
        <f t="shared" si="7"/>
        <v>162.05721517439994</v>
      </c>
      <c r="N9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134.01963469439997</v>
      </c>
      <c r="O92" s="96">
        <v>8.5562358386140911</v>
      </c>
    </row>
    <row r="93" spans="1:15" x14ac:dyDescent="0.2">
      <c r="A93" s="59">
        <f>IF(TableWRMaster[[#This Row],[Player]]&lt;&gt;0,A92+1,A92)</f>
        <v>82</v>
      </c>
      <c r="B93" s="59" t="str">
        <f>JAX!A16</f>
        <v>Parker Washington</v>
      </c>
      <c r="C93" s="59" t="s">
        <v>124</v>
      </c>
      <c r="D93" s="59">
        <f>JAX!C16</f>
        <v>9</v>
      </c>
      <c r="E93" s="60">
        <f>JAX!J16</f>
        <v>0</v>
      </c>
      <c r="F93" s="60">
        <f>JAX!K16</f>
        <v>0</v>
      </c>
      <c r="G93" s="60">
        <f>JAX!L16</f>
        <v>24.170327999999991</v>
      </c>
      <c r="H93" s="60">
        <f>JAX!M16</f>
        <v>16.556674679999993</v>
      </c>
      <c r="I93" s="60">
        <f>JAX!N16</f>
        <v>162.58654535759993</v>
      </c>
      <c r="J93" s="60">
        <f>JAX!O16</f>
        <v>1.0761838541999995</v>
      </c>
      <c r="K93" s="60">
        <f t="shared" si="5"/>
        <v>22.715757660959991</v>
      </c>
      <c r="L93" s="60">
        <f t="shared" si="6"/>
        <v>30.994095000959987</v>
      </c>
      <c r="M93" s="60">
        <f t="shared" si="7"/>
        <v>39.27243234095998</v>
      </c>
      <c r="N9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30.994095000959987</v>
      </c>
      <c r="O93" s="96">
        <v>0</v>
      </c>
    </row>
    <row r="94" spans="1:15" x14ac:dyDescent="0.2">
      <c r="A94" s="59">
        <f>IF(TableWRMaster[[#This Row],[Player]]&lt;&gt;0,A93+1,A93)</f>
        <v>83</v>
      </c>
      <c r="B94" s="59" t="str">
        <f>JAX!A17</f>
        <v>Tim Jones</v>
      </c>
      <c r="C94" s="59" t="s">
        <v>124</v>
      </c>
      <c r="D94" s="59">
        <f>JAX!C17</f>
        <v>9</v>
      </c>
      <c r="E94" s="60">
        <f>JAX!J17</f>
        <v>0</v>
      </c>
      <c r="F94" s="60">
        <f>JAX!K17</f>
        <v>0</v>
      </c>
      <c r="G94" s="60">
        <f>JAX!L17</f>
        <v>12.085163999999995</v>
      </c>
      <c r="H94" s="60">
        <f>JAX!M17</f>
        <v>6.8885434799999965</v>
      </c>
      <c r="I94" s="60">
        <f>JAX!N17</f>
        <v>75.773978279999966</v>
      </c>
      <c r="J94" s="60">
        <f>JAX!O17</f>
        <v>0.41331260879999976</v>
      </c>
      <c r="K94" s="60">
        <f t="shared" si="5"/>
        <v>10.057273480799996</v>
      </c>
      <c r="L94" s="60">
        <f t="shared" si="6"/>
        <v>13.501545220799994</v>
      </c>
      <c r="M94" s="60">
        <f t="shared" si="7"/>
        <v>16.945816960799991</v>
      </c>
      <c r="N9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13.501545220799994</v>
      </c>
      <c r="O94" s="96">
        <v>0</v>
      </c>
    </row>
    <row r="95" spans="1:15" x14ac:dyDescent="0.2">
      <c r="A95" s="59">
        <f>IF(TableWRMaster[[#This Row],[Player]]&lt;&gt;0,A94+1,A94)</f>
        <v>84</v>
      </c>
      <c r="B95" s="59" t="str">
        <f>JAX!A18</f>
        <v>Devin Duvernay</v>
      </c>
      <c r="C95" s="59" t="s">
        <v>124</v>
      </c>
      <c r="D95" s="59">
        <f>JAX!C18</f>
        <v>9</v>
      </c>
      <c r="E95" s="60">
        <f>JAX!J18</f>
        <v>0</v>
      </c>
      <c r="F95" s="60">
        <f>JAX!K18</f>
        <v>0</v>
      </c>
      <c r="G95" s="60">
        <f>JAX!L18</f>
        <v>6.0425819999999977</v>
      </c>
      <c r="H95" s="60">
        <f>JAX!M18</f>
        <v>3.9760189559999985</v>
      </c>
      <c r="I95" s="60">
        <f>JAX!N18</f>
        <v>40.316832213839987</v>
      </c>
      <c r="J95" s="60">
        <f>JAX!O18</f>
        <v>0.2385611373599999</v>
      </c>
      <c r="K95" s="60">
        <f t="shared" si="5"/>
        <v>5.4630500455439979</v>
      </c>
      <c r="L95" s="60">
        <f t="shared" si="6"/>
        <v>7.4510595235439974</v>
      </c>
      <c r="M95" s="60">
        <f t="shared" si="7"/>
        <v>9.4390690015439969</v>
      </c>
      <c r="N9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7.4510595235439983</v>
      </c>
      <c r="O95" s="96">
        <v>0</v>
      </c>
    </row>
    <row r="96" spans="1:15" x14ac:dyDescent="0.2">
      <c r="A96" s="59">
        <f>IF(TableWRMaster[[#This Row],[Player]]&lt;&gt;0,A95+1,A95)</f>
        <v>84</v>
      </c>
      <c r="B96" s="59">
        <f>JAX!A19</f>
        <v>0</v>
      </c>
      <c r="C96" s="59" t="s">
        <v>124</v>
      </c>
      <c r="D96" s="59">
        <f>JAX!C19</f>
        <v>9</v>
      </c>
      <c r="E96" s="60">
        <f>JAX!J19</f>
        <v>0</v>
      </c>
      <c r="F96" s="60">
        <f>JAX!K19</f>
        <v>0</v>
      </c>
      <c r="G96" s="60">
        <f>JAX!L19</f>
        <v>0</v>
      </c>
      <c r="H96" s="60">
        <f>JAX!M19</f>
        <v>0</v>
      </c>
      <c r="I96" s="60">
        <f>JAX!N19</f>
        <v>0</v>
      </c>
      <c r="J96" s="60">
        <f>JAX!O19</f>
        <v>0</v>
      </c>
      <c r="K96" s="60">
        <f t="shared" si="5"/>
        <v>0</v>
      </c>
      <c r="L96" s="60">
        <f t="shared" si="6"/>
        <v>0</v>
      </c>
      <c r="M96" s="60">
        <f t="shared" si="7"/>
        <v>0</v>
      </c>
      <c r="N9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96" s="96">
        <v>0</v>
      </c>
    </row>
    <row r="97" spans="1:15" x14ac:dyDescent="0.2">
      <c r="A97" s="59">
        <f>IF(TableWRMaster[[#This Row],[Player]]&lt;&gt;0,A96+1,A96)</f>
        <v>85</v>
      </c>
      <c r="B97" s="59" t="str">
        <f>KC!A13</f>
        <v>Rashee Rice</v>
      </c>
      <c r="C97" s="59" t="s">
        <v>108</v>
      </c>
      <c r="D97" s="59">
        <f>KC!C13</f>
        <v>10</v>
      </c>
      <c r="E97" s="60">
        <f>KC!J13</f>
        <v>21.095244799999996</v>
      </c>
      <c r="F97" s="60">
        <f>KC!K13</f>
        <v>6.3033599999999995E-2</v>
      </c>
      <c r="G97" s="60">
        <f>KC!L13</f>
        <v>107.15711999999996</v>
      </c>
      <c r="H97" s="60">
        <f>KC!M13</f>
        <v>77.581754879999977</v>
      </c>
      <c r="I97" s="60">
        <f>KC!N13</f>
        <v>911.58561983999971</v>
      </c>
      <c r="J97" s="60">
        <f>KC!O13</f>
        <v>6.9823579391999973</v>
      </c>
      <c r="K97" s="60">
        <f t="shared" si="5"/>
        <v>135.54043569919997</v>
      </c>
      <c r="L97" s="60">
        <f t="shared" si="6"/>
        <v>174.33131313919995</v>
      </c>
      <c r="M97" s="60">
        <f t="shared" si="7"/>
        <v>213.12219057919995</v>
      </c>
      <c r="N9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174.33131313919995</v>
      </c>
      <c r="O97" s="96">
        <v>45.236144655695469</v>
      </c>
    </row>
    <row r="98" spans="1:15" x14ac:dyDescent="0.2">
      <c r="A98" s="59">
        <f>IF(TableWRMaster[[#This Row],[Player]]&lt;&gt;0,A97+1,A97)</f>
        <v>86</v>
      </c>
      <c r="B98" s="59" t="str">
        <f>KC!A14</f>
        <v>Xavier Worthy</v>
      </c>
      <c r="C98" s="59" t="s">
        <v>108</v>
      </c>
      <c r="D98" s="59">
        <f>KC!C14</f>
        <v>10</v>
      </c>
      <c r="E98" s="60">
        <f>KC!J14</f>
        <v>48.830028799999994</v>
      </c>
      <c r="F98" s="60">
        <f>KC!K14</f>
        <v>0.23532544</v>
      </c>
      <c r="G98" s="60">
        <f>KC!L14</f>
        <v>97.702079999999981</v>
      </c>
      <c r="H98" s="60">
        <f>KC!M14</f>
        <v>62.529331199999987</v>
      </c>
      <c r="I98" s="60">
        <f>KC!N14</f>
        <v>860.40359731199976</v>
      </c>
      <c r="J98" s="60">
        <f>KC!O14</f>
        <v>5.9402864639999988</v>
      </c>
      <c r="K98" s="60">
        <f t="shared" si="5"/>
        <v>127.97703403519996</v>
      </c>
      <c r="L98" s="60">
        <f t="shared" ref="L98:L107" si="8">K98+(H98*0.5)</f>
        <v>159.24169963519995</v>
      </c>
      <c r="M98" s="60">
        <f t="shared" ref="M98:M107" si="9">K98+H98</f>
        <v>190.50636523519995</v>
      </c>
      <c r="N9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159.24169963519995</v>
      </c>
      <c r="O98" s="96">
        <v>8.9593049382982386</v>
      </c>
    </row>
    <row r="99" spans="1:15" x14ac:dyDescent="0.2">
      <c r="A99" s="59">
        <f>IF(TableWRMaster[[#This Row],[Player]]&lt;&gt;0,A98+1,A98)</f>
        <v>87</v>
      </c>
      <c r="B99" s="59" t="str">
        <f>KC!A15</f>
        <v>Marquise Brown</v>
      </c>
      <c r="C99" s="59" t="s">
        <v>108</v>
      </c>
      <c r="D99" s="59">
        <f>KC!C15</f>
        <v>10</v>
      </c>
      <c r="E99" s="60">
        <f>KC!J15</f>
        <v>21.095244799999996</v>
      </c>
      <c r="F99" s="60">
        <f>KC!K15</f>
        <v>6.3033599999999995E-2</v>
      </c>
      <c r="G99" s="60">
        <f>KC!L15</f>
        <v>100.85375999999997</v>
      </c>
      <c r="H99" s="60">
        <f>KC!M15</f>
        <v>61.218232319999977</v>
      </c>
      <c r="I99" s="60">
        <f>KC!N15</f>
        <v>814.81467217919976</v>
      </c>
      <c r="J99" s="60">
        <f>KC!O15</f>
        <v>5.509640908799998</v>
      </c>
      <c r="K99" s="60">
        <f t="shared" si="5"/>
        <v>117.02703875071995</v>
      </c>
      <c r="L99" s="60">
        <f t="shared" si="8"/>
        <v>147.63615491071994</v>
      </c>
      <c r="M99" s="60">
        <f t="shared" si="9"/>
        <v>178.24527107071992</v>
      </c>
      <c r="N9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147.63615491071997</v>
      </c>
      <c r="O99" s="96">
        <v>0</v>
      </c>
    </row>
    <row r="100" spans="1:15" x14ac:dyDescent="0.2">
      <c r="A100" s="59">
        <f>IF(TableWRMaster[[#This Row],[Player]]&lt;&gt;0,A99+1,A99)</f>
        <v>88</v>
      </c>
      <c r="B100" s="59" t="str">
        <f>KC!A16</f>
        <v>Kadarius Toney</v>
      </c>
      <c r="C100" s="59" t="s">
        <v>108</v>
      </c>
      <c r="D100" s="59">
        <f>KC!C16</f>
        <v>10</v>
      </c>
      <c r="E100" s="60">
        <f>KC!J16</f>
        <v>0</v>
      </c>
      <c r="F100" s="60">
        <f>KC!K16</f>
        <v>0</v>
      </c>
      <c r="G100" s="60">
        <f>KC!L16</f>
        <v>37.820159999999987</v>
      </c>
      <c r="H100" s="60">
        <f>KC!M16</f>
        <v>27.19269503999999</v>
      </c>
      <c r="I100" s="60">
        <f>KC!N16</f>
        <v>268.39190004479985</v>
      </c>
      <c r="J100" s="60">
        <f>KC!O16</f>
        <v>2.3113790783999995</v>
      </c>
      <c r="K100" s="60">
        <f t="shared" si="5"/>
        <v>40.707464474879984</v>
      </c>
      <c r="L100" s="60">
        <f t="shared" si="8"/>
        <v>54.303811994879979</v>
      </c>
      <c r="M100" s="60">
        <f t="shared" si="9"/>
        <v>67.900159514879974</v>
      </c>
      <c r="N10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54.303811994879979</v>
      </c>
      <c r="O100" s="96">
        <v>0</v>
      </c>
    </row>
    <row r="101" spans="1:15" x14ac:dyDescent="0.2">
      <c r="A101" s="59">
        <f>IF(TableWRMaster[[#This Row],[Player]]&lt;&gt;0,A100+1,A100)</f>
        <v>89</v>
      </c>
      <c r="B101" s="59" t="str">
        <f>KC!A17</f>
        <v>Justin Watson</v>
      </c>
      <c r="C101" s="59" t="s">
        <v>108</v>
      </c>
      <c r="D101" s="59">
        <f>KC!C17</f>
        <v>10</v>
      </c>
      <c r="E101" s="60">
        <f>KC!J17</f>
        <v>0</v>
      </c>
      <c r="F101" s="60">
        <f>KC!K17</f>
        <v>0</v>
      </c>
      <c r="G101" s="60">
        <f>KC!L17</f>
        <v>28.365119999999994</v>
      </c>
      <c r="H101" s="60">
        <f>KC!M17</f>
        <v>14.352750719999998</v>
      </c>
      <c r="I101" s="60">
        <f>KC!N17</f>
        <v>220.88883358079997</v>
      </c>
      <c r="J101" s="60">
        <f>KC!O17</f>
        <v>1.3635113183999998</v>
      </c>
      <c r="K101" s="60">
        <f t="shared" si="5"/>
        <v>30.269951268479996</v>
      </c>
      <c r="L101" s="60">
        <f t="shared" si="8"/>
        <v>37.446326628479994</v>
      </c>
      <c r="M101" s="60">
        <f t="shared" si="9"/>
        <v>44.622701988479996</v>
      </c>
      <c r="N10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37.446326628479994</v>
      </c>
      <c r="O101" s="96">
        <v>0</v>
      </c>
    </row>
    <row r="102" spans="1:15" x14ac:dyDescent="0.2">
      <c r="A102" s="59">
        <f>IF(TableWRMaster[[#This Row],[Player]]&lt;&gt;0,A101+1,A101)</f>
        <v>90</v>
      </c>
      <c r="B102" s="59" t="str">
        <f>KC!A18</f>
        <v>Skyy Moore</v>
      </c>
      <c r="C102" s="59" t="s">
        <v>108</v>
      </c>
      <c r="D102" s="59">
        <f>KC!C18</f>
        <v>10</v>
      </c>
      <c r="E102" s="60">
        <f>KC!J18</f>
        <v>0</v>
      </c>
      <c r="F102" s="60">
        <f>KC!K18</f>
        <v>0</v>
      </c>
      <c r="G102" s="60">
        <f>KC!L18</f>
        <v>22.061759999999996</v>
      </c>
      <c r="H102" s="60">
        <f>KC!M18</f>
        <v>13.347364799999998</v>
      </c>
      <c r="I102" s="60">
        <f>KC!N18</f>
        <v>160.83574583999999</v>
      </c>
      <c r="J102" s="60">
        <f>KC!O18</f>
        <v>1.0677891839999998</v>
      </c>
      <c r="K102" s="60">
        <f t="shared" ref="K102" si="10">(E102/10)+(F102*6)+(I102/10)+(J102*6)</f>
        <v>22.490309687999996</v>
      </c>
      <c r="L102" s="60">
        <f t="shared" ref="L102" si="11">K102+(H102*0.5)</f>
        <v>29.163992087999993</v>
      </c>
      <c r="M102" s="60">
        <f t="shared" ref="M102" si="12">K102+H102</f>
        <v>35.83767448799999</v>
      </c>
      <c r="N10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29.163992088000001</v>
      </c>
      <c r="O102" s="96">
        <v>1</v>
      </c>
    </row>
    <row r="103" spans="1:15" x14ac:dyDescent="0.2">
      <c r="A103" s="59">
        <f>IF(TableWRMaster[[#This Row],[Player]]&lt;&gt;0,A102+1,A102)</f>
        <v>91</v>
      </c>
      <c r="B103" s="59" t="str">
        <f>LAC!A13</f>
        <v>Ladd McConkey</v>
      </c>
      <c r="C103" s="59" t="s">
        <v>109</v>
      </c>
      <c r="D103" s="59">
        <f>LAC!C13</f>
        <v>5</v>
      </c>
      <c r="E103" s="60">
        <f>LAC!J13</f>
        <v>0</v>
      </c>
      <c r="F103" s="60">
        <f>LAC!K13</f>
        <v>0</v>
      </c>
      <c r="G103" s="60">
        <f>LAC!L13</f>
        <v>112.78909571999998</v>
      </c>
      <c r="H103" s="60">
        <f>LAC!M13</f>
        <v>75.568694132399983</v>
      </c>
      <c r="I103" s="60">
        <f>LAC!N13</f>
        <v>935.54043335911183</v>
      </c>
      <c r="J103" s="60">
        <f>LAC!O13</f>
        <v>5.8187894481947984</v>
      </c>
      <c r="K103" s="60">
        <f t="shared" si="5"/>
        <v>128.46678002507997</v>
      </c>
      <c r="L103" s="60">
        <f t="shared" si="8"/>
        <v>166.25112709127995</v>
      </c>
      <c r="M103" s="60">
        <f t="shared" si="9"/>
        <v>204.03547415747994</v>
      </c>
      <c r="N10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166.25112709127995</v>
      </c>
      <c r="O103" s="96">
        <v>24.422427073887171</v>
      </c>
    </row>
    <row r="104" spans="1:15" x14ac:dyDescent="0.2">
      <c r="A104" s="59">
        <f>IF(TableWRMaster[[#This Row],[Player]]&lt;&gt;0,A103+1,A103)</f>
        <v>92</v>
      </c>
      <c r="B104" s="59" t="str">
        <f>LAC!A14</f>
        <v>Quentin Johnston</v>
      </c>
      <c r="C104" s="59" t="s">
        <v>109</v>
      </c>
      <c r="D104" s="59">
        <f>LAC!C14</f>
        <v>5</v>
      </c>
      <c r="E104" s="60">
        <f>LAC!J14</f>
        <v>0</v>
      </c>
      <c r="F104" s="60">
        <f>LAC!K14</f>
        <v>0</v>
      </c>
      <c r="G104" s="60">
        <f>LAC!L14</f>
        <v>91.012983179999992</v>
      </c>
      <c r="H104" s="60">
        <f>LAC!M14</f>
        <v>54.425763941639993</v>
      </c>
      <c r="I104" s="60">
        <f>LAC!N14</f>
        <v>715.69879583256591</v>
      </c>
      <c r="J104" s="60">
        <f>LAC!O14</f>
        <v>4.6261899350393998</v>
      </c>
      <c r="K104" s="60">
        <f t="shared" si="5"/>
        <v>99.327019193492987</v>
      </c>
      <c r="L104" s="60">
        <f t="shared" si="8"/>
        <v>126.53990116431298</v>
      </c>
      <c r="M104" s="60">
        <f t="shared" si="9"/>
        <v>153.75278313513297</v>
      </c>
      <c r="N10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126.53990116431299</v>
      </c>
      <c r="O104" s="96">
        <v>3.3449728845290307</v>
      </c>
    </row>
    <row r="105" spans="1:15" x14ac:dyDescent="0.2">
      <c r="A105" s="59">
        <f>IF(TableWRMaster[[#This Row],[Player]]&lt;&gt;0,A104+1,A104)</f>
        <v>93</v>
      </c>
      <c r="B105" s="59" t="str">
        <f>LAC!A15</f>
        <v>Joshua Palmer</v>
      </c>
      <c r="C105" s="59" t="s">
        <v>109</v>
      </c>
      <c r="D105" s="59">
        <f>LAC!C15</f>
        <v>5</v>
      </c>
      <c r="E105" s="60">
        <f>LAC!J15</f>
        <v>0</v>
      </c>
      <c r="F105" s="60">
        <f>LAC!K15</f>
        <v>0</v>
      </c>
      <c r="G105" s="60">
        <f>LAC!L15</f>
        <v>94.921516199999999</v>
      </c>
      <c r="H105" s="60">
        <f>LAC!M15</f>
        <v>61.604064013799999</v>
      </c>
      <c r="I105" s="60">
        <f>LAC!N15</f>
        <v>747.87333712753207</v>
      </c>
      <c r="J105" s="60">
        <f>LAC!O15</f>
        <v>4.9283251211039998</v>
      </c>
      <c r="K105" s="60">
        <f t="shared" si="5"/>
        <v>104.35728443937721</v>
      </c>
      <c r="L105" s="60">
        <f t="shared" si="8"/>
        <v>135.15931644627722</v>
      </c>
      <c r="M105" s="60">
        <f t="shared" si="9"/>
        <v>165.96134845317721</v>
      </c>
      <c r="N10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135.15931644627722</v>
      </c>
      <c r="O105" s="96">
        <v>0</v>
      </c>
    </row>
    <row r="106" spans="1:15" x14ac:dyDescent="0.2">
      <c r="A106" s="59">
        <f>IF(TableWRMaster[[#This Row],[Player]]&lt;&gt;0,A105+1,A105)</f>
        <v>94</v>
      </c>
      <c r="B106" s="59" t="str">
        <f>LAC!A16</f>
        <v>Derius Davis</v>
      </c>
      <c r="C106" s="59" t="s">
        <v>109</v>
      </c>
      <c r="D106" s="59">
        <f>LAC!C16</f>
        <v>5</v>
      </c>
      <c r="E106" s="60">
        <f>LAC!J16</f>
        <v>0</v>
      </c>
      <c r="F106" s="60">
        <f>LAC!K16</f>
        <v>0</v>
      </c>
      <c r="G106" s="60">
        <f>LAC!L16</f>
        <v>27.918092999999995</v>
      </c>
      <c r="H106" s="60">
        <f>LAC!M16</f>
        <v>19.626419378999994</v>
      </c>
      <c r="I106" s="60">
        <f>LAC!N16</f>
        <v>201.56332702232993</v>
      </c>
      <c r="J106" s="60">
        <f>LAC!O16</f>
        <v>1.1775851627399996</v>
      </c>
      <c r="K106" s="60">
        <f t="shared" si="5"/>
        <v>27.22184367867299</v>
      </c>
      <c r="L106" s="60">
        <f t="shared" si="8"/>
        <v>37.035053368172989</v>
      </c>
      <c r="M106" s="60">
        <f t="shared" si="9"/>
        <v>46.84826305767298</v>
      </c>
      <c r="N10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37.035053368172989</v>
      </c>
      <c r="O106" s="96">
        <v>0</v>
      </c>
    </row>
    <row r="107" spans="1:15" x14ac:dyDescent="0.2">
      <c r="A107" s="59">
        <f>IF(TableWRMaster[[#This Row],[Player]]&lt;&gt;0,A106+1,A106)</f>
        <v>95</v>
      </c>
      <c r="B107" s="59" t="str">
        <f>LAC!A17</f>
        <v>Brenden Rice</v>
      </c>
      <c r="C107" s="59" t="s">
        <v>109</v>
      </c>
      <c r="D107" s="59">
        <f>LAC!C17</f>
        <v>5</v>
      </c>
      <c r="E107" s="60">
        <f>LAC!J17</f>
        <v>0</v>
      </c>
      <c r="F107" s="60">
        <f>LAC!K17</f>
        <v>0</v>
      </c>
      <c r="G107" s="60">
        <f>LAC!L17</f>
        <v>27.918092999999995</v>
      </c>
      <c r="H107" s="60">
        <f>LAC!M17</f>
        <v>16.136657753999994</v>
      </c>
      <c r="I107" s="60">
        <f>LAC!N17</f>
        <v>191.86486069505995</v>
      </c>
      <c r="J107" s="60">
        <f>LAC!O17</f>
        <v>1.0972927272719997</v>
      </c>
      <c r="K107" s="60">
        <f t="shared" si="5"/>
        <v>25.770242433137994</v>
      </c>
      <c r="L107" s="60">
        <f t="shared" si="8"/>
        <v>33.838571310137993</v>
      </c>
      <c r="M107" s="60">
        <f t="shared" si="9"/>
        <v>41.906900187137992</v>
      </c>
      <c r="N10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33.838571310137993</v>
      </c>
      <c r="O107" s="96">
        <v>0</v>
      </c>
    </row>
    <row r="108" spans="1:15" x14ac:dyDescent="0.2">
      <c r="A108" s="59">
        <f>IF(TableWRMaster[[#This Row],[Player]]&lt;&gt;0,A107+1,A107)</f>
        <v>96</v>
      </c>
      <c r="B108" s="59" t="str">
        <f>LAC!A18</f>
        <v>Cornelius Johnson</v>
      </c>
      <c r="C108" s="59" t="s">
        <v>109</v>
      </c>
      <c r="D108" s="59">
        <f>LAC!C18</f>
        <v>5</v>
      </c>
      <c r="E108" s="60">
        <f>LAC!J18</f>
        <v>0</v>
      </c>
      <c r="F108" s="60">
        <f>LAC!K18</f>
        <v>0</v>
      </c>
      <c r="G108" s="60">
        <f>LAC!L18</f>
        <v>27.918092999999995</v>
      </c>
      <c r="H108" s="60">
        <f>LAC!M18</f>
        <v>16.639183427999996</v>
      </c>
      <c r="I108" s="60">
        <f>LAC!N18</f>
        <v>211.81680503843995</v>
      </c>
      <c r="J108" s="60">
        <f>LAC!O18</f>
        <v>1.1980212068159997</v>
      </c>
      <c r="K108" s="60">
        <f t="shared" ref="K108:K109" si="13">(E108/10)+(F108*6)+(I108/10)+(J108*6)</f>
        <v>28.369807744739994</v>
      </c>
      <c r="L108" s="60">
        <f t="shared" ref="L108:L109" si="14">K108+(H108*0.5)</f>
        <v>36.689399458739992</v>
      </c>
      <c r="M108" s="60">
        <f t="shared" ref="M108:M109" si="15">K108+H108</f>
        <v>45.008991172739989</v>
      </c>
      <c r="N10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36.689399458739992</v>
      </c>
      <c r="O108" s="96">
        <v>0</v>
      </c>
    </row>
    <row r="109" spans="1:15" x14ac:dyDescent="0.2">
      <c r="A109" s="59">
        <f>IF(TableWRMaster[[#This Row],[Player]]&lt;&gt;0,A108+1,A108)</f>
        <v>96</v>
      </c>
      <c r="B109" s="59">
        <f>LAC!A19</f>
        <v>0</v>
      </c>
      <c r="C109" s="59" t="s">
        <v>109</v>
      </c>
      <c r="D109" s="59">
        <f>LAC!C19</f>
        <v>5</v>
      </c>
      <c r="E109" s="60">
        <f>LAC!J19</f>
        <v>0</v>
      </c>
      <c r="F109" s="60">
        <f>LAC!K19</f>
        <v>0</v>
      </c>
      <c r="G109" s="60">
        <f>LAC!L19</f>
        <v>0</v>
      </c>
      <c r="H109" s="60">
        <f>LAC!M19</f>
        <v>0</v>
      </c>
      <c r="I109" s="60">
        <f>LAC!N19</f>
        <v>0</v>
      </c>
      <c r="J109" s="60">
        <f>LAC!O19</f>
        <v>0</v>
      </c>
      <c r="K109" s="60">
        <f t="shared" si="13"/>
        <v>0</v>
      </c>
      <c r="L109" s="60">
        <f t="shared" si="14"/>
        <v>0</v>
      </c>
      <c r="M109" s="60">
        <f t="shared" si="15"/>
        <v>0</v>
      </c>
      <c r="N10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09" s="96">
        <v>0</v>
      </c>
    </row>
    <row r="110" spans="1:15" x14ac:dyDescent="0.2">
      <c r="A110" s="59">
        <f>IF(TableWRMaster[[#This Row],[Player]]&lt;&gt;0,A109+1,A109)</f>
        <v>97</v>
      </c>
      <c r="B110" s="59" t="str">
        <f>LAR!A14</f>
        <v>Cooper Kupp</v>
      </c>
      <c r="C110" s="59" t="s">
        <v>110</v>
      </c>
      <c r="D110" s="59">
        <f>LAR!C14</f>
        <v>10</v>
      </c>
      <c r="E110" s="60">
        <f>LAR!J14</f>
        <v>0</v>
      </c>
      <c r="F110" s="60">
        <f>LAR!K14</f>
        <v>0</v>
      </c>
      <c r="G110" s="60">
        <f>LAR!L14</f>
        <v>120.75442399999996</v>
      </c>
      <c r="H110" s="60">
        <f>LAR!M14</f>
        <v>77.282831359999975</v>
      </c>
      <c r="I110" s="60">
        <f>LAR!N14</f>
        <v>981.49195827199958</v>
      </c>
      <c r="J110" s="60">
        <f>LAR!O14</f>
        <v>6.9554548223999975</v>
      </c>
      <c r="K110" s="60">
        <f t="shared" si="5"/>
        <v>139.88192476159995</v>
      </c>
      <c r="L110" s="60">
        <f t="shared" ref="L110:L140" si="16">K110+(H110*0.5)</f>
        <v>178.52334044159994</v>
      </c>
      <c r="M110" s="60">
        <f t="shared" ref="M110:M140" si="17">K110+H110</f>
        <v>217.16475612159991</v>
      </c>
      <c r="N11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178.52334044159994</v>
      </c>
      <c r="O110" s="96">
        <v>20.481741496713184</v>
      </c>
    </row>
    <row r="111" spans="1:15" x14ac:dyDescent="0.2">
      <c r="A111" s="59">
        <f>IF(TableWRMaster[[#This Row],[Player]]&lt;&gt;0,A110+1,A110)</f>
        <v>98</v>
      </c>
      <c r="B111" s="59" t="str">
        <f>LAR!A13</f>
        <v>Puka Nacua</v>
      </c>
      <c r="C111" s="59" t="s">
        <v>110</v>
      </c>
      <c r="D111" s="59">
        <f>LAR!C13</f>
        <v>10</v>
      </c>
      <c r="E111" s="60">
        <f>LAR!J13</f>
        <v>90.244147895999987</v>
      </c>
      <c r="F111" s="60">
        <f>LAR!K13</f>
        <v>0.99849967559999997</v>
      </c>
      <c r="G111" s="60">
        <f>LAR!L13</f>
        <v>138.86758759999995</v>
      </c>
      <c r="H111" s="60">
        <f>LAR!M13</f>
        <v>90.402799527599967</v>
      </c>
      <c r="I111" s="60">
        <f>LAR!N13</f>
        <v>1284.6237812871957</v>
      </c>
      <c r="J111" s="60">
        <f>LAR!O13</f>
        <v>6.7802099645699974</v>
      </c>
      <c r="K111" s="60">
        <f t="shared" si="5"/>
        <v>184.15905075933955</v>
      </c>
      <c r="L111" s="60">
        <f t="shared" si="16"/>
        <v>229.36045052313955</v>
      </c>
      <c r="M111" s="60">
        <f t="shared" si="17"/>
        <v>274.56185028693949</v>
      </c>
      <c r="N11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229.36045052313952</v>
      </c>
      <c r="O111" s="96">
        <v>19.089502905955278</v>
      </c>
    </row>
    <row r="112" spans="1:15" x14ac:dyDescent="0.2">
      <c r="A112" s="59">
        <f>IF(TableWRMaster[[#This Row],[Player]]&lt;&gt;0,A111+1,A111)</f>
        <v>99</v>
      </c>
      <c r="B112" s="59" t="str">
        <f>LAR!A15</f>
        <v>Demarcus Robinson</v>
      </c>
      <c r="C112" s="59" t="s">
        <v>110</v>
      </c>
      <c r="D112" s="59">
        <f>LAR!C15</f>
        <v>10</v>
      </c>
      <c r="E112" s="60">
        <f>LAR!J15</f>
        <v>0</v>
      </c>
      <c r="F112" s="60">
        <f>LAR!K15</f>
        <v>0</v>
      </c>
      <c r="G112" s="60">
        <f>LAR!L15</f>
        <v>90.565817999999965</v>
      </c>
      <c r="H112" s="60">
        <f>LAR!M15</f>
        <v>58.867781699999981</v>
      </c>
      <c r="I112" s="60">
        <f>LAR!N15</f>
        <v>814.14142091099973</v>
      </c>
      <c r="J112" s="60">
        <f>LAR!O15</f>
        <v>5.5924392614999983</v>
      </c>
      <c r="K112" s="60">
        <f t="shared" si="5"/>
        <v>114.96877766009996</v>
      </c>
      <c r="L112" s="60">
        <f t="shared" si="16"/>
        <v>144.40266851009994</v>
      </c>
      <c r="M112" s="60">
        <f t="shared" si="17"/>
        <v>173.83655936009995</v>
      </c>
      <c r="N11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144.40266851009997</v>
      </c>
      <c r="O112" s="96">
        <v>0</v>
      </c>
    </row>
    <row r="113" spans="1:15" x14ac:dyDescent="0.2">
      <c r="A113" s="59">
        <f>IF(TableWRMaster[[#This Row],[Player]]&lt;&gt;0,A112+1,A112)</f>
        <v>100</v>
      </c>
      <c r="B113" s="59" t="str">
        <f>LAR!A16</f>
        <v>Ben Skowronek</v>
      </c>
      <c r="C113" s="59" t="s">
        <v>110</v>
      </c>
      <c r="D113" s="59">
        <f>LAR!C16</f>
        <v>10</v>
      </c>
      <c r="E113" s="60">
        <f>LAR!J16</f>
        <v>0</v>
      </c>
      <c r="F113" s="60">
        <f>LAR!K16</f>
        <v>0</v>
      </c>
      <c r="G113" s="60">
        <f>LAR!L16</f>
        <v>24.150884799999993</v>
      </c>
      <c r="H113" s="60">
        <f>LAR!M16</f>
        <v>14.997699460799996</v>
      </c>
      <c r="I113" s="60">
        <f>LAR!N16</f>
        <v>148.47722466191996</v>
      </c>
      <c r="J113" s="60">
        <f>LAR!O16</f>
        <v>0.97485046495199978</v>
      </c>
      <c r="K113" s="60">
        <f t="shared" si="5"/>
        <v>20.696825255903995</v>
      </c>
      <c r="L113" s="60">
        <f t="shared" si="16"/>
        <v>28.195674986303992</v>
      </c>
      <c r="M113" s="60">
        <f t="shared" si="17"/>
        <v>35.694524716703995</v>
      </c>
      <c r="N11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28.195674986303992</v>
      </c>
      <c r="O113" s="96">
        <v>0</v>
      </c>
    </row>
    <row r="114" spans="1:15" x14ac:dyDescent="0.2">
      <c r="A114" s="59">
        <f>IF(TableWRMaster[[#This Row],[Player]]&lt;&gt;0,A113+1,A113)</f>
        <v>101</v>
      </c>
      <c r="B114" s="59" t="str">
        <f>LAR!A17</f>
        <v>Tutu Atwell</v>
      </c>
      <c r="C114" s="59" t="s">
        <v>110</v>
      </c>
      <c r="D114" s="59">
        <f>LAR!C17</f>
        <v>10</v>
      </c>
      <c r="E114" s="60">
        <f>LAR!J17</f>
        <v>19.717208783999997</v>
      </c>
      <c r="F114" s="60">
        <f>LAR!K17</f>
        <v>0.16852315200000001</v>
      </c>
      <c r="G114" s="60">
        <f>LAR!L17</f>
        <v>18.113163599999993</v>
      </c>
      <c r="H114" s="60">
        <f>LAR!M17</f>
        <v>10.342616415599995</v>
      </c>
      <c r="I114" s="60">
        <f>LAR!N17</f>
        <v>134.86771805942394</v>
      </c>
      <c r="J114" s="60">
        <f>LAR!O17</f>
        <v>0.62055698493599964</v>
      </c>
      <c r="K114" s="60">
        <f t="shared" si="5"/>
        <v>20.192973505958392</v>
      </c>
      <c r="L114" s="60">
        <f t="shared" si="16"/>
        <v>25.364281713758388</v>
      </c>
      <c r="M114" s="60">
        <f t="shared" si="17"/>
        <v>30.535589921558387</v>
      </c>
      <c r="N11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25.364281713758388</v>
      </c>
      <c r="O114" s="96">
        <v>0</v>
      </c>
    </row>
    <row r="115" spans="1:15" x14ac:dyDescent="0.2">
      <c r="A115" s="59">
        <f>IF(TableWRMaster[[#This Row],[Player]]&lt;&gt;0,A114+1,A114)</f>
        <v>102</v>
      </c>
      <c r="B115" s="59" t="str">
        <f>LAR!A18</f>
        <v>Jordan Whittington</v>
      </c>
      <c r="C115" s="59" t="s">
        <v>110</v>
      </c>
      <c r="D115" s="59">
        <f>LAR!C18</f>
        <v>10</v>
      </c>
      <c r="E115" s="60">
        <f>LAR!J18</f>
        <v>0</v>
      </c>
      <c r="F115" s="60">
        <f>LAR!K18</f>
        <v>0</v>
      </c>
      <c r="G115" s="60">
        <f>LAR!L18</f>
        <v>12.075442399999996</v>
      </c>
      <c r="H115" s="60">
        <f>LAR!M18</f>
        <v>7.196963670399998</v>
      </c>
      <c r="I115" s="60">
        <f>LAR!N18</f>
        <v>91.185529703967973</v>
      </c>
      <c r="J115" s="60">
        <f>LAR!O18</f>
        <v>0.53977227527999982</v>
      </c>
      <c r="K115" s="60">
        <f t="shared" si="5"/>
        <v>12.357186622076796</v>
      </c>
      <c r="L115" s="60">
        <f t="shared" si="16"/>
        <v>15.955668457276795</v>
      </c>
      <c r="M115" s="60">
        <f t="shared" si="17"/>
        <v>19.554150292476795</v>
      </c>
      <c r="N11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15.955668457276795</v>
      </c>
      <c r="O115" s="96">
        <v>0</v>
      </c>
    </row>
    <row r="116" spans="1:15" x14ac:dyDescent="0.2">
      <c r="A116" s="59">
        <f>IF(TableWRMaster[[#This Row],[Player]]&lt;&gt;0,A115+1,A115)</f>
        <v>103</v>
      </c>
      <c r="B116" s="59" t="str">
        <f>LV!A13</f>
        <v>Davante Adams</v>
      </c>
      <c r="C116" s="59" t="s">
        <v>169</v>
      </c>
      <c r="D116" s="59">
        <f>LV!C13</f>
        <v>13</v>
      </c>
      <c r="E116" s="60">
        <f>LV!J13</f>
        <v>0</v>
      </c>
      <c r="F116" s="60">
        <f>LV!K13</f>
        <v>0</v>
      </c>
      <c r="G116" s="60">
        <f>LV!L13</f>
        <v>145.65249999999997</v>
      </c>
      <c r="H116" s="60">
        <f>LV!M13</f>
        <v>86.808889999999977</v>
      </c>
      <c r="I116" s="60">
        <f>LV!N13</f>
        <v>989.62134599999979</v>
      </c>
      <c r="J116" s="60">
        <f>LV!O13</f>
        <v>6.5106667499999977</v>
      </c>
      <c r="K116" s="60">
        <f t="shared" si="5"/>
        <v>138.02613509999998</v>
      </c>
      <c r="L116" s="60">
        <f t="shared" si="16"/>
        <v>181.43058009999996</v>
      </c>
      <c r="M116" s="60">
        <f t="shared" si="17"/>
        <v>224.83502509999994</v>
      </c>
      <c r="N11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181.43058009999996</v>
      </c>
      <c r="O116" s="96">
        <v>3.2266921651132856</v>
      </c>
    </row>
    <row r="117" spans="1:15" x14ac:dyDescent="0.2">
      <c r="A117" s="59">
        <f>IF(TableWRMaster[[#This Row],[Player]]&lt;&gt;0,A116+1,A116)</f>
        <v>104</v>
      </c>
      <c r="B117" s="59" t="str">
        <f>LV!A14</f>
        <v>Jakobi Meyers</v>
      </c>
      <c r="C117" s="59" t="s">
        <v>169</v>
      </c>
      <c r="D117" s="59">
        <f>LV!C14</f>
        <v>13</v>
      </c>
      <c r="E117" s="60">
        <f>LV!J14</f>
        <v>23.246139000000003</v>
      </c>
      <c r="F117" s="60">
        <f>LV!K14</f>
        <v>0.24469620000000003</v>
      </c>
      <c r="G117" s="60">
        <f>LV!L14</f>
        <v>110.69589999999997</v>
      </c>
      <c r="H117" s="60">
        <f>LV!M14</f>
        <v>70.845375999999973</v>
      </c>
      <c r="I117" s="60">
        <f>LV!N14</f>
        <v>839.51770559999966</v>
      </c>
      <c r="J117" s="60">
        <f>LV!O14</f>
        <v>4.9591763199999983</v>
      </c>
      <c r="K117" s="60">
        <f t="shared" si="5"/>
        <v>117.49961957999997</v>
      </c>
      <c r="L117" s="60">
        <f t="shared" si="16"/>
        <v>152.92230757999997</v>
      </c>
      <c r="M117" s="60">
        <f t="shared" si="17"/>
        <v>188.34499557999993</v>
      </c>
      <c r="N11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152.92230757999994</v>
      </c>
      <c r="O117" s="96">
        <v>0</v>
      </c>
    </row>
    <row r="118" spans="1:15" x14ac:dyDescent="0.2">
      <c r="A118" s="59">
        <f>IF(TableWRMaster[[#This Row],[Player]]&lt;&gt;0,A117+1,A117)</f>
        <v>105</v>
      </c>
      <c r="B118" s="59" t="str">
        <f>LV!A15</f>
        <v>Tre Tucker</v>
      </c>
      <c r="C118" s="59" t="s">
        <v>169</v>
      </c>
      <c r="D118" s="59">
        <f>LV!C15</f>
        <v>13</v>
      </c>
      <c r="E118" s="60">
        <f>LV!J15</f>
        <v>0</v>
      </c>
      <c r="F118" s="60">
        <f>LV!K15</f>
        <v>0</v>
      </c>
      <c r="G118" s="60">
        <f>LV!L15</f>
        <v>30.295719999999992</v>
      </c>
      <c r="H118" s="60">
        <f>LV!M15</f>
        <v>17.177673239999994</v>
      </c>
      <c r="I118" s="60">
        <f>LV!N15</f>
        <v>241.17453228959991</v>
      </c>
      <c r="J118" s="60">
        <f>LV!O15</f>
        <v>0.94477202819999961</v>
      </c>
      <c r="K118" s="60">
        <f t="shared" si="5"/>
        <v>29.78608539815999</v>
      </c>
      <c r="L118" s="60">
        <f t="shared" si="16"/>
        <v>38.374922018159985</v>
      </c>
      <c r="M118" s="60">
        <f t="shared" si="17"/>
        <v>46.963758638159987</v>
      </c>
      <c r="N11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38.374922018159985</v>
      </c>
      <c r="O118" s="96">
        <v>0</v>
      </c>
    </row>
    <row r="119" spans="1:15" x14ac:dyDescent="0.2">
      <c r="A119" s="59">
        <f>IF(TableWRMaster[[#This Row],[Player]]&lt;&gt;0,A118+1,A118)</f>
        <v>106</v>
      </c>
      <c r="B119" s="59" t="str">
        <f>LV!A16</f>
        <v>Michael Gallup</v>
      </c>
      <c r="C119" s="59" t="s">
        <v>169</v>
      </c>
      <c r="D119" s="59">
        <f>LV!C16</f>
        <v>13</v>
      </c>
      <c r="E119" s="60">
        <f>LV!J16</f>
        <v>0</v>
      </c>
      <c r="F119" s="60">
        <f>LV!K16</f>
        <v>0</v>
      </c>
      <c r="G119" s="60">
        <f>LV!L16</f>
        <v>39.617479999999993</v>
      </c>
      <c r="H119" s="60">
        <f>LV!M16</f>
        <v>22.819668479999994</v>
      </c>
      <c r="I119" s="60">
        <f>LV!N16</f>
        <v>282.96388915199992</v>
      </c>
      <c r="J119" s="60">
        <f>LV!O16</f>
        <v>1.4148194457599996</v>
      </c>
      <c r="K119" s="60">
        <f t="shared" si="5"/>
        <v>36.785305589759986</v>
      </c>
      <c r="L119" s="60">
        <f t="shared" si="16"/>
        <v>48.195139829759981</v>
      </c>
      <c r="M119" s="60">
        <f t="shared" si="17"/>
        <v>59.604974069759976</v>
      </c>
      <c r="N11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48.195139829759995</v>
      </c>
      <c r="O119" s="96">
        <v>0</v>
      </c>
    </row>
    <row r="120" spans="1:15" x14ac:dyDescent="0.2">
      <c r="A120" s="59">
        <f>IF(TableWRMaster[[#This Row],[Player]]&lt;&gt;0,A119+1,A119)</f>
        <v>107</v>
      </c>
      <c r="B120" s="59" t="str">
        <f>LV!A17</f>
        <v>Jalen Guyton</v>
      </c>
      <c r="C120" s="59" t="s">
        <v>169</v>
      </c>
      <c r="D120" s="59">
        <f>LV!C17</f>
        <v>13</v>
      </c>
      <c r="E120" s="60">
        <f>LV!J17</f>
        <v>0</v>
      </c>
      <c r="F120" s="60">
        <f>LV!K17</f>
        <v>0</v>
      </c>
      <c r="G120" s="60">
        <f>LV!L17</f>
        <v>8.7391499999999969</v>
      </c>
      <c r="H120" s="60">
        <f>LV!M17</f>
        <v>5.0687069999999981</v>
      </c>
      <c r="I120" s="60">
        <f>LV!N17</f>
        <v>69.441285899999968</v>
      </c>
      <c r="J120" s="60">
        <f>LV!O17</f>
        <v>0.27877888499999992</v>
      </c>
      <c r="K120" s="60">
        <f t="shared" si="5"/>
        <v>8.6168018999999951</v>
      </c>
      <c r="L120" s="60">
        <f t="shared" si="16"/>
        <v>11.151155399999993</v>
      </c>
      <c r="M120" s="60">
        <f t="shared" si="17"/>
        <v>13.685508899999993</v>
      </c>
      <c r="N12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11.151155399999997</v>
      </c>
      <c r="O120" s="96">
        <v>0</v>
      </c>
    </row>
    <row r="121" spans="1:15" x14ac:dyDescent="0.2">
      <c r="A121" s="59">
        <f>IF(TableWRMaster[[#This Row],[Player]]&lt;&gt;0,A120+1,A120)</f>
        <v>107</v>
      </c>
      <c r="B121" s="59">
        <f>LV!A18</f>
        <v>0</v>
      </c>
      <c r="C121" s="59" t="s">
        <v>169</v>
      </c>
      <c r="D121" s="59">
        <f>LV!C18</f>
        <v>13</v>
      </c>
      <c r="E121" s="60">
        <f>LV!J18</f>
        <v>0</v>
      </c>
      <c r="F121" s="60">
        <f>LV!K18</f>
        <v>0</v>
      </c>
      <c r="G121" s="60">
        <f>LV!L18</f>
        <v>0</v>
      </c>
      <c r="H121" s="60">
        <f>LV!M18</f>
        <v>0</v>
      </c>
      <c r="I121" s="60">
        <f>LV!N18</f>
        <v>0</v>
      </c>
      <c r="J121" s="60">
        <f>LV!O18</f>
        <v>0</v>
      </c>
      <c r="K121" s="60">
        <f t="shared" si="5"/>
        <v>0</v>
      </c>
      <c r="L121" s="60">
        <f t="shared" si="16"/>
        <v>0</v>
      </c>
      <c r="M121" s="60">
        <f t="shared" si="17"/>
        <v>0</v>
      </c>
      <c r="N12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1" s="96">
        <v>0</v>
      </c>
    </row>
    <row r="122" spans="1:15" x14ac:dyDescent="0.2">
      <c r="A122" s="59">
        <f>IF(TableWRMaster[[#This Row],[Player]]&lt;&gt;0,A121+1,A121)</f>
        <v>108</v>
      </c>
      <c r="B122" s="59" t="str">
        <f>MIA!A13</f>
        <v>Tyreek Hill</v>
      </c>
      <c r="C122" s="59" t="s">
        <v>111</v>
      </c>
      <c r="D122" s="59">
        <f>MIA!C13</f>
        <v>10</v>
      </c>
      <c r="E122" s="60">
        <f>MIA!J13</f>
        <v>33.541405128000001</v>
      </c>
      <c r="F122" s="60">
        <f>MIA!K13</f>
        <v>0.3158324400000001</v>
      </c>
      <c r="G122" s="60">
        <f>MIA!L13</f>
        <v>158.3091216</v>
      </c>
      <c r="H122" s="60">
        <f>MIA!M13</f>
        <v>106.7003479584</v>
      </c>
      <c r="I122" s="60">
        <f>MIA!N13</f>
        <v>1572.7631289068161</v>
      </c>
      <c r="J122" s="60">
        <f>MIA!O13</f>
        <v>10.0298327080896</v>
      </c>
      <c r="K122" s="60">
        <f t="shared" si="5"/>
        <v>222.70444429201919</v>
      </c>
      <c r="L122" s="60">
        <f t="shared" si="16"/>
        <v>276.05461827121917</v>
      </c>
      <c r="M122" s="60">
        <f t="shared" si="17"/>
        <v>329.40479225041918</v>
      </c>
      <c r="N12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276.05461827121923</v>
      </c>
      <c r="O122" s="96">
        <v>6.9631580991362378</v>
      </c>
    </row>
    <row r="123" spans="1:15" x14ac:dyDescent="0.2">
      <c r="A123" s="59">
        <f>IF(TableWRMaster[[#This Row],[Player]]&lt;&gt;0,A122+1,A122)</f>
        <v>109</v>
      </c>
      <c r="B123" s="59" t="str">
        <f>MIA!A14</f>
        <v>Jaylen Waddle</v>
      </c>
      <c r="C123" s="59" t="s">
        <v>111</v>
      </c>
      <c r="D123" s="59">
        <f>MIA!C14</f>
        <v>10</v>
      </c>
      <c r="E123" s="60">
        <f>MIA!J14</f>
        <v>10.190860064000001</v>
      </c>
      <c r="F123" s="60">
        <f>MIA!K14</f>
        <v>8.632753360000002E-2</v>
      </c>
      <c r="G123" s="60">
        <f>MIA!L14</f>
        <v>128.99261759999999</v>
      </c>
      <c r="H123" s="60">
        <f>MIA!M14</f>
        <v>86.683039027199996</v>
      </c>
      <c r="I123" s="60">
        <f>MIA!N14</f>
        <v>1207.4947336488958</v>
      </c>
      <c r="J123" s="60">
        <f>MIA!O14</f>
        <v>5.9811296928768005</v>
      </c>
      <c r="K123" s="60">
        <f t="shared" si="5"/>
        <v>158.1733027301504</v>
      </c>
      <c r="L123" s="60">
        <f t="shared" si="16"/>
        <v>201.51482224375039</v>
      </c>
      <c r="M123" s="60">
        <f t="shared" si="17"/>
        <v>244.85634175735038</v>
      </c>
      <c r="N12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201.51482224375039</v>
      </c>
      <c r="O123" s="96">
        <v>3.4499248067671688</v>
      </c>
    </row>
    <row r="124" spans="1:15" x14ac:dyDescent="0.2">
      <c r="A124" s="59">
        <f>IF(TableWRMaster[[#This Row],[Player]]&lt;&gt;0,A123+1,A123)</f>
        <v>110</v>
      </c>
      <c r="B124" s="59" t="str">
        <f>MIA!A15</f>
        <v>Odell Beckham</v>
      </c>
      <c r="C124" s="59" t="s">
        <v>111</v>
      </c>
      <c r="D124" s="59">
        <f>MIA!C15</f>
        <v>10</v>
      </c>
      <c r="E124" s="60">
        <f>MIA!J15</f>
        <v>0</v>
      </c>
      <c r="F124" s="60">
        <f>MIA!K15</f>
        <v>0</v>
      </c>
      <c r="G124" s="60">
        <f>MIA!L15</f>
        <v>41.043105599999997</v>
      </c>
      <c r="H124" s="60">
        <f>MIA!M15</f>
        <v>23.887087459199996</v>
      </c>
      <c r="I124" s="60">
        <f>MIA!N15</f>
        <v>338.00228754767994</v>
      </c>
      <c r="J124" s="60">
        <f>MIA!O15</f>
        <v>1.9587411716543999</v>
      </c>
      <c r="K124" s="60">
        <f t="shared" si="5"/>
        <v>45.552675784694394</v>
      </c>
      <c r="L124" s="60">
        <f t="shared" si="16"/>
        <v>57.496219514294395</v>
      </c>
      <c r="M124" s="60">
        <f t="shared" si="17"/>
        <v>69.43976324389439</v>
      </c>
      <c r="N12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57.496219514294395</v>
      </c>
      <c r="O124" s="96">
        <v>2.659811123193828</v>
      </c>
    </row>
    <row r="125" spans="1:15" x14ac:dyDescent="0.2">
      <c r="A125" s="59">
        <f>IF(TableWRMaster[[#This Row],[Player]]&lt;&gt;0,A124+1,A124)</f>
        <v>111</v>
      </c>
      <c r="B125" s="59" t="str">
        <f>MIA!A17</f>
        <v>Braxton Berrios</v>
      </c>
      <c r="C125" s="59" t="s">
        <v>111</v>
      </c>
      <c r="D125" s="59">
        <f>MIA!C17</f>
        <v>10</v>
      </c>
      <c r="E125" s="60">
        <f>MIA!J17</f>
        <v>0</v>
      </c>
      <c r="F125" s="60">
        <f>MIA!K17</f>
        <v>0</v>
      </c>
      <c r="G125" s="60">
        <f>MIA!L17</f>
        <v>14.658251999999999</v>
      </c>
      <c r="H125" s="60">
        <f>MIA!M17</f>
        <v>8.7949511999999999</v>
      </c>
      <c r="I125" s="60">
        <f>MIA!N17</f>
        <v>87.949511999999999</v>
      </c>
      <c r="J125" s="60">
        <f>MIA!O17</f>
        <v>0.43974756000000004</v>
      </c>
      <c r="K125" s="60">
        <f t="shared" si="5"/>
        <v>11.433436560000001</v>
      </c>
      <c r="L125" s="60">
        <f t="shared" si="16"/>
        <v>15.83091216</v>
      </c>
      <c r="M125" s="60">
        <f t="shared" si="17"/>
        <v>20.22838776</v>
      </c>
      <c r="N12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15.83091216</v>
      </c>
      <c r="O125" s="96">
        <v>0</v>
      </c>
    </row>
    <row r="126" spans="1:15" x14ac:dyDescent="0.2">
      <c r="A126" s="59">
        <f>IF(TableWRMaster[[#This Row],[Player]]&lt;&gt;0,A125+1,A125)</f>
        <v>112</v>
      </c>
      <c r="B126" s="59" t="str">
        <f>MIA!A16</f>
        <v>Malik Washington</v>
      </c>
      <c r="C126" s="59" t="s">
        <v>111</v>
      </c>
      <c r="D126" s="59">
        <f>MIA!C16</f>
        <v>10</v>
      </c>
      <c r="E126" s="60">
        <f>MIA!J16</f>
        <v>0</v>
      </c>
      <c r="F126" s="60">
        <f>MIA!K16</f>
        <v>0</v>
      </c>
      <c r="G126" s="60">
        <f>MIA!L16</f>
        <v>20.521552799999998</v>
      </c>
      <c r="H126" s="60">
        <f>MIA!M16</f>
        <v>13.503181742399999</v>
      </c>
      <c r="I126" s="60">
        <f>MIA!N16</f>
        <v>142.32353556489599</v>
      </c>
      <c r="J126" s="60">
        <f>MIA!O16</f>
        <v>0.70216545060479996</v>
      </c>
      <c r="K126" s="60">
        <f t="shared" si="5"/>
        <v>18.445346260118399</v>
      </c>
      <c r="L126" s="60">
        <f t="shared" si="16"/>
        <v>25.1969371313184</v>
      </c>
      <c r="M126" s="60">
        <f t="shared" si="17"/>
        <v>31.948528002518398</v>
      </c>
      <c r="N12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25.1969371313184</v>
      </c>
      <c r="O126" s="96">
        <v>0</v>
      </c>
    </row>
    <row r="127" spans="1:15" x14ac:dyDescent="0.2">
      <c r="A127" s="59">
        <f>IF(TableWRMaster[[#This Row],[Player]]&lt;&gt;0,A126+1,A126)</f>
        <v>112</v>
      </c>
      <c r="B127" s="59">
        <f>MIA!A19</f>
        <v>0</v>
      </c>
      <c r="C127" s="59" t="s">
        <v>111</v>
      </c>
      <c r="D127" s="59">
        <f>MIA!C19</f>
        <v>10</v>
      </c>
      <c r="E127" s="60">
        <f>MIA!J19</f>
        <v>0</v>
      </c>
      <c r="F127" s="60">
        <f>MIA!K19</f>
        <v>0</v>
      </c>
      <c r="G127" s="60">
        <f>MIA!L19</f>
        <v>0</v>
      </c>
      <c r="H127" s="60">
        <f>MIA!M19</f>
        <v>0</v>
      </c>
      <c r="I127" s="60">
        <f>MIA!N19</f>
        <v>0</v>
      </c>
      <c r="J127" s="60">
        <f>MIA!O19</f>
        <v>0</v>
      </c>
      <c r="K127" s="60">
        <f t="shared" si="5"/>
        <v>0</v>
      </c>
      <c r="L127" s="60">
        <f t="shared" si="16"/>
        <v>0</v>
      </c>
      <c r="M127" s="60">
        <f t="shared" si="17"/>
        <v>0</v>
      </c>
      <c r="N12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7" s="96">
        <v>0</v>
      </c>
    </row>
    <row r="128" spans="1:15" x14ac:dyDescent="0.2">
      <c r="A128" s="59">
        <f>IF(TableWRMaster[[#This Row],[Player]]&lt;&gt;0,A127+1,A127)</f>
        <v>113</v>
      </c>
      <c r="B128" s="59" t="str">
        <f>MIA!A18</f>
        <v>Tahj Washington</v>
      </c>
      <c r="C128" s="59" t="s">
        <v>111</v>
      </c>
      <c r="D128" s="59">
        <f>MIA!C18</f>
        <v>10</v>
      </c>
      <c r="E128" s="60">
        <f>MIA!J18</f>
        <v>0</v>
      </c>
      <c r="F128" s="60">
        <f>MIA!K18</f>
        <v>0</v>
      </c>
      <c r="G128" s="60">
        <f>MIA!L18</f>
        <v>11.726601599999999</v>
      </c>
      <c r="H128" s="60">
        <f>MIA!M18</f>
        <v>7.3291259999999987</v>
      </c>
      <c r="I128" s="60">
        <f>MIA!N18</f>
        <v>84.284948999999983</v>
      </c>
      <c r="J128" s="60">
        <f>MIA!O18</f>
        <v>0.32981066999999992</v>
      </c>
      <c r="K128" s="60">
        <f t="shared" si="5"/>
        <v>10.407358919999998</v>
      </c>
      <c r="L128" s="60">
        <f t="shared" si="16"/>
        <v>14.071921919999998</v>
      </c>
      <c r="M128" s="60">
        <f t="shared" si="17"/>
        <v>17.736484919999995</v>
      </c>
      <c r="N12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14.071921919999998</v>
      </c>
      <c r="O128" s="96">
        <v>0</v>
      </c>
    </row>
    <row r="129" spans="1:15" x14ac:dyDescent="0.2">
      <c r="A129" s="59">
        <f>IF(TableWRMaster[[#This Row],[Player]]&lt;&gt;0,A128+1,A128)</f>
        <v>114</v>
      </c>
      <c r="B129" s="59" t="str">
        <f>MIN!A13</f>
        <v>Justin Jefferson</v>
      </c>
      <c r="C129" s="59" t="s">
        <v>112</v>
      </c>
      <c r="D129" s="59">
        <f>MIN!C13</f>
        <v>13</v>
      </c>
      <c r="E129" s="60">
        <f>MIN!J13</f>
        <v>17.335964799999999</v>
      </c>
      <c r="F129" s="60">
        <f>MIN!K13</f>
        <v>9.9536639999999996E-2</v>
      </c>
      <c r="G129" s="60">
        <f>MIN!L13</f>
        <v>161.74704</v>
      </c>
      <c r="H129" s="60">
        <f>MIN!M13</f>
        <v>104.3268408</v>
      </c>
      <c r="I129" s="60">
        <f>MIN!N13</f>
        <v>1443.8834766719999</v>
      </c>
      <c r="J129" s="60">
        <f>MIN!O13</f>
        <v>7.6158593783999997</v>
      </c>
      <c r="K129" s="60">
        <f t="shared" si="5"/>
        <v>192.41432025759997</v>
      </c>
      <c r="L129" s="60">
        <f t="shared" si="16"/>
        <v>244.57774065759997</v>
      </c>
      <c r="M129" s="60">
        <f t="shared" si="17"/>
        <v>296.74116105759998</v>
      </c>
      <c r="N12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244.5777406576</v>
      </c>
      <c r="O129" s="96">
        <v>29.416397446314392</v>
      </c>
    </row>
    <row r="130" spans="1:15" x14ac:dyDescent="0.2">
      <c r="A130" s="59">
        <f>IF(TableWRMaster[[#This Row],[Player]]&lt;&gt;0,A129+1,A129)</f>
        <v>115</v>
      </c>
      <c r="B130" s="59" t="str">
        <f>MIN!A14</f>
        <v>Jordan Addison</v>
      </c>
      <c r="C130" s="59" t="s">
        <v>112</v>
      </c>
      <c r="D130" s="59">
        <f>MIN!C14</f>
        <v>13</v>
      </c>
      <c r="E130" s="60">
        <f>MIN!J14</f>
        <v>0</v>
      </c>
      <c r="F130" s="60">
        <f>MIN!K14</f>
        <v>0</v>
      </c>
      <c r="G130" s="60">
        <f>MIN!L14</f>
        <v>130.64183999999997</v>
      </c>
      <c r="H130" s="60">
        <f>MIN!M14</f>
        <v>79.430238719999977</v>
      </c>
      <c r="I130" s="60">
        <f>MIN!N14</f>
        <v>1031.7988009727997</v>
      </c>
      <c r="J130" s="60">
        <f>MIN!O14</f>
        <v>6.1161283814399985</v>
      </c>
      <c r="K130" s="60">
        <f t="shared" si="5"/>
        <v>139.87665038591996</v>
      </c>
      <c r="L130" s="60">
        <f t="shared" si="16"/>
        <v>179.59176974591995</v>
      </c>
      <c r="M130" s="60">
        <f t="shared" si="17"/>
        <v>219.30688910591994</v>
      </c>
      <c r="N13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179.59176974591995</v>
      </c>
      <c r="O130" s="96">
        <v>20.610014969321551</v>
      </c>
    </row>
    <row r="131" spans="1:15" x14ac:dyDescent="0.2">
      <c r="A131" s="59">
        <f>IF(TableWRMaster[[#This Row],[Player]]&lt;&gt;0,A130+1,A130)</f>
        <v>116</v>
      </c>
      <c r="B131" s="59" t="str">
        <f>MIN!A15</f>
        <v>Brandon Powell</v>
      </c>
      <c r="C131" s="59" t="s">
        <v>112</v>
      </c>
      <c r="D131" s="59">
        <f>MIN!C15</f>
        <v>13</v>
      </c>
      <c r="E131" s="60">
        <f>MIN!J15</f>
        <v>0</v>
      </c>
      <c r="F131" s="60">
        <f>MIN!K15</f>
        <v>0</v>
      </c>
      <c r="G131" s="60">
        <f>MIN!L15</f>
        <v>55.989359999999998</v>
      </c>
      <c r="H131" s="60">
        <f>MIN!M15</f>
        <v>33.593615999999997</v>
      </c>
      <c r="I131" s="60">
        <f>MIN!N15</f>
        <v>340.63926623999998</v>
      </c>
      <c r="J131" s="60">
        <f>MIN!O15</f>
        <v>1.6796807999999999</v>
      </c>
      <c r="K131" s="60">
        <f t="shared" ref="K131:K193" si="18">(E131/10)+(F131*6)+(I131/10)+(J131*6)</f>
        <v>44.142011423999996</v>
      </c>
      <c r="L131" s="60">
        <f t="shared" si="16"/>
        <v>60.938819423999995</v>
      </c>
      <c r="M131" s="60">
        <f t="shared" si="17"/>
        <v>77.735627424</v>
      </c>
      <c r="N13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60.938819423999995</v>
      </c>
      <c r="O131" s="96">
        <v>0</v>
      </c>
    </row>
    <row r="132" spans="1:15" x14ac:dyDescent="0.2">
      <c r="A132" s="59">
        <f>IF(TableWRMaster[[#This Row],[Player]]&lt;&gt;0,A131+1,A131)</f>
        <v>117</v>
      </c>
      <c r="B132" s="59" t="str">
        <f>MIN!A16</f>
        <v>Trent Sherfield</v>
      </c>
      <c r="C132" s="59" t="s">
        <v>112</v>
      </c>
      <c r="D132" s="59">
        <f>MIN!C16</f>
        <v>13</v>
      </c>
      <c r="E132" s="60">
        <f>MIN!J16</f>
        <v>0</v>
      </c>
      <c r="F132" s="60">
        <f>MIN!K16</f>
        <v>0</v>
      </c>
      <c r="G132" s="60">
        <f>MIN!L16</f>
        <v>12.442079999999999</v>
      </c>
      <c r="H132" s="60">
        <f>MIN!M16</f>
        <v>7.3035009599999992</v>
      </c>
      <c r="I132" s="60">
        <f>MIN!N16</f>
        <v>85.450961231999983</v>
      </c>
      <c r="J132" s="60">
        <f>MIN!O16</f>
        <v>0.365175048</v>
      </c>
      <c r="K132" s="60">
        <f t="shared" si="18"/>
        <v>10.736146411199998</v>
      </c>
      <c r="L132" s="60">
        <f t="shared" si="16"/>
        <v>14.387896891199997</v>
      </c>
      <c r="M132" s="60">
        <f t="shared" si="17"/>
        <v>18.039647371199997</v>
      </c>
      <c r="N13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14.387896891199997</v>
      </c>
      <c r="O132" s="96">
        <v>0</v>
      </c>
    </row>
    <row r="133" spans="1:15" x14ac:dyDescent="0.2">
      <c r="A133" s="59">
        <f>IF(TableWRMaster[[#This Row],[Player]]&lt;&gt;0,A132+1,A132)</f>
        <v>118</v>
      </c>
      <c r="B133" s="59" t="str">
        <f>MIN!A17</f>
        <v>Jalen Nailor</v>
      </c>
      <c r="C133" s="59" t="s">
        <v>112</v>
      </c>
      <c r="D133" s="59">
        <f>MIN!C17</f>
        <v>13</v>
      </c>
      <c r="E133" s="60">
        <f>MIN!J17</f>
        <v>0</v>
      </c>
      <c r="F133" s="60">
        <f>MIN!K17</f>
        <v>0</v>
      </c>
      <c r="G133" s="60">
        <f>MIN!L17</f>
        <v>12.442079999999999</v>
      </c>
      <c r="H133" s="60">
        <f>MIN!M17</f>
        <v>7.228848479999999</v>
      </c>
      <c r="I133" s="60">
        <f>MIN!N17</f>
        <v>72.288484799999992</v>
      </c>
      <c r="J133" s="60">
        <f>MIN!O17</f>
        <v>0.36144242399999998</v>
      </c>
      <c r="K133" s="60">
        <f t="shared" si="18"/>
        <v>9.3975030239999988</v>
      </c>
      <c r="L133" s="60">
        <f t="shared" si="16"/>
        <v>13.011927263999999</v>
      </c>
      <c r="M133" s="60">
        <f t="shared" si="17"/>
        <v>16.626351503999999</v>
      </c>
      <c r="N13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13.011927264000001</v>
      </c>
      <c r="O133" s="96">
        <v>0</v>
      </c>
    </row>
    <row r="134" spans="1:15" x14ac:dyDescent="0.2">
      <c r="A134" s="59">
        <f>IF(TableWRMaster[[#This Row],[Player]]&lt;&gt;0,A133+1,A133)</f>
        <v>118</v>
      </c>
      <c r="B134" s="59">
        <f>MIN!A18</f>
        <v>0</v>
      </c>
      <c r="C134" s="59" t="s">
        <v>112</v>
      </c>
      <c r="D134" s="59">
        <f>MIN!C18</f>
        <v>13</v>
      </c>
      <c r="E134" s="60">
        <f>MIN!J18</f>
        <v>0</v>
      </c>
      <c r="F134" s="60">
        <f>MIN!K18</f>
        <v>0</v>
      </c>
      <c r="G134" s="60">
        <f>MIN!L18</f>
        <v>0</v>
      </c>
      <c r="H134" s="60">
        <f>MIN!M18</f>
        <v>0</v>
      </c>
      <c r="I134" s="60">
        <f>MIN!N18</f>
        <v>0</v>
      </c>
      <c r="J134" s="60">
        <f>MIN!O18</f>
        <v>0</v>
      </c>
      <c r="K134" s="60">
        <f t="shared" si="18"/>
        <v>0</v>
      </c>
      <c r="L134" s="60">
        <f t="shared" si="16"/>
        <v>0</v>
      </c>
      <c r="M134" s="60">
        <f t="shared" si="17"/>
        <v>0</v>
      </c>
      <c r="N13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34" s="96">
        <v>0</v>
      </c>
    </row>
    <row r="135" spans="1:15" x14ac:dyDescent="0.2">
      <c r="A135" s="59">
        <f>IF(TableWRMaster[[#This Row],[Player]]&lt;&gt;0,A134+1,A134)</f>
        <v>119</v>
      </c>
      <c r="B135" s="59" t="str">
        <f>NE!A13</f>
        <v>Ja'Lynn Polk</v>
      </c>
      <c r="C135" s="59" t="s">
        <v>113</v>
      </c>
      <c r="D135" s="59">
        <f>NE!C13</f>
        <v>11</v>
      </c>
      <c r="E135" s="60">
        <f>NE!J13</f>
        <v>0</v>
      </c>
      <c r="F135" s="60">
        <f>NE!K13</f>
        <v>0</v>
      </c>
      <c r="G135" s="60">
        <f>NE!L13</f>
        <v>73.694784799999994</v>
      </c>
      <c r="H135" s="60">
        <f>NE!M13</f>
        <v>44.732734373599996</v>
      </c>
      <c r="I135" s="60">
        <f>NE!N13</f>
        <v>569.447708575928</v>
      </c>
      <c r="J135" s="60">
        <f>NE!O13</f>
        <v>2.907627734284</v>
      </c>
      <c r="K135" s="60">
        <f t="shared" si="18"/>
        <v>74.390537263296807</v>
      </c>
      <c r="L135" s="60">
        <f t="shared" si="16"/>
        <v>96.756904450096812</v>
      </c>
      <c r="M135" s="60">
        <f t="shared" si="17"/>
        <v>119.1232716368968</v>
      </c>
      <c r="N13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96.756904450096812</v>
      </c>
      <c r="O135" s="96">
        <v>1.5854302457016156</v>
      </c>
    </row>
    <row r="136" spans="1:15" x14ac:dyDescent="0.2">
      <c r="A136" s="59">
        <f>IF(TableWRMaster[[#This Row],[Player]]&lt;&gt;0,A135+1,A135)</f>
        <v>120</v>
      </c>
      <c r="B136" s="59" t="str">
        <f>NE!A14</f>
        <v>Demario Douglas</v>
      </c>
      <c r="C136" s="59" t="s">
        <v>113</v>
      </c>
      <c r="D136" s="59">
        <f>NE!C14</f>
        <v>11</v>
      </c>
      <c r="E136" s="60">
        <f>NE!J14</f>
        <v>0</v>
      </c>
      <c r="F136" s="60">
        <f>NE!K14</f>
        <v>0</v>
      </c>
      <c r="G136" s="60">
        <f>NE!L14</f>
        <v>85.032443999999984</v>
      </c>
      <c r="H136" s="60">
        <f>NE!M14</f>
        <v>53.145277499999992</v>
      </c>
      <c r="I136" s="60">
        <f>NE!N14</f>
        <v>618.61103009999988</v>
      </c>
      <c r="J136" s="60">
        <f>NE!O14</f>
        <v>2.9761355399999996</v>
      </c>
      <c r="K136" s="60">
        <f t="shared" si="18"/>
        <v>79.717916249999988</v>
      </c>
      <c r="L136" s="60">
        <f t="shared" si="16"/>
        <v>106.29055499999998</v>
      </c>
      <c r="M136" s="60">
        <f t="shared" si="17"/>
        <v>132.86319374999999</v>
      </c>
      <c r="N13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106.29055499999998</v>
      </c>
      <c r="O136" s="96">
        <v>0</v>
      </c>
    </row>
    <row r="137" spans="1:15" x14ac:dyDescent="0.2">
      <c r="A137" s="59">
        <f>IF(TableWRMaster[[#This Row],[Player]]&lt;&gt;0,A136+1,A136)</f>
        <v>121</v>
      </c>
      <c r="B137" s="59" t="str">
        <f>NE!A15</f>
        <v>Kendrick Bourne</v>
      </c>
      <c r="C137" s="59" t="s">
        <v>113</v>
      </c>
      <c r="D137" s="59">
        <f>NE!C15</f>
        <v>11</v>
      </c>
      <c r="E137" s="60">
        <f>NE!J15</f>
        <v>0</v>
      </c>
      <c r="F137" s="60">
        <f>NE!K15</f>
        <v>0</v>
      </c>
      <c r="G137" s="60">
        <f>NE!L15</f>
        <v>79.363614399999989</v>
      </c>
      <c r="H137" s="60">
        <f>NE!M15</f>
        <v>46.030896351999992</v>
      </c>
      <c r="I137" s="60">
        <f>NE!N15</f>
        <v>612.21092148159994</v>
      </c>
      <c r="J137" s="60">
        <f>NE!O15</f>
        <v>2.4396375066559997</v>
      </c>
      <c r="K137" s="60">
        <f t="shared" si="18"/>
        <v>75.858917188096001</v>
      </c>
      <c r="L137" s="60">
        <f t="shared" si="16"/>
        <v>98.874365364095993</v>
      </c>
      <c r="M137" s="60">
        <f t="shared" si="17"/>
        <v>121.88981354009599</v>
      </c>
      <c r="N13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98.874365364095979</v>
      </c>
      <c r="O137" s="96">
        <v>0</v>
      </c>
    </row>
    <row r="138" spans="1:15" x14ac:dyDescent="0.2">
      <c r="A138" s="59">
        <f>IF(TableWRMaster[[#This Row],[Player]]&lt;&gt;0,A137+1,A137)</f>
        <v>122</v>
      </c>
      <c r="B138" s="59" t="str">
        <f>NE!A16</f>
        <v>K.J. Osborn</v>
      </c>
      <c r="C138" s="59" t="s">
        <v>113</v>
      </c>
      <c r="D138" s="59">
        <f>NE!C16</f>
        <v>11</v>
      </c>
      <c r="E138" s="60">
        <f>NE!J16</f>
        <v>0</v>
      </c>
      <c r="F138" s="60">
        <f>NE!K16</f>
        <v>0</v>
      </c>
      <c r="G138" s="60">
        <f>NE!L16</f>
        <v>28.344147999999993</v>
      </c>
      <c r="H138" s="60">
        <f>NE!M16</f>
        <v>17.063177095999997</v>
      </c>
      <c r="I138" s="60">
        <f>NE!N16</f>
        <v>194.17895535247999</v>
      </c>
      <c r="J138" s="60">
        <f>NE!O16</f>
        <v>1.1091065112399998</v>
      </c>
      <c r="K138" s="60">
        <f t="shared" si="18"/>
        <v>26.072534602687998</v>
      </c>
      <c r="L138" s="60">
        <f t="shared" si="16"/>
        <v>34.604123150687997</v>
      </c>
      <c r="M138" s="60">
        <f t="shared" si="17"/>
        <v>43.135711698687999</v>
      </c>
      <c r="N13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34.604123150687997</v>
      </c>
      <c r="O138" s="96">
        <v>0</v>
      </c>
    </row>
    <row r="139" spans="1:15" x14ac:dyDescent="0.2">
      <c r="A139" s="59">
        <f>IF(TableWRMaster[[#This Row],[Player]]&lt;&gt;0,A138+1,A138)</f>
        <v>123</v>
      </c>
      <c r="B139" s="59" t="str">
        <f>NE!A17</f>
        <v>JuJu Smith-Schuster</v>
      </c>
      <c r="C139" s="59" t="s">
        <v>113</v>
      </c>
      <c r="D139" s="59">
        <f>NE!C17</f>
        <v>11</v>
      </c>
      <c r="E139" s="60">
        <f>NE!J17</f>
        <v>0</v>
      </c>
      <c r="F139" s="60">
        <f>NE!K17</f>
        <v>0</v>
      </c>
      <c r="G139" s="60">
        <f>NE!L17</f>
        <v>56.688295999999987</v>
      </c>
      <c r="H139" s="60">
        <f>NE!M17</f>
        <v>35.37349670399999</v>
      </c>
      <c r="I139" s="60">
        <f>NE!N17</f>
        <v>345.5990627980799</v>
      </c>
      <c r="J139" s="60">
        <f>NE!O17</f>
        <v>2.0516628088319995</v>
      </c>
      <c r="K139" s="60">
        <f t="shared" si="18"/>
        <v>46.869883132799984</v>
      </c>
      <c r="L139" s="60">
        <f t="shared" si="16"/>
        <v>64.556631484799979</v>
      </c>
      <c r="M139" s="60">
        <f t="shared" si="17"/>
        <v>82.243379836799974</v>
      </c>
      <c r="N13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64.556631484799979</v>
      </c>
      <c r="O139" s="96">
        <v>0</v>
      </c>
    </row>
    <row r="140" spans="1:15" x14ac:dyDescent="0.2">
      <c r="A140" s="59">
        <f>IF(TableWRMaster[[#This Row],[Player]]&lt;&gt;0,A139+1,A139)</f>
        <v>124</v>
      </c>
      <c r="B140" s="59" t="str">
        <f>NE!A18</f>
        <v>Javon Baker</v>
      </c>
      <c r="C140" s="59" t="s">
        <v>113</v>
      </c>
      <c r="D140" s="59">
        <f>NE!C18</f>
        <v>11</v>
      </c>
      <c r="E140" s="60">
        <f>NE!J18</f>
        <v>0</v>
      </c>
      <c r="F140" s="60">
        <f>NE!K18</f>
        <v>0</v>
      </c>
      <c r="G140" s="60">
        <f>NE!L18</f>
        <v>28.344147999999993</v>
      </c>
      <c r="H140" s="60">
        <f>NE!M18</f>
        <v>16.751391467999994</v>
      </c>
      <c r="I140" s="60">
        <f>NE!N18</f>
        <v>215.75792210783993</v>
      </c>
      <c r="J140" s="60">
        <f>NE!O18</f>
        <v>1.1055918368879998</v>
      </c>
      <c r="K140" s="60">
        <f t="shared" si="18"/>
        <v>28.209343232111994</v>
      </c>
      <c r="L140" s="60">
        <f t="shared" si="16"/>
        <v>36.585038966111995</v>
      </c>
      <c r="M140" s="60">
        <f t="shared" si="17"/>
        <v>44.960734700111985</v>
      </c>
      <c r="N14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36.585038966111988</v>
      </c>
      <c r="O140" s="96">
        <v>0</v>
      </c>
    </row>
    <row r="141" spans="1:15" x14ac:dyDescent="0.2">
      <c r="A141" s="59">
        <f>IF(TableWRMaster[[#This Row],[Player]]&lt;&gt;0,A140+1,A140)</f>
        <v>125</v>
      </c>
      <c r="B141" s="59" t="str">
        <f>NO!A13</f>
        <v>Chris Olave</v>
      </c>
      <c r="C141" s="59" t="s">
        <v>114</v>
      </c>
      <c r="D141" s="59">
        <f>NO!C13</f>
        <v>11</v>
      </c>
      <c r="E141" s="60">
        <f>NO!J13</f>
        <v>0</v>
      </c>
      <c r="F141" s="60">
        <f>NO!K13</f>
        <v>0</v>
      </c>
      <c r="G141" s="60">
        <f>NO!L13</f>
        <v>130.73824240399998</v>
      </c>
      <c r="H141" s="60">
        <f>NO!M13</f>
        <v>81.972877987307982</v>
      </c>
      <c r="I141" s="60">
        <f>NO!N13</f>
        <v>1127.1270723254847</v>
      </c>
      <c r="J141" s="60">
        <f>NO!O13</f>
        <v>6.0659929710607905</v>
      </c>
      <c r="K141" s="60">
        <f t="shared" si="18"/>
        <v>149.1086650589132</v>
      </c>
      <c r="L141" s="60">
        <f t="shared" ref="L141:L172" si="19">K141+(H141*0.5)</f>
        <v>190.09510405256719</v>
      </c>
      <c r="M141" s="60">
        <f t="shared" ref="M141:M172" si="20">K141+H141</f>
        <v>231.08154304622119</v>
      </c>
      <c r="N14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190.09510405256719</v>
      </c>
      <c r="O141" s="96">
        <v>33.210727857079746</v>
      </c>
    </row>
    <row r="142" spans="1:15" x14ac:dyDescent="0.2">
      <c r="A142" s="59">
        <f>IF(TableWRMaster[[#This Row],[Player]]&lt;&gt;0,A141+1,A141)</f>
        <v>126</v>
      </c>
      <c r="B142" s="59" t="str">
        <f>NO!A14</f>
        <v>Rashid Shaheed</v>
      </c>
      <c r="C142" s="59" t="s">
        <v>114</v>
      </c>
      <c r="D142" s="59">
        <f>NO!C14</f>
        <v>11</v>
      </c>
      <c r="E142" s="60">
        <f>NO!J14</f>
        <v>0</v>
      </c>
      <c r="F142" s="60">
        <f>NO!K14</f>
        <v>0</v>
      </c>
      <c r="G142" s="60">
        <f>NO!L14</f>
        <v>91.794936155999991</v>
      </c>
      <c r="H142" s="60">
        <f>NO!M14</f>
        <v>56.729270544407996</v>
      </c>
      <c r="I142" s="60">
        <f>NO!N14</f>
        <v>819.73795936669546</v>
      </c>
      <c r="J142" s="60">
        <f>NO!O14</f>
        <v>4.5950709140970476</v>
      </c>
      <c r="K142" s="60">
        <f t="shared" si="18"/>
        <v>109.54422142125183</v>
      </c>
      <c r="L142" s="60">
        <f t="shared" si="19"/>
        <v>137.90885669345585</v>
      </c>
      <c r="M142" s="60">
        <f t="shared" si="20"/>
        <v>166.27349196565984</v>
      </c>
      <c r="N14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137.90885669345585</v>
      </c>
      <c r="O142" s="96">
        <v>1.8220714041175305</v>
      </c>
    </row>
    <row r="143" spans="1:15" x14ac:dyDescent="0.2">
      <c r="A143" s="59">
        <f>IF(TableWRMaster[[#This Row],[Player]]&lt;&gt;0,A142+1,A142)</f>
        <v>127</v>
      </c>
      <c r="B143" s="59" t="str">
        <f>NO!A15</f>
        <v>Cedrick Wilson</v>
      </c>
      <c r="C143" s="59" t="s">
        <v>114</v>
      </c>
      <c r="D143" s="59">
        <f>NO!C15</f>
        <v>11</v>
      </c>
      <c r="E143" s="60">
        <f>NO!J15</f>
        <v>0</v>
      </c>
      <c r="F143" s="60">
        <f>NO!K15</f>
        <v>0</v>
      </c>
      <c r="G143" s="60">
        <f>NO!L15</f>
        <v>61.196624103999987</v>
      </c>
      <c r="H143" s="60">
        <f>NO!M15</f>
        <v>36.717974462399994</v>
      </c>
      <c r="I143" s="60">
        <f>NO!N15</f>
        <v>396.55412419391996</v>
      </c>
      <c r="J143" s="60">
        <f>NO!O15</f>
        <v>1.9827706209695997</v>
      </c>
      <c r="K143" s="60">
        <f t="shared" si="18"/>
        <v>51.552036145209591</v>
      </c>
      <c r="L143" s="60">
        <f t="shared" si="19"/>
        <v>69.911023376409588</v>
      </c>
      <c r="M143" s="60">
        <f t="shared" si="20"/>
        <v>88.270010607609578</v>
      </c>
      <c r="N14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69.911023376409588</v>
      </c>
      <c r="O143" s="96">
        <v>0</v>
      </c>
    </row>
    <row r="144" spans="1:15" x14ac:dyDescent="0.2">
      <c r="A144" s="59">
        <f>IF(TableWRMaster[[#This Row],[Player]]&lt;&gt;0,A143+1,A143)</f>
        <v>128</v>
      </c>
      <c r="B144" s="59" t="str">
        <f>NO!A16</f>
        <v>A.T. Perry</v>
      </c>
      <c r="C144" s="59" t="s">
        <v>114</v>
      </c>
      <c r="D144" s="59">
        <f>NO!C16</f>
        <v>11</v>
      </c>
      <c r="E144" s="60">
        <f>NO!J16</f>
        <v>0</v>
      </c>
      <c r="F144" s="60">
        <f>NO!K16</f>
        <v>0</v>
      </c>
      <c r="G144" s="60">
        <f>NO!L16</f>
        <v>33.379976783999993</v>
      </c>
      <c r="H144" s="60">
        <f>NO!M16</f>
        <v>19.894466163263996</v>
      </c>
      <c r="I144" s="60">
        <f>NO!N16</f>
        <v>257.23544749100347</v>
      </c>
      <c r="J144" s="60">
        <f>NO!O16</f>
        <v>1.6910296238774398</v>
      </c>
      <c r="K144" s="60">
        <f t="shared" si="18"/>
        <v>35.869722492364986</v>
      </c>
      <c r="L144" s="60">
        <f t="shared" si="19"/>
        <v>45.816955573996985</v>
      </c>
      <c r="M144" s="60">
        <f t="shared" si="20"/>
        <v>55.764188655628985</v>
      </c>
      <c r="N14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45.816955573996985</v>
      </c>
      <c r="O144" s="96">
        <v>0</v>
      </c>
    </row>
    <row r="145" spans="1:15" x14ac:dyDescent="0.2">
      <c r="A145" s="59">
        <f>IF(TableWRMaster[[#This Row],[Player]]&lt;&gt;0,A144+1,A144)</f>
        <v>129</v>
      </c>
      <c r="B145" s="59" t="str">
        <f>NO!A17</f>
        <v>Bub Means</v>
      </c>
      <c r="C145" s="59" t="s">
        <v>114</v>
      </c>
      <c r="D145" s="59">
        <f>NO!C17</f>
        <v>11</v>
      </c>
      <c r="E145" s="60">
        <f>NO!J17</f>
        <v>0</v>
      </c>
      <c r="F145" s="60">
        <f>NO!K17</f>
        <v>0</v>
      </c>
      <c r="G145" s="60">
        <f>NO!L17</f>
        <v>11.126658927999998</v>
      </c>
      <c r="H145" s="60">
        <f>NO!M17</f>
        <v>7.065428419279999</v>
      </c>
      <c r="I145" s="60">
        <f>NO!N17</f>
        <v>87.752620967457588</v>
      </c>
      <c r="J145" s="60">
        <f>NO!O17</f>
        <v>0.49457998934959996</v>
      </c>
      <c r="K145" s="60">
        <f t="shared" si="18"/>
        <v>11.74274203284336</v>
      </c>
      <c r="L145" s="60">
        <f t="shared" si="19"/>
        <v>15.27545624248336</v>
      </c>
      <c r="M145" s="60">
        <f t="shared" si="20"/>
        <v>18.80817045212336</v>
      </c>
      <c r="N14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15.27545624248336</v>
      </c>
      <c r="O145" s="96">
        <v>0</v>
      </c>
    </row>
    <row r="146" spans="1:15" x14ac:dyDescent="0.2">
      <c r="A146" s="59">
        <f>IF(TableWRMaster[[#This Row],[Player]]&lt;&gt;0,A145+1,A145)</f>
        <v>130</v>
      </c>
      <c r="B146" s="59" t="str">
        <f>NO!A18</f>
        <v>Stanley Morgan</v>
      </c>
      <c r="C146" s="59" t="s">
        <v>114</v>
      </c>
      <c r="D146" s="59">
        <f>NO!C18</f>
        <v>11</v>
      </c>
      <c r="E146" s="60">
        <f>NO!J18</f>
        <v>0</v>
      </c>
      <c r="F146" s="60">
        <f>NO!K18</f>
        <v>0</v>
      </c>
      <c r="G146" s="60">
        <f>NO!L18</f>
        <v>11.126658927999998</v>
      </c>
      <c r="H146" s="60">
        <f>NO!M18</f>
        <v>6.6759953567999988</v>
      </c>
      <c r="I146" s="60">
        <f>NO!N18</f>
        <v>73.435948924799987</v>
      </c>
      <c r="J146" s="60">
        <f>NO!O18</f>
        <v>0.33379976783999998</v>
      </c>
      <c r="K146" s="60">
        <f t="shared" si="18"/>
        <v>9.3463934995199978</v>
      </c>
      <c r="L146" s="60">
        <f t="shared" si="19"/>
        <v>12.684391177919997</v>
      </c>
      <c r="M146" s="60">
        <f t="shared" si="20"/>
        <v>16.022388856319996</v>
      </c>
      <c r="N14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12.684391177919998</v>
      </c>
      <c r="O146" s="96">
        <v>0</v>
      </c>
    </row>
    <row r="147" spans="1:15" x14ac:dyDescent="0.2">
      <c r="A147" s="59">
        <f>IF(TableWRMaster[[#This Row],[Player]]&lt;&gt;0,A146+1,A146)</f>
        <v>131</v>
      </c>
      <c r="B147" s="59" t="str">
        <f>NYG!A13</f>
        <v>Malik Nabers</v>
      </c>
      <c r="C147" s="59" t="s">
        <v>115</v>
      </c>
      <c r="D147" s="59">
        <f>NYG!C13</f>
        <v>13</v>
      </c>
      <c r="E147" s="60">
        <f>NYG!J13</f>
        <v>0</v>
      </c>
      <c r="F147" s="60">
        <f>NYG!K13</f>
        <v>0</v>
      </c>
      <c r="G147" s="60">
        <f>NYG!L13</f>
        <v>129.46866239999994</v>
      </c>
      <c r="H147" s="60">
        <f>NYG!M13</f>
        <v>83.248349923199967</v>
      </c>
      <c r="I147" s="60">
        <f>NYG!N13</f>
        <v>1067.2438460154235</v>
      </c>
      <c r="J147" s="60">
        <f>NYG!O13</f>
        <v>5.8273844946239981</v>
      </c>
      <c r="K147" s="60">
        <f t="shared" si="18"/>
        <v>141.68869156928633</v>
      </c>
      <c r="L147" s="60">
        <f t="shared" si="19"/>
        <v>183.31286653088631</v>
      </c>
      <c r="M147" s="60">
        <f t="shared" si="20"/>
        <v>224.93704149248629</v>
      </c>
      <c r="N14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183.31286653088634</v>
      </c>
      <c r="O147" s="96">
        <v>12.582632081900583</v>
      </c>
    </row>
    <row r="148" spans="1:15" x14ac:dyDescent="0.2">
      <c r="A148" s="59">
        <f>IF(TableWRMaster[[#This Row],[Player]]&lt;&gt;0,A147+1,A147)</f>
        <v>132</v>
      </c>
      <c r="B148" s="59" t="str">
        <f>NYG!A14</f>
        <v>Wan'Dale Robinson</v>
      </c>
      <c r="C148" s="59" t="s">
        <v>115</v>
      </c>
      <c r="D148" s="59">
        <f>NYG!C14</f>
        <v>13</v>
      </c>
      <c r="E148" s="60">
        <f>NYG!J14</f>
        <v>52.713238816000008</v>
      </c>
      <c r="F148" s="60">
        <f>NYG!K14</f>
        <v>0.43854608000000006</v>
      </c>
      <c r="G148" s="60">
        <f>NYG!L14</f>
        <v>94.159027199999969</v>
      </c>
      <c r="H148" s="60">
        <f>NYG!M14</f>
        <v>65.440523903999974</v>
      </c>
      <c r="I148" s="60">
        <f>NYG!N14</f>
        <v>647.20678141055976</v>
      </c>
      <c r="J148" s="60">
        <f>NYG!O14</f>
        <v>3.2720261951999987</v>
      </c>
      <c r="K148" s="60">
        <f t="shared" si="18"/>
        <v>92.25543567385597</v>
      </c>
      <c r="L148" s="60">
        <f t="shared" si="19"/>
        <v>124.97569762585596</v>
      </c>
      <c r="M148" s="60">
        <f t="shared" si="20"/>
        <v>157.69595957785594</v>
      </c>
      <c r="N14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124.97569762585596</v>
      </c>
      <c r="O148" s="96">
        <v>0</v>
      </c>
    </row>
    <row r="149" spans="1:15" x14ac:dyDescent="0.2">
      <c r="A149" s="59">
        <f>IF(TableWRMaster[[#This Row],[Player]]&lt;&gt;0,A148+1,A148)</f>
        <v>133</v>
      </c>
      <c r="B149" s="59" t="str">
        <f>NYG!A15</f>
        <v>Darius Slayton</v>
      </c>
      <c r="C149" s="59" t="s">
        <v>115</v>
      </c>
      <c r="D149" s="59">
        <f>NYG!C15</f>
        <v>13</v>
      </c>
      <c r="E149" s="60">
        <f>NYG!J15</f>
        <v>0</v>
      </c>
      <c r="F149" s="60">
        <f>NYG!K15</f>
        <v>0</v>
      </c>
      <c r="G149" s="60">
        <f>NYG!L15</f>
        <v>76.504209599999982</v>
      </c>
      <c r="H149" s="60">
        <f>NYG!M15</f>
        <v>45.74951734079999</v>
      </c>
      <c r="I149" s="60">
        <f>NYG!N15</f>
        <v>605.72360959219191</v>
      </c>
      <c r="J149" s="60">
        <f>NYG!O15</f>
        <v>2.7449710404479992</v>
      </c>
      <c r="K149" s="60">
        <f t="shared" si="18"/>
        <v>77.042187201907183</v>
      </c>
      <c r="L149" s="60">
        <f t="shared" si="19"/>
        <v>99.916945872307181</v>
      </c>
      <c r="M149" s="60">
        <f t="shared" si="20"/>
        <v>122.79170454270718</v>
      </c>
      <c r="N14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99.916945872307195</v>
      </c>
      <c r="O149" s="96">
        <v>0</v>
      </c>
    </row>
    <row r="150" spans="1:15" x14ac:dyDescent="0.2">
      <c r="A150" s="59">
        <f>IF(TableWRMaster[[#This Row],[Player]]&lt;&gt;0,A149+1,A149)</f>
        <v>134</v>
      </c>
      <c r="B150" s="59" t="str">
        <f>NYG!A16</f>
        <v>Jalin Hyatt</v>
      </c>
      <c r="C150" s="59" t="s">
        <v>115</v>
      </c>
      <c r="D150" s="59">
        <f>NYG!C16</f>
        <v>13</v>
      </c>
      <c r="E150" s="60">
        <f>NYG!J16</f>
        <v>0</v>
      </c>
      <c r="F150" s="60">
        <f>NYG!K16</f>
        <v>0</v>
      </c>
      <c r="G150" s="60">
        <f>NYG!L16</f>
        <v>29.424695999999987</v>
      </c>
      <c r="H150" s="60">
        <f>NYG!M16</f>
        <v>16.507254455999995</v>
      </c>
      <c r="I150" s="60">
        <f>NYG!N16</f>
        <v>232.75228782959991</v>
      </c>
      <c r="J150" s="60">
        <f>NYG!O16</f>
        <v>0.90789899507999972</v>
      </c>
      <c r="K150" s="60">
        <f t="shared" si="18"/>
        <v>28.722622753439992</v>
      </c>
      <c r="L150" s="60">
        <f t="shared" si="19"/>
        <v>36.976249981439992</v>
      </c>
      <c r="M150" s="60">
        <f t="shared" si="20"/>
        <v>45.229877209439991</v>
      </c>
      <c r="N15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36.976249981439992</v>
      </c>
      <c r="O150" s="96">
        <v>0</v>
      </c>
    </row>
    <row r="151" spans="1:15" x14ac:dyDescent="0.2">
      <c r="A151" s="59">
        <f>IF(TableWRMaster[[#This Row],[Player]]&lt;&gt;0,A150+1,A150)</f>
        <v>135</v>
      </c>
      <c r="B151" s="59" t="str">
        <f>NYG!A17</f>
        <v>Isaiah McKenzie</v>
      </c>
      <c r="C151" s="59" t="s">
        <v>115</v>
      </c>
      <c r="D151" s="59">
        <f>NYG!C17</f>
        <v>13</v>
      </c>
      <c r="E151" s="60">
        <f>NYG!J17</f>
        <v>0</v>
      </c>
      <c r="F151" s="60">
        <f>NYG!K17</f>
        <v>0</v>
      </c>
      <c r="G151" s="60">
        <f>NYG!L17</f>
        <v>17.654817599999994</v>
      </c>
      <c r="H151" s="60">
        <f>NYG!M17</f>
        <v>10.416342383999996</v>
      </c>
      <c r="I151" s="60">
        <f>NYG!N17</f>
        <v>104.16342383999996</v>
      </c>
      <c r="J151" s="60">
        <f>NYG!O17</f>
        <v>0.52081711919999985</v>
      </c>
      <c r="K151" s="60">
        <f t="shared" si="18"/>
        <v>13.541245099199996</v>
      </c>
      <c r="L151" s="60">
        <f t="shared" si="19"/>
        <v>18.749416291199992</v>
      </c>
      <c r="M151" s="60">
        <f t="shared" si="20"/>
        <v>23.957587483199994</v>
      </c>
      <c r="N15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18.749416291199992</v>
      </c>
      <c r="O151" s="96">
        <v>0</v>
      </c>
    </row>
    <row r="152" spans="1:15" x14ac:dyDescent="0.2">
      <c r="A152" s="59">
        <f>IF(TableWRMaster[[#This Row],[Player]]&lt;&gt;0,A151+1,A151)</f>
        <v>136</v>
      </c>
      <c r="B152" s="59" t="str">
        <f>NYG!A18</f>
        <v>Gunner Olszewski</v>
      </c>
      <c r="C152" s="59" t="s">
        <v>115</v>
      </c>
      <c r="D152" s="59">
        <f>NYG!C18</f>
        <v>13</v>
      </c>
      <c r="E152" s="60">
        <f>NYG!J18</f>
        <v>0</v>
      </c>
      <c r="F152" s="60">
        <f>NYG!K18</f>
        <v>0</v>
      </c>
      <c r="G152" s="60">
        <f>NYG!L18</f>
        <v>17.654817599999994</v>
      </c>
      <c r="H152" s="60">
        <f>NYG!M18</f>
        <v>10.592890559999995</v>
      </c>
      <c r="I152" s="60">
        <f>NYG!N18</f>
        <v>99.996886886399949</v>
      </c>
      <c r="J152" s="60">
        <f>NYG!O18</f>
        <v>0.47668007519999978</v>
      </c>
      <c r="K152" s="60">
        <f t="shared" si="18"/>
        <v>12.859769139839994</v>
      </c>
      <c r="L152" s="60">
        <f t="shared" si="19"/>
        <v>18.156214419839991</v>
      </c>
      <c r="M152" s="60">
        <f t="shared" si="20"/>
        <v>23.452659699839991</v>
      </c>
      <c r="N15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18.156214419839991</v>
      </c>
      <c r="O152" s="96">
        <v>0</v>
      </c>
    </row>
    <row r="153" spans="1:15" x14ac:dyDescent="0.2">
      <c r="A153" s="59">
        <f>IF(TableWRMaster[[#This Row],[Player]]&lt;&gt;0,A152+1,A152)</f>
        <v>136</v>
      </c>
      <c r="B153" s="59">
        <f>NYG!A19</f>
        <v>0</v>
      </c>
      <c r="C153" s="59" t="s">
        <v>115</v>
      </c>
      <c r="D153" s="59">
        <f>NYG!C19</f>
        <v>13</v>
      </c>
      <c r="E153" s="60">
        <f>NYG!J19</f>
        <v>0</v>
      </c>
      <c r="F153" s="60">
        <f>NYG!K19</f>
        <v>0</v>
      </c>
      <c r="G153" s="60">
        <f>NYG!L19</f>
        <v>0</v>
      </c>
      <c r="H153" s="60">
        <f>NYG!M19</f>
        <v>0</v>
      </c>
      <c r="I153" s="60">
        <f>NYG!N19</f>
        <v>0</v>
      </c>
      <c r="J153" s="60">
        <f>NYG!O19</f>
        <v>0</v>
      </c>
      <c r="K153" s="60">
        <f t="shared" si="18"/>
        <v>0</v>
      </c>
      <c r="L153" s="60">
        <f t="shared" si="19"/>
        <v>0</v>
      </c>
      <c r="M153" s="60">
        <f t="shared" si="20"/>
        <v>0</v>
      </c>
      <c r="N15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53" s="96">
        <v>0</v>
      </c>
    </row>
    <row r="154" spans="1:15" x14ac:dyDescent="0.2">
      <c r="A154" s="59">
        <f>IF(TableWRMaster[[#This Row],[Player]]&lt;&gt;0,A153+1,A153)</f>
        <v>137</v>
      </c>
      <c r="B154" s="59" t="str">
        <f>NYJ!A13</f>
        <v>Garrett Wilson</v>
      </c>
      <c r="C154" s="59" t="s">
        <v>116</v>
      </c>
      <c r="D154" s="59">
        <f>NYJ!C13</f>
        <v>7</v>
      </c>
      <c r="E154" s="60">
        <f>NYJ!J13</f>
        <v>0</v>
      </c>
      <c r="F154" s="60">
        <f>NYJ!K13</f>
        <v>0</v>
      </c>
      <c r="G154" s="60">
        <f>NYJ!L13</f>
        <v>136.27774159999998</v>
      </c>
      <c r="H154" s="60">
        <f>NYJ!M13</f>
        <v>83.401977859199988</v>
      </c>
      <c r="I154" s="60">
        <f>NYJ!N13</f>
        <v>1068.3793363763518</v>
      </c>
      <c r="J154" s="60">
        <f>NYJ!O13</f>
        <v>7.5061780073279989</v>
      </c>
      <c r="K154" s="60">
        <f t="shared" si="18"/>
        <v>151.87500168160318</v>
      </c>
      <c r="L154" s="60">
        <f t="shared" si="19"/>
        <v>193.57599061120317</v>
      </c>
      <c r="M154" s="60">
        <f t="shared" si="20"/>
        <v>235.27697954080315</v>
      </c>
      <c r="N15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193.57599061120317</v>
      </c>
      <c r="O154" s="96">
        <v>0</v>
      </c>
    </row>
    <row r="155" spans="1:15" x14ac:dyDescent="0.2">
      <c r="A155" s="59">
        <f>IF(TableWRMaster[[#This Row],[Player]]&lt;&gt;0,A154+1,A154)</f>
        <v>138</v>
      </c>
      <c r="B155" s="59" t="str">
        <f>NYJ!A14</f>
        <v>Mike Williams</v>
      </c>
      <c r="C155" s="59" t="s">
        <v>116</v>
      </c>
      <c r="D155" s="59">
        <f>NYJ!C14</f>
        <v>7</v>
      </c>
      <c r="E155" s="60">
        <f>NYJ!J14</f>
        <v>0</v>
      </c>
      <c r="F155" s="60">
        <f>NYJ!K14</f>
        <v>0</v>
      </c>
      <c r="G155" s="60">
        <f>NYJ!L14</f>
        <v>103.68958599999998</v>
      </c>
      <c r="H155" s="60">
        <f>NYJ!M14</f>
        <v>61.176855739999986</v>
      </c>
      <c r="I155" s="60">
        <f>NYJ!N14</f>
        <v>869.32312006539985</v>
      </c>
      <c r="J155" s="60">
        <f>NYJ!O14</f>
        <v>6.1176855739999993</v>
      </c>
      <c r="K155" s="60">
        <f t="shared" si="18"/>
        <v>123.63842545053998</v>
      </c>
      <c r="L155" s="60">
        <f t="shared" si="19"/>
        <v>154.22685332053999</v>
      </c>
      <c r="M155" s="60">
        <f t="shared" si="20"/>
        <v>184.81528119053996</v>
      </c>
      <c r="N15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154.22685332053999</v>
      </c>
      <c r="O155" s="96">
        <v>0</v>
      </c>
    </row>
    <row r="156" spans="1:15" x14ac:dyDescent="0.2">
      <c r="A156" s="59">
        <f>IF(TableWRMaster[[#This Row],[Player]]&lt;&gt;0,A155+1,A155)</f>
        <v>139</v>
      </c>
      <c r="B156" s="59" t="str">
        <f>NYJ!A15</f>
        <v>Malachi Corley</v>
      </c>
      <c r="C156" s="59" t="s">
        <v>116</v>
      </c>
      <c r="D156" s="59">
        <f>NYJ!C15</f>
        <v>7</v>
      </c>
      <c r="E156" s="60">
        <f>NYJ!J15</f>
        <v>24.960496904000003</v>
      </c>
      <c r="F156" s="60">
        <f>NYJ!K15</f>
        <v>0.14630486640000004</v>
      </c>
      <c r="G156" s="60">
        <f>NYJ!L15</f>
        <v>79.989109199999987</v>
      </c>
      <c r="H156" s="60">
        <f>NYJ!M15</f>
        <v>50.713095232799994</v>
      </c>
      <c r="I156" s="60">
        <f>NYJ!N15</f>
        <v>611.59992850756794</v>
      </c>
      <c r="J156" s="60">
        <f>NYJ!O15</f>
        <v>4.3106130947879997</v>
      </c>
      <c r="K156" s="60">
        <f t="shared" si="18"/>
        <v>90.397550308284792</v>
      </c>
      <c r="L156" s="60">
        <f t="shared" si="19"/>
        <v>115.75409792468479</v>
      </c>
      <c r="M156" s="60">
        <f t="shared" si="20"/>
        <v>141.11064554108478</v>
      </c>
      <c r="N15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115.7540979246848</v>
      </c>
      <c r="O156" s="96">
        <v>0</v>
      </c>
    </row>
    <row r="157" spans="1:15" x14ac:dyDescent="0.2">
      <c r="A157" s="59">
        <f>IF(TableWRMaster[[#This Row],[Player]]&lt;&gt;0,A156+1,A156)</f>
        <v>140</v>
      </c>
      <c r="B157" s="59" t="str">
        <f>NYJ!A16</f>
        <v>Allen Lazard</v>
      </c>
      <c r="C157" s="59" t="s">
        <v>116</v>
      </c>
      <c r="D157" s="59">
        <f>NYJ!C16</f>
        <v>7</v>
      </c>
      <c r="E157" s="60">
        <f>NYJ!J16</f>
        <v>0</v>
      </c>
      <c r="F157" s="60">
        <f>NYJ!K16</f>
        <v>0</v>
      </c>
      <c r="G157" s="60">
        <f>NYJ!L16</f>
        <v>29.625595999999998</v>
      </c>
      <c r="H157" s="60">
        <f>NYJ!M16</f>
        <v>17.834608791999997</v>
      </c>
      <c r="I157" s="60">
        <f>NYJ!N16</f>
        <v>232.91999082351998</v>
      </c>
      <c r="J157" s="60">
        <f>NYJ!O16</f>
        <v>1.6051147912799997</v>
      </c>
      <c r="K157" s="60">
        <f t="shared" si="18"/>
        <v>32.922687830031997</v>
      </c>
      <c r="L157" s="60">
        <f t="shared" si="19"/>
        <v>41.839992226031995</v>
      </c>
      <c r="M157" s="60">
        <f t="shared" si="20"/>
        <v>50.757296622031994</v>
      </c>
      <c r="N15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41.839992226031995</v>
      </c>
      <c r="O157" s="96">
        <v>0</v>
      </c>
    </row>
    <row r="158" spans="1:15" x14ac:dyDescent="0.2">
      <c r="A158" s="59">
        <f>IF(TableWRMaster[[#This Row],[Player]]&lt;&gt;0,A157+1,A157)</f>
        <v>141</v>
      </c>
      <c r="B158" s="59" t="str">
        <f>NYJ!A17</f>
        <v>Jason Brownlee</v>
      </c>
      <c r="C158" s="59" t="s">
        <v>116</v>
      </c>
      <c r="D158" s="59">
        <f>NYJ!C17</f>
        <v>7</v>
      </c>
      <c r="E158" s="60">
        <f>NYJ!J17</f>
        <v>0</v>
      </c>
      <c r="F158" s="60">
        <f>NYJ!K17</f>
        <v>0</v>
      </c>
      <c r="G158" s="60">
        <f>NYJ!L17</f>
        <v>17.775357599999996</v>
      </c>
      <c r="H158" s="60">
        <f>NYJ!M17</f>
        <v>10.665214559999997</v>
      </c>
      <c r="I158" s="60">
        <f>NYJ!N17</f>
        <v>121.79675027519997</v>
      </c>
      <c r="J158" s="60">
        <f>NYJ!O17</f>
        <v>0.83188673567999982</v>
      </c>
      <c r="K158" s="60">
        <f t="shared" si="18"/>
        <v>17.170995441599995</v>
      </c>
      <c r="L158" s="60">
        <f t="shared" si="19"/>
        <v>22.503602721599993</v>
      </c>
      <c r="M158" s="60">
        <f t="shared" si="20"/>
        <v>27.836210001599994</v>
      </c>
      <c r="N15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22.503602721599997</v>
      </c>
      <c r="O158" s="96">
        <v>0</v>
      </c>
    </row>
    <row r="159" spans="1:15" x14ac:dyDescent="0.2">
      <c r="A159" s="59">
        <f>IF(TableWRMaster[[#This Row],[Player]]&lt;&gt;0,A158+1,A158)</f>
        <v>142</v>
      </c>
      <c r="B159" s="59" t="str">
        <f>NYJ!A18</f>
        <v>Xavier Gipson</v>
      </c>
      <c r="C159" s="59" t="s">
        <v>116</v>
      </c>
      <c r="D159" s="59">
        <f>NYJ!C18</f>
        <v>7</v>
      </c>
      <c r="E159" s="60">
        <f>NYJ!J18</f>
        <v>0</v>
      </c>
      <c r="F159" s="60">
        <f>NYJ!K18</f>
        <v>0</v>
      </c>
      <c r="G159" s="60">
        <f>NYJ!L18</f>
        <v>17.775357599999996</v>
      </c>
      <c r="H159" s="60">
        <f>NYJ!M18</f>
        <v>10.807417420799997</v>
      </c>
      <c r="I159" s="60">
        <f>NYJ!N18</f>
        <v>119.20581415142395</v>
      </c>
      <c r="J159" s="60">
        <f>NYJ!O18</f>
        <v>0.86459339366399979</v>
      </c>
      <c r="K159" s="60">
        <f t="shared" si="18"/>
        <v>17.108141777126395</v>
      </c>
      <c r="L159" s="60">
        <f t="shared" si="19"/>
        <v>22.511850487526395</v>
      </c>
      <c r="M159" s="60">
        <f t="shared" si="20"/>
        <v>27.915559197926392</v>
      </c>
      <c r="N15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22.511850487526392</v>
      </c>
      <c r="O159" s="96">
        <v>0</v>
      </c>
    </row>
    <row r="160" spans="1:15" x14ac:dyDescent="0.2">
      <c r="A160" s="59">
        <f>IF(TableWRMaster[[#This Row],[Player]]&lt;&gt;0,A159+1,A159)</f>
        <v>142</v>
      </c>
      <c r="B160" s="59">
        <f>NYJ!A19</f>
        <v>0</v>
      </c>
      <c r="C160" s="59" t="s">
        <v>116</v>
      </c>
      <c r="D160" s="59">
        <f>NYJ!C19</f>
        <v>7</v>
      </c>
      <c r="E160" s="60">
        <f>NYJ!J19</f>
        <v>0</v>
      </c>
      <c r="F160" s="60">
        <f>NYJ!K19</f>
        <v>0</v>
      </c>
      <c r="G160" s="60">
        <f>NYJ!L19</f>
        <v>0</v>
      </c>
      <c r="H160" s="60">
        <f>NYJ!M19</f>
        <v>0</v>
      </c>
      <c r="I160" s="60">
        <f>NYJ!N19</f>
        <v>0</v>
      </c>
      <c r="J160" s="60">
        <f>NYJ!O19</f>
        <v>0</v>
      </c>
      <c r="K160" s="60">
        <f t="shared" si="18"/>
        <v>0</v>
      </c>
      <c r="L160" s="60">
        <f t="shared" si="19"/>
        <v>0</v>
      </c>
      <c r="M160" s="60">
        <f t="shared" si="20"/>
        <v>0</v>
      </c>
      <c r="N16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60" s="96">
        <v>0</v>
      </c>
    </row>
    <row r="161" spans="1:15" x14ac:dyDescent="0.2">
      <c r="A161" s="59">
        <f>IF(TableWRMaster[[#This Row],[Player]]&lt;&gt;0,A160+1,A160)</f>
        <v>143</v>
      </c>
      <c r="B161" s="59" t="str">
        <f>PHI!A13</f>
        <v>A.J. Brown</v>
      </c>
      <c r="C161" s="59" t="s">
        <v>117</v>
      </c>
      <c r="D161" s="59">
        <f>PHI!C13</f>
        <v>10</v>
      </c>
      <c r="E161" s="60">
        <f>PHI!J13</f>
        <v>0</v>
      </c>
      <c r="F161" s="60">
        <f>PHI!K13</f>
        <v>0</v>
      </c>
      <c r="G161" s="60">
        <f>PHI!L13</f>
        <v>136.6726032</v>
      </c>
      <c r="H161" s="60">
        <f>PHI!M13</f>
        <v>86.240412619200001</v>
      </c>
      <c r="I161" s="60">
        <f>PHI!N13</f>
        <v>1237.5499210855201</v>
      </c>
      <c r="J161" s="60">
        <f>PHI!O13</f>
        <v>8.2790796114431995</v>
      </c>
      <c r="K161" s="60">
        <f t="shared" si="18"/>
        <v>173.42946977721118</v>
      </c>
      <c r="L161" s="60">
        <f t="shared" si="19"/>
        <v>216.54967608681119</v>
      </c>
      <c r="M161" s="60">
        <f t="shared" si="20"/>
        <v>259.6698823964112</v>
      </c>
      <c r="N16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216.54967608681122</v>
      </c>
      <c r="O161" s="96">
        <v>13.438851651696702</v>
      </c>
    </row>
    <row r="162" spans="1:15" x14ac:dyDescent="0.2">
      <c r="A162" s="59">
        <f>IF(TableWRMaster[[#This Row],[Player]]&lt;&gt;0,A161+1,A161)</f>
        <v>144</v>
      </c>
      <c r="B162" s="59" t="str">
        <f>PHI!A14</f>
        <v>DeVonta Smith</v>
      </c>
      <c r="C162" s="59" t="s">
        <v>117</v>
      </c>
      <c r="D162" s="59">
        <f>PHI!C14</f>
        <v>10</v>
      </c>
      <c r="E162" s="60">
        <f>PHI!J14</f>
        <v>24.242214527999998</v>
      </c>
      <c r="F162" s="60">
        <f>PHI!K14</f>
        <v>7.2436896000000001E-2</v>
      </c>
      <c r="G162" s="60">
        <f>PHI!L14</f>
        <v>122.72641920000001</v>
      </c>
      <c r="H162" s="60">
        <f>PHI!M14</f>
        <v>80.385804576000012</v>
      </c>
      <c r="I162" s="60">
        <f>PHI!N14</f>
        <v>1039.3884531676802</v>
      </c>
      <c r="J162" s="60">
        <f>PHI!O14</f>
        <v>6.189706952352001</v>
      </c>
      <c r="K162" s="60">
        <f t="shared" si="18"/>
        <v>143.93592985968002</v>
      </c>
      <c r="L162" s="60">
        <f t="shared" si="19"/>
        <v>184.12883214768001</v>
      </c>
      <c r="M162" s="60">
        <f t="shared" si="20"/>
        <v>224.32173443568001</v>
      </c>
      <c r="N16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184.12883214768004</v>
      </c>
      <c r="O162" s="96">
        <v>4.3234228044126111</v>
      </c>
    </row>
    <row r="163" spans="1:15" x14ac:dyDescent="0.2">
      <c r="A163" s="59">
        <f>IF(TableWRMaster[[#This Row],[Player]]&lt;&gt;0,A162+1,A162)</f>
        <v>145</v>
      </c>
      <c r="B163" s="59" t="str">
        <f>PHI!A15</f>
        <v>DeVante Parker</v>
      </c>
      <c r="C163" s="59" t="s">
        <v>117</v>
      </c>
      <c r="D163" s="59">
        <f>PHI!C15</f>
        <v>10</v>
      </c>
      <c r="E163" s="60">
        <f>PHI!J15</f>
        <v>0</v>
      </c>
      <c r="F163" s="60">
        <f>PHI!K15</f>
        <v>0</v>
      </c>
      <c r="G163" s="60">
        <f>PHI!L15</f>
        <v>41.838552000000007</v>
      </c>
      <c r="H163" s="60">
        <f>PHI!M15</f>
        <v>25.186808304000003</v>
      </c>
      <c r="I163" s="60">
        <f>PHI!N15</f>
        <v>321.13180587600004</v>
      </c>
      <c r="J163" s="60">
        <f>PHI!O15</f>
        <v>1.8890106228000001</v>
      </c>
      <c r="K163" s="60">
        <f t="shared" si="18"/>
        <v>43.447244324400003</v>
      </c>
      <c r="L163" s="60">
        <f t="shared" si="19"/>
        <v>56.040648476400008</v>
      </c>
      <c r="M163" s="60">
        <f t="shared" si="20"/>
        <v>68.634052628400013</v>
      </c>
      <c r="N16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56.040648476400008</v>
      </c>
      <c r="O163" s="96">
        <v>0</v>
      </c>
    </row>
    <row r="164" spans="1:15" x14ac:dyDescent="0.2">
      <c r="A164" s="59">
        <f>IF(TableWRMaster[[#This Row],[Player]]&lt;&gt;0,A163+1,A163)</f>
        <v>146</v>
      </c>
      <c r="B164" s="59" t="str">
        <f>PHI!A16</f>
        <v>Parris Campbell</v>
      </c>
      <c r="C164" s="59" t="s">
        <v>117</v>
      </c>
      <c r="D164" s="59">
        <f>PHI!C16</f>
        <v>10</v>
      </c>
      <c r="E164" s="60">
        <f>PHI!J16</f>
        <v>0</v>
      </c>
      <c r="F164" s="60">
        <f>PHI!K16</f>
        <v>0</v>
      </c>
      <c r="G164" s="60">
        <f>PHI!L16</f>
        <v>13.946184000000002</v>
      </c>
      <c r="H164" s="60">
        <f>PHI!M16</f>
        <v>8.9813424960000017</v>
      </c>
      <c r="I164" s="60">
        <f>PHI!N16</f>
        <v>87.657902760960013</v>
      </c>
      <c r="J164" s="60">
        <f>PHI!O16</f>
        <v>0.44906712480000011</v>
      </c>
      <c r="K164" s="60">
        <f t="shared" si="18"/>
        <v>11.460193024896004</v>
      </c>
      <c r="L164" s="60">
        <f t="shared" si="19"/>
        <v>15.950864272896006</v>
      </c>
      <c r="M164" s="60">
        <f t="shared" si="20"/>
        <v>20.441535520896004</v>
      </c>
      <c r="N16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15.950864272896006</v>
      </c>
      <c r="O164" s="96">
        <v>0</v>
      </c>
    </row>
    <row r="165" spans="1:15" x14ac:dyDescent="0.2">
      <c r="A165" s="59">
        <f>IF(TableWRMaster[[#This Row],[Player]]&lt;&gt;0,A164+1,A164)</f>
        <v>147</v>
      </c>
      <c r="B165" s="59" t="str">
        <f>PHI!A17</f>
        <v>Ainias Smith</v>
      </c>
      <c r="C165" s="59" t="s">
        <v>117</v>
      </c>
      <c r="D165" s="59">
        <f>PHI!C17</f>
        <v>10</v>
      </c>
      <c r="E165" s="60">
        <f>PHI!J17</f>
        <v>0</v>
      </c>
      <c r="F165" s="60">
        <f>PHI!K17</f>
        <v>0</v>
      </c>
      <c r="G165" s="60">
        <f>PHI!L17</f>
        <v>8.3677104000000018</v>
      </c>
      <c r="H165" s="60">
        <f>PHI!M17</f>
        <v>5.1461418960000014</v>
      </c>
      <c r="I165" s="60">
        <f>PHI!N17</f>
        <v>55.526871057840012</v>
      </c>
      <c r="J165" s="60">
        <f>PHI!O17</f>
        <v>0.30876851376000009</v>
      </c>
      <c r="K165" s="60">
        <f t="shared" si="18"/>
        <v>7.4052981883440019</v>
      </c>
      <c r="L165" s="60">
        <f t="shared" si="19"/>
        <v>9.9783691363440035</v>
      </c>
      <c r="M165" s="60">
        <f t="shared" si="20"/>
        <v>12.551440084344003</v>
      </c>
      <c r="N16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9.9783691363440035</v>
      </c>
      <c r="O165" s="96">
        <v>0</v>
      </c>
    </row>
    <row r="166" spans="1:15" x14ac:dyDescent="0.2">
      <c r="A166" s="59">
        <f>IF(TableWRMaster[[#This Row],[Player]]&lt;&gt;0,A165+1,A165)</f>
        <v>148</v>
      </c>
      <c r="B166" s="59" t="str">
        <f>PHI!A18</f>
        <v>Johnny Wilson</v>
      </c>
      <c r="C166" s="59" t="s">
        <v>117</v>
      </c>
      <c r="D166" s="59">
        <f>PHI!C18</f>
        <v>10</v>
      </c>
      <c r="E166" s="60">
        <f>PHI!J18</f>
        <v>0</v>
      </c>
      <c r="F166" s="60">
        <f>PHI!K18</f>
        <v>0</v>
      </c>
      <c r="G166" s="60">
        <f>PHI!L18</f>
        <v>8.3677104000000018</v>
      </c>
      <c r="H166" s="60">
        <f>PHI!M18</f>
        <v>4.8616397424000004</v>
      </c>
      <c r="I166" s="60">
        <f>PHI!N18</f>
        <v>65.097356150736005</v>
      </c>
      <c r="J166" s="60">
        <f>PHI!O18</f>
        <v>0.34031478196800008</v>
      </c>
      <c r="K166" s="60">
        <f t="shared" si="18"/>
        <v>8.5516243068815996</v>
      </c>
      <c r="L166" s="60">
        <f t="shared" si="19"/>
        <v>10.9824441780816</v>
      </c>
      <c r="M166" s="60">
        <f t="shared" si="20"/>
        <v>13.413264049281601</v>
      </c>
      <c r="N16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10.9824441780816</v>
      </c>
      <c r="O166" s="96">
        <v>0</v>
      </c>
    </row>
    <row r="167" spans="1:15" x14ac:dyDescent="0.2">
      <c r="A167" s="59">
        <f>IF(TableWRMaster[[#This Row],[Player]]&lt;&gt;0,A166+1,A166)</f>
        <v>149</v>
      </c>
      <c r="B167" s="59" t="str">
        <f>PIT!A13</f>
        <v>George Pickens</v>
      </c>
      <c r="C167" s="59" t="s">
        <v>118</v>
      </c>
      <c r="D167" s="59">
        <f>PIT!C13</f>
        <v>6</v>
      </c>
      <c r="E167" s="60">
        <f>PIT!J13</f>
        <v>0</v>
      </c>
      <c r="F167" s="60">
        <f>PIT!K13</f>
        <v>0</v>
      </c>
      <c r="G167" s="60">
        <f>PIT!L13</f>
        <v>129.37102499999997</v>
      </c>
      <c r="H167" s="60">
        <f>PIT!M13</f>
        <v>78.010728074999989</v>
      </c>
      <c r="I167" s="60">
        <f>PIT!N13</f>
        <v>1126.4749134029998</v>
      </c>
      <c r="J167" s="60">
        <f>PIT!O13</f>
        <v>6.2408582459999993</v>
      </c>
      <c r="K167" s="60">
        <f t="shared" si="18"/>
        <v>150.09264081629999</v>
      </c>
      <c r="L167" s="60">
        <f t="shared" si="19"/>
        <v>189.09800485379998</v>
      </c>
      <c r="M167" s="60">
        <f t="shared" si="20"/>
        <v>228.10336889129997</v>
      </c>
      <c r="N16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189.09800485379998</v>
      </c>
      <c r="O167" s="96">
        <v>22.135822917322109</v>
      </c>
    </row>
    <row r="168" spans="1:15" x14ac:dyDescent="0.2">
      <c r="A168" s="59">
        <f>IF(TableWRMaster[[#This Row],[Player]]&lt;&gt;0,A167+1,A167)</f>
        <v>150</v>
      </c>
      <c r="B168" s="59" t="str">
        <f>PIT!A14</f>
        <v>Roman Wilson</v>
      </c>
      <c r="C168" s="59" t="s">
        <v>118</v>
      </c>
      <c r="D168" s="59">
        <f>PIT!C14</f>
        <v>6</v>
      </c>
      <c r="E168" s="60">
        <f>PIT!J14</f>
        <v>0</v>
      </c>
      <c r="F168" s="60">
        <f>PIT!K14</f>
        <v>0</v>
      </c>
      <c r="G168" s="60">
        <f>PIT!L14</f>
        <v>105.14836500000001</v>
      </c>
      <c r="H168" s="60">
        <f>PIT!M14</f>
        <v>66.453766680000015</v>
      </c>
      <c r="I168" s="60">
        <f>PIT!N14</f>
        <v>820.70401849800021</v>
      </c>
      <c r="J168" s="60">
        <f>PIT!O14</f>
        <v>4.8511249676400006</v>
      </c>
      <c r="K168" s="60">
        <f t="shared" si="18"/>
        <v>111.17715165564002</v>
      </c>
      <c r="L168" s="60">
        <f t="shared" si="19"/>
        <v>144.40403499564002</v>
      </c>
      <c r="M168" s="60">
        <f t="shared" si="20"/>
        <v>177.63091833564005</v>
      </c>
      <c r="N16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144.40403499564002</v>
      </c>
      <c r="O168" s="96">
        <v>17.214001644707764</v>
      </c>
    </row>
    <row r="169" spans="1:15" x14ac:dyDescent="0.2">
      <c r="A169" s="59">
        <f>IF(TableWRMaster[[#This Row],[Player]]&lt;&gt;0,A168+1,A168)</f>
        <v>151</v>
      </c>
      <c r="B169" s="59" t="str">
        <f>PIT!A15</f>
        <v>Van Jefferson</v>
      </c>
      <c r="C169" s="59" t="s">
        <v>118</v>
      </c>
      <c r="D169" s="59">
        <f>PIT!C15</f>
        <v>6</v>
      </c>
      <c r="E169" s="60">
        <f>PIT!J15</f>
        <v>0</v>
      </c>
      <c r="F169" s="60">
        <f>PIT!K15</f>
        <v>0</v>
      </c>
      <c r="G169" s="60">
        <f>PIT!L15</f>
        <v>63.859740000000002</v>
      </c>
      <c r="H169" s="60">
        <f>PIT!M15</f>
        <v>35.250576480000007</v>
      </c>
      <c r="I169" s="60">
        <f>PIT!N15</f>
        <v>482.22788624640009</v>
      </c>
      <c r="J169" s="60">
        <f>PIT!O15</f>
        <v>2.7847955419200003</v>
      </c>
      <c r="K169" s="60">
        <f t="shared" si="18"/>
        <v>64.931561876160004</v>
      </c>
      <c r="L169" s="60">
        <f t="shared" si="19"/>
        <v>82.556850116160007</v>
      </c>
      <c r="M169" s="60">
        <f t="shared" si="20"/>
        <v>100.18213835616001</v>
      </c>
      <c r="N16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82.556850116160007</v>
      </c>
      <c r="O169" s="96">
        <v>17.136851372552155</v>
      </c>
    </row>
    <row r="170" spans="1:15" x14ac:dyDescent="0.2">
      <c r="A170" s="59">
        <f>IF(TableWRMaster[[#This Row],[Player]]&lt;&gt;0,A169+1,A169)</f>
        <v>152</v>
      </c>
      <c r="B170" s="59" t="str">
        <f>PIT!A16</f>
        <v>Calvin Austin</v>
      </c>
      <c r="C170" s="59" t="s">
        <v>118</v>
      </c>
      <c r="D170" s="59">
        <f>PIT!C16</f>
        <v>6</v>
      </c>
      <c r="E170" s="60">
        <f>PIT!J16</f>
        <v>0</v>
      </c>
      <c r="F170" s="60">
        <f>PIT!K16</f>
        <v>0</v>
      </c>
      <c r="G170" s="60">
        <f>PIT!L16</f>
        <v>27.525750000000002</v>
      </c>
      <c r="H170" s="60">
        <f>PIT!M16</f>
        <v>16.37782125</v>
      </c>
      <c r="I170" s="60">
        <f>PIT!N16</f>
        <v>168.36400244999999</v>
      </c>
      <c r="J170" s="60">
        <f>PIT!O16</f>
        <v>0.98266927500000001</v>
      </c>
      <c r="K170" s="60">
        <f t="shared" si="18"/>
        <v>22.732415894999999</v>
      </c>
      <c r="L170" s="60">
        <f t="shared" si="19"/>
        <v>30.921326520000001</v>
      </c>
      <c r="M170" s="60">
        <f t="shared" si="20"/>
        <v>39.110237144999999</v>
      </c>
      <c r="N17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30.921326519999997</v>
      </c>
      <c r="O170" s="96">
        <v>0</v>
      </c>
    </row>
    <row r="171" spans="1:15" x14ac:dyDescent="0.2">
      <c r="A171" s="59">
        <f>IF(TableWRMaster[[#This Row],[Player]]&lt;&gt;0,A170+1,A170)</f>
        <v>153</v>
      </c>
      <c r="B171" s="59" t="str">
        <f>PIT!A17</f>
        <v>Quez Watkins</v>
      </c>
      <c r="C171" s="59" t="s">
        <v>118</v>
      </c>
      <c r="D171" s="59">
        <f>PIT!C17</f>
        <v>6</v>
      </c>
      <c r="E171" s="60">
        <f>PIT!J17</f>
        <v>0</v>
      </c>
      <c r="F171" s="60">
        <f>PIT!K17</f>
        <v>0</v>
      </c>
      <c r="G171" s="60">
        <f>PIT!L17</f>
        <v>13.762875000000001</v>
      </c>
      <c r="H171" s="60">
        <f>PIT!M17</f>
        <v>7.9411788750000003</v>
      </c>
      <c r="I171" s="60">
        <f>PIT!N17</f>
        <v>101.329442445</v>
      </c>
      <c r="J171" s="60">
        <f>PIT!O17</f>
        <v>0.47647073249999999</v>
      </c>
      <c r="K171" s="60">
        <f t="shared" si="18"/>
        <v>12.991768639499998</v>
      </c>
      <c r="L171" s="60">
        <f t="shared" si="19"/>
        <v>16.962358076999998</v>
      </c>
      <c r="M171" s="60">
        <f t="shared" si="20"/>
        <v>20.9329475145</v>
      </c>
      <c r="N17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16.962358077000001</v>
      </c>
      <c r="O171" s="96">
        <v>0</v>
      </c>
    </row>
    <row r="172" spans="1:15" x14ac:dyDescent="0.2">
      <c r="A172" s="59">
        <f>IF(TableWRMaster[[#This Row],[Player]]&lt;&gt;0,A171+1,A171)</f>
        <v>153</v>
      </c>
      <c r="B172" s="59">
        <f>PIT!A18</f>
        <v>0</v>
      </c>
      <c r="C172" s="59" t="s">
        <v>118</v>
      </c>
      <c r="D172" s="59">
        <f>PIT!C18</f>
        <v>6</v>
      </c>
      <c r="E172" s="60">
        <f>PIT!J18</f>
        <v>0</v>
      </c>
      <c r="F172" s="60">
        <f>PIT!K18</f>
        <v>0</v>
      </c>
      <c r="G172" s="60">
        <f>PIT!L18</f>
        <v>0</v>
      </c>
      <c r="H172" s="60">
        <f>PIT!M18</f>
        <v>0</v>
      </c>
      <c r="I172" s="60">
        <f>PIT!N18</f>
        <v>0</v>
      </c>
      <c r="J172" s="60">
        <f>PIT!O18</f>
        <v>0</v>
      </c>
      <c r="K172" s="60">
        <f t="shared" si="18"/>
        <v>0</v>
      </c>
      <c r="L172" s="60">
        <f t="shared" si="19"/>
        <v>0</v>
      </c>
      <c r="M172" s="60">
        <f t="shared" si="20"/>
        <v>0</v>
      </c>
      <c r="N17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72" s="96">
        <v>0</v>
      </c>
    </row>
    <row r="173" spans="1:15" x14ac:dyDescent="0.2">
      <c r="A173" s="59">
        <f>IF(TableWRMaster[[#This Row],[Player]]&lt;&gt;0,A172+1,A172)</f>
        <v>154</v>
      </c>
      <c r="B173" s="59" t="str">
        <f>SEA!A13</f>
        <v>DK Metcalf</v>
      </c>
      <c r="C173" s="59" t="s">
        <v>119</v>
      </c>
      <c r="D173" s="59">
        <f>SEA!C13</f>
        <v>5</v>
      </c>
      <c r="E173" s="60">
        <f>SEA!J13</f>
        <v>0</v>
      </c>
      <c r="F173" s="60">
        <f>SEA!K13</f>
        <v>0</v>
      </c>
      <c r="G173" s="60">
        <f>SEA!L13</f>
        <v>121.90130819999997</v>
      </c>
      <c r="H173" s="60">
        <f>SEA!M13</f>
        <v>72.409377070799977</v>
      </c>
      <c r="I173" s="60">
        <f>SEA!N13</f>
        <v>1124.5176259095235</v>
      </c>
      <c r="J173" s="60">
        <f>SEA!O13</f>
        <v>8.5443064943543963</v>
      </c>
      <c r="K173" s="60">
        <f t="shared" si="18"/>
        <v>163.71760155707875</v>
      </c>
      <c r="L173" s="60">
        <f t="shared" ref="L173:L203" si="21">K173+(H173*0.5)</f>
        <v>199.92229009247873</v>
      </c>
      <c r="M173" s="60">
        <f t="shared" ref="M173:M203" si="22">K173+H173</f>
        <v>236.12697862787871</v>
      </c>
      <c r="N17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199.92229009247873</v>
      </c>
      <c r="O173" s="96">
        <v>31.727876732978672</v>
      </c>
    </row>
    <row r="174" spans="1:15" x14ac:dyDescent="0.2">
      <c r="A174" s="59">
        <f>IF(TableWRMaster[[#This Row],[Player]]&lt;&gt;0,A173+1,A173)</f>
        <v>155</v>
      </c>
      <c r="B174" s="59" t="str">
        <f>SEA!A14</f>
        <v>Tyler Lockett</v>
      </c>
      <c r="C174" s="59" t="s">
        <v>119</v>
      </c>
      <c r="D174" s="59">
        <f>SEA!C14</f>
        <v>5</v>
      </c>
      <c r="E174" s="60">
        <f>SEA!J14</f>
        <v>0</v>
      </c>
      <c r="F174" s="60">
        <f>SEA!K14</f>
        <v>0</v>
      </c>
      <c r="G174" s="60">
        <f>SEA!L14</f>
        <v>110.29165979999999</v>
      </c>
      <c r="H174" s="60">
        <f>SEA!M14</f>
        <v>71.910162189600001</v>
      </c>
      <c r="I174" s="60">
        <f>SEA!N14</f>
        <v>826.96686518039996</v>
      </c>
      <c r="J174" s="60">
        <f>SEA!O14</f>
        <v>5.1056215154615998</v>
      </c>
      <c r="K174" s="60">
        <f t="shared" si="18"/>
        <v>113.3304156108096</v>
      </c>
      <c r="L174" s="60">
        <f t="shared" si="21"/>
        <v>149.2854967056096</v>
      </c>
      <c r="M174" s="60">
        <f t="shared" si="22"/>
        <v>185.2405778004096</v>
      </c>
      <c r="N17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149.2854967056096</v>
      </c>
      <c r="O174" s="96">
        <v>21.416504209580044</v>
      </c>
    </row>
    <row r="175" spans="1:15" x14ac:dyDescent="0.2">
      <c r="A175" s="59">
        <f>IF(TableWRMaster[[#This Row],[Player]]&lt;&gt;0,A174+1,A174)</f>
        <v>156</v>
      </c>
      <c r="B175" s="59" t="str">
        <f>SEA!A15</f>
        <v>Jaxon Smith-Njigba</v>
      </c>
      <c r="C175" s="59" t="s">
        <v>119</v>
      </c>
      <c r="D175" s="59">
        <f>SEA!C15</f>
        <v>5</v>
      </c>
      <c r="E175" s="60">
        <f>SEA!J15</f>
        <v>0</v>
      </c>
      <c r="F175" s="60">
        <f>SEA!K15</f>
        <v>0</v>
      </c>
      <c r="G175" s="60">
        <f>SEA!L15</f>
        <v>116.09648399999999</v>
      </c>
      <c r="H175" s="60">
        <f>SEA!M15</f>
        <v>77.088065376000003</v>
      </c>
      <c r="I175" s="60">
        <f>SEA!N15</f>
        <v>878.80394528640011</v>
      </c>
      <c r="J175" s="60">
        <f>SEA!O15</f>
        <v>5.5503407070719994</v>
      </c>
      <c r="K175" s="60">
        <f t="shared" si="18"/>
        <v>121.18243877107201</v>
      </c>
      <c r="L175" s="60">
        <f t="shared" si="21"/>
        <v>159.726471459072</v>
      </c>
      <c r="M175" s="60">
        <f t="shared" si="22"/>
        <v>198.27050414707202</v>
      </c>
      <c r="N17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159.726471459072</v>
      </c>
      <c r="O175" s="96">
        <v>0</v>
      </c>
    </row>
    <row r="176" spans="1:15" x14ac:dyDescent="0.2">
      <c r="A176" s="59">
        <f>IF(TableWRMaster[[#This Row],[Player]]&lt;&gt;0,A175+1,A175)</f>
        <v>157</v>
      </c>
      <c r="B176" s="59" t="str">
        <f>SEA!A16</f>
        <v>Jake Bobo</v>
      </c>
      <c r="C176" s="59" t="s">
        <v>119</v>
      </c>
      <c r="D176" s="59">
        <f>SEA!C16</f>
        <v>5</v>
      </c>
      <c r="E176" s="60">
        <f>SEA!J16</f>
        <v>0</v>
      </c>
      <c r="F176" s="60">
        <f>SEA!K16</f>
        <v>0</v>
      </c>
      <c r="G176" s="60">
        <f>SEA!L16</f>
        <v>29.024120999999997</v>
      </c>
      <c r="H176" s="60">
        <f>SEA!M16</f>
        <v>19.097871617999999</v>
      </c>
      <c r="I176" s="60">
        <f>SEA!N16</f>
        <v>207.02092833911999</v>
      </c>
      <c r="J176" s="60">
        <f>SEA!O16</f>
        <v>1.33685101326</v>
      </c>
      <c r="K176" s="60">
        <f t="shared" si="18"/>
        <v>28.723198913471997</v>
      </c>
      <c r="L176" s="60">
        <f t="shared" si="21"/>
        <v>38.272134722471996</v>
      </c>
      <c r="M176" s="60">
        <f t="shared" si="22"/>
        <v>47.821070531471996</v>
      </c>
      <c r="N17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38.272134722472003</v>
      </c>
      <c r="O176" s="96">
        <v>0</v>
      </c>
    </row>
    <row r="177" spans="1:15" x14ac:dyDescent="0.2">
      <c r="A177" s="59">
        <f>IF(TableWRMaster[[#This Row],[Player]]&lt;&gt;0,A176+1,A176)</f>
        <v>158</v>
      </c>
      <c r="B177" s="59" t="str">
        <f>SEA!A17</f>
        <v>Laviska Shenault</v>
      </c>
      <c r="C177" s="59" t="s">
        <v>119</v>
      </c>
      <c r="D177" s="59">
        <f>SEA!C17</f>
        <v>5</v>
      </c>
      <c r="E177" s="60">
        <f>SEA!J17</f>
        <v>0</v>
      </c>
      <c r="F177" s="60">
        <f>SEA!K17</f>
        <v>0</v>
      </c>
      <c r="G177" s="60">
        <f>SEA!L17</f>
        <v>17.414472599999996</v>
      </c>
      <c r="H177" s="60">
        <f>SEA!M17</f>
        <v>11.998571621399996</v>
      </c>
      <c r="I177" s="60">
        <f>SEA!N17</f>
        <v>116.98607330864996</v>
      </c>
      <c r="J177" s="60">
        <f>SEA!O17</f>
        <v>0.7199142972839998</v>
      </c>
      <c r="K177" s="60">
        <f t="shared" si="18"/>
        <v>16.018093114568995</v>
      </c>
      <c r="L177" s="60">
        <f t="shared" si="21"/>
        <v>22.017378925268993</v>
      </c>
      <c r="M177" s="60">
        <f t="shared" si="22"/>
        <v>28.016664735968991</v>
      </c>
      <c r="N17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22.017378925268996</v>
      </c>
      <c r="O177" s="96">
        <v>0</v>
      </c>
    </row>
    <row r="178" spans="1:15" x14ac:dyDescent="0.2">
      <c r="A178" s="59">
        <f>IF(TableWRMaster[[#This Row],[Player]]&lt;&gt;0,A177+1,A177)</f>
        <v>159</v>
      </c>
      <c r="B178" s="59" t="str">
        <f>SF!A13</f>
        <v>Deebo Samuel</v>
      </c>
      <c r="C178" s="59" t="s">
        <v>120</v>
      </c>
      <c r="D178" s="59">
        <f>SF!C13</f>
        <v>9</v>
      </c>
      <c r="E178" s="60">
        <f>SF!J13</f>
        <v>281.323000476</v>
      </c>
      <c r="F178" s="60">
        <f>SF!K13</f>
        <v>5.3104653755999998</v>
      </c>
      <c r="G178" s="60">
        <f>SF!L13</f>
        <v>101.18145239999998</v>
      </c>
      <c r="H178" s="60">
        <f>SF!M13</f>
        <v>67.892754560399993</v>
      </c>
      <c r="I178" s="60">
        <f>SF!N13</f>
        <v>967.47175248569988</v>
      </c>
      <c r="J178" s="60">
        <f>SF!O13</f>
        <v>6.1103479104359995</v>
      </c>
      <c r="K178" s="60">
        <f t="shared" si="18"/>
        <v>193.40435501238599</v>
      </c>
      <c r="L178" s="60">
        <f t="shared" si="21"/>
        <v>227.35073229258597</v>
      </c>
      <c r="M178" s="60">
        <f t="shared" si="22"/>
        <v>261.29710957278598</v>
      </c>
      <c r="N17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227.35073229258597</v>
      </c>
      <c r="O178" s="96">
        <v>15.964560639789411</v>
      </c>
    </row>
    <row r="179" spans="1:15" x14ac:dyDescent="0.2">
      <c r="A179" s="59">
        <f>IF(TableWRMaster[[#This Row],[Player]]&lt;&gt;0,A178+1,A178)</f>
        <v>160</v>
      </c>
      <c r="B179" s="59" t="str">
        <f>SF!A14</f>
        <v>Brandon Aiyuk</v>
      </c>
      <c r="C179" s="59" t="s">
        <v>120</v>
      </c>
      <c r="D179" s="59">
        <f>SF!C14</f>
        <v>9</v>
      </c>
      <c r="E179" s="60">
        <f>SF!J14</f>
        <v>0</v>
      </c>
      <c r="F179" s="60">
        <f>SF!K14</f>
        <v>0</v>
      </c>
      <c r="G179" s="60">
        <f>SF!L14</f>
        <v>117.15747119999997</v>
      </c>
      <c r="H179" s="60">
        <f>SF!M14</f>
        <v>79.66708041599999</v>
      </c>
      <c r="I179" s="60">
        <f>SF!N14</f>
        <v>1198.1928894566397</v>
      </c>
      <c r="J179" s="60">
        <f>SF!O14</f>
        <v>8.3650434436799994</v>
      </c>
      <c r="K179" s="60">
        <f t="shared" si="18"/>
        <v>170.00954960774396</v>
      </c>
      <c r="L179" s="60">
        <f t="shared" si="21"/>
        <v>209.84308981574395</v>
      </c>
      <c r="M179" s="60">
        <f t="shared" si="22"/>
        <v>249.67663002374394</v>
      </c>
      <c r="N17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209.84308981574395</v>
      </c>
      <c r="O179" s="96">
        <v>13.457984816052479</v>
      </c>
    </row>
    <row r="180" spans="1:15" x14ac:dyDescent="0.2">
      <c r="A180" s="59">
        <f>IF(TableWRMaster[[#This Row],[Player]]&lt;&gt;0,A179+1,A179)</f>
        <v>161</v>
      </c>
      <c r="B180" s="59" t="str">
        <f>SF!A15</f>
        <v>Ricky Pearsall</v>
      </c>
      <c r="C180" s="59" t="s">
        <v>120</v>
      </c>
      <c r="D180" s="59">
        <f>SF!C15</f>
        <v>9</v>
      </c>
      <c r="E180" s="60">
        <f>SF!J15</f>
        <v>0</v>
      </c>
      <c r="F180" s="60">
        <f>SF!K15</f>
        <v>0</v>
      </c>
      <c r="G180" s="60">
        <f>SF!L15</f>
        <v>42.602716799999996</v>
      </c>
      <c r="H180" s="60">
        <f>SF!M15</f>
        <v>27.521355052799997</v>
      </c>
      <c r="I180" s="60">
        <f>SF!N15</f>
        <v>356.12633438323195</v>
      </c>
      <c r="J180" s="60">
        <f>SF!O15</f>
        <v>2.3393151794880001</v>
      </c>
      <c r="K180" s="60">
        <f t="shared" si="18"/>
        <v>49.648524515251196</v>
      </c>
      <c r="L180" s="60">
        <f t="shared" si="21"/>
        <v>63.409202041651199</v>
      </c>
      <c r="M180" s="60">
        <f t="shared" si="22"/>
        <v>77.169879568051186</v>
      </c>
      <c r="N18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63.409202041651184</v>
      </c>
      <c r="O180" s="96">
        <v>0</v>
      </c>
    </row>
    <row r="181" spans="1:15" x14ac:dyDescent="0.2">
      <c r="A181" s="59">
        <f>IF(TableWRMaster[[#This Row],[Player]]&lt;&gt;0,A180+1,A180)</f>
        <v>162</v>
      </c>
      <c r="B181" s="59" t="str">
        <f>SF!A16</f>
        <v>Jauan Jennings</v>
      </c>
      <c r="C181" s="59" t="s">
        <v>120</v>
      </c>
      <c r="D181" s="59">
        <f>SF!C16</f>
        <v>9</v>
      </c>
      <c r="E181" s="60">
        <f>SF!J16</f>
        <v>0</v>
      </c>
      <c r="F181" s="60">
        <f>SF!K16</f>
        <v>0</v>
      </c>
      <c r="G181" s="60">
        <f>SF!L16</f>
        <v>21.301358399999998</v>
      </c>
      <c r="H181" s="60">
        <f>SF!M16</f>
        <v>13.228143566399998</v>
      </c>
      <c r="I181" s="60">
        <f>SF!N16</f>
        <v>166.41004606531197</v>
      </c>
      <c r="J181" s="60">
        <f>SF!O16</f>
        <v>0.99211076747999982</v>
      </c>
      <c r="K181" s="60">
        <f t="shared" si="18"/>
        <v>22.593669211411196</v>
      </c>
      <c r="L181" s="60">
        <f t="shared" si="21"/>
        <v>29.207740994611196</v>
      </c>
      <c r="M181" s="60">
        <f t="shared" si="22"/>
        <v>35.821812777811196</v>
      </c>
      <c r="N18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29.207740994611196</v>
      </c>
      <c r="O181" s="96">
        <v>0</v>
      </c>
    </row>
    <row r="182" spans="1:15" x14ac:dyDescent="0.2">
      <c r="A182" s="59">
        <f>IF(TableWRMaster[[#This Row],[Player]]&lt;&gt;0,A181+1,A181)</f>
        <v>163</v>
      </c>
      <c r="B182" s="59" t="str">
        <f>SF!A17</f>
        <v>Ronnie Bell</v>
      </c>
      <c r="C182" s="59" t="s">
        <v>120</v>
      </c>
      <c r="D182" s="59">
        <f>SF!C17</f>
        <v>9</v>
      </c>
      <c r="E182" s="60">
        <f>SF!J17</f>
        <v>0</v>
      </c>
      <c r="F182" s="60">
        <f>SF!K17</f>
        <v>0</v>
      </c>
      <c r="G182" s="60">
        <f>SF!L17</f>
        <v>10.650679199999999</v>
      </c>
      <c r="H182" s="60">
        <f>SF!M17</f>
        <v>6.8057840087999999</v>
      </c>
      <c r="I182" s="60">
        <f>SF!N17</f>
        <v>82.554160026744</v>
      </c>
      <c r="J182" s="60">
        <f>SF!O17</f>
        <v>0.47640488061600006</v>
      </c>
      <c r="K182" s="60">
        <f t="shared" si="18"/>
        <v>11.113845286370399</v>
      </c>
      <c r="L182" s="60">
        <f t="shared" si="21"/>
        <v>14.516737290770399</v>
      </c>
      <c r="M182" s="60">
        <f t="shared" si="22"/>
        <v>17.919629295170399</v>
      </c>
      <c r="N18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14.516737290770401</v>
      </c>
      <c r="O182" s="96">
        <v>0</v>
      </c>
    </row>
    <row r="183" spans="1:15" x14ac:dyDescent="0.2">
      <c r="A183" s="59">
        <f>IF(TableWRMaster[[#This Row],[Player]]&lt;&gt;0,A182+1,A182)</f>
        <v>164</v>
      </c>
      <c r="B183" s="59" t="str">
        <f>SF!A18</f>
        <v>Danny Gray</v>
      </c>
      <c r="C183" s="59" t="s">
        <v>120</v>
      </c>
      <c r="D183" s="59">
        <f>SF!C18</f>
        <v>9</v>
      </c>
      <c r="E183" s="60">
        <f>SF!J18</f>
        <v>0</v>
      </c>
      <c r="F183" s="60">
        <f>SF!K18</f>
        <v>0</v>
      </c>
      <c r="G183" s="60">
        <f>SF!L18</f>
        <v>5.3253395999999995</v>
      </c>
      <c r="H183" s="60">
        <f>SF!M18</f>
        <v>3.3389879291999995</v>
      </c>
      <c r="I183" s="60">
        <f>SF!N18</f>
        <v>54.258553849499989</v>
      </c>
      <c r="J183" s="60">
        <f>SF!O18</f>
        <v>0.25042409468999993</v>
      </c>
      <c r="K183" s="60">
        <f t="shared" si="18"/>
        <v>6.9283999530899987</v>
      </c>
      <c r="L183" s="60">
        <f t="shared" si="21"/>
        <v>8.5978939176899978</v>
      </c>
      <c r="M183" s="60">
        <f t="shared" si="22"/>
        <v>10.267387882289999</v>
      </c>
      <c r="N18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8.5978939176899996</v>
      </c>
      <c r="O183" s="96">
        <v>0</v>
      </c>
    </row>
    <row r="184" spans="1:15" x14ac:dyDescent="0.2">
      <c r="A184" s="59">
        <f>IF(TableWRMaster[[#This Row],[Player]]&lt;&gt;0,A183+1,A183)</f>
        <v>165</v>
      </c>
      <c r="B184" s="59" t="str">
        <f>TB!A13</f>
        <v>Mike Evans</v>
      </c>
      <c r="C184" s="59" t="s">
        <v>121</v>
      </c>
      <c r="D184" s="59">
        <f>TB!C13</f>
        <v>5</v>
      </c>
      <c r="E184" s="60">
        <f>TB!J13</f>
        <v>0</v>
      </c>
      <c r="F184" s="60">
        <f>TB!K13</f>
        <v>0</v>
      </c>
      <c r="G184" s="60">
        <f>TB!L13</f>
        <v>130.47120239999998</v>
      </c>
      <c r="H184" s="60">
        <f>TB!M13</f>
        <v>76.195182201599991</v>
      </c>
      <c r="I184" s="60">
        <f>TB!N13</f>
        <v>1156.6428658202879</v>
      </c>
      <c r="J184" s="60">
        <f>TB!O13</f>
        <v>9.5243977751999989</v>
      </c>
      <c r="K184" s="60">
        <f t="shared" si="18"/>
        <v>172.81067323322878</v>
      </c>
      <c r="L184" s="60">
        <f t="shared" si="21"/>
        <v>210.90826433402879</v>
      </c>
      <c r="M184" s="60">
        <f t="shared" si="22"/>
        <v>249.00585543482879</v>
      </c>
      <c r="N18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210.90826433402879</v>
      </c>
      <c r="O184" s="96">
        <v>23.51121327206225</v>
      </c>
    </row>
    <row r="185" spans="1:15" x14ac:dyDescent="0.2">
      <c r="A185" s="59">
        <f>IF(TableWRMaster[[#This Row],[Player]]&lt;&gt;0,A184+1,A184)</f>
        <v>166</v>
      </c>
      <c r="B185" s="59" t="str">
        <f>TB!A14</f>
        <v>Chris Godwin</v>
      </c>
      <c r="C185" s="59" t="s">
        <v>121</v>
      </c>
      <c r="D185" s="59">
        <f>TB!C14</f>
        <v>5</v>
      </c>
      <c r="E185" s="60">
        <f>TB!J14</f>
        <v>21.251872907999999</v>
      </c>
      <c r="F185" s="60">
        <f>TB!K14</f>
        <v>0.1018053792</v>
      </c>
      <c r="G185" s="60">
        <f>TB!L14</f>
        <v>124.54069319999999</v>
      </c>
      <c r="H185" s="60">
        <f>TB!M14</f>
        <v>79.706043647999991</v>
      </c>
      <c r="I185" s="60">
        <f>TB!N14</f>
        <v>991.5431829811198</v>
      </c>
      <c r="J185" s="60">
        <f>TB!O14</f>
        <v>5.1808928371199992</v>
      </c>
      <c r="K185" s="60">
        <f t="shared" si="18"/>
        <v>132.97569488683197</v>
      </c>
      <c r="L185" s="60">
        <f t="shared" si="21"/>
        <v>172.82871671083197</v>
      </c>
      <c r="M185" s="60">
        <f t="shared" si="22"/>
        <v>212.68173853483196</v>
      </c>
      <c r="N18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172.82871671083197</v>
      </c>
      <c r="O185" s="96">
        <v>19.275373656319033</v>
      </c>
    </row>
    <row r="186" spans="1:15" x14ac:dyDescent="0.2">
      <c r="A186" s="59">
        <f>IF(TableWRMaster[[#This Row],[Player]]&lt;&gt;0,A185+1,A185)</f>
        <v>167</v>
      </c>
      <c r="B186" s="59" t="str">
        <f>TB!A15</f>
        <v>Trey Palmer</v>
      </c>
      <c r="C186" s="59" t="s">
        <v>121</v>
      </c>
      <c r="D186" s="59">
        <f>TB!C15</f>
        <v>5</v>
      </c>
      <c r="E186" s="60">
        <f>TB!J15</f>
        <v>24.730223364</v>
      </c>
      <c r="F186" s="60">
        <f>TB!K15</f>
        <v>0.1866431952</v>
      </c>
      <c r="G186" s="60">
        <f>TB!L15</f>
        <v>56.3398374</v>
      </c>
      <c r="H186" s="60">
        <f>TB!M15</f>
        <v>33.184164228599997</v>
      </c>
      <c r="I186" s="60">
        <f>TB!N15</f>
        <v>426.08466869522397</v>
      </c>
      <c r="J186" s="60">
        <f>TB!O15</f>
        <v>2.3228914960020002</v>
      </c>
      <c r="K186" s="60">
        <f t="shared" si="18"/>
        <v>60.13869735313439</v>
      </c>
      <c r="L186" s="60">
        <f t="shared" si="21"/>
        <v>76.730779467434388</v>
      </c>
      <c r="M186" s="60">
        <f t="shared" si="22"/>
        <v>93.322861581734387</v>
      </c>
      <c r="N18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76.730779467434402</v>
      </c>
      <c r="O186" s="96">
        <v>4.1742584762918025</v>
      </c>
    </row>
    <row r="187" spans="1:15" x14ac:dyDescent="0.2">
      <c r="A187" s="59">
        <f>IF(TableWRMaster[[#This Row],[Player]]&lt;&gt;0,A186+1,A186)</f>
        <v>168</v>
      </c>
      <c r="B187" s="59" t="str">
        <f>TB!A16</f>
        <v>Deven Thompkins</v>
      </c>
      <c r="C187" s="59" t="s">
        <v>121</v>
      </c>
      <c r="D187" s="59">
        <f>TB!C16</f>
        <v>5</v>
      </c>
      <c r="E187" s="60">
        <f>TB!J16</f>
        <v>0</v>
      </c>
      <c r="F187" s="60">
        <f>TB!K16</f>
        <v>0</v>
      </c>
      <c r="G187" s="60">
        <f>TB!L16</f>
        <v>11.861018399999999</v>
      </c>
      <c r="H187" s="60">
        <f>TB!M16</f>
        <v>6.8793906719999987</v>
      </c>
      <c r="I187" s="60">
        <f>TB!N16</f>
        <v>65.560593104159977</v>
      </c>
      <c r="J187" s="60">
        <f>TB!O16</f>
        <v>0.34396953359999993</v>
      </c>
      <c r="K187" s="60">
        <f t="shared" si="18"/>
        <v>8.6198765120159972</v>
      </c>
      <c r="L187" s="60">
        <f t="shared" si="21"/>
        <v>12.059571848015997</v>
      </c>
      <c r="M187" s="60">
        <f t="shared" si="22"/>
        <v>15.499267184015995</v>
      </c>
      <c r="N18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12.059571848015997</v>
      </c>
      <c r="O187" s="96">
        <v>0</v>
      </c>
    </row>
    <row r="188" spans="1:15" x14ac:dyDescent="0.2">
      <c r="A188" s="59">
        <f>IF(TableWRMaster[[#This Row],[Player]]&lt;&gt;0,A187+1,A187)</f>
        <v>169</v>
      </c>
      <c r="B188" s="59" t="str">
        <f>TB!A17</f>
        <v>Jalen McMillan</v>
      </c>
      <c r="C188" s="59" t="s">
        <v>121</v>
      </c>
      <c r="D188" s="59">
        <f>TB!C17</f>
        <v>5</v>
      </c>
      <c r="E188" s="60">
        <f>TB!J17</f>
        <v>0</v>
      </c>
      <c r="F188" s="60">
        <f>TB!K17</f>
        <v>0</v>
      </c>
      <c r="G188" s="60">
        <f>TB!L17</f>
        <v>53.374582799999999</v>
      </c>
      <c r="H188" s="60">
        <f>TB!M17</f>
        <v>32.558495508</v>
      </c>
      <c r="I188" s="60">
        <f>TB!N17</f>
        <v>383.53907708423998</v>
      </c>
      <c r="J188" s="60">
        <f>TB!O17</f>
        <v>2.2790946855600001</v>
      </c>
      <c r="K188" s="60">
        <f t="shared" si="18"/>
        <v>52.028475821783999</v>
      </c>
      <c r="L188" s="60">
        <f t="shared" si="21"/>
        <v>68.307723575783996</v>
      </c>
      <c r="M188" s="60">
        <f t="shared" si="22"/>
        <v>84.586971329784006</v>
      </c>
      <c r="N18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68.307723575783996</v>
      </c>
      <c r="O188" s="96">
        <v>0</v>
      </c>
    </row>
    <row r="189" spans="1:15" x14ac:dyDescent="0.2">
      <c r="A189" s="59">
        <f>IF(TableWRMaster[[#This Row],[Player]]&lt;&gt;0,A188+1,A188)</f>
        <v>169</v>
      </c>
      <c r="B189" s="59">
        <f>TB!A18</f>
        <v>0</v>
      </c>
      <c r="C189" s="59" t="s">
        <v>121</v>
      </c>
      <c r="D189" s="59">
        <f>TB!C18</f>
        <v>5</v>
      </c>
      <c r="E189" s="60">
        <f>TB!J18</f>
        <v>0</v>
      </c>
      <c r="F189" s="60">
        <f>TB!K18</f>
        <v>0</v>
      </c>
      <c r="G189" s="60">
        <f>TB!L18</f>
        <v>0</v>
      </c>
      <c r="H189" s="60">
        <f>TB!M18</f>
        <v>0</v>
      </c>
      <c r="I189" s="60">
        <f>TB!N18</f>
        <v>0</v>
      </c>
      <c r="J189" s="60">
        <f>TB!O18</f>
        <v>0</v>
      </c>
      <c r="K189" s="60">
        <f t="shared" si="18"/>
        <v>0</v>
      </c>
      <c r="L189" s="60">
        <f t="shared" si="21"/>
        <v>0</v>
      </c>
      <c r="M189" s="60">
        <f t="shared" si="22"/>
        <v>0</v>
      </c>
      <c r="N18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89" s="96">
        <v>0</v>
      </c>
    </row>
    <row r="190" spans="1:15" x14ac:dyDescent="0.2">
      <c r="A190" s="59">
        <f>IF(TableWRMaster[[#This Row],[Player]]&lt;&gt;0,A189+1,A189)</f>
        <v>170</v>
      </c>
      <c r="B190" s="59" t="str">
        <f>TEN!A13</f>
        <v>DeAndre Hopkins</v>
      </c>
      <c r="C190" s="59" t="s">
        <v>122</v>
      </c>
      <c r="D190" s="59">
        <f>TEN!C13</f>
        <v>7</v>
      </c>
      <c r="E190" s="60">
        <f>TEN!J13</f>
        <v>0</v>
      </c>
      <c r="F190" s="60">
        <f>TEN!K13</f>
        <v>0</v>
      </c>
      <c r="G190" s="60">
        <f>TEN!L13</f>
        <v>134.89175699999996</v>
      </c>
      <c r="H190" s="60">
        <f>TEN!M13</f>
        <v>78.776786087999966</v>
      </c>
      <c r="I190" s="60">
        <f>TEN!N13</f>
        <v>1035.9147370571995</v>
      </c>
      <c r="J190" s="60">
        <f>TEN!O13</f>
        <v>6.3021428870399978</v>
      </c>
      <c r="K190" s="60">
        <f t="shared" si="18"/>
        <v>141.40433102795993</v>
      </c>
      <c r="L190" s="60">
        <f t="shared" si="21"/>
        <v>180.79272407195992</v>
      </c>
      <c r="M190" s="60">
        <f t="shared" si="22"/>
        <v>220.18111711595989</v>
      </c>
      <c r="N19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180.79272407195992</v>
      </c>
      <c r="O190" s="96">
        <v>28.948651715259452</v>
      </c>
    </row>
    <row r="191" spans="1:15" x14ac:dyDescent="0.2">
      <c r="A191" s="59">
        <f>IF(TableWRMaster[[#This Row],[Player]]&lt;&gt;0,A190+1,A190)</f>
        <v>171</v>
      </c>
      <c r="B191" s="59" t="str">
        <f>TEN!A14</f>
        <v>Calvin Ridley</v>
      </c>
      <c r="C191" s="59" t="s">
        <v>122</v>
      </c>
      <c r="D191" s="59">
        <f>TEN!C14</f>
        <v>7</v>
      </c>
      <c r="E191" s="60">
        <f>TEN!J14</f>
        <v>0</v>
      </c>
      <c r="F191" s="60">
        <f>TEN!K14</f>
        <v>0</v>
      </c>
      <c r="G191" s="60">
        <f>TEN!L14</f>
        <v>117.29717999999997</v>
      </c>
      <c r="H191" s="60">
        <f>TEN!M14</f>
        <v>65.803717979999988</v>
      </c>
      <c r="I191" s="60">
        <f>TEN!N14</f>
        <v>919.93597736039987</v>
      </c>
      <c r="J191" s="60">
        <f>TEN!O14</f>
        <v>4.9352788484999985</v>
      </c>
      <c r="K191" s="60">
        <f t="shared" si="18"/>
        <v>121.60527082703999</v>
      </c>
      <c r="L191" s="60">
        <f t="shared" si="21"/>
        <v>154.50712981703998</v>
      </c>
      <c r="M191" s="60">
        <f t="shared" si="22"/>
        <v>187.40898880703998</v>
      </c>
      <c r="N19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154.50712981703998</v>
      </c>
      <c r="O191" s="96">
        <v>21.847416721339776</v>
      </c>
    </row>
    <row r="192" spans="1:15" x14ac:dyDescent="0.2">
      <c r="A192" s="59">
        <f>IF(TableWRMaster[[#This Row],[Player]]&lt;&gt;0,A191+1,A191)</f>
        <v>172</v>
      </c>
      <c r="B192" s="59" t="str">
        <f>TEN!A15</f>
        <v>Tyler Boyd</v>
      </c>
      <c r="C192" s="59" t="s">
        <v>122</v>
      </c>
      <c r="D192" s="59">
        <f>TEN!C15</f>
        <v>7</v>
      </c>
      <c r="E192" s="60">
        <f>TEN!J15</f>
        <v>0</v>
      </c>
      <c r="F192" s="60">
        <f>TEN!K15</f>
        <v>0</v>
      </c>
      <c r="G192" s="60">
        <f>TEN!L15</f>
        <v>55.716160499999987</v>
      </c>
      <c r="H192" s="60">
        <f>TEN!M15</f>
        <v>34.822600312499993</v>
      </c>
      <c r="I192" s="60">
        <f>TEN!N15</f>
        <v>402.89748561562493</v>
      </c>
      <c r="J192" s="60">
        <f>TEN!O15</f>
        <v>2.1590012193749994</v>
      </c>
      <c r="K192" s="60">
        <f t="shared" si="18"/>
        <v>53.24375587781249</v>
      </c>
      <c r="L192" s="60">
        <f t="shared" si="21"/>
        <v>70.655056034062483</v>
      </c>
      <c r="M192" s="60">
        <f t="shared" si="22"/>
        <v>88.06635619031249</v>
      </c>
      <c r="N19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70.655056034062497</v>
      </c>
      <c r="O192" s="96">
        <v>0</v>
      </c>
    </row>
    <row r="193" spans="1:15" x14ac:dyDescent="0.2">
      <c r="A193" s="59">
        <f>IF(TableWRMaster[[#This Row],[Player]]&lt;&gt;0,A192+1,A192)</f>
        <v>173</v>
      </c>
      <c r="B193" s="59" t="str">
        <f>TEN!A16</f>
        <v>Treylon Burks</v>
      </c>
      <c r="C193" s="59" t="s">
        <v>122</v>
      </c>
      <c r="D193" s="59">
        <f>TEN!C16</f>
        <v>7</v>
      </c>
      <c r="E193" s="60">
        <f>TEN!J16</f>
        <v>0</v>
      </c>
      <c r="F193" s="60">
        <f>TEN!K16</f>
        <v>0</v>
      </c>
      <c r="G193" s="60">
        <f>TEN!L16</f>
        <v>23.459435999999993</v>
      </c>
      <c r="H193" s="60">
        <f>TEN!M16</f>
        <v>13.723770059999994</v>
      </c>
      <c r="I193" s="60">
        <f>TEN!N16</f>
        <v>187.32946131899993</v>
      </c>
      <c r="J193" s="60">
        <f>TEN!O16</f>
        <v>1.0292827544999996</v>
      </c>
      <c r="K193" s="60">
        <f t="shared" si="18"/>
        <v>24.908642658899993</v>
      </c>
      <c r="L193" s="60">
        <f t="shared" si="21"/>
        <v>31.770527688899989</v>
      </c>
      <c r="M193" s="60">
        <f t="shared" si="22"/>
        <v>38.632412718899985</v>
      </c>
      <c r="N19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31.770527688899989</v>
      </c>
      <c r="O193" s="96">
        <v>0</v>
      </c>
    </row>
    <row r="194" spans="1:15" x14ac:dyDescent="0.2">
      <c r="A194" s="59">
        <f>IF(TableWRMaster[[#This Row],[Player]]&lt;&gt;0,A193+1,A193)</f>
        <v>174</v>
      </c>
      <c r="B194" s="59" t="str">
        <f>TEN!A17</f>
        <v>Nick Westbrook-Ikhine</v>
      </c>
      <c r="C194" s="59" t="s">
        <v>122</v>
      </c>
      <c r="D194" s="59">
        <f>TEN!C17</f>
        <v>7</v>
      </c>
      <c r="E194" s="60">
        <f>TEN!J17</f>
        <v>0</v>
      </c>
      <c r="F194" s="60">
        <f>TEN!K17</f>
        <v>0</v>
      </c>
      <c r="G194" s="60">
        <f>TEN!L17</f>
        <v>17.594576999999994</v>
      </c>
      <c r="H194" s="60">
        <f>TEN!M17</f>
        <v>10.468773314999996</v>
      </c>
      <c r="I194" s="60">
        <f>TEN!N17</f>
        <v>109.92211980749997</v>
      </c>
      <c r="J194" s="60">
        <f>TEN!O17</f>
        <v>0.52343866574999987</v>
      </c>
      <c r="K194" s="60">
        <f t="shared" ref="K194:K203" si="23">(E194/10)+(F194*6)+(I194/10)+(J194*6)</f>
        <v>14.132843975249996</v>
      </c>
      <c r="L194" s="60">
        <f t="shared" si="21"/>
        <v>19.367230632749994</v>
      </c>
      <c r="M194" s="60">
        <f t="shared" si="22"/>
        <v>24.60161729024999</v>
      </c>
      <c r="N19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19.367230632749994</v>
      </c>
      <c r="O194" s="96">
        <v>0</v>
      </c>
    </row>
    <row r="195" spans="1:15" x14ac:dyDescent="0.2">
      <c r="A195" s="59">
        <f>IF(TableWRMaster[[#This Row],[Player]]&lt;&gt;0,A194+1,A194)</f>
        <v>175</v>
      </c>
      <c r="B195" s="59" t="str">
        <f>TEN!A18</f>
        <v>Kyle Philips</v>
      </c>
      <c r="C195" s="59" t="s">
        <v>122</v>
      </c>
      <c r="D195" s="59">
        <f>TEN!C18</f>
        <v>7</v>
      </c>
      <c r="E195" s="60">
        <f>TEN!J18</f>
        <v>0</v>
      </c>
      <c r="F195" s="60">
        <f>TEN!K18</f>
        <v>0</v>
      </c>
      <c r="G195" s="60">
        <f>TEN!L18</f>
        <v>14.662147499999996</v>
      </c>
      <c r="H195" s="60">
        <f>TEN!M18</f>
        <v>9.0465450074999971</v>
      </c>
      <c r="I195" s="60">
        <f>TEN!N18</f>
        <v>104.39712938654996</v>
      </c>
      <c r="J195" s="60">
        <f>TEN!O18</f>
        <v>0.45232725037499988</v>
      </c>
      <c r="K195" s="60">
        <f t="shared" si="23"/>
        <v>13.153676440904995</v>
      </c>
      <c r="L195" s="60">
        <f t="shared" si="21"/>
        <v>17.676948944654995</v>
      </c>
      <c r="M195" s="60">
        <f t="shared" si="22"/>
        <v>22.200221448404992</v>
      </c>
      <c r="N19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17.676948944654995</v>
      </c>
      <c r="O195" s="96">
        <v>0</v>
      </c>
    </row>
    <row r="196" spans="1:15" x14ac:dyDescent="0.2">
      <c r="A196" s="59">
        <f>IF(TableWRMaster[[#This Row],[Player]]&lt;&gt;0,A195+1,A195)</f>
        <v>176</v>
      </c>
      <c r="B196" s="59" t="str">
        <f>TEN!A19</f>
        <v>Jha'Quan Jackson</v>
      </c>
      <c r="C196" s="59" t="s">
        <v>122</v>
      </c>
      <c r="D196" s="59">
        <f>TEN!C19</f>
        <v>7</v>
      </c>
      <c r="E196" s="60">
        <f>TEN!J19</f>
        <v>0</v>
      </c>
      <c r="F196" s="60">
        <f>TEN!K19</f>
        <v>0</v>
      </c>
      <c r="G196" s="60">
        <f>TEN!L19</f>
        <v>8.797288499999997</v>
      </c>
      <c r="H196" s="60">
        <f>TEN!M19</f>
        <v>5.0936300414999982</v>
      </c>
      <c r="I196" s="60">
        <f>TEN!N19</f>
        <v>56.029930456499983</v>
      </c>
      <c r="J196" s="60">
        <f>TEN!O19</f>
        <v>0.28014965228249988</v>
      </c>
      <c r="K196" s="60">
        <f t="shared" si="23"/>
        <v>7.2838909593449976</v>
      </c>
      <c r="L196" s="60">
        <f t="shared" si="21"/>
        <v>9.8307059800949972</v>
      </c>
      <c r="M196" s="60">
        <f t="shared" si="22"/>
        <v>12.377521000844997</v>
      </c>
      <c r="N19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9.8307059800949972</v>
      </c>
      <c r="O196" s="96">
        <v>0</v>
      </c>
    </row>
    <row r="197" spans="1:15" x14ac:dyDescent="0.2">
      <c r="A197" s="59">
        <f>IF(TableWRMaster[[#This Row],[Player]]&lt;&gt;0,A196+1,A196)</f>
        <v>177</v>
      </c>
      <c r="B197" s="59" t="str">
        <f>WSH!A13</f>
        <v>Terry McLaurin</v>
      </c>
      <c r="C197" s="59" t="s">
        <v>125</v>
      </c>
      <c r="D197" s="59">
        <f>WSH!C13</f>
        <v>14</v>
      </c>
      <c r="E197" s="60">
        <f>WSH!J13</f>
        <v>0</v>
      </c>
      <c r="F197" s="60">
        <f>WSH!K13</f>
        <v>0</v>
      </c>
      <c r="G197" s="60">
        <f>WSH!L13</f>
        <v>127.0383947</v>
      </c>
      <c r="H197" s="60">
        <f>WSH!M13</f>
        <v>78.128612740500003</v>
      </c>
      <c r="I197" s="60">
        <f>WSH!N13</f>
        <v>1062.5491332708</v>
      </c>
      <c r="J197" s="60">
        <f>WSH!O13</f>
        <v>4.6095881516894996</v>
      </c>
      <c r="K197" s="60">
        <f t="shared" si="23"/>
        <v>133.91244223721699</v>
      </c>
      <c r="L197" s="60">
        <f t="shared" si="21"/>
        <v>172.97674860746699</v>
      </c>
      <c r="M197" s="60">
        <f t="shared" si="22"/>
        <v>212.04105497771701</v>
      </c>
      <c r="N19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172.97674860746699</v>
      </c>
      <c r="O197" s="96">
        <v>22.911193602736972</v>
      </c>
    </row>
    <row r="198" spans="1:15" x14ac:dyDescent="0.2">
      <c r="A198" s="59">
        <f>IF(TableWRMaster[[#This Row],[Player]]&lt;&gt;0,A197+1,A197)</f>
        <v>178</v>
      </c>
      <c r="B198" s="59" t="str">
        <f>WSH!A14</f>
        <v>Jahan Dotson</v>
      </c>
      <c r="C198" s="59" t="s">
        <v>125</v>
      </c>
      <c r="D198" s="59">
        <f>WSH!C14</f>
        <v>14</v>
      </c>
      <c r="E198" s="60">
        <f>WSH!J14</f>
        <v>29.7101504</v>
      </c>
      <c r="F198" s="60">
        <f>WSH!K14</f>
        <v>0.28317487099999999</v>
      </c>
      <c r="G198" s="60">
        <f>WSH!L14</f>
        <v>105.96027539999999</v>
      </c>
      <c r="H198" s="60">
        <f>WSH!M14</f>
        <v>62.198681659799988</v>
      </c>
      <c r="I198" s="60">
        <f>WSH!N14</f>
        <v>779.34948119729381</v>
      </c>
      <c r="J198" s="60">
        <f>WSH!O14</f>
        <v>4.3539077161859998</v>
      </c>
      <c r="K198" s="60">
        <f t="shared" si="23"/>
        <v>108.72845868284537</v>
      </c>
      <c r="L198" s="60">
        <f t="shared" si="21"/>
        <v>139.82779951274537</v>
      </c>
      <c r="M198" s="60">
        <f t="shared" si="22"/>
        <v>170.92714034264537</v>
      </c>
      <c r="N19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139.82779951274537</v>
      </c>
      <c r="O198" s="96">
        <v>14.799876020862852</v>
      </c>
    </row>
    <row r="199" spans="1:15" x14ac:dyDescent="0.2">
      <c r="A199" s="59">
        <f>IF(TableWRMaster[[#This Row],[Player]]&lt;&gt;0,A198+1,A198)</f>
        <v>179</v>
      </c>
      <c r="B199" s="59" t="str">
        <f>WSH!A15</f>
        <v>Luke McCaffrey</v>
      </c>
      <c r="C199" s="59" t="s">
        <v>125</v>
      </c>
      <c r="D199" s="59">
        <f>WSH!C15</f>
        <v>14</v>
      </c>
      <c r="E199" s="60">
        <f>WSH!J15</f>
        <v>0</v>
      </c>
      <c r="F199" s="60">
        <f>WSH!K15</f>
        <v>0</v>
      </c>
      <c r="G199" s="60">
        <f>WSH!L15</f>
        <v>63.234357899999992</v>
      </c>
      <c r="H199" s="60">
        <f>WSH!M15</f>
        <v>39.015598824299992</v>
      </c>
      <c r="I199" s="60">
        <f>WSH!N15</f>
        <v>465.84624996214188</v>
      </c>
      <c r="J199" s="60">
        <f>WSH!O15</f>
        <v>2.7701075165252993</v>
      </c>
      <c r="K199" s="60">
        <f t="shared" si="23"/>
        <v>63.205270095365982</v>
      </c>
      <c r="L199" s="60">
        <f t="shared" si="21"/>
        <v>82.713069507515982</v>
      </c>
      <c r="M199" s="60">
        <f t="shared" si="22"/>
        <v>102.22086891966597</v>
      </c>
      <c r="N19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82.713069507515968</v>
      </c>
      <c r="O199" s="96">
        <v>0</v>
      </c>
    </row>
    <row r="200" spans="1:15" x14ac:dyDescent="0.2">
      <c r="A200" s="59">
        <f>IF(TableWRMaster[[#This Row],[Player]]&lt;&gt;0,A199+1,A199)</f>
        <v>180</v>
      </c>
      <c r="B200" s="59" t="str">
        <f>WSH!A16</f>
        <v>Jamison Crowder</v>
      </c>
      <c r="C200" s="59" t="s">
        <v>125</v>
      </c>
      <c r="D200" s="59">
        <f>WSH!C16</f>
        <v>14</v>
      </c>
      <c r="E200" s="60">
        <f>WSH!J16</f>
        <v>0</v>
      </c>
      <c r="F200" s="60">
        <f>WSH!K16</f>
        <v>0</v>
      </c>
      <c r="G200" s="60">
        <f>WSH!L16</f>
        <v>39.877523000000004</v>
      </c>
      <c r="H200" s="60">
        <f>WSH!M16</f>
        <v>25.122839490000004</v>
      </c>
      <c r="I200" s="60">
        <f>WSH!N16</f>
        <v>251.22839490000004</v>
      </c>
      <c r="J200" s="60">
        <f>WSH!O16</f>
        <v>1.3817561719500002</v>
      </c>
      <c r="K200" s="60">
        <f t="shared" si="23"/>
        <v>33.413376521700002</v>
      </c>
      <c r="L200" s="60">
        <f t="shared" si="21"/>
        <v>45.974796266700004</v>
      </c>
      <c r="M200" s="60">
        <f t="shared" si="22"/>
        <v>58.536216011700006</v>
      </c>
      <c r="N20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45.974796266700011</v>
      </c>
      <c r="O200" s="96">
        <v>0</v>
      </c>
    </row>
    <row r="201" spans="1:15" x14ac:dyDescent="0.2">
      <c r="A201" s="59">
        <f>IF(TableWRMaster[[#This Row],[Player]]&lt;&gt;0,A200+1,A200)</f>
        <v>181</v>
      </c>
      <c r="B201" s="59" t="str">
        <f>WSH!A17</f>
        <v>Olamide Zaccheaus</v>
      </c>
      <c r="C201" s="59" t="s">
        <v>125</v>
      </c>
      <c r="D201" s="59">
        <f>WSH!C17</f>
        <v>14</v>
      </c>
      <c r="E201" s="60">
        <f>WSH!J17</f>
        <v>0</v>
      </c>
      <c r="F201" s="60">
        <f>WSH!K17</f>
        <v>0</v>
      </c>
      <c r="G201" s="60">
        <f>WSH!L17</f>
        <v>17.090366999999997</v>
      </c>
      <c r="H201" s="60">
        <f>WSH!M17</f>
        <v>10.151677997999998</v>
      </c>
      <c r="I201" s="60">
        <f>WSH!N17</f>
        <v>106.38958541903999</v>
      </c>
      <c r="J201" s="60">
        <f>WSH!O17</f>
        <v>0.60910067987999994</v>
      </c>
      <c r="K201" s="60">
        <f t="shared" si="23"/>
        <v>14.293562621183998</v>
      </c>
      <c r="L201" s="60">
        <f t="shared" si="21"/>
        <v>19.369401620183996</v>
      </c>
      <c r="M201" s="60">
        <f t="shared" si="22"/>
        <v>24.445240619183998</v>
      </c>
      <c r="N20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19.369401620183996</v>
      </c>
      <c r="O201" s="96">
        <v>0</v>
      </c>
    </row>
    <row r="202" spans="1:15" x14ac:dyDescent="0.2">
      <c r="A202" s="59">
        <f>IF(TableWRMaster[[#This Row],[Player]]&lt;&gt;0,A201+1,A201)</f>
        <v>182</v>
      </c>
      <c r="B202" s="59" t="str">
        <f>WSH!A18</f>
        <v>Dyami Brown</v>
      </c>
      <c r="C202" s="59" t="s">
        <v>125</v>
      </c>
      <c r="D202" s="59">
        <f>WSH!C18</f>
        <v>14</v>
      </c>
      <c r="E202" s="60">
        <f>WSH!J18</f>
        <v>0</v>
      </c>
      <c r="F202" s="60">
        <f>WSH!K18</f>
        <v>0</v>
      </c>
      <c r="G202" s="60">
        <f>WSH!L18</f>
        <v>8.5451834999999985</v>
      </c>
      <c r="H202" s="60">
        <f>WSH!M18</f>
        <v>4.5374924384999993</v>
      </c>
      <c r="I202" s="60">
        <f>WSH!N18</f>
        <v>67.336387787339987</v>
      </c>
      <c r="J202" s="60">
        <f>WSH!O18</f>
        <v>0.31762447069499999</v>
      </c>
      <c r="K202" s="60">
        <f t="shared" si="23"/>
        <v>8.6393856029039995</v>
      </c>
      <c r="L202" s="60">
        <f t="shared" si="21"/>
        <v>10.908131822153999</v>
      </c>
      <c r="M202" s="60">
        <f t="shared" si="22"/>
        <v>13.176878041403999</v>
      </c>
      <c r="N20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10.908131822153999</v>
      </c>
      <c r="O202" s="96">
        <v>0</v>
      </c>
    </row>
    <row r="203" spans="1:15" x14ac:dyDescent="0.2">
      <c r="A203" s="59">
        <f>IF(TableWRMaster[[#This Row],[Player]]&lt;&gt;0,A202+1,A202)</f>
        <v>182</v>
      </c>
      <c r="B203" s="59">
        <f>WSH!A19</f>
        <v>0</v>
      </c>
      <c r="C203" s="59" t="s">
        <v>125</v>
      </c>
      <c r="D203" s="59">
        <f>WSH!C19</f>
        <v>14</v>
      </c>
      <c r="E203" s="60">
        <f>WSH!J19</f>
        <v>0</v>
      </c>
      <c r="F203" s="60">
        <f>WSH!K19</f>
        <v>0</v>
      </c>
      <c r="G203" s="60">
        <f>WSH!L19</f>
        <v>0</v>
      </c>
      <c r="H203" s="60">
        <f>WSH!M19</f>
        <v>0</v>
      </c>
      <c r="I203" s="60">
        <f>WSH!N19</f>
        <v>0</v>
      </c>
      <c r="J203" s="60">
        <f>WSH!O19</f>
        <v>0</v>
      </c>
      <c r="K203" s="60">
        <f t="shared" si="23"/>
        <v>0</v>
      </c>
      <c r="L203" s="60">
        <f t="shared" si="21"/>
        <v>0</v>
      </c>
      <c r="M203" s="60">
        <f t="shared" si="22"/>
        <v>0</v>
      </c>
      <c r="N20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03" s="96">
        <v>0</v>
      </c>
    </row>
  </sheetData>
  <sortState xmlns:xlrd2="http://schemas.microsoft.com/office/spreadsheetml/2017/richdata2" ref="B2:M172">
    <sortCondition ref="C2:C172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"/>
  <dimension ref="A1:M97"/>
  <sheetViews>
    <sheetView showGridLines="0" zoomScale="85" zoomScaleNormal="85" workbookViewId="0">
      <selection activeCell="A3" sqref="A3"/>
    </sheetView>
  </sheetViews>
  <sheetFormatPr baseColWidth="10" defaultColWidth="9.19921875" defaultRowHeight="15" x14ac:dyDescent="0.2"/>
  <cols>
    <col min="1" max="1" width="8.796875" style="59" bestFit="1" customWidth="1"/>
    <col min="2" max="2" width="21.19921875" style="59" bestFit="1" customWidth="1"/>
    <col min="3" max="3" width="6.59765625" style="59" bestFit="1" customWidth="1"/>
    <col min="4" max="4" width="7" style="59" bestFit="1" customWidth="1"/>
    <col min="5" max="5" width="7.19921875" style="59" bestFit="1" customWidth="1"/>
    <col min="6" max="6" width="7" style="59" bestFit="1" customWidth="1"/>
    <col min="7" max="8" width="8.3984375" style="59" bestFit="1" customWidth="1"/>
    <col min="9" max="9" width="6.796875" style="59" bestFit="1" customWidth="1"/>
    <col min="10" max="10" width="8.19921875" style="59" bestFit="1" customWidth="1"/>
    <col min="11" max="11" width="7" style="59" bestFit="1" customWidth="1"/>
    <col min="12" max="12" width="10" style="59" bestFit="1" customWidth="1"/>
    <col min="13" max="13" width="8.3984375" style="59" bestFit="1" customWidth="1"/>
    <col min="14" max="16384" width="9.19921875" style="59"/>
  </cols>
  <sheetData>
    <row r="1" spans="1:13" x14ac:dyDescent="0.2">
      <c r="A1" s="88" t="s">
        <v>378</v>
      </c>
      <c r="B1" s="88" t="s">
        <v>340</v>
      </c>
      <c r="C1" s="88" t="s">
        <v>92</v>
      </c>
      <c r="D1" s="88" t="s">
        <v>128</v>
      </c>
      <c r="E1" s="87" t="s">
        <v>3</v>
      </c>
      <c r="F1" s="87" t="s">
        <v>4</v>
      </c>
      <c r="G1" s="87" t="s">
        <v>144</v>
      </c>
      <c r="H1" s="87" t="s">
        <v>145</v>
      </c>
      <c r="I1" s="88" t="s">
        <v>123</v>
      </c>
      <c r="J1" s="88" t="s">
        <v>126</v>
      </c>
      <c r="K1" s="88" t="s">
        <v>127</v>
      </c>
      <c r="L1" s="88" t="s">
        <v>336</v>
      </c>
      <c r="M1" s="88" t="s">
        <v>310</v>
      </c>
    </row>
    <row r="2" spans="1:13" x14ac:dyDescent="0.2">
      <c r="A2" s="59">
        <v>1</v>
      </c>
      <c r="B2" s="59" t="str">
        <f>ARI!A$22</f>
        <v>Trey McBride</v>
      </c>
      <c r="C2" s="59" t="s">
        <v>93</v>
      </c>
      <c r="D2" s="61">
        <f>ARI!C$22</f>
        <v>14</v>
      </c>
      <c r="E2" s="60">
        <f>ARI!L$22</f>
        <v>120.88655250000001</v>
      </c>
      <c r="F2" s="60">
        <f>ARI!M$22</f>
        <v>88.126296772499998</v>
      </c>
      <c r="G2" s="60">
        <f>ARI!N$22</f>
        <v>899.76949004722508</v>
      </c>
      <c r="H2" s="60">
        <f>ARI!O$22</f>
        <v>5.7282092902124999</v>
      </c>
      <c r="I2" s="60">
        <f t="shared" ref="I2:I33" si="0">(G2/10)+(H2*6)</f>
        <v>124.34620474599751</v>
      </c>
      <c r="J2" s="60">
        <f t="shared" ref="J2:J33" si="1">I2+(F2*0.5)</f>
        <v>168.4093531322475</v>
      </c>
      <c r="K2" s="60">
        <f t="shared" ref="K2:K33" si="2">I2+F2</f>
        <v>212.47250151849749</v>
      </c>
      <c r="L2" s="95">
        <f>(TableTEMaster[[#This Row],[TGT]]*TARGETS)+(TableTEMaster[[#This Row],[REC]]*RECEPTIONS_TE)+(TableTEMaster[[#This Row],[RCYD]]*RECV_YARDS)+(TableTEMaster[[#This Row],[RCTD]]*RECV_TDS)</f>
        <v>168.4093531322475</v>
      </c>
      <c r="M2" s="96">
        <v>0</v>
      </c>
    </row>
    <row r="3" spans="1:13" x14ac:dyDescent="0.2">
      <c r="A3" s="59">
        <f>IF(TableTEMaster[[#This Row],[Player]]&lt;&gt;0,A2+1,A2)</f>
        <v>2</v>
      </c>
      <c r="B3" s="59" t="str">
        <f>ARI!A$23</f>
        <v>Tip Reiman</v>
      </c>
      <c r="C3" s="59" t="s">
        <v>93</v>
      </c>
      <c r="D3" s="61">
        <f>ARI!C$23</f>
        <v>14</v>
      </c>
      <c r="E3" s="60">
        <f>ARI!L$23</f>
        <v>11.793810000000001</v>
      </c>
      <c r="F3" s="60">
        <f>ARI!M$23</f>
        <v>7.9372341300000011</v>
      </c>
      <c r="G3" s="60">
        <f>ARI!N$23</f>
        <v>79.213596617400015</v>
      </c>
      <c r="H3" s="60">
        <f>ARI!O$23</f>
        <v>0.47623404780000006</v>
      </c>
      <c r="I3" s="60">
        <f t="shared" si="0"/>
        <v>10.778763948540002</v>
      </c>
      <c r="J3" s="60">
        <f t="shared" si="1"/>
        <v>14.747381013540002</v>
      </c>
      <c r="K3" s="60">
        <f t="shared" si="2"/>
        <v>18.715998078540004</v>
      </c>
      <c r="L3" s="95">
        <f>(TableTEMaster[[#This Row],[TGT]]*TARGETS)+(TableTEMaster[[#This Row],[REC]]*RECEPTIONS_TE)+(TableTEMaster[[#This Row],[RCYD]]*RECV_YARDS)+(TableTEMaster[[#This Row],[RCTD]]*RECV_TDS)</f>
        <v>14.747381013540004</v>
      </c>
      <c r="M3" s="96">
        <v>0</v>
      </c>
    </row>
    <row r="4" spans="1:13" x14ac:dyDescent="0.2">
      <c r="A4" s="59">
        <f>IF(TableTEMaster[[#This Row],[Player]]&lt;&gt;0,A3+1,A3)</f>
        <v>3</v>
      </c>
      <c r="B4" s="59" t="str">
        <f>ARI!A$24</f>
        <v>Elijah Higgins</v>
      </c>
      <c r="C4" s="59" t="s">
        <v>93</v>
      </c>
      <c r="D4" s="61">
        <f>ARI!C$24</f>
        <v>14</v>
      </c>
      <c r="E4" s="60">
        <f>ARI!L$24</f>
        <v>11.793810000000001</v>
      </c>
      <c r="F4" s="60">
        <f>ARI!M$24</f>
        <v>7.901852700000001</v>
      </c>
      <c r="G4" s="60">
        <f>ARI!N$24</f>
        <v>77.201100879000009</v>
      </c>
      <c r="H4" s="60">
        <f>ARI!O$24</f>
        <v>0.39509263500000008</v>
      </c>
      <c r="I4" s="60">
        <f t="shared" si="0"/>
        <v>10.090665897900001</v>
      </c>
      <c r="J4" s="60">
        <f t="shared" si="1"/>
        <v>14.041592247900002</v>
      </c>
      <c r="K4" s="60">
        <f t="shared" si="2"/>
        <v>17.992518597900002</v>
      </c>
      <c r="L4" s="95">
        <f>(TableTEMaster[[#This Row],[TGT]]*TARGETS)+(TableTEMaster[[#This Row],[REC]]*RECEPTIONS_TE)+(TableTEMaster[[#This Row],[RCYD]]*RECV_YARDS)+(TableTEMaster[[#This Row],[RCTD]]*RECV_TDS)</f>
        <v>14.041592247900002</v>
      </c>
      <c r="M4" s="96">
        <v>0</v>
      </c>
    </row>
    <row r="5" spans="1:13" x14ac:dyDescent="0.2">
      <c r="A5" s="59">
        <f>IF(TableTEMaster[[#This Row],[Player]]&lt;&gt;0,A4+1,A4)</f>
        <v>4</v>
      </c>
      <c r="B5" s="59" t="str">
        <f>ATL!A$22</f>
        <v>Kyle Pitts</v>
      </c>
      <c r="C5" s="59" t="s">
        <v>94</v>
      </c>
      <c r="D5" s="61">
        <f>ATL!C$22</f>
        <v>11</v>
      </c>
      <c r="E5" s="60">
        <f>ATL!L$22</f>
        <v>115.02691199999997</v>
      </c>
      <c r="F5" s="60">
        <f>ATL!M$22</f>
        <v>71.546739263999982</v>
      </c>
      <c r="G5" s="60">
        <f>ATL!N$22</f>
        <v>908.64358865279974</v>
      </c>
      <c r="H5" s="60">
        <f>ATL!O$22</f>
        <v>5.8668326196479983</v>
      </c>
      <c r="I5" s="60">
        <f t="shared" si="0"/>
        <v>126.06535458316796</v>
      </c>
      <c r="J5" s="60">
        <f t="shared" si="1"/>
        <v>161.83872421516796</v>
      </c>
      <c r="K5" s="60">
        <f t="shared" si="2"/>
        <v>197.61209384716796</v>
      </c>
      <c r="L5" s="95">
        <f>(TableTEMaster[[#This Row],[TGT]]*TARGETS)+(TableTEMaster[[#This Row],[REC]]*RECEPTIONS_TE)+(TableTEMaster[[#This Row],[RCYD]]*RECV_YARDS)+(TableTEMaster[[#This Row],[RCTD]]*RECV_TDS)</f>
        <v>161.83872421516796</v>
      </c>
      <c r="M5" s="96">
        <v>12.114545855777624</v>
      </c>
    </row>
    <row r="6" spans="1:13" x14ac:dyDescent="0.2">
      <c r="A6" s="59">
        <f>IF(TableTEMaster[[#This Row],[Player]]&lt;&gt;0,A5+1,A5)</f>
        <v>5</v>
      </c>
      <c r="B6" s="59" t="str">
        <f>ATL!A$23</f>
        <v>Charlie Woerner</v>
      </c>
      <c r="C6" s="59" t="s">
        <v>94</v>
      </c>
      <c r="D6" s="61">
        <f>ATL!C$23</f>
        <v>11</v>
      </c>
      <c r="E6" s="60">
        <f>ATL!L$23</f>
        <v>23.005382399999995</v>
      </c>
      <c r="F6" s="60">
        <f>ATL!M$23</f>
        <v>14.723444735999998</v>
      </c>
      <c r="G6" s="60">
        <f>ATL!N$23</f>
        <v>133.98334709759996</v>
      </c>
      <c r="H6" s="60">
        <f>ATL!O$23</f>
        <v>1.1042583551999998</v>
      </c>
      <c r="I6" s="60">
        <f t="shared" si="0"/>
        <v>20.023884840959994</v>
      </c>
      <c r="J6" s="60">
        <f t="shared" si="1"/>
        <v>27.385607208959993</v>
      </c>
      <c r="K6" s="60">
        <f t="shared" si="2"/>
        <v>34.747329576959991</v>
      </c>
      <c r="L6" s="95">
        <f>(TableTEMaster[[#This Row],[TGT]]*TARGETS)+(TableTEMaster[[#This Row],[REC]]*RECEPTIONS_TE)+(TableTEMaster[[#This Row],[RCYD]]*RECV_YARDS)+(TableTEMaster[[#This Row],[RCTD]]*RECV_TDS)</f>
        <v>27.385607208959996</v>
      </c>
      <c r="M6" s="96">
        <v>0</v>
      </c>
    </row>
    <row r="7" spans="1:13" x14ac:dyDescent="0.2">
      <c r="A7" s="59">
        <f>IF(TableTEMaster[[#This Row],[Player]]&lt;&gt;0,A6+1,A6)</f>
        <v>5</v>
      </c>
      <c r="B7" s="59">
        <f>ATL!A$24</f>
        <v>0</v>
      </c>
      <c r="C7" s="59" t="s">
        <v>94</v>
      </c>
      <c r="D7" s="61">
        <f>ATL!C$24</f>
        <v>11</v>
      </c>
      <c r="E7" s="60">
        <f>ATL!L$24</f>
        <v>0</v>
      </c>
      <c r="F7" s="60">
        <f>ATL!M$24</f>
        <v>0</v>
      </c>
      <c r="G7" s="60">
        <f>ATL!N$24</f>
        <v>0</v>
      </c>
      <c r="H7" s="60">
        <f>ATL!O$24</f>
        <v>0</v>
      </c>
      <c r="I7" s="60">
        <f t="shared" si="0"/>
        <v>0</v>
      </c>
      <c r="J7" s="60">
        <f t="shared" si="1"/>
        <v>0</v>
      </c>
      <c r="K7" s="60">
        <f t="shared" si="2"/>
        <v>0</v>
      </c>
      <c r="L7" s="95">
        <f>(TableTEMaster[[#This Row],[TGT]]*TARGETS)+(TableTEMaster[[#This Row],[REC]]*RECEPTIONS_TE)+(TableTEMaster[[#This Row],[RCYD]]*RECV_YARDS)+(TableTEMaster[[#This Row],[RCTD]]*RECV_TDS)</f>
        <v>0</v>
      </c>
      <c r="M7" s="96">
        <v>0</v>
      </c>
    </row>
    <row r="8" spans="1:13" x14ac:dyDescent="0.2">
      <c r="A8" s="59">
        <f>IF(TableTEMaster[[#This Row],[Player]]&lt;&gt;0,A7+1,A7)</f>
        <v>6</v>
      </c>
      <c r="B8" s="59" t="str">
        <f>BAL!A$22</f>
        <v>Mark Andrews</v>
      </c>
      <c r="C8" s="59" t="s">
        <v>95</v>
      </c>
      <c r="D8" s="61">
        <f>BAL!C$22</f>
        <v>13</v>
      </c>
      <c r="E8" s="60">
        <f>BAL!L$22</f>
        <v>116.45677120000001</v>
      </c>
      <c r="F8" s="60">
        <f>BAL!M$22</f>
        <v>81.985566924799997</v>
      </c>
      <c r="G8" s="60">
        <f>BAL!N$22</f>
        <v>915.77878255001599</v>
      </c>
      <c r="H8" s="60">
        <f>BAL!O$22</f>
        <v>8.1985566924800004</v>
      </c>
      <c r="I8" s="60">
        <f t="shared" si="0"/>
        <v>140.7692184098816</v>
      </c>
      <c r="J8" s="60">
        <f t="shared" si="1"/>
        <v>181.76200187228159</v>
      </c>
      <c r="K8" s="60">
        <f t="shared" si="2"/>
        <v>222.7547853346816</v>
      </c>
      <c r="L8" s="95">
        <f>(TableTEMaster[[#This Row],[TGT]]*TARGETS)+(TableTEMaster[[#This Row],[REC]]*RECEPTIONS_TE)+(TableTEMaster[[#This Row],[RCYD]]*RECV_YARDS)+(TableTEMaster[[#This Row],[RCTD]]*RECV_TDS)</f>
        <v>181.76200187228162</v>
      </c>
      <c r="M8" s="96">
        <v>10.707949016487902</v>
      </c>
    </row>
    <row r="9" spans="1:13" x14ac:dyDescent="0.2">
      <c r="A9" s="59">
        <f>IF(TableTEMaster[[#This Row],[Player]]&lt;&gt;0,A8+1,A8)</f>
        <v>7</v>
      </c>
      <c r="B9" s="59" t="str">
        <f>BAL!A$23</f>
        <v>Isaiah Likely</v>
      </c>
      <c r="C9" s="59" t="s">
        <v>95</v>
      </c>
      <c r="D9" s="61">
        <f>BAL!C$23</f>
        <v>13</v>
      </c>
      <c r="E9" s="60">
        <f>BAL!L$23</f>
        <v>37.054427200000006</v>
      </c>
      <c r="F9" s="60">
        <f>BAL!M$23</f>
        <v>26.123371176000003</v>
      </c>
      <c r="G9" s="60">
        <f>BAL!N$23</f>
        <v>283.17734354784005</v>
      </c>
      <c r="H9" s="60">
        <f>BAL!O$23</f>
        <v>2.35110340584</v>
      </c>
      <c r="I9" s="60">
        <f t="shared" si="0"/>
        <v>42.424354789824008</v>
      </c>
      <c r="J9" s="60">
        <f t="shared" si="1"/>
        <v>55.486040377824011</v>
      </c>
      <c r="K9" s="60">
        <f t="shared" si="2"/>
        <v>68.547725965824014</v>
      </c>
      <c r="L9" s="95">
        <f>(TableTEMaster[[#This Row],[TGT]]*TARGETS)+(TableTEMaster[[#This Row],[REC]]*RECEPTIONS_TE)+(TableTEMaster[[#This Row],[RCYD]]*RECV_YARDS)+(TableTEMaster[[#This Row],[RCTD]]*RECV_TDS)</f>
        <v>55.486040377824011</v>
      </c>
      <c r="M9" s="96">
        <v>0</v>
      </c>
    </row>
    <row r="10" spans="1:13" x14ac:dyDescent="0.2">
      <c r="A10" s="59">
        <f>IF(TableTEMaster[[#This Row],[Player]]&lt;&gt;0,A9+1,A9)</f>
        <v>8</v>
      </c>
      <c r="B10" s="59" t="str">
        <f>BAL!A$24</f>
        <v>Charlie Kolar</v>
      </c>
      <c r="C10" s="59" t="s">
        <v>95</v>
      </c>
      <c r="D10" s="61">
        <f>BAL!C$24</f>
        <v>13</v>
      </c>
      <c r="E10" s="60">
        <f>BAL!L$24</f>
        <v>5.2934896</v>
      </c>
      <c r="F10" s="60">
        <f>BAL!M$24</f>
        <v>3.4725291776000002</v>
      </c>
      <c r="G10" s="60">
        <f>BAL!N$24</f>
        <v>39.864634958848001</v>
      </c>
      <c r="H10" s="60">
        <f>BAL!O$24</f>
        <v>0.29516498009600006</v>
      </c>
      <c r="I10" s="60">
        <f t="shared" si="0"/>
        <v>5.7574533764608002</v>
      </c>
      <c r="J10" s="60">
        <f t="shared" si="1"/>
        <v>7.4937179652608004</v>
      </c>
      <c r="K10" s="60">
        <f t="shared" si="2"/>
        <v>9.2299825540608005</v>
      </c>
      <c r="L10" s="95">
        <f>(TableTEMaster[[#This Row],[TGT]]*TARGETS)+(TableTEMaster[[#This Row],[REC]]*RECEPTIONS_TE)+(TableTEMaster[[#This Row],[RCYD]]*RECV_YARDS)+(TableTEMaster[[#This Row],[RCTD]]*RECV_TDS)</f>
        <v>7.4937179652608013</v>
      </c>
      <c r="M10" s="96">
        <v>0</v>
      </c>
    </row>
    <row r="11" spans="1:13" x14ac:dyDescent="0.2">
      <c r="A11" s="59">
        <f>IF(TableTEMaster[[#This Row],[Player]]&lt;&gt;0,A10+1,A10)</f>
        <v>9</v>
      </c>
      <c r="B11" s="59" t="str">
        <f>BUF!A$22</f>
        <v>Dalton Kincaid</v>
      </c>
      <c r="C11" s="59" t="s">
        <v>96</v>
      </c>
      <c r="D11" s="61">
        <f>BUF!C$22</f>
        <v>13</v>
      </c>
      <c r="E11" s="60">
        <f>BUF!L$22</f>
        <v>106.29158399999997</v>
      </c>
      <c r="F11" s="60">
        <f>BUF!M$22</f>
        <v>74.722983551999974</v>
      </c>
      <c r="G11" s="60">
        <f>BUF!N$22</f>
        <v>774.13010959871974</v>
      </c>
      <c r="H11" s="60">
        <f>BUF!O$22</f>
        <v>6.7250685196799971</v>
      </c>
      <c r="I11" s="60">
        <f t="shared" si="0"/>
        <v>117.76342207795196</v>
      </c>
      <c r="J11" s="60">
        <f t="shared" si="1"/>
        <v>155.12491385395194</v>
      </c>
      <c r="K11" s="60">
        <f t="shared" si="2"/>
        <v>192.48640562995195</v>
      </c>
      <c r="L11" s="95">
        <f>(TableTEMaster[[#This Row],[TGT]]*TARGETS)+(TableTEMaster[[#This Row],[REC]]*RECEPTIONS_TE)+(TableTEMaster[[#This Row],[RCYD]]*RECV_YARDS)+(TableTEMaster[[#This Row],[RCTD]]*RECV_TDS)</f>
        <v>155.12491385395197</v>
      </c>
      <c r="M11" s="96">
        <v>0</v>
      </c>
    </row>
    <row r="12" spans="1:13" x14ac:dyDescent="0.2">
      <c r="A12" s="59">
        <f>IF(TableTEMaster[[#This Row],[Player]]&lt;&gt;0,A11+1,A11)</f>
        <v>10</v>
      </c>
      <c r="B12" s="59" t="str">
        <f>BUF!A$23</f>
        <v>Dawson Knox</v>
      </c>
      <c r="C12" s="59" t="s">
        <v>96</v>
      </c>
      <c r="D12" s="61">
        <f>BUF!C$23</f>
        <v>13</v>
      </c>
      <c r="E12" s="60">
        <f>BUF!L$23</f>
        <v>42.516633599999992</v>
      </c>
      <c r="F12" s="60">
        <f>BUF!M$23</f>
        <v>26.785479167999995</v>
      </c>
      <c r="G12" s="60">
        <f>BUF!N$23</f>
        <v>289.01532022271994</v>
      </c>
      <c r="H12" s="60">
        <f>BUF!O$23</f>
        <v>2.6785479167999995</v>
      </c>
      <c r="I12" s="60">
        <f t="shared" si="0"/>
        <v>44.97281952307199</v>
      </c>
      <c r="J12" s="60">
        <f t="shared" si="1"/>
        <v>58.365559107071988</v>
      </c>
      <c r="K12" s="60">
        <f t="shared" si="2"/>
        <v>71.758298691071985</v>
      </c>
      <c r="L12" s="95">
        <f>(TableTEMaster[[#This Row],[TGT]]*TARGETS)+(TableTEMaster[[#This Row],[REC]]*RECEPTIONS_TE)+(TableTEMaster[[#This Row],[RCYD]]*RECV_YARDS)+(TableTEMaster[[#This Row],[RCTD]]*RECV_TDS)</f>
        <v>58.365559107071988</v>
      </c>
      <c r="M12" s="96">
        <v>0</v>
      </c>
    </row>
    <row r="13" spans="1:13" x14ac:dyDescent="0.2">
      <c r="A13" s="59">
        <f>IF(TableTEMaster[[#This Row],[Player]]&lt;&gt;0,A12+1,A12)</f>
        <v>11</v>
      </c>
      <c r="B13" s="59" t="str">
        <f>BUF!A$24</f>
        <v>Quintin Morris</v>
      </c>
      <c r="C13" s="59" t="s">
        <v>96</v>
      </c>
      <c r="D13" s="61">
        <f>BUF!C$24</f>
        <v>13</v>
      </c>
      <c r="E13" s="60">
        <f>BUF!L$24</f>
        <v>6.0738047999999987</v>
      </c>
      <c r="F13" s="60">
        <f>BUF!M$24</f>
        <v>3.7050209279999993</v>
      </c>
      <c r="G13" s="60">
        <f>BUF!N$24</f>
        <v>33.345188351999994</v>
      </c>
      <c r="H13" s="60">
        <f>BUF!O$24</f>
        <v>0.22230125567999995</v>
      </c>
      <c r="I13" s="60">
        <f t="shared" si="0"/>
        <v>4.668326369279999</v>
      </c>
      <c r="J13" s="60">
        <f t="shared" si="1"/>
        <v>6.5208368332799989</v>
      </c>
      <c r="K13" s="60">
        <f t="shared" si="2"/>
        <v>8.3733472972799987</v>
      </c>
      <c r="L13" s="95">
        <f>(TableTEMaster[[#This Row],[TGT]]*TARGETS)+(TableTEMaster[[#This Row],[REC]]*RECEPTIONS_TE)+(TableTEMaster[[#This Row],[RCYD]]*RECV_YARDS)+(TableTEMaster[[#This Row],[RCTD]]*RECV_TDS)</f>
        <v>6.5208368332799989</v>
      </c>
      <c r="M13" s="96">
        <v>0</v>
      </c>
    </row>
    <row r="14" spans="1:13" x14ac:dyDescent="0.2">
      <c r="A14" s="59">
        <f>IF(TableTEMaster[[#This Row],[Player]]&lt;&gt;0,A13+1,A13)</f>
        <v>12</v>
      </c>
      <c r="B14" s="59" t="str">
        <f>CAR!A$22</f>
        <v>Tommy Tremble</v>
      </c>
      <c r="C14" s="59" t="s">
        <v>97</v>
      </c>
      <c r="D14" s="61">
        <f>CAR!C$22</f>
        <v>7</v>
      </c>
      <c r="E14" s="60">
        <f>CAR!L$22</f>
        <v>46.333615999999992</v>
      </c>
      <c r="F14" s="60">
        <f>CAR!M$22</f>
        <v>29.097510847999995</v>
      </c>
      <c r="G14" s="60">
        <f>CAR!N$22</f>
        <v>282.24585522559994</v>
      </c>
      <c r="H14" s="60">
        <f>CAR!O$22</f>
        <v>2.0368257593599997</v>
      </c>
      <c r="I14" s="60">
        <f t="shared" si="0"/>
        <v>40.445540078719993</v>
      </c>
      <c r="J14" s="60">
        <f t="shared" si="1"/>
        <v>54.994295502719993</v>
      </c>
      <c r="K14" s="60">
        <f t="shared" si="2"/>
        <v>69.543050926719985</v>
      </c>
      <c r="L14" s="95">
        <f>(TableTEMaster[[#This Row],[TGT]]*TARGETS)+(TableTEMaster[[#This Row],[REC]]*RECEPTIONS_TE)+(TableTEMaster[[#This Row],[RCYD]]*RECV_YARDS)+(TableTEMaster[[#This Row],[RCTD]]*RECV_TDS)</f>
        <v>54.994295502719993</v>
      </c>
      <c r="M14" s="96">
        <v>0</v>
      </c>
    </row>
    <row r="15" spans="1:13" x14ac:dyDescent="0.2">
      <c r="A15" s="59">
        <f>IF(TableTEMaster[[#This Row],[Player]]&lt;&gt;0,A14+1,A14)</f>
        <v>13</v>
      </c>
      <c r="B15" s="59" t="str">
        <f>CAR!A$23</f>
        <v>Ian Thomas</v>
      </c>
      <c r="C15" s="59" t="s">
        <v>97</v>
      </c>
      <c r="D15" s="61">
        <f>CAR!C$23</f>
        <v>7</v>
      </c>
      <c r="E15" s="60">
        <f>CAR!L$23</f>
        <v>11.583403999999998</v>
      </c>
      <c r="F15" s="60">
        <f>CAR!M$23</f>
        <v>6.9847926119999988</v>
      </c>
      <c r="G15" s="60">
        <f>CAR!N$23</f>
        <v>70.197165750599993</v>
      </c>
      <c r="H15" s="60">
        <f>CAR!O$23</f>
        <v>0.41908755671999992</v>
      </c>
      <c r="I15" s="60">
        <f t="shared" si="0"/>
        <v>9.5342419153799991</v>
      </c>
      <c r="J15" s="60">
        <f t="shared" si="1"/>
        <v>13.026638221379999</v>
      </c>
      <c r="K15" s="60">
        <f t="shared" si="2"/>
        <v>16.519034527379997</v>
      </c>
      <c r="L15" s="95">
        <f>(TableTEMaster[[#This Row],[TGT]]*TARGETS)+(TableTEMaster[[#This Row],[REC]]*RECEPTIONS_TE)+(TableTEMaster[[#This Row],[RCYD]]*RECV_YARDS)+(TableTEMaster[[#This Row],[RCTD]]*RECV_TDS)</f>
        <v>13.026638221379997</v>
      </c>
      <c r="M15" s="96">
        <v>0</v>
      </c>
    </row>
    <row r="16" spans="1:13" x14ac:dyDescent="0.2">
      <c r="A16" s="59">
        <f>IF(TableTEMaster[[#This Row],[Player]]&lt;&gt;0,A15+1,A15)</f>
        <v>14</v>
      </c>
      <c r="B16" s="59" t="str">
        <f>CAR!A$24</f>
        <v>Ja'Tavion Sanders</v>
      </c>
      <c r="C16" s="59" t="s">
        <v>97</v>
      </c>
      <c r="D16" s="61">
        <f>CAR!C$24</f>
        <v>7</v>
      </c>
      <c r="E16" s="60">
        <f>CAR!L$24</f>
        <v>46.333615999999992</v>
      </c>
      <c r="F16" s="60">
        <f>CAR!M$24</f>
        <v>29.329178927999994</v>
      </c>
      <c r="G16" s="60">
        <f>CAR!N$24</f>
        <v>313.82221452959993</v>
      </c>
      <c r="H16" s="60">
        <f>CAR!O$24</f>
        <v>2.1703592406719996</v>
      </c>
      <c r="I16" s="60">
        <f t="shared" si="0"/>
        <v>44.404376896991991</v>
      </c>
      <c r="J16" s="60">
        <f t="shared" si="1"/>
        <v>59.068966360991986</v>
      </c>
      <c r="K16" s="60">
        <f t="shared" si="2"/>
        <v>73.733555824991981</v>
      </c>
      <c r="L16" s="95">
        <f>(TableTEMaster[[#This Row],[TGT]]*TARGETS)+(TableTEMaster[[#This Row],[REC]]*RECEPTIONS_TE)+(TableTEMaster[[#This Row],[RCYD]]*RECV_YARDS)+(TableTEMaster[[#This Row],[RCTD]]*RECV_TDS)</f>
        <v>59.068966360991993</v>
      </c>
      <c r="M16" s="96">
        <v>0</v>
      </c>
    </row>
    <row r="17" spans="1:13" x14ac:dyDescent="0.2">
      <c r="A17" s="59">
        <f>IF(TableTEMaster[[#This Row],[Player]]&lt;&gt;0,A16+1,A16)</f>
        <v>15</v>
      </c>
      <c r="B17" s="59" t="str">
        <f>CHI!A$22</f>
        <v>Cole Kmet</v>
      </c>
      <c r="C17" s="59" t="s">
        <v>98</v>
      </c>
      <c r="D17" s="61">
        <f>CHI!C$22</f>
        <v>13</v>
      </c>
      <c r="E17" s="60">
        <f>CHI!L$22</f>
        <v>85.021271999999982</v>
      </c>
      <c r="F17" s="60">
        <f>CHI!M$22</f>
        <v>56.964252239999993</v>
      </c>
      <c r="G17" s="60">
        <f>CHI!N$22</f>
        <v>575.33894762399996</v>
      </c>
      <c r="H17" s="60">
        <f>CHI!O$22</f>
        <v>4.5571401791999993</v>
      </c>
      <c r="I17" s="60">
        <f t="shared" si="0"/>
        <v>84.876735837599995</v>
      </c>
      <c r="J17" s="60">
        <f t="shared" si="1"/>
        <v>113.3588619576</v>
      </c>
      <c r="K17" s="60">
        <f t="shared" si="2"/>
        <v>141.8409880776</v>
      </c>
      <c r="L17" s="95">
        <f>(TableTEMaster[[#This Row],[TGT]]*TARGETS)+(TableTEMaster[[#This Row],[REC]]*RECEPTIONS_TE)+(TableTEMaster[[#This Row],[RCYD]]*RECV_YARDS)+(TableTEMaster[[#This Row],[RCTD]]*RECV_TDS)</f>
        <v>113.3588619576</v>
      </c>
      <c r="M17" s="96">
        <v>1.8058939937235041</v>
      </c>
    </row>
    <row r="18" spans="1:13" x14ac:dyDescent="0.2">
      <c r="A18" s="59">
        <f>IF(TableTEMaster[[#This Row],[Player]]&lt;&gt;0,A17+1,A17)</f>
        <v>16</v>
      </c>
      <c r="B18" s="59" t="str">
        <f>CHI!A$23</f>
        <v>Gerald Everett</v>
      </c>
      <c r="C18" s="59" t="s">
        <v>98</v>
      </c>
      <c r="D18" s="61">
        <f>CHI!C$23</f>
        <v>13</v>
      </c>
      <c r="E18" s="60">
        <f>CHI!L$23</f>
        <v>22.672339199999993</v>
      </c>
      <c r="F18" s="60">
        <f>CHI!M$23</f>
        <v>14.737020479999996</v>
      </c>
      <c r="G18" s="60">
        <f>CHI!N$23</f>
        <v>157.68611913599995</v>
      </c>
      <c r="H18" s="60">
        <f>CHI!O$23</f>
        <v>1.3263318431999995</v>
      </c>
      <c r="I18" s="60">
        <f t="shared" si="0"/>
        <v>23.726602972799991</v>
      </c>
      <c r="J18" s="60">
        <f t="shared" si="1"/>
        <v>31.095113212799991</v>
      </c>
      <c r="K18" s="60">
        <f t="shared" si="2"/>
        <v>38.463623452799986</v>
      </c>
      <c r="L18" s="95">
        <f>(TableTEMaster[[#This Row],[TGT]]*TARGETS)+(TableTEMaster[[#This Row],[REC]]*RECEPTIONS_TE)+(TableTEMaster[[#This Row],[RCYD]]*RECV_YARDS)+(TableTEMaster[[#This Row],[RCTD]]*RECV_TDS)</f>
        <v>31.095113212799991</v>
      </c>
      <c r="M18" s="96">
        <v>0</v>
      </c>
    </row>
    <row r="19" spans="1:13" x14ac:dyDescent="0.2">
      <c r="A19" s="59">
        <f>IF(TableTEMaster[[#This Row],[Player]]&lt;&gt;0,A18+1,A18)</f>
        <v>16</v>
      </c>
      <c r="B19" s="59">
        <f>CHI!A$24</f>
        <v>0</v>
      </c>
      <c r="C19" s="59" t="s">
        <v>98</v>
      </c>
      <c r="D19" s="61">
        <f>CHI!C$24</f>
        <v>13</v>
      </c>
      <c r="E19" s="60">
        <f>CHI!L$24</f>
        <v>0</v>
      </c>
      <c r="F19" s="60">
        <f>CHI!M$24</f>
        <v>0</v>
      </c>
      <c r="G19" s="60">
        <f>CHI!N$24</f>
        <v>0</v>
      </c>
      <c r="H19" s="60">
        <f>CHI!O$24</f>
        <v>0</v>
      </c>
      <c r="I19" s="60">
        <f t="shared" si="0"/>
        <v>0</v>
      </c>
      <c r="J19" s="60">
        <f t="shared" si="1"/>
        <v>0</v>
      </c>
      <c r="K19" s="60">
        <f t="shared" si="2"/>
        <v>0</v>
      </c>
      <c r="L19" s="95">
        <f>(TableTEMaster[[#This Row],[TGT]]*TARGETS)+(TableTEMaster[[#This Row],[REC]]*RECEPTIONS_TE)+(TableTEMaster[[#This Row],[RCYD]]*RECV_YARDS)+(TableTEMaster[[#This Row],[RCTD]]*RECV_TDS)</f>
        <v>0</v>
      </c>
      <c r="M19" s="96">
        <v>0</v>
      </c>
    </row>
    <row r="20" spans="1:13" x14ac:dyDescent="0.2">
      <c r="A20" s="59">
        <f>IF(TableTEMaster[[#This Row],[Player]]&lt;&gt;0,A19+1,A19)</f>
        <v>17</v>
      </c>
      <c r="B20" s="59" t="str">
        <f>CIN!A$22</f>
        <v>Mike Gesicki</v>
      </c>
      <c r="C20" s="59" t="s">
        <v>99</v>
      </c>
      <c r="D20" s="61">
        <f>CIN!C$22</f>
        <v>7</v>
      </c>
      <c r="E20" s="60">
        <f>CIN!L$22</f>
        <v>49.885449599999994</v>
      </c>
      <c r="F20" s="60">
        <f>CIN!M$22</f>
        <v>35.219127417599992</v>
      </c>
      <c r="G20" s="60">
        <f>CIN!N$22</f>
        <v>345.14744869247994</v>
      </c>
      <c r="H20" s="60">
        <f>CIN!O$22</f>
        <v>2.6414345563199992</v>
      </c>
      <c r="I20" s="60">
        <f t="shared" si="0"/>
        <v>50.363352207167985</v>
      </c>
      <c r="J20" s="60">
        <f t="shared" si="1"/>
        <v>67.972915915967974</v>
      </c>
      <c r="K20" s="60">
        <f t="shared" si="2"/>
        <v>85.582479624767984</v>
      </c>
      <c r="L20" s="95">
        <f>(TableTEMaster[[#This Row],[TGT]]*TARGETS)+(TableTEMaster[[#This Row],[REC]]*RECEPTIONS_TE)+(TableTEMaster[[#This Row],[RCYD]]*RECV_YARDS)+(TableTEMaster[[#This Row],[RCTD]]*RECV_TDS)</f>
        <v>67.972915915967988</v>
      </c>
      <c r="M20" s="96">
        <v>0</v>
      </c>
    </row>
    <row r="21" spans="1:13" x14ac:dyDescent="0.2">
      <c r="A21" s="59">
        <f>IF(TableTEMaster[[#This Row],[Player]]&lt;&gt;0,A20+1,A20)</f>
        <v>18</v>
      </c>
      <c r="B21" s="59" t="str">
        <f>CIN!A$23</f>
        <v>Tanner Hudson</v>
      </c>
      <c r="C21" s="59" t="s">
        <v>99</v>
      </c>
      <c r="D21" s="61">
        <f>CIN!C$23</f>
        <v>7</v>
      </c>
      <c r="E21" s="60">
        <f>CIN!L$23</f>
        <v>12.471362399999999</v>
      </c>
      <c r="F21" s="60">
        <f>CIN!M$23</f>
        <v>9.1664513639999985</v>
      </c>
      <c r="G21" s="60">
        <f>CIN!N$23</f>
        <v>82.956384844199988</v>
      </c>
      <c r="H21" s="60">
        <f>CIN!O$23</f>
        <v>0.59581933865999992</v>
      </c>
      <c r="I21" s="60">
        <f t="shared" si="0"/>
        <v>11.870554516379999</v>
      </c>
      <c r="J21" s="60">
        <f t="shared" si="1"/>
        <v>16.453780198379999</v>
      </c>
      <c r="K21" s="60">
        <f t="shared" si="2"/>
        <v>21.037005880379997</v>
      </c>
      <c r="L21" s="95">
        <f>(TableTEMaster[[#This Row],[TGT]]*TARGETS)+(TableTEMaster[[#This Row],[REC]]*RECEPTIONS_TE)+(TableTEMaster[[#This Row],[RCYD]]*RECV_YARDS)+(TableTEMaster[[#This Row],[RCTD]]*RECV_TDS)</f>
        <v>16.453780198379999</v>
      </c>
      <c r="M21" s="96">
        <v>0</v>
      </c>
    </row>
    <row r="22" spans="1:13" x14ac:dyDescent="0.2">
      <c r="A22" s="59">
        <f>IF(TableTEMaster[[#This Row],[Player]]&lt;&gt;0,A21+1,A21)</f>
        <v>19</v>
      </c>
      <c r="B22" s="59" t="str">
        <f>CIN!A$24</f>
        <v>Erick All</v>
      </c>
      <c r="C22" s="59" t="s">
        <v>99</v>
      </c>
      <c r="D22" s="61">
        <f>CIN!C$24</f>
        <v>7</v>
      </c>
      <c r="E22" s="60">
        <f>CIN!L$24</f>
        <v>12.471362399999999</v>
      </c>
      <c r="F22" s="60">
        <f>CIN!M$24</f>
        <v>8.5179405191999997</v>
      </c>
      <c r="G22" s="60">
        <f>CIN!N$24</f>
        <v>82.62402303623999</v>
      </c>
      <c r="H22" s="60">
        <f>CIN!O$24</f>
        <v>0.59625583634400003</v>
      </c>
      <c r="I22" s="60">
        <f t="shared" si="0"/>
        <v>11.839937321687998</v>
      </c>
      <c r="J22" s="60">
        <f t="shared" si="1"/>
        <v>16.098907581287996</v>
      </c>
      <c r="K22" s="60">
        <f t="shared" si="2"/>
        <v>20.357877840887998</v>
      </c>
      <c r="L22" s="95">
        <f>(TableTEMaster[[#This Row],[TGT]]*TARGETS)+(TableTEMaster[[#This Row],[REC]]*RECEPTIONS_TE)+(TableTEMaster[[#This Row],[RCYD]]*RECV_YARDS)+(TableTEMaster[[#This Row],[RCTD]]*RECV_TDS)</f>
        <v>16.098907581288</v>
      </c>
      <c r="M22" s="96">
        <v>0</v>
      </c>
    </row>
    <row r="23" spans="1:13" x14ac:dyDescent="0.2">
      <c r="A23" s="59">
        <f>IF(TableTEMaster[[#This Row],[Player]]&lt;&gt;0,A22+1,A22)</f>
        <v>20</v>
      </c>
      <c r="B23" s="59" t="str">
        <f>CLE!A$22</f>
        <v>David Njoku</v>
      </c>
      <c r="C23" s="59" t="s">
        <v>100</v>
      </c>
      <c r="D23" s="61">
        <f>CLE!C$22</f>
        <v>5</v>
      </c>
      <c r="E23" s="60">
        <f>CLE!L$22</f>
        <v>107.5305</v>
      </c>
      <c r="F23" s="60">
        <f>CLE!M$22</f>
        <v>72.798148500000011</v>
      </c>
      <c r="G23" s="60">
        <f>CLE!N$22</f>
        <v>749.82092955000019</v>
      </c>
      <c r="H23" s="60">
        <f>CLE!O$22</f>
        <v>5.8238518800000012</v>
      </c>
      <c r="I23" s="60">
        <f t="shared" si="0"/>
        <v>109.92520423500002</v>
      </c>
      <c r="J23" s="60">
        <f t="shared" si="1"/>
        <v>146.32427848500004</v>
      </c>
      <c r="K23" s="60">
        <f t="shared" si="2"/>
        <v>182.72335273500005</v>
      </c>
      <c r="L23" s="95">
        <f>(TableTEMaster[[#This Row],[TGT]]*TARGETS)+(TableTEMaster[[#This Row],[REC]]*RECEPTIONS_TE)+(TableTEMaster[[#This Row],[RCYD]]*RECV_YARDS)+(TableTEMaster[[#This Row],[RCTD]]*RECV_TDS)</f>
        <v>146.32427848500004</v>
      </c>
      <c r="M23" s="96">
        <v>0.40204588310140438</v>
      </c>
    </row>
    <row r="24" spans="1:13" x14ac:dyDescent="0.2">
      <c r="A24" s="59">
        <f>IF(TableTEMaster[[#This Row],[Player]]&lt;&gt;0,A23+1,A23)</f>
        <v>21</v>
      </c>
      <c r="B24" s="59" t="str">
        <f>CLE!A$23</f>
        <v>Jordan Akins</v>
      </c>
      <c r="C24" s="59" t="s">
        <v>100</v>
      </c>
      <c r="D24" s="61">
        <f>CLE!C$23</f>
        <v>5</v>
      </c>
      <c r="E24" s="60">
        <f>CLE!L$23</f>
        <v>16.129574999999999</v>
      </c>
      <c r="F24" s="60">
        <f>CLE!M$23</f>
        <v>10.887463125</v>
      </c>
      <c r="G24" s="60">
        <f>CLE!N$23</f>
        <v>103.97527284375001</v>
      </c>
      <c r="H24" s="60">
        <f>CLE!O$23</f>
        <v>0.65324778750000001</v>
      </c>
      <c r="I24" s="60">
        <f t="shared" si="0"/>
        <v>14.317014009375001</v>
      </c>
      <c r="J24" s="60">
        <f t="shared" si="1"/>
        <v>19.760745571874999</v>
      </c>
      <c r="K24" s="60">
        <f t="shared" si="2"/>
        <v>25.204477134375001</v>
      </c>
      <c r="L24" s="95">
        <f>(TableTEMaster[[#This Row],[TGT]]*TARGETS)+(TableTEMaster[[#This Row],[REC]]*RECEPTIONS_TE)+(TableTEMaster[[#This Row],[RCYD]]*RECV_YARDS)+(TableTEMaster[[#This Row],[RCTD]]*RECV_TDS)</f>
        <v>19.760745571875002</v>
      </c>
      <c r="M24" s="96">
        <v>0</v>
      </c>
    </row>
    <row r="25" spans="1:13" x14ac:dyDescent="0.2">
      <c r="A25" s="59">
        <f>IF(TableTEMaster[[#This Row],[Player]]&lt;&gt;0,A24+1,A24)</f>
        <v>21</v>
      </c>
      <c r="B25" s="59">
        <f>CLE!A$24</f>
        <v>0</v>
      </c>
      <c r="C25" s="59" t="s">
        <v>100</v>
      </c>
      <c r="D25" s="61">
        <f>CLE!C$24</f>
        <v>5</v>
      </c>
      <c r="E25" s="60">
        <f>CLE!L$24</f>
        <v>0</v>
      </c>
      <c r="F25" s="60">
        <f>CLE!M$24</f>
        <v>0</v>
      </c>
      <c r="G25" s="60">
        <f>CLE!N$24</f>
        <v>0</v>
      </c>
      <c r="H25" s="60">
        <f>CLE!O$24</f>
        <v>0</v>
      </c>
      <c r="I25" s="60">
        <f t="shared" si="0"/>
        <v>0</v>
      </c>
      <c r="J25" s="60">
        <f t="shared" si="1"/>
        <v>0</v>
      </c>
      <c r="K25" s="60">
        <f t="shared" si="2"/>
        <v>0</v>
      </c>
      <c r="L25" s="95">
        <f>(TableTEMaster[[#This Row],[TGT]]*TARGETS)+(TableTEMaster[[#This Row],[REC]]*RECEPTIONS_TE)+(TableTEMaster[[#This Row],[RCYD]]*RECV_YARDS)+(TableTEMaster[[#This Row],[RCTD]]*RECV_TDS)</f>
        <v>0</v>
      </c>
      <c r="M25" s="96">
        <v>0</v>
      </c>
    </row>
    <row r="26" spans="1:13" x14ac:dyDescent="0.2">
      <c r="A26" s="59">
        <f>IF(TableTEMaster[[#This Row],[Player]]&lt;&gt;0,A25+1,A25)</f>
        <v>22</v>
      </c>
      <c r="B26" s="59" t="str">
        <f>DAL!A$22</f>
        <v>Jake Ferguson</v>
      </c>
      <c r="C26" s="59" t="s">
        <v>101</v>
      </c>
      <c r="D26" s="61">
        <f>DAL!C$22</f>
        <v>7</v>
      </c>
      <c r="E26" s="60">
        <f>DAL!L$22</f>
        <v>97.573190399999959</v>
      </c>
      <c r="F26" s="60">
        <f>DAL!M$22</f>
        <v>69.472111564799974</v>
      </c>
      <c r="G26" s="60">
        <f>DAL!N$22</f>
        <v>736.40438258687971</v>
      </c>
      <c r="H26" s="60">
        <f>DAL!O$22</f>
        <v>6.2524900408319972</v>
      </c>
      <c r="I26" s="60">
        <f t="shared" si="0"/>
        <v>111.15537850367994</v>
      </c>
      <c r="J26" s="60">
        <f t="shared" si="1"/>
        <v>145.89143428607991</v>
      </c>
      <c r="K26" s="60">
        <f t="shared" si="2"/>
        <v>180.62749006847991</v>
      </c>
      <c r="L26" s="95">
        <f>(TableTEMaster[[#This Row],[TGT]]*TARGETS)+(TableTEMaster[[#This Row],[REC]]*RECEPTIONS_TE)+(TableTEMaster[[#This Row],[RCYD]]*RECV_YARDS)+(TableTEMaster[[#This Row],[RCTD]]*RECV_TDS)</f>
        <v>145.89143428607994</v>
      </c>
      <c r="M26" s="96">
        <v>1.1488415014446289</v>
      </c>
    </row>
    <row r="27" spans="1:13" x14ac:dyDescent="0.2">
      <c r="A27" s="59">
        <f>IF(TableTEMaster[[#This Row],[Player]]&lt;&gt;0,A26+1,A26)</f>
        <v>23</v>
      </c>
      <c r="B27" s="59" t="str">
        <f>DAL!A$23</f>
        <v>Peyton Hendershot</v>
      </c>
      <c r="C27" s="59" t="s">
        <v>101</v>
      </c>
      <c r="D27" s="61">
        <f>DAL!C$23</f>
        <v>7</v>
      </c>
      <c r="E27" s="60">
        <f>DAL!L$23</f>
        <v>18.294973199999994</v>
      </c>
      <c r="F27" s="60">
        <f>DAL!M$23</f>
        <v>12.202747124399997</v>
      </c>
      <c r="G27" s="60">
        <f>DAL!N$23</f>
        <v>110.31283400457596</v>
      </c>
      <c r="H27" s="60">
        <f>DAL!O$23</f>
        <v>1.0128280113251997</v>
      </c>
      <c r="I27" s="60">
        <f t="shared" si="0"/>
        <v>17.108251468408795</v>
      </c>
      <c r="J27" s="60">
        <f t="shared" si="1"/>
        <v>23.209625030608795</v>
      </c>
      <c r="K27" s="60">
        <f t="shared" si="2"/>
        <v>29.310998592808794</v>
      </c>
      <c r="L27" s="95">
        <f>(TableTEMaster[[#This Row],[TGT]]*TARGETS)+(TableTEMaster[[#This Row],[REC]]*RECEPTIONS_TE)+(TableTEMaster[[#This Row],[RCYD]]*RECV_YARDS)+(TableTEMaster[[#This Row],[RCTD]]*RECV_TDS)</f>
        <v>23.209625030608795</v>
      </c>
      <c r="M27" s="96">
        <v>0</v>
      </c>
    </row>
    <row r="28" spans="1:13" x14ac:dyDescent="0.2">
      <c r="A28" s="59">
        <f>IF(TableTEMaster[[#This Row],[Player]]&lt;&gt;0,A27+1,A27)</f>
        <v>24</v>
      </c>
      <c r="B28" s="59" t="str">
        <f>DAL!A$24</f>
        <v>Luke Schoonmaker</v>
      </c>
      <c r="C28" s="59" t="s">
        <v>101</v>
      </c>
      <c r="D28" s="61">
        <f>DAL!C$24</f>
        <v>7</v>
      </c>
      <c r="E28" s="60">
        <f>DAL!L$24</f>
        <v>12.196648799999995</v>
      </c>
      <c r="F28" s="60">
        <f>DAL!M$24</f>
        <v>8.1351647495999977</v>
      </c>
      <c r="G28" s="60">
        <f>DAL!N$24</f>
        <v>80.700834316031973</v>
      </c>
      <c r="H28" s="60">
        <f>DAL!O$24</f>
        <v>0.67521867421679982</v>
      </c>
      <c r="I28" s="60">
        <f t="shared" si="0"/>
        <v>12.121395476903997</v>
      </c>
      <c r="J28" s="60">
        <f t="shared" si="1"/>
        <v>16.188977851703996</v>
      </c>
      <c r="K28" s="60">
        <f t="shared" si="2"/>
        <v>20.256560226503993</v>
      </c>
      <c r="L28" s="95">
        <f>(TableTEMaster[[#This Row],[TGT]]*TARGETS)+(TableTEMaster[[#This Row],[REC]]*RECEPTIONS_TE)+(TableTEMaster[[#This Row],[RCYD]]*RECV_YARDS)+(TableTEMaster[[#This Row],[RCTD]]*RECV_TDS)</f>
        <v>16.188977851703996</v>
      </c>
      <c r="M28" s="96">
        <v>0</v>
      </c>
    </row>
    <row r="29" spans="1:13" x14ac:dyDescent="0.2">
      <c r="A29" s="59">
        <f>IF(TableTEMaster[[#This Row],[Player]]&lt;&gt;0,A28+1,A28)</f>
        <v>25</v>
      </c>
      <c r="B29" s="59" t="str">
        <f>DEN!A$22</f>
        <v>Greg Dulcich</v>
      </c>
      <c r="C29" s="59" t="s">
        <v>102</v>
      </c>
      <c r="D29" s="61">
        <f>DEN!C$22</f>
        <v>9</v>
      </c>
      <c r="E29" s="60">
        <f>DEN!L$22</f>
        <v>45.669176</v>
      </c>
      <c r="F29" s="60">
        <f>DEN!M$22</f>
        <v>28.451896648000002</v>
      </c>
      <c r="G29" s="60">
        <f>DEN!N$22</f>
        <v>290.49386477608004</v>
      </c>
      <c r="H29" s="60">
        <f>DEN!O$22</f>
        <v>1.5648543156400001</v>
      </c>
      <c r="I29" s="60">
        <f t="shared" si="0"/>
        <v>38.438512371448006</v>
      </c>
      <c r="J29" s="60">
        <f t="shared" si="1"/>
        <v>52.664460695448007</v>
      </c>
      <c r="K29" s="60">
        <f t="shared" si="2"/>
        <v>66.890409019448015</v>
      </c>
      <c r="L29" s="95">
        <f>(TableTEMaster[[#This Row],[TGT]]*TARGETS)+(TableTEMaster[[#This Row],[REC]]*RECEPTIONS_TE)+(TableTEMaster[[#This Row],[RCYD]]*RECV_YARDS)+(TableTEMaster[[#This Row],[RCTD]]*RECV_TDS)</f>
        <v>52.664460695448014</v>
      </c>
      <c r="M29" s="96">
        <v>7.4353334434863179</v>
      </c>
    </row>
    <row r="30" spans="1:13" x14ac:dyDescent="0.2">
      <c r="A30" s="59">
        <f>IF(TableTEMaster[[#This Row],[Player]]&lt;&gt;0,A29+1,A29)</f>
        <v>26</v>
      </c>
      <c r="B30" s="59" t="str">
        <f>DEN!A$23</f>
        <v>Adam Trautman</v>
      </c>
      <c r="C30" s="59" t="s">
        <v>102</v>
      </c>
      <c r="D30" s="61">
        <f>DEN!C$23</f>
        <v>9</v>
      </c>
      <c r="E30" s="60">
        <f>DEN!L$23</f>
        <v>28.543234999999999</v>
      </c>
      <c r="F30" s="60">
        <f>DEN!M$23</f>
        <v>17.582632759999999</v>
      </c>
      <c r="G30" s="60">
        <f>DEN!N$23</f>
        <v>167.03501122</v>
      </c>
      <c r="H30" s="60">
        <f>DEN!O$23</f>
        <v>1.0549579655999999</v>
      </c>
      <c r="I30" s="60">
        <f t="shared" si="0"/>
        <v>23.033248915599998</v>
      </c>
      <c r="J30" s="60">
        <f t="shared" si="1"/>
        <v>31.824565295599996</v>
      </c>
      <c r="K30" s="60">
        <f t="shared" si="2"/>
        <v>40.615881675599994</v>
      </c>
      <c r="L30" s="95">
        <f>(TableTEMaster[[#This Row],[TGT]]*TARGETS)+(TableTEMaster[[#This Row],[REC]]*RECEPTIONS_TE)+(TableTEMaster[[#This Row],[RCYD]]*RECV_YARDS)+(TableTEMaster[[#This Row],[RCTD]]*RECV_TDS)</f>
        <v>31.824565295600003</v>
      </c>
      <c r="M30" s="96">
        <v>0</v>
      </c>
    </row>
    <row r="31" spans="1:13" x14ac:dyDescent="0.2">
      <c r="A31" s="59">
        <f>IF(TableTEMaster[[#This Row],[Player]]&lt;&gt;0,A30+1,A30)</f>
        <v>26</v>
      </c>
      <c r="B31" s="59">
        <f>DEN!A$24</f>
        <v>0</v>
      </c>
      <c r="C31" s="59" t="s">
        <v>102</v>
      </c>
      <c r="D31" s="61">
        <f>DEN!C$24</f>
        <v>9</v>
      </c>
      <c r="E31" s="60">
        <f>DEN!L$24</f>
        <v>0</v>
      </c>
      <c r="F31" s="60">
        <f>DEN!M$24</f>
        <v>0</v>
      </c>
      <c r="G31" s="60">
        <f>DEN!N$24</f>
        <v>0</v>
      </c>
      <c r="H31" s="60">
        <f>DEN!O$24</f>
        <v>0</v>
      </c>
      <c r="I31" s="60">
        <f t="shared" si="0"/>
        <v>0</v>
      </c>
      <c r="J31" s="60">
        <f t="shared" si="1"/>
        <v>0</v>
      </c>
      <c r="K31" s="60">
        <f t="shared" si="2"/>
        <v>0</v>
      </c>
      <c r="L31" s="95">
        <f>(TableTEMaster[[#This Row],[TGT]]*TARGETS)+(TableTEMaster[[#This Row],[REC]]*RECEPTIONS_TE)+(TableTEMaster[[#This Row],[RCYD]]*RECV_YARDS)+(TableTEMaster[[#This Row],[RCTD]]*RECV_TDS)</f>
        <v>0</v>
      </c>
      <c r="M31" s="96">
        <v>0</v>
      </c>
    </row>
    <row r="32" spans="1:13" x14ac:dyDescent="0.2">
      <c r="A32" s="59">
        <f>IF(TableTEMaster[[#This Row],[Player]]&lt;&gt;0,A31+1,A31)</f>
        <v>27</v>
      </c>
      <c r="B32" s="59" t="str">
        <f>DET!A$22</f>
        <v>Sam LaPorta</v>
      </c>
      <c r="C32" s="59" t="s">
        <v>103</v>
      </c>
      <c r="D32" s="61">
        <f>DET!C$22</f>
        <v>9</v>
      </c>
      <c r="E32" s="60">
        <f>DET!L$22</f>
        <v>121.49829299999996</v>
      </c>
      <c r="F32" s="60">
        <f>DET!M$22</f>
        <v>86.263788029999972</v>
      </c>
      <c r="G32" s="60">
        <f>DET!N$22</f>
        <v>898.00603339229974</v>
      </c>
      <c r="H32" s="60">
        <f>DET!O$22</f>
        <v>8.4538512269399977</v>
      </c>
      <c r="I32" s="60">
        <f t="shared" si="0"/>
        <v>140.52371070086997</v>
      </c>
      <c r="J32" s="60">
        <f t="shared" si="1"/>
        <v>183.65560471586997</v>
      </c>
      <c r="K32" s="60">
        <f t="shared" si="2"/>
        <v>226.78749873086994</v>
      </c>
      <c r="L32" s="95">
        <f>(TableTEMaster[[#This Row],[TGT]]*TARGETS)+(TableTEMaster[[#This Row],[REC]]*RECEPTIONS_TE)+(TableTEMaster[[#This Row],[RCYD]]*RECV_YARDS)+(TableTEMaster[[#This Row],[RCTD]]*RECV_TDS)</f>
        <v>183.65560471586994</v>
      </c>
      <c r="M32" s="96">
        <v>13.317786717850336</v>
      </c>
    </row>
    <row r="33" spans="1:13" x14ac:dyDescent="0.2">
      <c r="A33" s="59">
        <f>IF(TableTEMaster[[#This Row],[Player]]&lt;&gt;0,A32+1,A32)</f>
        <v>28</v>
      </c>
      <c r="B33" s="59" t="str">
        <f>DET!A$23</f>
        <v>James Mitchell</v>
      </c>
      <c r="C33" s="59" t="s">
        <v>103</v>
      </c>
      <c r="D33" s="61">
        <f>DET!C$23</f>
        <v>9</v>
      </c>
      <c r="E33" s="60">
        <f>DET!L$23</f>
        <v>14.816864999999996</v>
      </c>
      <c r="F33" s="60">
        <f>DET!M$23</f>
        <v>9.7346803049999977</v>
      </c>
      <c r="G33" s="60">
        <f>DET!N$23</f>
        <v>87.612122744999979</v>
      </c>
      <c r="H33" s="60">
        <f>DET!O$23</f>
        <v>0.6814276213499999</v>
      </c>
      <c r="I33" s="60">
        <f t="shared" si="0"/>
        <v>12.849778002599997</v>
      </c>
      <c r="J33" s="60">
        <f t="shared" si="1"/>
        <v>17.717118155099996</v>
      </c>
      <c r="K33" s="60">
        <f t="shared" si="2"/>
        <v>22.584458307599995</v>
      </c>
      <c r="L33" s="95">
        <f>(TableTEMaster[[#This Row],[TGT]]*TARGETS)+(TableTEMaster[[#This Row],[REC]]*RECEPTIONS_TE)+(TableTEMaster[[#This Row],[RCYD]]*RECV_YARDS)+(TableTEMaster[[#This Row],[RCTD]]*RECV_TDS)</f>
        <v>17.717118155099996</v>
      </c>
      <c r="M33" s="96">
        <v>0</v>
      </c>
    </row>
    <row r="34" spans="1:13" x14ac:dyDescent="0.2">
      <c r="A34" s="59">
        <f>IF(TableTEMaster[[#This Row],[Player]]&lt;&gt;0,A33+1,A33)</f>
        <v>29</v>
      </c>
      <c r="B34" s="59" t="str">
        <f>DET!A$24</f>
        <v>Brock Wright</v>
      </c>
      <c r="C34" s="59" t="s">
        <v>103</v>
      </c>
      <c r="D34" s="61">
        <f>DET!C$24</f>
        <v>9</v>
      </c>
      <c r="E34" s="60">
        <f>DET!L$24</f>
        <v>11.853491999999997</v>
      </c>
      <c r="F34" s="60">
        <f>DET!M$24</f>
        <v>7.8470117039999989</v>
      </c>
      <c r="G34" s="60">
        <f>DET!N$24</f>
        <v>71.643216857520002</v>
      </c>
      <c r="H34" s="60">
        <f>DET!O$24</f>
        <v>0.54929081928000001</v>
      </c>
      <c r="I34" s="60">
        <f t="shared" ref="I34:I65" si="3">(G34/10)+(H34*6)</f>
        <v>10.460066601432001</v>
      </c>
      <c r="J34" s="60">
        <f t="shared" ref="J34:J65" si="4">I34+(F34*0.5)</f>
        <v>14.383572453432</v>
      </c>
      <c r="K34" s="60">
        <f t="shared" ref="K34:K65" si="5">I34+F34</f>
        <v>18.307078305432</v>
      </c>
      <c r="L34" s="95">
        <f>(TableTEMaster[[#This Row],[TGT]]*TARGETS)+(TableTEMaster[[#This Row],[REC]]*RECEPTIONS_TE)+(TableTEMaster[[#This Row],[RCYD]]*RECV_YARDS)+(TableTEMaster[[#This Row],[RCTD]]*RECV_TDS)</f>
        <v>14.383572453432</v>
      </c>
      <c r="M34" s="96">
        <v>0</v>
      </c>
    </row>
    <row r="35" spans="1:13" x14ac:dyDescent="0.2">
      <c r="A35" s="59">
        <f>IF(TableTEMaster[[#This Row],[Player]]&lt;&gt;0,A34+1,A34)</f>
        <v>30</v>
      </c>
      <c r="B35" s="59" t="str">
        <f>GB!A$22</f>
        <v>Luke Musgrave</v>
      </c>
      <c r="C35" s="59" t="s">
        <v>104</v>
      </c>
      <c r="D35" s="61">
        <f>GB!C$22</f>
        <v>6</v>
      </c>
      <c r="E35" s="60">
        <f>GB!L$22</f>
        <v>68.424384000000003</v>
      </c>
      <c r="F35" s="60">
        <f>GB!M$22</f>
        <v>48.718161408</v>
      </c>
      <c r="G35" s="60">
        <f>GB!N$22</f>
        <v>536.87413871616002</v>
      </c>
      <c r="H35" s="60">
        <f>GB!O$22</f>
        <v>3.6538621056</v>
      </c>
      <c r="I35" s="60">
        <f t="shared" si="3"/>
        <v>75.610586505216006</v>
      </c>
      <c r="J35" s="60">
        <f t="shared" si="4"/>
        <v>99.969667209215999</v>
      </c>
      <c r="K35" s="60">
        <f t="shared" si="5"/>
        <v>124.32874791321601</v>
      </c>
      <c r="L35" s="95">
        <f>(TableTEMaster[[#This Row],[TGT]]*TARGETS)+(TableTEMaster[[#This Row],[REC]]*RECEPTIONS_TE)+(TableTEMaster[[#This Row],[RCYD]]*RECV_YARDS)+(TableTEMaster[[#This Row],[RCTD]]*RECV_TDS)</f>
        <v>99.969667209216013</v>
      </c>
      <c r="M35" s="96">
        <v>4.8807128154445154</v>
      </c>
    </row>
    <row r="36" spans="1:13" x14ac:dyDescent="0.2">
      <c r="A36" s="59">
        <f>IF(TableTEMaster[[#This Row],[Player]]&lt;&gt;0,A35+1,A35)</f>
        <v>31</v>
      </c>
      <c r="B36" s="59" t="str">
        <f>GB!A$23</f>
        <v>Tucker Kraft</v>
      </c>
      <c r="C36" s="59" t="s">
        <v>104</v>
      </c>
      <c r="D36" s="61">
        <f>GB!C$23</f>
        <v>6</v>
      </c>
      <c r="E36" s="60">
        <f>GB!L$23</f>
        <v>45.616256</v>
      </c>
      <c r="F36" s="60">
        <f>GB!M$23</f>
        <v>33.345483135999999</v>
      </c>
      <c r="G36" s="60">
        <f>GB!N$23</f>
        <v>343.79193113216002</v>
      </c>
      <c r="H36" s="60">
        <f>GB!O$23</f>
        <v>2.6676386508799999</v>
      </c>
      <c r="I36" s="60">
        <f t="shared" si="3"/>
        <v>50.385025018496002</v>
      </c>
      <c r="J36" s="60">
        <f t="shared" si="4"/>
        <v>67.057766586496001</v>
      </c>
      <c r="K36" s="60">
        <f t="shared" si="5"/>
        <v>83.730508154495993</v>
      </c>
      <c r="L36" s="95">
        <f>(TableTEMaster[[#This Row],[TGT]]*TARGETS)+(TableTEMaster[[#This Row],[REC]]*RECEPTIONS_TE)+(TableTEMaster[[#This Row],[RCYD]]*RECV_YARDS)+(TableTEMaster[[#This Row],[RCTD]]*RECV_TDS)</f>
        <v>67.057766586496001</v>
      </c>
      <c r="M36" s="96">
        <v>0</v>
      </c>
    </row>
    <row r="37" spans="1:13" x14ac:dyDescent="0.2">
      <c r="A37" s="59">
        <f>IF(TableTEMaster[[#This Row],[Player]]&lt;&gt;0,A36+1,A36)</f>
        <v>31</v>
      </c>
      <c r="B37" s="59">
        <f>GB!A$24</f>
        <v>0</v>
      </c>
      <c r="C37" s="59" t="s">
        <v>104</v>
      </c>
      <c r="D37" s="61">
        <f>GB!C$24</f>
        <v>6</v>
      </c>
      <c r="E37" s="60">
        <f>GB!L$24</f>
        <v>0</v>
      </c>
      <c r="F37" s="60">
        <f>GB!M$24</f>
        <v>0</v>
      </c>
      <c r="G37" s="60">
        <f>GB!N$24</f>
        <v>0</v>
      </c>
      <c r="H37" s="60">
        <f>GB!O$24</f>
        <v>0</v>
      </c>
      <c r="I37" s="60">
        <f t="shared" si="3"/>
        <v>0</v>
      </c>
      <c r="J37" s="60">
        <f t="shared" si="4"/>
        <v>0</v>
      </c>
      <c r="K37" s="60">
        <f t="shared" si="5"/>
        <v>0</v>
      </c>
      <c r="L37" s="95">
        <f>(TableTEMaster[[#This Row],[TGT]]*TARGETS)+(TableTEMaster[[#This Row],[REC]]*RECEPTIONS_TE)+(TableTEMaster[[#This Row],[RCYD]]*RECV_YARDS)+(TableTEMaster[[#This Row],[RCTD]]*RECV_TDS)</f>
        <v>0</v>
      </c>
      <c r="M37" s="96">
        <v>0</v>
      </c>
    </row>
    <row r="38" spans="1:13" x14ac:dyDescent="0.2">
      <c r="A38" s="59">
        <f>IF(TableTEMaster[[#This Row],[Player]]&lt;&gt;0,A37+1,A37)</f>
        <v>32</v>
      </c>
      <c r="B38" s="59" t="str">
        <f>HOU!A$22</f>
        <v>Dalton Schultz</v>
      </c>
      <c r="C38" s="59" t="s">
        <v>105</v>
      </c>
      <c r="D38" s="61">
        <f>HOU!C$22</f>
        <v>7</v>
      </c>
      <c r="E38" s="60">
        <f>HOU!L$22</f>
        <v>61.306918399999994</v>
      </c>
      <c r="F38" s="60">
        <f>HOU!M$22</f>
        <v>41.8113183488</v>
      </c>
      <c r="G38" s="60">
        <f>HOU!N$22</f>
        <v>450.72601180006399</v>
      </c>
      <c r="H38" s="60">
        <f>HOU!O$22</f>
        <v>3.4703394229504001</v>
      </c>
      <c r="I38" s="60">
        <f t="shared" si="3"/>
        <v>65.894637717708804</v>
      </c>
      <c r="J38" s="60">
        <f t="shared" si="4"/>
        <v>86.800296892108804</v>
      </c>
      <c r="K38" s="60">
        <f t="shared" si="5"/>
        <v>107.7059560665088</v>
      </c>
      <c r="L38" s="95">
        <f>(TableTEMaster[[#This Row],[TGT]]*TARGETS)+(TableTEMaster[[#This Row],[REC]]*RECEPTIONS_TE)+(TableTEMaster[[#This Row],[RCYD]]*RECV_YARDS)+(TableTEMaster[[#This Row],[RCTD]]*RECV_TDS)</f>
        <v>86.800296892108804</v>
      </c>
      <c r="M38" s="96">
        <v>0</v>
      </c>
    </row>
    <row r="39" spans="1:13" x14ac:dyDescent="0.2">
      <c r="A39" s="59">
        <f>IF(TableTEMaster[[#This Row],[Player]]&lt;&gt;0,A38+1,A38)</f>
        <v>33</v>
      </c>
      <c r="B39" s="59" t="str">
        <f>HOU!A$23</f>
        <v>Cade Stover</v>
      </c>
      <c r="C39" s="59" t="s">
        <v>105</v>
      </c>
      <c r="D39" s="61">
        <f>HOU!C$23</f>
        <v>7</v>
      </c>
      <c r="E39" s="60">
        <f>HOU!L$23</f>
        <v>17.856383999999998</v>
      </c>
      <c r="F39" s="60">
        <f>HOU!M$23</f>
        <v>12.017346432</v>
      </c>
      <c r="G39" s="60">
        <f>HOU!N$23</f>
        <v>124.9804028928</v>
      </c>
      <c r="H39" s="60">
        <f>HOU!O$23</f>
        <v>0.84121425024000007</v>
      </c>
      <c r="I39" s="60">
        <f t="shared" si="3"/>
        <v>17.54532579072</v>
      </c>
      <c r="J39" s="60">
        <f t="shared" si="4"/>
        <v>23.553999006719998</v>
      </c>
      <c r="K39" s="60">
        <f t="shared" si="5"/>
        <v>29.56267222272</v>
      </c>
      <c r="L39" s="95">
        <f>(TableTEMaster[[#This Row],[TGT]]*TARGETS)+(TableTEMaster[[#This Row],[REC]]*RECEPTIONS_TE)+(TableTEMaster[[#This Row],[RCYD]]*RECV_YARDS)+(TableTEMaster[[#This Row],[RCTD]]*RECV_TDS)</f>
        <v>23.553999006720002</v>
      </c>
      <c r="M39" s="96">
        <v>0</v>
      </c>
    </row>
    <row r="40" spans="1:13" x14ac:dyDescent="0.2">
      <c r="A40" s="59">
        <f>IF(TableTEMaster[[#This Row],[Player]]&lt;&gt;0,A39+1,A39)</f>
        <v>34</v>
      </c>
      <c r="B40" s="59" t="str">
        <f>HOU!A$24</f>
        <v>Brevin Jordan</v>
      </c>
      <c r="C40" s="59" t="s">
        <v>105</v>
      </c>
      <c r="D40" s="61">
        <f>HOU!C$24</f>
        <v>7</v>
      </c>
      <c r="E40" s="60">
        <f>HOU!L$24</f>
        <v>11.904256</v>
      </c>
      <c r="F40" s="60">
        <f>HOU!M$24</f>
        <v>8.1425111040000004</v>
      </c>
      <c r="G40" s="60">
        <f>HOU!N$24</f>
        <v>81.913661706240006</v>
      </c>
      <c r="H40" s="60">
        <f>HOU!O$24</f>
        <v>0.56997577728000004</v>
      </c>
      <c r="I40" s="60">
        <f t="shared" si="3"/>
        <v>11.611220834304001</v>
      </c>
      <c r="J40" s="60">
        <f t="shared" si="4"/>
        <v>15.682476386304002</v>
      </c>
      <c r="K40" s="60">
        <f t="shared" si="5"/>
        <v>19.753731938304</v>
      </c>
      <c r="L40" s="95">
        <f>(TableTEMaster[[#This Row],[TGT]]*TARGETS)+(TableTEMaster[[#This Row],[REC]]*RECEPTIONS_TE)+(TableTEMaster[[#This Row],[RCYD]]*RECV_YARDS)+(TableTEMaster[[#This Row],[RCTD]]*RECV_TDS)</f>
        <v>15.682476386304002</v>
      </c>
      <c r="M40" s="96">
        <v>0</v>
      </c>
    </row>
    <row r="41" spans="1:13" x14ac:dyDescent="0.2">
      <c r="A41" s="59">
        <f>IF(TableTEMaster[[#This Row],[Player]]&lt;&gt;0,A40+1,A40)</f>
        <v>35</v>
      </c>
      <c r="B41" s="59" t="str">
        <f>IND!A$22</f>
        <v>Mo Alie-Cox</v>
      </c>
      <c r="C41" s="59" t="s">
        <v>106</v>
      </c>
      <c r="D41" s="61">
        <f>IND!C$22</f>
        <v>11</v>
      </c>
      <c r="E41" s="60">
        <f>IND!L$22</f>
        <v>26.831420000000001</v>
      </c>
      <c r="F41" s="60">
        <f>IND!M$22</f>
        <v>16.447660460000002</v>
      </c>
      <c r="G41" s="60">
        <f>IND!N$22</f>
        <v>199.83907458900003</v>
      </c>
      <c r="H41" s="60">
        <f>IND!O$22</f>
        <v>1.3980511391000003</v>
      </c>
      <c r="I41" s="60">
        <f t="shared" si="3"/>
        <v>28.372214293500004</v>
      </c>
      <c r="J41" s="60">
        <f t="shared" si="4"/>
        <v>36.596044523500005</v>
      </c>
      <c r="K41" s="60">
        <f t="shared" si="5"/>
        <v>44.819874753500002</v>
      </c>
      <c r="L41" s="95">
        <f>(TableTEMaster[[#This Row],[TGT]]*TARGETS)+(TableTEMaster[[#This Row],[REC]]*RECEPTIONS_TE)+(TableTEMaster[[#This Row],[RCYD]]*RECV_YARDS)+(TableTEMaster[[#This Row],[RCTD]]*RECV_TDS)</f>
        <v>36.596044523500012</v>
      </c>
      <c r="M41" s="96">
        <v>0</v>
      </c>
    </row>
    <row r="42" spans="1:13" x14ac:dyDescent="0.2">
      <c r="A42" s="59">
        <f>IF(TableTEMaster[[#This Row],[Player]]&lt;&gt;0,A41+1,A41)</f>
        <v>36</v>
      </c>
      <c r="B42" s="59" t="str">
        <f>IND!A$23</f>
        <v>Kylen Granson</v>
      </c>
      <c r="C42" s="59" t="s">
        <v>106</v>
      </c>
      <c r="D42" s="61">
        <f>IND!C$23</f>
        <v>11</v>
      </c>
      <c r="E42" s="60">
        <f>IND!L$23</f>
        <v>10.732568000000001</v>
      </c>
      <c r="F42" s="60">
        <f>IND!M$23</f>
        <v>6.6219944560000004</v>
      </c>
      <c r="G42" s="60">
        <f>IND!N$23</f>
        <v>78.139534580800003</v>
      </c>
      <c r="H42" s="60">
        <f>IND!O$23</f>
        <v>0.46353961192000009</v>
      </c>
      <c r="I42" s="60">
        <f t="shared" si="3"/>
        <v>10.5951911296</v>
      </c>
      <c r="J42" s="60">
        <f t="shared" si="4"/>
        <v>13.9061883576</v>
      </c>
      <c r="K42" s="60">
        <f t="shared" si="5"/>
        <v>17.217185585599999</v>
      </c>
      <c r="L42" s="95">
        <f>(TableTEMaster[[#This Row],[TGT]]*TARGETS)+(TableTEMaster[[#This Row],[REC]]*RECEPTIONS_TE)+(TableTEMaster[[#This Row],[RCYD]]*RECV_YARDS)+(TableTEMaster[[#This Row],[RCTD]]*RECV_TDS)</f>
        <v>13.906188357600001</v>
      </c>
      <c r="M42" s="96">
        <v>0</v>
      </c>
    </row>
    <row r="43" spans="1:13" x14ac:dyDescent="0.2">
      <c r="A43" s="59">
        <f>IF(TableTEMaster[[#This Row],[Player]]&lt;&gt;0,A42+1,A42)</f>
        <v>37</v>
      </c>
      <c r="B43" s="59" t="str">
        <f>IND!A$24</f>
        <v>Jelani Woods</v>
      </c>
      <c r="C43" s="59" t="s">
        <v>106</v>
      </c>
      <c r="D43" s="61">
        <f>IND!C$24</f>
        <v>11</v>
      </c>
      <c r="E43" s="60">
        <f>IND!L$24</f>
        <v>64.395408000000003</v>
      </c>
      <c r="F43" s="60">
        <f>IND!M$24</f>
        <v>38.894826432000002</v>
      </c>
      <c r="G43" s="60">
        <f>IND!N$24</f>
        <v>471.79424462016004</v>
      </c>
      <c r="H43" s="60">
        <f>IND!O$24</f>
        <v>3.8894826432000005</v>
      </c>
      <c r="I43" s="60">
        <f t="shared" si="3"/>
        <v>70.516320321216</v>
      </c>
      <c r="J43" s="60">
        <f t="shared" si="4"/>
        <v>89.963733537216001</v>
      </c>
      <c r="K43" s="60">
        <f t="shared" si="5"/>
        <v>109.411146753216</v>
      </c>
      <c r="L43" s="95">
        <f>(TableTEMaster[[#This Row],[TGT]]*TARGETS)+(TableTEMaster[[#This Row],[REC]]*RECEPTIONS_TE)+(TableTEMaster[[#This Row],[RCYD]]*RECV_YARDS)+(TableTEMaster[[#This Row],[RCTD]]*RECV_TDS)</f>
        <v>89.963733537216015</v>
      </c>
      <c r="M43" s="96">
        <v>0</v>
      </c>
    </row>
    <row r="44" spans="1:13" x14ac:dyDescent="0.2">
      <c r="A44" s="59">
        <f>IF(TableTEMaster[[#This Row],[Player]]&lt;&gt;0,A43+1,A43)</f>
        <v>38</v>
      </c>
      <c r="B44" s="59" t="str">
        <f>JAX!A$22</f>
        <v>Evan Engram</v>
      </c>
      <c r="C44" s="59" t="s">
        <v>124</v>
      </c>
      <c r="D44" s="61">
        <f>JAX!C$22</f>
        <v>9</v>
      </c>
      <c r="E44" s="60">
        <f>JAX!L$22</f>
        <v>108.76647599999997</v>
      </c>
      <c r="F44" s="60">
        <f>JAX!M$22</f>
        <v>79.617060431999974</v>
      </c>
      <c r="G44" s="60">
        <f>JAX!N$22</f>
        <v>745.21568564351969</v>
      </c>
      <c r="H44" s="60">
        <f>JAX!O$22</f>
        <v>4.7770236259199983</v>
      </c>
      <c r="I44" s="60">
        <f t="shared" si="3"/>
        <v>103.18371031987195</v>
      </c>
      <c r="J44" s="60">
        <f t="shared" si="4"/>
        <v>142.99224053587193</v>
      </c>
      <c r="K44" s="60">
        <f t="shared" si="5"/>
        <v>182.80077075187194</v>
      </c>
      <c r="L44" s="95">
        <f>(TableTEMaster[[#This Row],[TGT]]*TARGETS)+(TableTEMaster[[#This Row],[REC]]*RECEPTIONS_TE)+(TableTEMaster[[#This Row],[RCYD]]*RECV_YARDS)+(TableTEMaster[[#This Row],[RCTD]]*RECV_TDS)</f>
        <v>142.99224053587196</v>
      </c>
      <c r="M44" s="96">
        <v>0</v>
      </c>
    </row>
    <row r="45" spans="1:13" x14ac:dyDescent="0.2">
      <c r="A45" s="59">
        <f>IF(TableTEMaster[[#This Row],[Player]]&lt;&gt;0,A44+1,A44)</f>
        <v>39</v>
      </c>
      <c r="B45" s="59" t="str">
        <f>JAX!A$23</f>
        <v>Luke Farrell</v>
      </c>
      <c r="C45" s="59" t="s">
        <v>124</v>
      </c>
      <c r="D45" s="61">
        <f>JAX!C$23</f>
        <v>9</v>
      </c>
      <c r="E45" s="60">
        <f>JAX!L$23</f>
        <v>12.085163999999995</v>
      </c>
      <c r="F45" s="60">
        <f>JAX!M$23</f>
        <v>8.2179115199999977</v>
      </c>
      <c r="G45" s="60">
        <f>JAX!N$23</f>
        <v>73.961203679999983</v>
      </c>
      <c r="H45" s="60">
        <f>JAX!O$23</f>
        <v>0.53416424879999991</v>
      </c>
      <c r="I45" s="60">
        <f t="shared" si="3"/>
        <v>10.601105860799997</v>
      </c>
      <c r="J45" s="60">
        <f t="shared" si="4"/>
        <v>14.710061620799996</v>
      </c>
      <c r="K45" s="60">
        <f t="shared" si="5"/>
        <v>18.819017380799995</v>
      </c>
      <c r="L45" s="95">
        <f>(TableTEMaster[[#This Row],[TGT]]*TARGETS)+(TableTEMaster[[#This Row],[REC]]*RECEPTIONS_TE)+(TableTEMaster[[#This Row],[RCYD]]*RECV_YARDS)+(TableTEMaster[[#This Row],[RCTD]]*RECV_TDS)</f>
        <v>14.710061620799998</v>
      </c>
      <c r="M45" s="96">
        <v>0</v>
      </c>
    </row>
    <row r="46" spans="1:13" x14ac:dyDescent="0.2">
      <c r="A46" s="59">
        <f>IF(TableTEMaster[[#This Row],[Player]]&lt;&gt;0,A45+1,A45)</f>
        <v>40</v>
      </c>
      <c r="B46" s="59" t="str">
        <f>JAX!A$24</f>
        <v>Brenton Strange</v>
      </c>
      <c r="C46" s="59" t="s">
        <v>124</v>
      </c>
      <c r="D46" s="61">
        <f>JAX!C$24</f>
        <v>9</v>
      </c>
      <c r="E46" s="60">
        <f>JAX!L$24</f>
        <v>18.127745999999991</v>
      </c>
      <c r="F46" s="60">
        <f>JAX!M$24</f>
        <v>12.018695597999995</v>
      </c>
      <c r="G46" s="60">
        <f>JAX!N$24</f>
        <v>114.41798209295995</v>
      </c>
      <c r="H46" s="60">
        <f>JAX!O$24</f>
        <v>0.7812152138699997</v>
      </c>
      <c r="I46" s="60">
        <f t="shared" si="3"/>
        <v>16.129089492515995</v>
      </c>
      <c r="J46" s="60">
        <f t="shared" si="4"/>
        <v>22.138437291515991</v>
      </c>
      <c r="K46" s="60">
        <f t="shared" si="5"/>
        <v>28.147785090515988</v>
      </c>
      <c r="L46" s="95">
        <f>(TableTEMaster[[#This Row],[TGT]]*TARGETS)+(TableTEMaster[[#This Row],[REC]]*RECEPTIONS_TE)+(TableTEMaster[[#This Row],[RCYD]]*RECV_YARDS)+(TableTEMaster[[#This Row],[RCTD]]*RECV_TDS)</f>
        <v>22.138437291515991</v>
      </c>
      <c r="M46" s="96">
        <v>0</v>
      </c>
    </row>
    <row r="47" spans="1:13" x14ac:dyDescent="0.2">
      <c r="A47" s="59">
        <f>IF(TableTEMaster[[#This Row],[Player]]&lt;&gt;0,A46+1,A46)</f>
        <v>41</v>
      </c>
      <c r="B47" s="59" t="str">
        <f>KC!A$22</f>
        <v>Travis Kelce</v>
      </c>
      <c r="C47" s="59" t="s">
        <v>108</v>
      </c>
      <c r="D47" s="61">
        <f>KC!C$22</f>
        <v>10</v>
      </c>
      <c r="E47" s="60">
        <f>KC!L$22</f>
        <v>122.91551999999994</v>
      </c>
      <c r="F47" s="60">
        <f>KC!M$22</f>
        <v>91.326231359999952</v>
      </c>
      <c r="G47" s="60">
        <f>KC!N$22</f>
        <v>974.4508886111995</v>
      </c>
      <c r="H47" s="60">
        <f>KC!O$22</f>
        <v>7.945382128319995</v>
      </c>
      <c r="I47" s="60">
        <f t="shared" si="3"/>
        <v>145.11738163103993</v>
      </c>
      <c r="J47" s="60">
        <f t="shared" si="4"/>
        <v>190.78049731103991</v>
      </c>
      <c r="K47" s="60">
        <f t="shared" si="5"/>
        <v>236.44361299103988</v>
      </c>
      <c r="L47" s="95">
        <f>(TableTEMaster[[#This Row],[TGT]]*TARGETS)+(TableTEMaster[[#This Row],[REC]]*RECEPTIONS_TE)+(TableTEMaster[[#This Row],[RCYD]]*RECV_YARDS)+(TableTEMaster[[#This Row],[RCTD]]*RECV_TDS)</f>
        <v>190.78049731103991</v>
      </c>
      <c r="M47" s="96">
        <v>30</v>
      </c>
    </row>
    <row r="48" spans="1:13" x14ac:dyDescent="0.2">
      <c r="A48" s="59">
        <f>IF(TableTEMaster[[#This Row],[Player]]&lt;&gt;0,A47+1,A47)</f>
        <v>42</v>
      </c>
      <c r="B48" s="59" t="str">
        <f>KC!A$23</f>
        <v>Irv Smith</v>
      </c>
      <c r="C48" s="59" t="s">
        <v>108</v>
      </c>
      <c r="D48" s="61">
        <f>KC!C$23</f>
        <v>10</v>
      </c>
      <c r="E48" s="60">
        <f>KC!L$23</f>
        <v>18.910079999999994</v>
      </c>
      <c r="F48" s="60">
        <f>KC!M$23</f>
        <v>13.369426559999996</v>
      </c>
      <c r="G48" s="60">
        <f>KC!N$23</f>
        <v>131.55515735039995</v>
      </c>
      <c r="H48" s="60">
        <f>KC!O$23</f>
        <v>0.97596813887999956</v>
      </c>
      <c r="I48" s="60">
        <f t="shared" si="3"/>
        <v>19.011324568319992</v>
      </c>
      <c r="J48" s="60">
        <f t="shared" si="4"/>
        <v>25.696037848319989</v>
      </c>
      <c r="K48" s="60">
        <f t="shared" si="5"/>
        <v>32.380751128319986</v>
      </c>
      <c r="L48" s="95">
        <f>(TableTEMaster[[#This Row],[TGT]]*TARGETS)+(TableTEMaster[[#This Row],[REC]]*RECEPTIONS_TE)+(TableTEMaster[[#This Row],[RCYD]]*RECV_YARDS)+(TableTEMaster[[#This Row],[RCTD]]*RECV_TDS)</f>
        <v>25.696037848319992</v>
      </c>
      <c r="M48" s="96">
        <v>0</v>
      </c>
    </row>
    <row r="49" spans="1:13" x14ac:dyDescent="0.2">
      <c r="A49" s="59">
        <f>IF(TableTEMaster[[#This Row],[Player]]&lt;&gt;0,A48+1,A48)</f>
        <v>43</v>
      </c>
      <c r="B49" s="59" t="str">
        <f>KC!A$24</f>
        <v>Noah Gray</v>
      </c>
      <c r="C49" s="59" t="s">
        <v>108</v>
      </c>
      <c r="D49" s="61">
        <f>KC!C$24</f>
        <v>10</v>
      </c>
      <c r="E49" s="60">
        <f>KC!L$24</f>
        <v>12.606719999999996</v>
      </c>
      <c r="F49" s="60">
        <f>KC!M$24</f>
        <v>9.0138047999999973</v>
      </c>
      <c r="G49" s="60">
        <f>KC!N$24</f>
        <v>94.644950399999971</v>
      </c>
      <c r="H49" s="60">
        <f>KC!O$24</f>
        <v>0.61293872639999991</v>
      </c>
      <c r="I49" s="60">
        <f t="shared" si="3"/>
        <v>13.142127398399996</v>
      </c>
      <c r="J49" s="60">
        <f t="shared" si="4"/>
        <v>17.649029798399994</v>
      </c>
      <c r="K49" s="60">
        <f t="shared" si="5"/>
        <v>22.155932198399995</v>
      </c>
      <c r="L49" s="95">
        <f>(TableTEMaster[[#This Row],[TGT]]*TARGETS)+(TableTEMaster[[#This Row],[REC]]*RECEPTIONS_TE)+(TableTEMaster[[#This Row],[RCYD]]*RECV_YARDS)+(TableTEMaster[[#This Row],[RCTD]]*RECV_TDS)</f>
        <v>17.649029798399997</v>
      </c>
      <c r="M49" s="96">
        <v>0</v>
      </c>
    </row>
    <row r="50" spans="1:13" x14ac:dyDescent="0.2">
      <c r="A50" s="59">
        <f>IF(TableTEMaster[[#This Row],[Player]]&lt;&gt;0,A49+1,A49)</f>
        <v>44</v>
      </c>
      <c r="B50" s="59" t="str">
        <f>LAC!A$22</f>
        <v>Will Dissly</v>
      </c>
      <c r="C50" s="59" t="s">
        <v>109</v>
      </c>
      <c r="D50" s="61">
        <f>LAC!C$22</f>
        <v>5</v>
      </c>
      <c r="E50" s="60">
        <f>LAC!L$22</f>
        <v>41.877139499999991</v>
      </c>
      <c r="F50" s="60">
        <f>LAC!M$22</f>
        <v>30.109663300499992</v>
      </c>
      <c r="G50" s="60">
        <f>LAC!N$22</f>
        <v>301.99992290401491</v>
      </c>
      <c r="H50" s="60">
        <f>LAC!O$22</f>
        <v>2.4087730640399996</v>
      </c>
      <c r="I50" s="60">
        <f t="shared" si="3"/>
        <v>44.652630674641486</v>
      </c>
      <c r="J50" s="60">
        <f t="shared" si="4"/>
        <v>59.70746232489148</v>
      </c>
      <c r="K50" s="60">
        <f t="shared" si="5"/>
        <v>74.762293975141475</v>
      </c>
      <c r="L50" s="95">
        <f>(TableTEMaster[[#This Row],[TGT]]*TARGETS)+(TableTEMaster[[#This Row],[REC]]*RECEPTIONS_TE)+(TableTEMaster[[#This Row],[RCYD]]*RECV_YARDS)+(TableTEMaster[[#This Row],[RCTD]]*RECV_TDS)</f>
        <v>59.707462324891488</v>
      </c>
      <c r="M50" s="96">
        <v>0</v>
      </c>
    </row>
    <row r="51" spans="1:13" x14ac:dyDescent="0.2">
      <c r="A51" s="59">
        <f>IF(TableTEMaster[[#This Row],[Player]]&lt;&gt;0,A50+1,A50)</f>
        <v>45</v>
      </c>
      <c r="B51" s="59" t="str">
        <f>LAC!A$23</f>
        <v>Hayden Hurst</v>
      </c>
      <c r="C51" s="59" t="s">
        <v>109</v>
      </c>
      <c r="D51" s="61">
        <f>LAC!C$23</f>
        <v>5</v>
      </c>
      <c r="E51" s="60">
        <f>LAC!L$23</f>
        <v>19.542665100000001</v>
      </c>
      <c r="F51" s="60">
        <f>LAC!M$23</f>
        <v>12.995872291500001</v>
      </c>
      <c r="G51" s="60">
        <f>LAC!N$23</f>
        <v>128.65913568585003</v>
      </c>
      <c r="H51" s="60">
        <f>LAC!O$23</f>
        <v>0.9746904218625001</v>
      </c>
      <c r="I51" s="60">
        <f t="shared" si="3"/>
        <v>18.714056099760004</v>
      </c>
      <c r="J51" s="60">
        <f t="shared" si="4"/>
        <v>25.211992245510004</v>
      </c>
      <c r="K51" s="60">
        <f t="shared" si="5"/>
        <v>31.709928391260007</v>
      </c>
      <c r="L51" s="95">
        <f>(TableTEMaster[[#This Row],[TGT]]*TARGETS)+(TableTEMaster[[#This Row],[REC]]*RECEPTIONS_TE)+(TableTEMaster[[#This Row],[RCYD]]*RECV_YARDS)+(TableTEMaster[[#This Row],[RCTD]]*RECV_TDS)</f>
        <v>25.211992245510004</v>
      </c>
      <c r="M51" s="96">
        <v>0</v>
      </c>
    </row>
    <row r="52" spans="1:13" x14ac:dyDescent="0.2">
      <c r="A52" s="59">
        <f>IF(TableTEMaster[[#This Row],[Player]]&lt;&gt;0,A51+1,A51)</f>
        <v>46</v>
      </c>
      <c r="B52" s="59" t="str">
        <f>LAC!A$24</f>
        <v>Donald Parham</v>
      </c>
      <c r="C52" s="59" t="s">
        <v>109</v>
      </c>
      <c r="D52" s="61">
        <f>LAC!C$24</f>
        <v>5</v>
      </c>
      <c r="E52" s="60">
        <f>LAC!L$24</f>
        <v>30.709902299999992</v>
      </c>
      <c r="F52" s="60">
        <f>LAC!M$24</f>
        <v>21.589061316899993</v>
      </c>
      <c r="G52" s="60">
        <f>LAC!N$24</f>
        <v>226.68514382744993</v>
      </c>
      <c r="H52" s="60">
        <f>LAC!O$24</f>
        <v>2.2668514382744993</v>
      </c>
      <c r="I52" s="60">
        <f t="shared" si="3"/>
        <v>36.269623012391989</v>
      </c>
      <c r="J52" s="60">
        <f t="shared" si="4"/>
        <v>47.064153670841989</v>
      </c>
      <c r="K52" s="60">
        <f t="shared" si="5"/>
        <v>57.858684329291982</v>
      </c>
      <c r="L52" s="95">
        <f>(TableTEMaster[[#This Row],[TGT]]*TARGETS)+(TableTEMaster[[#This Row],[REC]]*RECEPTIONS_TE)+(TableTEMaster[[#This Row],[RCYD]]*RECV_YARDS)+(TableTEMaster[[#This Row],[RCTD]]*RECV_TDS)</f>
        <v>47.064153670841982</v>
      </c>
      <c r="M52" s="96">
        <v>0</v>
      </c>
    </row>
    <row r="53" spans="1:13" x14ac:dyDescent="0.2">
      <c r="A53" s="59">
        <f>IF(TableTEMaster[[#This Row],[Player]]&lt;&gt;0,A52+1,A52)</f>
        <v>47</v>
      </c>
      <c r="B53" s="59" t="str">
        <f>LAR!A$22</f>
        <v>Tyler Higbee</v>
      </c>
      <c r="C53" s="59" t="s">
        <v>110</v>
      </c>
      <c r="D53" s="61">
        <f>LAR!C$22</f>
        <v>10</v>
      </c>
      <c r="E53" s="60">
        <f>LAR!L$22</f>
        <v>72.452654399999972</v>
      </c>
      <c r="F53" s="60">
        <f>LAR!M$22</f>
        <v>49.050447028799987</v>
      </c>
      <c r="G53" s="60">
        <f>LAR!N$22</f>
        <v>506.20061333721588</v>
      </c>
      <c r="H53" s="60">
        <f>LAR!O$22</f>
        <v>3.1882790568719992</v>
      </c>
      <c r="I53" s="60">
        <f t="shared" si="3"/>
        <v>69.749735674953584</v>
      </c>
      <c r="J53" s="60">
        <f t="shared" si="4"/>
        <v>94.274959189353581</v>
      </c>
      <c r="K53" s="60">
        <f t="shared" si="5"/>
        <v>118.80018270375356</v>
      </c>
      <c r="L53" s="95">
        <f>(TableTEMaster[[#This Row],[TGT]]*TARGETS)+(TableTEMaster[[#This Row],[REC]]*RECEPTIONS_TE)+(TableTEMaster[[#This Row],[RCYD]]*RECV_YARDS)+(TableTEMaster[[#This Row],[RCTD]]*RECV_TDS)</f>
        <v>94.274959189353581</v>
      </c>
      <c r="M53" s="96">
        <v>6.8828272271244249</v>
      </c>
    </row>
    <row r="54" spans="1:13" x14ac:dyDescent="0.2">
      <c r="A54" s="59">
        <f>IF(TableTEMaster[[#This Row],[Player]]&lt;&gt;0,A53+1,A53)</f>
        <v>48</v>
      </c>
      <c r="B54" s="59" t="str">
        <f>LAR!A$23</f>
        <v>Colby Parkinson</v>
      </c>
      <c r="C54" s="59" t="s">
        <v>110</v>
      </c>
      <c r="D54" s="61">
        <f>LAR!C$23</f>
        <v>10</v>
      </c>
      <c r="E54" s="60">
        <f>LAR!L$23</f>
        <v>42.264048399999993</v>
      </c>
      <c r="F54" s="60">
        <f>LAR!M$23</f>
        <v>27.978800040799996</v>
      </c>
      <c r="G54" s="60">
        <f>LAR!N$23</f>
        <v>280.90715240963192</v>
      </c>
      <c r="H54" s="60">
        <f>LAR!O$23</f>
        <v>2.2383040032639996</v>
      </c>
      <c r="I54" s="60">
        <f t="shared" si="3"/>
        <v>41.520539260547189</v>
      </c>
      <c r="J54" s="60">
        <f t="shared" si="4"/>
        <v>55.509939280947187</v>
      </c>
      <c r="K54" s="60">
        <f t="shared" si="5"/>
        <v>69.499339301347192</v>
      </c>
      <c r="L54" s="95">
        <f>(TableTEMaster[[#This Row],[TGT]]*TARGETS)+(TableTEMaster[[#This Row],[REC]]*RECEPTIONS_TE)+(TableTEMaster[[#This Row],[RCYD]]*RECV_YARDS)+(TableTEMaster[[#This Row],[RCTD]]*RECV_TDS)</f>
        <v>55.509939280947187</v>
      </c>
      <c r="M54" s="96">
        <v>0</v>
      </c>
    </row>
    <row r="55" spans="1:13" x14ac:dyDescent="0.2">
      <c r="A55" s="59">
        <f>IF(TableTEMaster[[#This Row],[Player]]&lt;&gt;0,A54+1,A54)</f>
        <v>48</v>
      </c>
      <c r="B55" s="59">
        <f>LAR!A$24</f>
        <v>0</v>
      </c>
      <c r="C55" s="59" t="s">
        <v>110</v>
      </c>
      <c r="D55" s="61">
        <f>LAR!C$24</f>
        <v>10</v>
      </c>
      <c r="E55" s="60">
        <f>LAR!L$24</f>
        <v>0</v>
      </c>
      <c r="F55" s="60">
        <f>LAR!M$24</f>
        <v>0</v>
      </c>
      <c r="G55" s="60">
        <f>LAR!N$24</f>
        <v>0</v>
      </c>
      <c r="H55" s="60">
        <f>LAR!O$24</f>
        <v>0</v>
      </c>
      <c r="I55" s="60">
        <f t="shared" si="3"/>
        <v>0</v>
      </c>
      <c r="J55" s="60">
        <f t="shared" si="4"/>
        <v>0</v>
      </c>
      <c r="K55" s="60">
        <f t="shared" si="5"/>
        <v>0</v>
      </c>
      <c r="L55" s="95">
        <f>(TableTEMaster[[#This Row],[TGT]]*TARGETS)+(TableTEMaster[[#This Row],[REC]]*RECEPTIONS_TE)+(TableTEMaster[[#This Row],[RCYD]]*RECV_YARDS)+(TableTEMaster[[#This Row],[RCTD]]*RECV_TDS)</f>
        <v>0</v>
      </c>
      <c r="M55" s="96">
        <v>0</v>
      </c>
    </row>
    <row r="56" spans="1:13" x14ac:dyDescent="0.2">
      <c r="A56" s="59">
        <f>IF(TableTEMaster[[#This Row],[Player]]&lt;&gt;0,A55+1,A55)</f>
        <v>49</v>
      </c>
      <c r="B56" s="59" t="str">
        <f>MIA!A$22</f>
        <v>Jonnu Smith</v>
      </c>
      <c r="C56" s="59" t="s">
        <v>111</v>
      </c>
      <c r="D56" s="61">
        <f>MIA!C$22</f>
        <v>10</v>
      </c>
      <c r="E56" s="60">
        <f>MIA!L$22</f>
        <v>49.838056799999997</v>
      </c>
      <c r="F56" s="60">
        <f>MIA!M$22</f>
        <v>33.939716680800004</v>
      </c>
      <c r="G56" s="60">
        <f>MIA!N$22</f>
        <v>370.28230898752804</v>
      </c>
      <c r="H56" s="60">
        <f>MIA!O$22</f>
        <v>2.5454787510600001</v>
      </c>
      <c r="I56" s="60">
        <f t="shared" si="3"/>
        <v>52.301103405112805</v>
      </c>
      <c r="J56" s="60">
        <f t="shared" si="4"/>
        <v>69.270961745512807</v>
      </c>
      <c r="K56" s="60">
        <f t="shared" si="5"/>
        <v>86.240820085912816</v>
      </c>
      <c r="L56" s="95">
        <f>(TableTEMaster[[#This Row],[TGT]]*TARGETS)+(TableTEMaster[[#This Row],[REC]]*RECEPTIONS_TE)+(TableTEMaster[[#This Row],[RCYD]]*RECV_YARDS)+(TableTEMaster[[#This Row],[RCTD]]*RECV_TDS)</f>
        <v>69.270961745512807</v>
      </c>
      <c r="M56" s="96">
        <v>2.0133601251060926</v>
      </c>
    </row>
    <row r="57" spans="1:13" x14ac:dyDescent="0.2">
      <c r="A57" s="59">
        <f>IF(TableTEMaster[[#This Row],[Player]]&lt;&gt;0,A56+1,A56)</f>
        <v>50</v>
      </c>
      <c r="B57" s="59" t="str">
        <f>MIA!A$23</f>
        <v>Durham Smythe</v>
      </c>
      <c r="C57" s="59" t="s">
        <v>111</v>
      </c>
      <c r="D57" s="61">
        <f>MIA!C$23</f>
        <v>10</v>
      </c>
      <c r="E57" s="60">
        <f>MIA!L$23</f>
        <v>11.726601599999999</v>
      </c>
      <c r="F57" s="60">
        <f>MIA!M$23</f>
        <v>8.5604191679999992</v>
      </c>
      <c r="G57" s="60">
        <f>MIA!N$23</f>
        <v>80.467940179199999</v>
      </c>
      <c r="H57" s="60">
        <f>MIA!O$23</f>
        <v>0.42802095839999998</v>
      </c>
      <c r="I57" s="60">
        <f t="shared" si="3"/>
        <v>10.61491976832</v>
      </c>
      <c r="J57" s="60">
        <f t="shared" si="4"/>
        <v>14.89512935232</v>
      </c>
      <c r="K57" s="60">
        <f t="shared" si="5"/>
        <v>19.175338936319999</v>
      </c>
      <c r="L57" s="95">
        <f>(TableTEMaster[[#This Row],[TGT]]*TARGETS)+(TableTEMaster[[#This Row],[REC]]*RECEPTIONS_TE)+(TableTEMaster[[#This Row],[RCYD]]*RECV_YARDS)+(TableTEMaster[[#This Row],[RCTD]]*RECV_TDS)</f>
        <v>14.89512935232</v>
      </c>
      <c r="M57" s="96">
        <v>0</v>
      </c>
    </row>
    <row r="58" spans="1:13" x14ac:dyDescent="0.2">
      <c r="A58" s="59">
        <f>IF(TableTEMaster[[#This Row],[Player]]&lt;&gt;0,A57+1,A57)</f>
        <v>51</v>
      </c>
      <c r="B58" s="59" t="str">
        <f>MIA!A$24</f>
        <v>Julian Hill</v>
      </c>
      <c r="C58" s="59" t="s">
        <v>111</v>
      </c>
      <c r="D58" s="61">
        <f>MIA!C$24</f>
        <v>10</v>
      </c>
      <c r="E58" s="60">
        <f>MIA!L$24</f>
        <v>8.7949511999999981</v>
      </c>
      <c r="F58" s="60">
        <f>MIA!M$24</f>
        <v>6.2092355471999987</v>
      </c>
      <c r="G58" s="60">
        <f>MIA!N$24</f>
        <v>54.64127281535999</v>
      </c>
      <c r="H58" s="60">
        <f>MIA!O$24</f>
        <v>0.3415079550959999</v>
      </c>
      <c r="I58" s="60">
        <f t="shared" si="3"/>
        <v>7.5131750121119989</v>
      </c>
      <c r="J58" s="60">
        <f t="shared" si="4"/>
        <v>10.617792785711998</v>
      </c>
      <c r="K58" s="60">
        <f t="shared" si="5"/>
        <v>13.722410559311998</v>
      </c>
      <c r="L58" s="95">
        <f>(TableTEMaster[[#This Row],[TGT]]*TARGETS)+(TableTEMaster[[#This Row],[REC]]*RECEPTIONS_TE)+(TableTEMaster[[#This Row],[RCYD]]*RECV_YARDS)+(TableTEMaster[[#This Row],[RCTD]]*RECV_TDS)</f>
        <v>10.617792785711998</v>
      </c>
      <c r="M58" s="96">
        <v>0</v>
      </c>
    </row>
    <row r="59" spans="1:13" x14ac:dyDescent="0.2">
      <c r="A59" s="59">
        <f>IF(TableTEMaster[[#This Row],[Player]]&lt;&gt;0,A58+1,A58)</f>
        <v>52</v>
      </c>
      <c r="B59" s="59" t="str">
        <f>MIN!A$22</f>
        <v>T.J. Hockenson</v>
      </c>
      <c r="C59" s="59" t="s">
        <v>112</v>
      </c>
      <c r="D59" s="61">
        <f>MIN!C$22</f>
        <v>13</v>
      </c>
      <c r="E59" s="60">
        <f>MIN!L$22</f>
        <v>99.536639999999991</v>
      </c>
      <c r="F59" s="60">
        <f>MIN!M$22</f>
        <v>65.495109119999995</v>
      </c>
      <c r="G59" s="60">
        <f>MIN!N$22</f>
        <v>623.51343882239996</v>
      </c>
      <c r="H59" s="60">
        <f>MIN!O$22</f>
        <v>4.5846576384000004</v>
      </c>
      <c r="I59" s="60">
        <f t="shared" si="3"/>
        <v>89.859289712639992</v>
      </c>
      <c r="J59" s="60">
        <f t="shared" si="4"/>
        <v>122.60684427263999</v>
      </c>
      <c r="K59" s="60">
        <f t="shared" si="5"/>
        <v>155.35439883263999</v>
      </c>
      <c r="L59" s="95">
        <f>(TableTEMaster[[#This Row],[TGT]]*TARGETS)+(TableTEMaster[[#This Row],[REC]]*RECEPTIONS_TE)+(TableTEMaster[[#This Row],[RCYD]]*RECV_YARDS)+(TableTEMaster[[#This Row],[RCTD]]*RECV_TDS)</f>
        <v>122.60684427264</v>
      </c>
      <c r="M59" s="96">
        <v>2.3510155315424002</v>
      </c>
    </row>
    <row r="60" spans="1:13" x14ac:dyDescent="0.2">
      <c r="A60" s="59">
        <f>IF(TableTEMaster[[#This Row],[Player]]&lt;&gt;0,A59+1,A59)</f>
        <v>53</v>
      </c>
      <c r="B60" s="59" t="str">
        <f>MIN!A$23</f>
        <v>Johnny Mundt</v>
      </c>
      <c r="C60" s="59" t="s">
        <v>112</v>
      </c>
      <c r="D60" s="61">
        <f>MIN!C$23</f>
        <v>13</v>
      </c>
      <c r="E60" s="60">
        <f>MIN!L$23</f>
        <v>18.663119999999999</v>
      </c>
      <c r="F60" s="60">
        <f>MIN!M$23</f>
        <v>11.757765599999999</v>
      </c>
      <c r="G60" s="60">
        <f>MIN!N$23</f>
        <v>105.81989039999999</v>
      </c>
      <c r="H60" s="60">
        <f>MIN!O$23</f>
        <v>0.58788827999999993</v>
      </c>
      <c r="I60" s="60">
        <f t="shared" si="3"/>
        <v>14.109318719999999</v>
      </c>
      <c r="J60" s="60">
        <f t="shared" si="4"/>
        <v>19.988201519999997</v>
      </c>
      <c r="K60" s="60">
        <f t="shared" si="5"/>
        <v>25.867084319999996</v>
      </c>
      <c r="L60" s="95">
        <f>(TableTEMaster[[#This Row],[TGT]]*TARGETS)+(TableTEMaster[[#This Row],[REC]]*RECEPTIONS_TE)+(TableTEMaster[[#This Row],[RCYD]]*RECV_YARDS)+(TableTEMaster[[#This Row],[RCTD]]*RECV_TDS)</f>
        <v>19.988201519999997</v>
      </c>
      <c r="M60" s="96">
        <v>0</v>
      </c>
    </row>
    <row r="61" spans="1:13" x14ac:dyDescent="0.2">
      <c r="A61" s="59">
        <f>IF(TableTEMaster[[#This Row],[Player]]&lt;&gt;0,A60+1,A60)</f>
        <v>54</v>
      </c>
      <c r="B61" s="59" t="str">
        <f>MIN!A$24</f>
        <v>Josh Oliver</v>
      </c>
      <c r="C61" s="59" t="s">
        <v>112</v>
      </c>
      <c r="D61" s="61">
        <f>MIN!C$24</f>
        <v>13</v>
      </c>
      <c r="E61" s="60">
        <f>MIN!L$24</f>
        <v>37.326239999999999</v>
      </c>
      <c r="F61" s="60">
        <f>MIN!M$24</f>
        <v>24.000772319999999</v>
      </c>
      <c r="G61" s="60">
        <f>MIN!N$24</f>
        <v>227.2873138704</v>
      </c>
      <c r="H61" s="60">
        <f>MIN!O$24</f>
        <v>1.9200617856</v>
      </c>
      <c r="I61" s="60">
        <f t="shared" si="3"/>
        <v>34.249102100640002</v>
      </c>
      <c r="J61" s="60">
        <f t="shared" si="4"/>
        <v>46.24948826064</v>
      </c>
      <c r="K61" s="60">
        <f t="shared" si="5"/>
        <v>58.249874420639998</v>
      </c>
      <c r="L61" s="95">
        <f>(TableTEMaster[[#This Row],[TGT]]*TARGETS)+(TableTEMaster[[#This Row],[REC]]*RECEPTIONS_TE)+(TableTEMaster[[#This Row],[RCYD]]*RECV_YARDS)+(TableTEMaster[[#This Row],[RCTD]]*RECV_TDS)</f>
        <v>46.24948826064</v>
      </c>
      <c r="M61" s="96">
        <v>0</v>
      </c>
    </row>
    <row r="62" spans="1:13" x14ac:dyDescent="0.2">
      <c r="A62" s="59">
        <f>IF(TableTEMaster[[#This Row],[Player]]&lt;&gt;0,A61+1,A61)</f>
        <v>55</v>
      </c>
      <c r="B62" s="59" t="str">
        <f>NE!A$22</f>
        <v>Hunter Henry</v>
      </c>
      <c r="C62" s="59" t="s">
        <v>113</v>
      </c>
      <c r="D62" s="61">
        <f>NE!C$22</f>
        <v>11</v>
      </c>
      <c r="E62" s="60">
        <f>NE!L$22</f>
        <v>73.694784799999994</v>
      </c>
      <c r="F62" s="60">
        <f>NE!M$22</f>
        <v>47.3857466264</v>
      </c>
      <c r="G62" s="60">
        <f>NE!N$22</f>
        <v>498.02419704346397</v>
      </c>
      <c r="H62" s="60">
        <f>NE!O$22</f>
        <v>3.8856312233648</v>
      </c>
      <c r="I62" s="60">
        <f t="shared" si="3"/>
        <v>73.116207044535201</v>
      </c>
      <c r="J62" s="60">
        <f t="shared" si="4"/>
        <v>96.809080357735198</v>
      </c>
      <c r="K62" s="60">
        <f t="shared" si="5"/>
        <v>120.50195367093519</v>
      </c>
      <c r="L62" s="95">
        <f>(TableTEMaster[[#This Row],[TGT]]*TARGETS)+(TableTEMaster[[#This Row],[REC]]*RECEPTIONS_TE)+(TableTEMaster[[#This Row],[RCYD]]*RECV_YARDS)+(TableTEMaster[[#This Row],[RCTD]]*RECV_TDS)</f>
        <v>96.809080357735198</v>
      </c>
      <c r="M62" s="96">
        <v>0.99153406386620913</v>
      </c>
    </row>
    <row r="63" spans="1:13" x14ac:dyDescent="0.2">
      <c r="A63" s="59">
        <f>IF(TableTEMaster[[#This Row],[Player]]&lt;&gt;0,A62+1,A62)</f>
        <v>56</v>
      </c>
      <c r="B63" s="59" t="str">
        <f>NE!A$23</f>
        <v>Austin Hooper</v>
      </c>
      <c r="C63" s="59" t="s">
        <v>113</v>
      </c>
      <c r="D63" s="61">
        <f>NE!C$23</f>
        <v>11</v>
      </c>
      <c r="E63" s="60">
        <f>NE!L$23</f>
        <v>45.35063679999999</v>
      </c>
      <c r="F63" s="60">
        <f>NE!M$23</f>
        <v>29.432563283199993</v>
      </c>
      <c r="G63" s="60">
        <f>NE!N$23</f>
        <v>277.54907176057594</v>
      </c>
      <c r="H63" s="60">
        <f>NE!O$23</f>
        <v>2.1191445563903994</v>
      </c>
      <c r="I63" s="60">
        <f t="shared" si="3"/>
        <v>40.469774514399987</v>
      </c>
      <c r="J63" s="60">
        <f t="shared" si="4"/>
        <v>55.186056155999985</v>
      </c>
      <c r="K63" s="60">
        <f t="shared" si="5"/>
        <v>69.902337797599984</v>
      </c>
      <c r="L63" s="95">
        <f>(TableTEMaster[[#This Row],[TGT]]*TARGETS)+(TableTEMaster[[#This Row],[REC]]*RECEPTIONS_TE)+(TableTEMaster[[#This Row],[RCYD]]*RECV_YARDS)+(TableTEMaster[[#This Row],[RCTD]]*RECV_TDS)</f>
        <v>55.186056155999992</v>
      </c>
      <c r="M63" s="96">
        <v>3.6313142252330555</v>
      </c>
    </row>
    <row r="64" spans="1:13" x14ac:dyDescent="0.2">
      <c r="A64" s="59">
        <f>IF(TableTEMaster[[#This Row],[Player]]&lt;&gt;0,A63+1,A63)</f>
        <v>56</v>
      </c>
      <c r="B64" s="59">
        <f>NE!A$24</f>
        <v>0</v>
      </c>
      <c r="C64" s="59" t="s">
        <v>113</v>
      </c>
      <c r="D64" s="61">
        <f>NE!C$24</f>
        <v>11</v>
      </c>
      <c r="E64" s="60">
        <f>NE!L$24</f>
        <v>0</v>
      </c>
      <c r="F64" s="60">
        <f>NE!M$24</f>
        <v>0</v>
      </c>
      <c r="G64" s="60">
        <f>NE!N$24</f>
        <v>0</v>
      </c>
      <c r="H64" s="60">
        <f>NE!O$24</f>
        <v>0</v>
      </c>
      <c r="I64" s="60">
        <f t="shared" si="3"/>
        <v>0</v>
      </c>
      <c r="J64" s="60">
        <f t="shared" si="4"/>
        <v>0</v>
      </c>
      <c r="K64" s="60">
        <f t="shared" si="5"/>
        <v>0</v>
      </c>
      <c r="L64" s="95">
        <f>(TableTEMaster[[#This Row],[TGT]]*TARGETS)+(TableTEMaster[[#This Row],[REC]]*RECEPTIONS_TE)+(TableTEMaster[[#This Row],[RCYD]]*RECV_YARDS)+(TableTEMaster[[#This Row],[RCTD]]*RECV_TDS)</f>
        <v>0</v>
      </c>
      <c r="M64" s="96">
        <v>0</v>
      </c>
    </row>
    <row r="65" spans="1:13" x14ac:dyDescent="0.2">
      <c r="A65" s="59">
        <f>IF(TableTEMaster[[#This Row],[Player]]&lt;&gt;0,A64+1,A64)</f>
        <v>57</v>
      </c>
      <c r="B65" s="59" t="str">
        <f>NO!A$22</f>
        <v>Juwan Johnson</v>
      </c>
      <c r="C65" s="59" t="s">
        <v>114</v>
      </c>
      <c r="D65" s="61">
        <f>NO!C$22</f>
        <v>11</v>
      </c>
      <c r="E65" s="60">
        <f>NO!L$22</f>
        <v>66.759953567999986</v>
      </c>
      <c r="F65" s="60">
        <f>NO!M$22</f>
        <v>42.859890190655989</v>
      </c>
      <c r="G65" s="60">
        <f>NO!N$22</f>
        <v>454.74343492285999</v>
      </c>
      <c r="H65" s="60">
        <f>NO!O$22</f>
        <v>3.6002307760151031</v>
      </c>
      <c r="I65" s="60">
        <f t="shared" si="3"/>
        <v>67.075728148376612</v>
      </c>
      <c r="J65" s="60">
        <f t="shared" si="4"/>
        <v>88.505673243704607</v>
      </c>
      <c r="K65" s="60">
        <f t="shared" si="5"/>
        <v>109.9356183390326</v>
      </c>
      <c r="L65" s="95">
        <f>(TableTEMaster[[#This Row],[TGT]]*TARGETS)+(TableTEMaster[[#This Row],[REC]]*RECEPTIONS_TE)+(TableTEMaster[[#This Row],[RCYD]]*RECV_YARDS)+(TableTEMaster[[#This Row],[RCTD]]*RECV_TDS)</f>
        <v>88.505673243704607</v>
      </c>
      <c r="M65" s="96">
        <v>3.3816406319297219</v>
      </c>
    </row>
    <row r="66" spans="1:13" x14ac:dyDescent="0.2">
      <c r="A66" s="59">
        <f>IF(TableTEMaster[[#This Row],[Player]]&lt;&gt;0,A65+1,A65)</f>
        <v>58</v>
      </c>
      <c r="B66" s="59" t="str">
        <f>NO!A$23</f>
        <v>Foster Moreau</v>
      </c>
      <c r="C66" s="59" t="s">
        <v>114</v>
      </c>
      <c r="D66" s="61">
        <f>NO!C$23</f>
        <v>11</v>
      </c>
      <c r="E66" s="60">
        <f>NO!L$23</f>
        <v>8.3449941959999983</v>
      </c>
      <c r="F66" s="60">
        <f>NO!M$23</f>
        <v>5.9332908733559986</v>
      </c>
      <c r="G66" s="60">
        <f>NO!N$23</f>
        <v>60.104236547096271</v>
      </c>
      <c r="H66" s="60">
        <f>NO!O$23</f>
        <v>0.44499681550169989</v>
      </c>
      <c r="I66" s="60">
        <f t="shared" ref="I66:I97" si="6">(G66/10)+(H66*6)</f>
        <v>8.6804045477198262</v>
      </c>
      <c r="J66" s="60">
        <f t="shared" ref="J66:J97" si="7">I66+(F66*0.5)</f>
        <v>11.647049984397825</v>
      </c>
      <c r="K66" s="60">
        <f t="shared" ref="K66:K97" si="8">I66+F66</f>
        <v>14.613695421075825</v>
      </c>
      <c r="L66" s="95">
        <f>(TableTEMaster[[#This Row],[TGT]]*TARGETS)+(TableTEMaster[[#This Row],[REC]]*RECEPTIONS_TE)+(TableTEMaster[[#This Row],[RCYD]]*RECV_YARDS)+(TableTEMaster[[#This Row],[RCTD]]*RECV_TDS)</f>
        <v>11.647049984397826</v>
      </c>
      <c r="M66" s="96">
        <v>0</v>
      </c>
    </row>
    <row r="67" spans="1:13" x14ac:dyDescent="0.2">
      <c r="A67" s="59">
        <f>IF(TableTEMaster[[#This Row],[Player]]&lt;&gt;0,A66+1,A66)</f>
        <v>59</v>
      </c>
      <c r="B67" s="59" t="str">
        <f>NO!A$24</f>
        <v>Taysom Hill</v>
      </c>
      <c r="C67" s="59" t="s">
        <v>114</v>
      </c>
      <c r="D67" s="61">
        <f>NO!C$24</f>
        <v>11</v>
      </c>
      <c r="E67" s="60">
        <f>NO!L$24</f>
        <v>30.598312051999994</v>
      </c>
      <c r="F67" s="60">
        <f>NO!M$24</f>
        <v>21.174031939983994</v>
      </c>
      <c r="G67" s="60">
        <f>NO!N$24</f>
        <v>201.15330342984794</v>
      </c>
      <c r="H67" s="60">
        <f>NO!O$24</f>
        <v>1.7362706190786876</v>
      </c>
      <c r="I67" s="60">
        <f t="shared" si="6"/>
        <v>30.532954057456919</v>
      </c>
      <c r="J67" s="60">
        <f t="shared" si="7"/>
        <v>41.119970027448915</v>
      </c>
      <c r="K67" s="60">
        <f t="shared" si="8"/>
        <v>51.70698599744091</v>
      </c>
      <c r="L67" s="95">
        <f>(TableTEMaster[[#This Row],[TGT]]*TARGETS)+(TableTEMaster[[#This Row],[REC]]*RECEPTIONS_TE)+(TableTEMaster[[#This Row],[RCYD]]*RECV_YARDS)+(TableTEMaster[[#This Row],[RCTD]]*RECV_TDS)+((NO!F24/10)+(NO!G24*6)+(NO!H24*-0.5)+(NO!J24/10)+(NO!K24*6))</f>
        <v>109.30098272834891</v>
      </c>
      <c r="M67" s="96">
        <v>0</v>
      </c>
    </row>
    <row r="68" spans="1:13" x14ac:dyDescent="0.2">
      <c r="A68" s="59">
        <f>IF(TableTEMaster[[#This Row],[Player]]&lt;&gt;0,A67+1,A67)</f>
        <v>60</v>
      </c>
      <c r="B68" s="59" t="str">
        <f>NYG!A$22</f>
        <v>Daniel Bellinger</v>
      </c>
      <c r="C68" s="59" t="s">
        <v>115</v>
      </c>
      <c r="D68" s="61">
        <f>NYG!C$22</f>
        <v>13</v>
      </c>
      <c r="E68" s="60">
        <f>NYG!L$22</f>
        <v>76.504209599999982</v>
      </c>
      <c r="F68" s="60">
        <f>NYG!M$22</f>
        <v>53.093921462399983</v>
      </c>
      <c r="G68" s="60">
        <f>NYG!N$22</f>
        <v>453.95302850351987</v>
      </c>
      <c r="H68" s="60">
        <f>NYG!O$22</f>
        <v>2.6546960731199993</v>
      </c>
      <c r="I68" s="60">
        <f t="shared" si="6"/>
        <v>61.323479289071983</v>
      </c>
      <c r="J68" s="60">
        <f t="shared" si="7"/>
        <v>87.870440020271971</v>
      </c>
      <c r="K68" s="60">
        <f t="shared" si="8"/>
        <v>114.41740075147197</v>
      </c>
      <c r="L68" s="95">
        <f>(TableTEMaster[[#This Row],[TGT]]*TARGETS)+(TableTEMaster[[#This Row],[REC]]*RECEPTIONS_TE)+(TableTEMaster[[#This Row],[RCYD]]*RECV_YARDS)+(TableTEMaster[[#This Row],[RCTD]]*RECV_TDS)</f>
        <v>87.870440020271985</v>
      </c>
      <c r="M68" s="96">
        <v>1.0370412640107298</v>
      </c>
    </row>
    <row r="69" spans="1:13" x14ac:dyDescent="0.2">
      <c r="A69" s="59">
        <f>IF(TableTEMaster[[#This Row],[Player]]&lt;&gt;0,A68+1,A68)</f>
        <v>61</v>
      </c>
      <c r="B69" s="59" t="str">
        <f>NYG!A$23</f>
        <v>Chris Manhertz</v>
      </c>
      <c r="C69" s="59" t="s">
        <v>115</v>
      </c>
      <c r="D69" s="61">
        <f>NYG!C$23</f>
        <v>13</v>
      </c>
      <c r="E69" s="60">
        <f>NYG!L$23</f>
        <v>23.539756799999992</v>
      </c>
      <c r="F69" s="60">
        <f>NYG!M$23</f>
        <v>15.300841919999995</v>
      </c>
      <c r="G69" s="60">
        <f>NYG!N$23</f>
        <v>137.70757727999995</v>
      </c>
      <c r="H69" s="60">
        <f>NYG!O$23</f>
        <v>0.76504209599999973</v>
      </c>
      <c r="I69" s="60">
        <f t="shared" si="6"/>
        <v>18.361010303999993</v>
      </c>
      <c r="J69" s="60">
        <f t="shared" si="7"/>
        <v>26.011431263999992</v>
      </c>
      <c r="K69" s="60">
        <f t="shared" si="8"/>
        <v>33.661852223999986</v>
      </c>
      <c r="L69" s="95">
        <f>(TableTEMaster[[#This Row],[TGT]]*TARGETS)+(TableTEMaster[[#This Row],[REC]]*RECEPTIONS_TE)+(TableTEMaster[[#This Row],[RCYD]]*RECV_YARDS)+(TableTEMaster[[#This Row],[RCTD]]*RECV_TDS)</f>
        <v>26.011431263999992</v>
      </c>
      <c r="M69" s="96">
        <v>0</v>
      </c>
    </row>
    <row r="70" spans="1:13" x14ac:dyDescent="0.2">
      <c r="A70" s="59">
        <f>IF(TableTEMaster[[#This Row],[Player]]&lt;&gt;0,A69+1,A69)</f>
        <v>62</v>
      </c>
      <c r="B70" s="59" t="str">
        <f>NYG!A$24</f>
        <v>Theo Johnson</v>
      </c>
      <c r="C70" s="59" t="s">
        <v>115</v>
      </c>
      <c r="D70" s="61">
        <f>NYG!C$24</f>
        <v>13</v>
      </c>
      <c r="E70" s="60">
        <f>NYG!L$24</f>
        <v>35.309635199999988</v>
      </c>
      <c r="F70" s="60">
        <f>NYG!M$24</f>
        <v>24.434267558399991</v>
      </c>
      <c r="G70" s="60">
        <f>NYG!N$24</f>
        <v>226.99434561753588</v>
      </c>
      <c r="H70" s="60">
        <f>NYG!O$24</f>
        <v>1.4660560535039995</v>
      </c>
      <c r="I70" s="60">
        <f t="shared" si="6"/>
        <v>31.495770882777585</v>
      </c>
      <c r="J70" s="60">
        <f t="shared" si="7"/>
        <v>43.712904661977582</v>
      </c>
      <c r="K70" s="60">
        <f t="shared" si="8"/>
        <v>55.930038441177572</v>
      </c>
      <c r="L70" s="95">
        <f>(TableTEMaster[[#This Row],[TGT]]*TARGETS)+(TableTEMaster[[#This Row],[REC]]*RECEPTIONS_TE)+(TableTEMaster[[#This Row],[RCYD]]*RECV_YARDS)+(TableTEMaster[[#This Row],[RCTD]]*RECV_TDS)</f>
        <v>43.712904661977589</v>
      </c>
      <c r="M70" s="96">
        <v>0</v>
      </c>
    </row>
    <row r="71" spans="1:13" x14ac:dyDescent="0.2">
      <c r="A71" s="59">
        <f>IF(TableTEMaster[[#This Row],[Player]]&lt;&gt;0,A70+1,A70)</f>
        <v>63</v>
      </c>
      <c r="B71" s="59" t="str">
        <f>NYJ!A$22</f>
        <v>Tyler Conklin</v>
      </c>
      <c r="C71" s="59" t="s">
        <v>116</v>
      </c>
      <c r="D71" s="61">
        <f>NYJ!C$22</f>
        <v>7</v>
      </c>
      <c r="E71" s="60">
        <f>NYJ!L$22</f>
        <v>59.251191999999996</v>
      </c>
      <c r="F71" s="60">
        <f>NYJ!M$22</f>
        <v>41.949843935999994</v>
      </c>
      <c r="G71" s="60">
        <f>NYJ!N$22</f>
        <v>435.01988161631988</v>
      </c>
      <c r="H71" s="60">
        <f>NYJ!O$22</f>
        <v>3.0203887633919995</v>
      </c>
      <c r="I71" s="60">
        <f t="shared" si="6"/>
        <v>61.624320741983979</v>
      </c>
      <c r="J71" s="60">
        <f t="shared" si="7"/>
        <v>82.599242709983969</v>
      </c>
      <c r="K71" s="60">
        <f t="shared" si="8"/>
        <v>103.57416467798397</v>
      </c>
      <c r="L71" s="95">
        <f>(TableTEMaster[[#This Row],[TGT]]*TARGETS)+(TableTEMaster[[#This Row],[REC]]*RECEPTIONS_TE)+(TableTEMaster[[#This Row],[RCYD]]*RECV_YARDS)+(TableTEMaster[[#This Row],[RCTD]]*RECV_TDS)</f>
        <v>82.599242709983983</v>
      </c>
      <c r="M71" s="96">
        <v>0</v>
      </c>
    </row>
    <row r="72" spans="1:13" x14ac:dyDescent="0.2">
      <c r="A72" s="59">
        <f>IF(TableTEMaster[[#This Row],[Player]]&lt;&gt;0,A71+1,A71)</f>
        <v>64</v>
      </c>
      <c r="B72" s="59" t="str">
        <f>NYJ!A$23</f>
        <v>Jeremy Ruckert</v>
      </c>
      <c r="C72" s="59" t="s">
        <v>116</v>
      </c>
      <c r="D72" s="61">
        <f>NYJ!C$23</f>
        <v>7</v>
      </c>
      <c r="E72" s="60">
        <f>NYJ!L$23</f>
        <v>35.550715199999992</v>
      </c>
      <c r="F72" s="60">
        <f>NYJ!M$23</f>
        <v>24.636645633599993</v>
      </c>
      <c r="G72" s="60">
        <f>NYJ!N$23</f>
        <v>243.90279177263994</v>
      </c>
      <c r="H72" s="60">
        <f>NYJ!O$23</f>
        <v>1.8723850681535994</v>
      </c>
      <c r="I72" s="60">
        <f t="shared" si="6"/>
        <v>35.624589586185593</v>
      </c>
      <c r="J72" s="60">
        <f t="shared" si="7"/>
        <v>47.942912402985591</v>
      </c>
      <c r="K72" s="60">
        <f t="shared" si="8"/>
        <v>60.26123521978559</v>
      </c>
      <c r="L72" s="95">
        <f>(TableTEMaster[[#This Row],[TGT]]*TARGETS)+(TableTEMaster[[#This Row],[REC]]*RECEPTIONS_TE)+(TableTEMaster[[#This Row],[RCYD]]*RECV_YARDS)+(TableTEMaster[[#This Row],[RCTD]]*RECV_TDS)</f>
        <v>47.942912402985584</v>
      </c>
      <c r="M72" s="96">
        <v>0</v>
      </c>
    </row>
    <row r="73" spans="1:13" x14ac:dyDescent="0.2">
      <c r="A73" s="59">
        <f>IF(TableTEMaster[[#This Row],[Player]]&lt;&gt;0,A72+1,A72)</f>
        <v>64</v>
      </c>
      <c r="B73" s="59">
        <f>NYJ!A$24</f>
        <v>0</v>
      </c>
      <c r="C73" s="59" t="s">
        <v>116</v>
      </c>
      <c r="D73" s="61">
        <f>NYJ!C$24</f>
        <v>7</v>
      </c>
      <c r="E73" s="60">
        <f>NYJ!L$24</f>
        <v>0</v>
      </c>
      <c r="F73" s="60">
        <f>NYJ!M$24</f>
        <v>0</v>
      </c>
      <c r="G73" s="60">
        <f>NYJ!N$24</f>
        <v>0</v>
      </c>
      <c r="H73" s="60">
        <f>NYJ!O$24</f>
        <v>0</v>
      </c>
      <c r="I73" s="60">
        <f t="shared" si="6"/>
        <v>0</v>
      </c>
      <c r="J73" s="60">
        <f t="shared" si="7"/>
        <v>0</v>
      </c>
      <c r="K73" s="60">
        <f t="shared" si="8"/>
        <v>0</v>
      </c>
      <c r="L73" s="95">
        <f>(TableTEMaster[[#This Row],[TGT]]*TARGETS)+(TableTEMaster[[#This Row],[REC]]*RECEPTIONS_TE)+(TableTEMaster[[#This Row],[RCYD]]*RECV_YARDS)+(TableTEMaster[[#This Row],[RCTD]]*RECV_TDS)</f>
        <v>0</v>
      </c>
      <c r="M73" s="96">
        <v>0</v>
      </c>
    </row>
    <row r="74" spans="1:13" x14ac:dyDescent="0.2">
      <c r="A74" s="59">
        <f>IF(TableTEMaster[[#This Row],[Player]]&lt;&gt;0,A73+1,A73)</f>
        <v>65</v>
      </c>
      <c r="B74" s="59" t="str">
        <f>LV!A$22</f>
        <v>Brock Bowers</v>
      </c>
      <c r="C74" s="59" t="s">
        <v>169</v>
      </c>
      <c r="D74" s="61">
        <f>LV!C$22</f>
        <v>13</v>
      </c>
      <c r="E74" s="60">
        <f>LV!L$22</f>
        <v>93.217599999999976</v>
      </c>
      <c r="F74" s="60">
        <f>LV!M$22</f>
        <v>63.481185599999989</v>
      </c>
      <c r="G74" s="60">
        <f>LV!N$22</f>
        <v>740.82543595199991</v>
      </c>
      <c r="H74" s="60">
        <f>LV!O$22</f>
        <v>4.2532394351999994</v>
      </c>
      <c r="I74" s="60">
        <f t="shared" si="6"/>
        <v>99.601980206399986</v>
      </c>
      <c r="J74" s="60">
        <f t="shared" si="7"/>
        <v>131.34257300639999</v>
      </c>
      <c r="K74" s="60">
        <f t="shared" si="8"/>
        <v>163.08316580639996</v>
      </c>
      <c r="L74" s="95">
        <f>(TableTEMaster[[#This Row],[TGT]]*TARGETS)+(TableTEMaster[[#This Row],[REC]]*RECEPTIONS_TE)+(TableTEMaster[[#This Row],[RCYD]]*RECV_YARDS)+(TableTEMaster[[#This Row],[RCTD]]*RECV_TDS)</f>
        <v>131.34257300639999</v>
      </c>
      <c r="M74" s="96">
        <v>21.587220110897501</v>
      </c>
    </row>
    <row r="75" spans="1:13" x14ac:dyDescent="0.2">
      <c r="A75" s="59">
        <f>IF(TableTEMaster[[#This Row],[Player]]&lt;&gt;0,A74+1,A74)</f>
        <v>66</v>
      </c>
      <c r="B75" s="59" t="str">
        <f>LV!A$23</f>
        <v>Michael Mayer</v>
      </c>
      <c r="C75" s="59" t="s">
        <v>169</v>
      </c>
      <c r="D75" s="61">
        <f>LV!C$23</f>
        <v>13</v>
      </c>
      <c r="E75" s="60">
        <f>LV!L$23</f>
        <v>46.608799999999988</v>
      </c>
      <c r="F75" s="60">
        <f>LV!M$23</f>
        <v>31.227895999999994</v>
      </c>
      <c r="G75" s="60">
        <f>LV!N$23</f>
        <v>343.50685599999991</v>
      </c>
      <c r="H75" s="60">
        <f>LV!O$23</f>
        <v>1.8736737599999995</v>
      </c>
      <c r="I75" s="60">
        <f t="shared" si="6"/>
        <v>45.592728159999993</v>
      </c>
      <c r="J75" s="60">
        <f t="shared" si="7"/>
        <v>61.206676159999986</v>
      </c>
      <c r="K75" s="60">
        <f t="shared" si="8"/>
        <v>76.820624159999994</v>
      </c>
      <c r="L75" s="95">
        <f>(TableTEMaster[[#This Row],[TGT]]*TARGETS)+(TableTEMaster[[#This Row],[REC]]*RECEPTIONS_TE)+(TableTEMaster[[#This Row],[RCYD]]*RECV_YARDS)+(TableTEMaster[[#This Row],[RCTD]]*RECV_TDS)</f>
        <v>61.206676159999986</v>
      </c>
      <c r="M75" s="96">
        <v>0</v>
      </c>
    </row>
    <row r="76" spans="1:13" x14ac:dyDescent="0.2">
      <c r="A76" s="59">
        <f>IF(TableTEMaster[[#This Row],[Player]]&lt;&gt;0,A75+1,A75)</f>
        <v>67</v>
      </c>
      <c r="B76" s="59" t="str">
        <f>LV!A$24</f>
        <v>Harrison Bryant</v>
      </c>
      <c r="C76" s="59" t="s">
        <v>169</v>
      </c>
      <c r="D76" s="61">
        <f>LV!C$24</f>
        <v>13</v>
      </c>
      <c r="E76" s="60">
        <f>LV!L$24</f>
        <v>20.391349999999999</v>
      </c>
      <c r="F76" s="60">
        <f>LV!M$24</f>
        <v>13.335942899999999</v>
      </c>
      <c r="G76" s="60">
        <f>LV!N$24</f>
        <v>142.69458902999997</v>
      </c>
      <c r="H76" s="60">
        <f>LV!O$24</f>
        <v>0.80015657399999995</v>
      </c>
      <c r="I76" s="60">
        <f t="shared" si="6"/>
        <v>19.070398346999998</v>
      </c>
      <c r="J76" s="60">
        <f t="shared" si="7"/>
        <v>25.738369796999997</v>
      </c>
      <c r="K76" s="60">
        <f t="shared" si="8"/>
        <v>32.406341247</v>
      </c>
      <c r="L76" s="95">
        <f>(TableTEMaster[[#This Row],[TGT]]*TARGETS)+(TableTEMaster[[#This Row],[REC]]*RECEPTIONS_TE)+(TableTEMaster[[#This Row],[RCYD]]*RECV_YARDS)+(TableTEMaster[[#This Row],[RCTD]]*RECV_TDS)</f>
        <v>25.738369796999997</v>
      </c>
      <c r="M76" s="96">
        <v>0</v>
      </c>
    </row>
    <row r="77" spans="1:13" x14ac:dyDescent="0.2">
      <c r="A77" s="59">
        <f>IF(TableTEMaster[[#This Row],[Player]]&lt;&gt;0,A76+1,A76)</f>
        <v>68</v>
      </c>
      <c r="B77" s="59" t="str">
        <f>PHI!A$22</f>
        <v>Dallas Goedert</v>
      </c>
      <c r="C77" s="59" t="s">
        <v>117</v>
      </c>
      <c r="D77" s="61">
        <f>PHI!C$22</f>
        <v>10</v>
      </c>
      <c r="E77" s="60">
        <f>PHI!L$22</f>
        <v>97.623288000000002</v>
      </c>
      <c r="F77" s="60">
        <f>PHI!M$22</f>
        <v>67.84818516</v>
      </c>
      <c r="G77" s="60">
        <f>PHI!N$22</f>
        <v>751.07940972120002</v>
      </c>
      <c r="H77" s="60">
        <f>PHI!O$22</f>
        <v>3.7316501837999998</v>
      </c>
      <c r="I77" s="60">
        <f t="shared" si="6"/>
        <v>97.497842074920001</v>
      </c>
      <c r="J77" s="60">
        <f t="shared" si="7"/>
        <v>131.42193465491999</v>
      </c>
      <c r="K77" s="60">
        <f t="shared" si="8"/>
        <v>165.34602723492</v>
      </c>
      <c r="L77" s="95">
        <f>(TableTEMaster[[#This Row],[TGT]]*TARGETS)+(TableTEMaster[[#This Row],[REC]]*RECEPTIONS_TE)+(TableTEMaster[[#This Row],[RCYD]]*RECV_YARDS)+(TableTEMaster[[#This Row],[RCTD]]*RECV_TDS)</f>
        <v>131.42193465491999</v>
      </c>
      <c r="M77" s="96">
        <v>7.0149645980123587</v>
      </c>
    </row>
    <row r="78" spans="1:13" x14ac:dyDescent="0.2">
      <c r="A78" s="59">
        <f>IF(TableTEMaster[[#This Row],[Player]]&lt;&gt;0,A77+1,A77)</f>
        <v>69</v>
      </c>
      <c r="B78" s="59" t="str">
        <f>PHI!A$23</f>
        <v>C.J. Uzomah</v>
      </c>
      <c r="C78" s="59" t="s">
        <v>117</v>
      </c>
      <c r="D78" s="61">
        <f>PHI!C$23</f>
        <v>10</v>
      </c>
      <c r="E78" s="60">
        <f>PHI!L$23</f>
        <v>11.156947200000001</v>
      </c>
      <c r="F78" s="60">
        <f>PHI!M$23</f>
        <v>7.3635851520000015</v>
      </c>
      <c r="G78" s="60">
        <f>PHI!N$23</f>
        <v>69.95405894400001</v>
      </c>
      <c r="H78" s="60">
        <f>PHI!O$23</f>
        <v>0.44917869427200008</v>
      </c>
      <c r="I78" s="60">
        <f t="shared" si="6"/>
        <v>9.6904780600320013</v>
      </c>
      <c r="J78" s="60">
        <f t="shared" si="7"/>
        <v>13.372270636032002</v>
      </c>
      <c r="K78" s="60">
        <f t="shared" si="8"/>
        <v>17.054063212032002</v>
      </c>
      <c r="L78" s="95">
        <f>(TableTEMaster[[#This Row],[TGT]]*TARGETS)+(TableTEMaster[[#This Row],[REC]]*RECEPTIONS_TE)+(TableTEMaster[[#This Row],[RCYD]]*RECV_YARDS)+(TableTEMaster[[#This Row],[RCTD]]*RECV_TDS)</f>
        <v>13.372270636032002</v>
      </c>
      <c r="M78" s="96">
        <v>0</v>
      </c>
    </row>
    <row r="79" spans="1:13" x14ac:dyDescent="0.2">
      <c r="A79" s="59">
        <f>IF(TableTEMaster[[#This Row],[Player]]&lt;&gt;0,A78+1,A78)</f>
        <v>70</v>
      </c>
      <c r="B79" s="59" t="str">
        <f>PHI!A$24</f>
        <v>Albert Okwuegbunam</v>
      </c>
      <c r="C79" s="59" t="s">
        <v>117</v>
      </c>
      <c r="D79" s="61">
        <f>PHI!C$24</f>
        <v>10</v>
      </c>
      <c r="E79" s="60">
        <f>PHI!L$24</f>
        <v>5.5784736000000006</v>
      </c>
      <c r="F79" s="60">
        <f>PHI!M$24</f>
        <v>3.6650571552000004</v>
      </c>
      <c r="G79" s="60">
        <f>PHI!N$24</f>
        <v>42.148157284800007</v>
      </c>
      <c r="H79" s="60">
        <f>PHI!O$24</f>
        <v>0.18325285776000003</v>
      </c>
      <c r="I79" s="60">
        <f t="shared" si="6"/>
        <v>5.3143328750400007</v>
      </c>
      <c r="J79" s="60">
        <f t="shared" si="7"/>
        <v>7.1468614526400014</v>
      </c>
      <c r="K79" s="60">
        <f t="shared" si="8"/>
        <v>8.9793900302400012</v>
      </c>
      <c r="L79" s="95">
        <f>(TableTEMaster[[#This Row],[TGT]]*TARGETS)+(TableTEMaster[[#This Row],[REC]]*RECEPTIONS_TE)+(TableTEMaster[[#This Row],[RCYD]]*RECV_YARDS)+(TableTEMaster[[#This Row],[RCTD]]*RECV_TDS)</f>
        <v>7.1468614526400014</v>
      </c>
      <c r="M79" s="96">
        <v>0</v>
      </c>
    </row>
    <row r="80" spans="1:13" x14ac:dyDescent="0.2">
      <c r="A80" s="59">
        <f>IF(TableTEMaster[[#This Row],[Player]]&lt;&gt;0,A79+1,A79)</f>
        <v>71</v>
      </c>
      <c r="B80" s="59" t="str">
        <f>PIT!A$22</f>
        <v>Pat Freiermuth</v>
      </c>
      <c r="C80" s="59" t="s">
        <v>118</v>
      </c>
      <c r="D80" s="61">
        <f>PIT!C$22</f>
        <v>6</v>
      </c>
      <c r="E80" s="60">
        <f>PIT!L$22</f>
        <v>83.127764999999997</v>
      </c>
      <c r="F80" s="60">
        <f>PIT!M$22</f>
        <v>57.690668909999992</v>
      </c>
      <c r="G80" s="60">
        <f>PIT!N$22</f>
        <v>566.52236869619992</v>
      </c>
      <c r="H80" s="60">
        <f>PIT!O$22</f>
        <v>4.2691094993399989</v>
      </c>
      <c r="I80" s="60">
        <f t="shared" si="6"/>
        <v>82.266893865659981</v>
      </c>
      <c r="J80" s="60">
        <f t="shared" si="7"/>
        <v>111.11222832065998</v>
      </c>
      <c r="K80" s="60">
        <f t="shared" si="8"/>
        <v>139.95756277565997</v>
      </c>
      <c r="L80" s="95">
        <f>(TableTEMaster[[#This Row],[TGT]]*TARGETS)+(TableTEMaster[[#This Row],[REC]]*RECEPTIONS_TE)+(TableTEMaster[[#This Row],[RCYD]]*RECV_YARDS)+(TableTEMaster[[#This Row],[RCTD]]*RECV_TDS)</f>
        <v>111.11222832065999</v>
      </c>
      <c r="M80" s="96">
        <v>0</v>
      </c>
    </row>
    <row r="81" spans="1:13" x14ac:dyDescent="0.2">
      <c r="A81" s="59">
        <f>IF(TableTEMaster[[#This Row],[Player]]&lt;&gt;0,A80+1,A80)</f>
        <v>72</v>
      </c>
      <c r="B81" s="59" t="str">
        <f>PIT!A$23</f>
        <v>Darnell Washington</v>
      </c>
      <c r="C81" s="59" t="s">
        <v>118</v>
      </c>
      <c r="D81" s="61">
        <f>PIT!C$23</f>
        <v>6</v>
      </c>
      <c r="E81" s="60">
        <f>PIT!L$23</f>
        <v>16.515449999999998</v>
      </c>
      <c r="F81" s="60">
        <f>PIT!M$23</f>
        <v>11.147928749999998</v>
      </c>
      <c r="G81" s="60">
        <f>PIT!N$23</f>
        <v>106.68567813749999</v>
      </c>
      <c r="H81" s="60">
        <f>PIT!O$23</f>
        <v>0.78035501249999994</v>
      </c>
      <c r="I81" s="60">
        <f t="shared" si="6"/>
        <v>15.350697888749998</v>
      </c>
      <c r="J81" s="60">
        <f t="shared" si="7"/>
        <v>20.924662263749997</v>
      </c>
      <c r="K81" s="60">
        <f t="shared" si="8"/>
        <v>26.498626638749997</v>
      </c>
      <c r="L81" s="95">
        <f>(TableTEMaster[[#This Row],[TGT]]*TARGETS)+(TableTEMaster[[#This Row],[REC]]*RECEPTIONS_TE)+(TableTEMaster[[#This Row],[RCYD]]*RECV_YARDS)+(TableTEMaster[[#This Row],[RCTD]]*RECV_TDS)</f>
        <v>20.924662263749997</v>
      </c>
      <c r="M81" s="96">
        <v>0</v>
      </c>
    </row>
    <row r="82" spans="1:13" x14ac:dyDescent="0.2">
      <c r="A82" s="59">
        <f>IF(TableTEMaster[[#This Row],[Player]]&lt;&gt;0,A81+1,A81)</f>
        <v>72</v>
      </c>
      <c r="B82" s="59">
        <f>PIT!A$24</f>
        <v>0</v>
      </c>
      <c r="C82" s="59" t="s">
        <v>118</v>
      </c>
      <c r="D82" s="61">
        <f>PIT!C$24</f>
        <v>6</v>
      </c>
      <c r="E82" s="60">
        <f>PIT!L$24</f>
        <v>0</v>
      </c>
      <c r="F82" s="60">
        <f>PIT!M$24</f>
        <v>0</v>
      </c>
      <c r="G82" s="60">
        <f>PIT!N$24</f>
        <v>0</v>
      </c>
      <c r="H82" s="60">
        <f>PIT!O$24</f>
        <v>0</v>
      </c>
      <c r="I82" s="60">
        <f t="shared" si="6"/>
        <v>0</v>
      </c>
      <c r="J82" s="60">
        <f t="shared" si="7"/>
        <v>0</v>
      </c>
      <c r="K82" s="60">
        <f t="shared" si="8"/>
        <v>0</v>
      </c>
      <c r="L82" s="95">
        <f>(TableTEMaster[[#This Row],[TGT]]*TARGETS)+(TableTEMaster[[#This Row],[REC]]*RECEPTIONS_TE)+(TableTEMaster[[#This Row],[RCYD]]*RECV_YARDS)+(TableTEMaster[[#This Row],[RCTD]]*RECV_TDS)</f>
        <v>0</v>
      </c>
      <c r="M82" s="96">
        <v>0</v>
      </c>
    </row>
    <row r="83" spans="1:13" x14ac:dyDescent="0.2">
      <c r="A83" s="59">
        <f>IF(TableTEMaster[[#This Row],[Player]]&lt;&gt;0,A82+1,A82)</f>
        <v>73</v>
      </c>
      <c r="B83" s="59" t="str">
        <f>SEA!A$22</f>
        <v>Noah Fant</v>
      </c>
      <c r="C83" s="59" t="s">
        <v>119</v>
      </c>
      <c r="D83" s="61">
        <f>SEA!C$22</f>
        <v>5</v>
      </c>
      <c r="E83" s="60">
        <f>SEA!L$22</f>
        <v>58.048241999999995</v>
      </c>
      <c r="F83" s="60">
        <f>SEA!M$22</f>
        <v>40.22743170599999</v>
      </c>
      <c r="G83" s="60">
        <f>SEA!N$22</f>
        <v>429.22669630301988</v>
      </c>
      <c r="H83" s="60">
        <f>SEA!O$22</f>
        <v>2.4136459023599994</v>
      </c>
      <c r="I83" s="60">
        <f t="shared" si="6"/>
        <v>57.404545044461983</v>
      </c>
      <c r="J83" s="60">
        <f t="shared" si="7"/>
        <v>77.518260897461971</v>
      </c>
      <c r="K83" s="60">
        <f t="shared" si="8"/>
        <v>97.631976750461973</v>
      </c>
      <c r="L83" s="95">
        <f>(TableTEMaster[[#This Row],[TGT]]*TARGETS)+(TableTEMaster[[#This Row],[REC]]*RECEPTIONS_TE)+(TableTEMaster[[#This Row],[RCYD]]*RECV_YARDS)+(TableTEMaster[[#This Row],[RCTD]]*RECV_TDS)</f>
        <v>77.518260897461985</v>
      </c>
      <c r="M83" s="96">
        <v>1.3392541066845682</v>
      </c>
    </row>
    <row r="84" spans="1:13" x14ac:dyDescent="0.2">
      <c r="A84" s="59">
        <f>IF(TableTEMaster[[#This Row],[Player]]&lt;&gt;0,A83+1,A83)</f>
        <v>74</v>
      </c>
      <c r="B84" s="59" t="str">
        <f>SEA!A$23</f>
        <v>Pharoah Brown</v>
      </c>
      <c r="C84" s="59" t="s">
        <v>119</v>
      </c>
      <c r="D84" s="61">
        <f>SEA!C$23</f>
        <v>5</v>
      </c>
      <c r="E84" s="60">
        <f>SEA!L$23</f>
        <v>23.219296799999999</v>
      </c>
      <c r="F84" s="60">
        <f>SEA!M$23</f>
        <v>15.09254292</v>
      </c>
      <c r="G84" s="60">
        <f>SEA!N$23</f>
        <v>143.37915773999998</v>
      </c>
      <c r="H84" s="60">
        <f>SEA!O$23</f>
        <v>0.75462714600000003</v>
      </c>
      <c r="I84" s="60">
        <f t="shared" si="6"/>
        <v>18.86567865</v>
      </c>
      <c r="J84" s="60">
        <f t="shared" si="7"/>
        <v>26.411950109999999</v>
      </c>
      <c r="K84" s="60">
        <f t="shared" si="8"/>
        <v>33.958221569999999</v>
      </c>
      <c r="L84" s="95">
        <f>(TableTEMaster[[#This Row],[TGT]]*TARGETS)+(TableTEMaster[[#This Row],[REC]]*RECEPTIONS_TE)+(TableTEMaster[[#This Row],[RCYD]]*RECV_YARDS)+(TableTEMaster[[#This Row],[RCTD]]*RECV_TDS)</f>
        <v>26.411950109999999</v>
      </c>
      <c r="M84" s="96">
        <v>0</v>
      </c>
    </row>
    <row r="85" spans="1:13" x14ac:dyDescent="0.2">
      <c r="A85" s="59">
        <f>IF(TableTEMaster[[#This Row],[Player]]&lt;&gt;0,A84+1,A84)</f>
        <v>75</v>
      </c>
      <c r="B85" s="59" t="str">
        <f>SEA!A$24</f>
        <v>AJ Barner</v>
      </c>
      <c r="C85" s="59" t="s">
        <v>119</v>
      </c>
      <c r="D85" s="61">
        <f>SEA!C$24</f>
        <v>5</v>
      </c>
      <c r="E85" s="60">
        <f>SEA!L$24</f>
        <v>5.8048241999999997</v>
      </c>
      <c r="F85" s="60">
        <f>SEA!M$24</f>
        <v>3.8950370381999999</v>
      </c>
      <c r="G85" s="60">
        <f>SEA!N$24</f>
        <v>40.157831863841999</v>
      </c>
      <c r="H85" s="60">
        <f>SEA!O$24</f>
        <v>0.23370222229199999</v>
      </c>
      <c r="I85" s="60">
        <f t="shared" si="6"/>
        <v>5.4179965201361995</v>
      </c>
      <c r="J85" s="60">
        <f t="shared" si="7"/>
        <v>7.3655150392361994</v>
      </c>
      <c r="K85" s="60">
        <f t="shared" si="8"/>
        <v>9.3130335583361994</v>
      </c>
      <c r="L85" s="95">
        <f>(TableTEMaster[[#This Row],[TGT]]*TARGETS)+(TableTEMaster[[#This Row],[REC]]*RECEPTIONS_TE)+(TableTEMaster[[#This Row],[RCYD]]*RECV_YARDS)+(TableTEMaster[[#This Row],[RCTD]]*RECV_TDS)</f>
        <v>7.3655150392362003</v>
      </c>
      <c r="M85" s="96">
        <v>0</v>
      </c>
    </row>
    <row r="86" spans="1:13" x14ac:dyDescent="0.2">
      <c r="A86" s="59">
        <f>IF(TableTEMaster[[#This Row],[Player]]&lt;&gt;0,A85+1,A85)</f>
        <v>76</v>
      </c>
      <c r="B86" s="59" t="str">
        <f>SF!A$22</f>
        <v>George Kittle</v>
      </c>
      <c r="C86" s="59" t="s">
        <v>120</v>
      </c>
      <c r="D86" s="61">
        <f>SF!C$22</f>
        <v>9</v>
      </c>
      <c r="E86" s="60">
        <f>SF!L$22</f>
        <v>90.530773199999985</v>
      </c>
      <c r="F86" s="60">
        <f>SF!M$22</f>
        <v>65.544279796799984</v>
      </c>
      <c r="G86" s="60">
        <f>SF!N$22</f>
        <v>869.11715010556782</v>
      </c>
      <c r="H86" s="60">
        <f>SF!O$22</f>
        <v>5.898985181711998</v>
      </c>
      <c r="I86" s="60">
        <f t="shared" si="6"/>
        <v>122.30562610082876</v>
      </c>
      <c r="J86" s="60">
        <f t="shared" si="7"/>
        <v>155.07776599922875</v>
      </c>
      <c r="K86" s="60">
        <f t="shared" si="8"/>
        <v>187.84990589762873</v>
      </c>
      <c r="L86" s="95">
        <f>(TableTEMaster[[#This Row],[TGT]]*TARGETS)+(TableTEMaster[[#This Row],[REC]]*RECEPTIONS_TE)+(TableTEMaster[[#This Row],[RCYD]]*RECV_YARDS)+(TableTEMaster[[#This Row],[RCTD]]*RECV_TDS)</f>
        <v>155.07776599922877</v>
      </c>
      <c r="M86" s="96">
        <v>20.864054671782846</v>
      </c>
    </row>
    <row r="87" spans="1:13" x14ac:dyDescent="0.2">
      <c r="A87" s="59">
        <f>IF(TableTEMaster[[#This Row],[Player]]&lt;&gt;0,A86+1,A86)</f>
        <v>77</v>
      </c>
      <c r="B87" s="59" t="str">
        <f>SF!A$23</f>
        <v>Cameron Latu</v>
      </c>
      <c r="C87" s="59" t="s">
        <v>120</v>
      </c>
      <c r="D87" s="61">
        <f>SF!C$23</f>
        <v>9</v>
      </c>
      <c r="E87" s="60">
        <f>SF!L$23</f>
        <v>10.650679199999999</v>
      </c>
      <c r="F87" s="60">
        <f>SF!M$23</f>
        <v>6.8164346879999993</v>
      </c>
      <c r="G87" s="60">
        <f>SF!N$23</f>
        <v>61.347912191999995</v>
      </c>
      <c r="H87" s="60">
        <f>SF!O$23</f>
        <v>0.47715042815999997</v>
      </c>
      <c r="I87" s="60">
        <f t="shared" si="6"/>
        <v>8.9976937881599994</v>
      </c>
      <c r="J87" s="60">
        <f t="shared" si="7"/>
        <v>12.40591113216</v>
      </c>
      <c r="K87" s="60">
        <f t="shared" si="8"/>
        <v>15.814128476159999</v>
      </c>
      <c r="L87" s="95">
        <f>(TableTEMaster[[#This Row],[TGT]]*TARGETS)+(TableTEMaster[[#This Row],[REC]]*RECEPTIONS_TE)+(TableTEMaster[[#This Row],[RCYD]]*RECV_YARDS)+(TableTEMaster[[#This Row],[RCTD]]*RECV_TDS)</f>
        <v>12.40591113216</v>
      </c>
      <c r="M87" s="96">
        <v>0</v>
      </c>
    </row>
    <row r="88" spans="1:13" x14ac:dyDescent="0.2">
      <c r="A88" s="59">
        <f>IF(TableTEMaster[[#This Row],[Player]]&lt;&gt;0,A87+1,A87)</f>
        <v>77</v>
      </c>
      <c r="B88" s="59">
        <f>SF!A$24</f>
        <v>0</v>
      </c>
      <c r="C88" s="59" t="s">
        <v>120</v>
      </c>
      <c r="D88" s="61">
        <f>SF!C$24</f>
        <v>9</v>
      </c>
      <c r="E88" s="60">
        <f>SF!L$24</f>
        <v>0</v>
      </c>
      <c r="F88" s="60">
        <f>SF!M$24</f>
        <v>0</v>
      </c>
      <c r="G88" s="60">
        <f>SF!N$24</f>
        <v>0</v>
      </c>
      <c r="H88" s="60">
        <f>SF!O$24</f>
        <v>0</v>
      </c>
      <c r="I88" s="60">
        <f t="shared" si="6"/>
        <v>0</v>
      </c>
      <c r="J88" s="60">
        <f t="shared" si="7"/>
        <v>0</v>
      </c>
      <c r="K88" s="60">
        <f t="shared" si="8"/>
        <v>0</v>
      </c>
      <c r="L88" s="95">
        <f>(TableTEMaster[[#This Row],[TGT]]*TARGETS)+(TableTEMaster[[#This Row],[REC]]*RECEPTIONS_TE)+(TableTEMaster[[#This Row],[RCYD]]*RECV_YARDS)+(TableTEMaster[[#This Row],[RCTD]]*RECV_TDS)</f>
        <v>0</v>
      </c>
      <c r="M88" s="96">
        <v>0</v>
      </c>
    </row>
    <row r="89" spans="1:13" x14ac:dyDescent="0.2">
      <c r="A89" s="59">
        <f>IF(TableTEMaster[[#This Row],[Player]]&lt;&gt;0,A88+1,A88)</f>
        <v>78</v>
      </c>
      <c r="B89" s="59" t="str">
        <f>TB!A$22</f>
        <v>Cade Otton</v>
      </c>
      <c r="C89" s="59" t="s">
        <v>121</v>
      </c>
      <c r="D89" s="61">
        <f>TB!C$22</f>
        <v>5</v>
      </c>
      <c r="E89" s="60">
        <f>TB!L$22</f>
        <v>68.200855799999999</v>
      </c>
      <c r="F89" s="60">
        <f>TB!M$22</f>
        <v>44.671560548999999</v>
      </c>
      <c r="G89" s="60">
        <f>TB!N$22</f>
        <v>450.73604593940996</v>
      </c>
      <c r="H89" s="60">
        <f>TB!O$22</f>
        <v>3.3503670411749997</v>
      </c>
      <c r="I89" s="60">
        <f t="shared" si="6"/>
        <v>65.175806840991001</v>
      </c>
      <c r="J89" s="60">
        <f t="shared" si="7"/>
        <v>87.511587115490997</v>
      </c>
      <c r="K89" s="60">
        <f t="shared" si="8"/>
        <v>109.84736738999101</v>
      </c>
      <c r="L89" s="95">
        <f>(TableTEMaster[[#This Row],[TGT]]*TARGETS)+(TableTEMaster[[#This Row],[REC]]*RECEPTIONS_TE)+(TableTEMaster[[#This Row],[RCYD]]*RECV_YARDS)+(TableTEMaster[[#This Row],[RCTD]]*RECV_TDS)</f>
        <v>87.511587115490997</v>
      </c>
      <c r="M89" s="96">
        <v>2.4875712692474092</v>
      </c>
    </row>
    <row r="90" spans="1:13" x14ac:dyDescent="0.2">
      <c r="A90" s="59">
        <f>IF(TableTEMaster[[#This Row],[Player]]&lt;&gt;0,A89+1,A89)</f>
        <v>79</v>
      </c>
      <c r="B90" s="59" t="str">
        <f>TB!A$23</f>
        <v>Ko Kieft</v>
      </c>
      <c r="C90" s="59" t="s">
        <v>121</v>
      </c>
      <c r="D90" s="61">
        <f>TB!C$23</f>
        <v>5</v>
      </c>
      <c r="E90" s="60">
        <f>TB!L$23</f>
        <v>20.756782200000004</v>
      </c>
      <c r="F90" s="60">
        <f>TB!M$23</f>
        <v>12.661637142000002</v>
      </c>
      <c r="G90" s="60">
        <f>TB!N$23</f>
        <v>113.95473427800002</v>
      </c>
      <c r="H90" s="60">
        <f>TB!O$23</f>
        <v>0.63308185710000009</v>
      </c>
      <c r="I90" s="60">
        <f t="shared" si="6"/>
        <v>15.193964570400002</v>
      </c>
      <c r="J90" s="60">
        <f t="shared" si="7"/>
        <v>21.524783141400004</v>
      </c>
      <c r="K90" s="60">
        <f t="shared" si="8"/>
        <v>27.855601712400002</v>
      </c>
      <c r="L90" s="95">
        <f>(TableTEMaster[[#This Row],[TGT]]*TARGETS)+(TableTEMaster[[#This Row],[REC]]*RECEPTIONS_TE)+(TableTEMaster[[#This Row],[RCYD]]*RECV_YARDS)+(TableTEMaster[[#This Row],[RCTD]]*RECV_TDS)</f>
        <v>21.524783141400004</v>
      </c>
      <c r="M90" s="96">
        <v>0</v>
      </c>
    </row>
    <row r="91" spans="1:13" x14ac:dyDescent="0.2">
      <c r="A91" s="59">
        <f>IF(TableTEMaster[[#This Row],[Player]]&lt;&gt;0,A90+1,A90)</f>
        <v>80</v>
      </c>
      <c r="B91" s="59" t="str">
        <f>TB!A$24</f>
        <v>Payne Durham</v>
      </c>
      <c r="C91" s="59" t="s">
        <v>121</v>
      </c>
      <c r="D91" s="61">
        <f>TB!C$24</f>
        <v>5</v>
      </c>
      <c r="E91" s="60">
        <f>TB!L$24</f>
        <v>5.9305091999999995</v>
      </c>
      <c r="F91" s="60">
        <f>TB!M$24</f>
        <v>3.6057495935999997</v>
      </c>
      <c r="G91" s="60">
        <f>TB!N$24</f>
        <v>37.8603707328</v>
      </c>
      <c r="H91" s="60">
        <f>TB!O$24</f>
        <v>0.18028747968</v>
      </c>
      <c r="I91" s="60">
        <f t="shared" si="6"/>
        <v>4.8677619513600003</v>
      </c>
      <c r="J91" s="60">
        <f t="shared" si="7"/>
        <v>6.6706367481599997</v>
      </c>
      <c r="K91" s="60">
        <f t="shared" si="8"/>
        <v>8.4735115449600009</v>
      </c>
      <c r="L91" s="95">
        <f>(TableTEMaster[[#This Row],[TGT]]*TARGETS)+(TableTEMaster[[#This Row],[REC]]*RECEPTIONS_TE)+(TableTEMaster[[#This Row],[RCYD]]*RECV_YARDS)+(TableTEMaster[[#This Row],[RCTD]]*RECV_TDS)</f>
        <v>6.6706367481600006</v>
      </c>
      <c r="M91" s="96">
        <v>0</v>
      </c>
    </row>
    <row r="92" spans="1:13" x14ac:dyDescent="0.2">
      <c r="A92" s="59">
        <f>IF(TableTEMaster[[#This Row],[Player]]&lt;&gt;0,A91+1,A91)</f>
        <v>81</v>
      </c>
      <c r="B92" s="59" t="str">
        <f>TEN!A$22</f>
        <v>Chigoziem Okonkwo</v>
      </c>
      <c r="C92" s="59" t="s">
        <v>122</v>
      </c>
      <c r="D92" s="61">
        <f>TEN!C$22</f>
        <v>7</v>
      </c>
      <c r="E92" s="60">
        <f>TEN!L$22</f>
        <v>79.175596499999969</v>
      </c>
      <c r="F92" s="60">
        <f>TEN!M$22</f>
        <v>53.047649654999979</v>
      </c>
      <c r="G92" s="60">
        <f>TEN!N$22</f>
        <v>576.62795174984979</v>
      </c>
      <c r="H92" s="60">
        <f>TEN!O$22</f>
        <v>3.6072401765399991</v>
      </c>
      <c r="I92" s="60">
        <f t="shared" si="6"/>
        <v>79.306236234224968</v>
      </c>
      <c r="J92" s="60">
        <f t="shared" si="7"/>
        <v>105.83006106172496</v>
      </c>
      <c r="K92" s="60">
        <f t="shared" si="8"/>
        <v>132.35388588922496</v>
      </c>
      <c r="L92" s="95">
        <f>(TableTEMaster[[#This Row],[TGT]]*TARGETS)+(TableTEMaster[[#This Row],[REC]]*RECEPTIONS_TE)+(TableTEMaster[[#This Row],[RCYD]]*RECV_YARDS)+(TableTEMaster[[#This Row],[RCTD]]*RECV_TDS)</f>
        <v>105.83006106172496</v>
      </c>
      <c r="M92" s="96">
        <v>0.26292251074426737</v>
      </c>
    </row>
    <row r="93" spans="1:13" x14ac:dyDescent="0.2">
      <c r="A93" s="59">
        <f>IF(TableTEMaster[[#This Row],[Player]]&lt;&gt;0,A92+1,A92)</f>
        <v>82</v>
      </c>
      <c r="B93" s="59" t="str">
        <f>TEN!A$23</f>
        <v>Josh Whyle</v>
      </c>
      <c r="C93" s="59" t="s">
        <v>122</v>
      </c>
      <c r="D93" s="61">
        <f>TEN!C$23</f>
        <v>7</v>
      </c>
      <c r="E93" s="60">
        <f>TEN!L$23</f>
        <v>17.594576999999994</v>
      </c>
      <c r="F93" s="60">
        <f>TEN!M$23</f>
        <v>11.630015396999996</v>
      </c>
      <c r="G93" s="60">
        <f>TEN!N$23</f>
        <v>117.11425504778997</v>
      </c>
      <c r="H93" s="60">
        <f>TEN!O$23</f>
        <v>0.6978009238199997</v>
      </c>
      <c r="I93" s="60">
        <f t="shared" si="6"/>
        <v>15.898231047698996</v>
      </c>
      <c r="J93" s="60">
        <f t="shared" si="7"/>
        <v>21.713238746198993</v>
      </c>
      <c r="K93" s="60">
        <f t="shared" si="8"/>
        <v>27.528246444698993</v>
      </c>
      <c r="L93" s="95">
        <f>(TableTEMaster[[#This Row],[TGT]]*TARGETS)+(TableTEMaster[[#This Row],[REC]]*RECEPTIONS_TE)+(TableTEMaster[[#This Row],[RCYD]]*RECV_YARDS)+(TableTEMaster[[#This Row],[RCTD]]*RECV_TDS)</f>
        <v>21.713238746198993</v>
      </c>
      <c r="M93" s="96">
        <v>0</v>
      </c>
    </row>
    <row r="94" spans="1:13" x14ac:dyDescent="0.2">
      <c r="A94" s="59">
        <f>IF(TableTEMaster[[#This Row],[Player]]&lt;&gt;0,A93+1,A93)</f>
        <v>82</v>
      </c>
      <c r="B94" s="59">
        <f>TEN!A$24</f>
        <v>0</v>
      </c>
      <c r="C94" s="59" t="s">
        <v>122</v>
      </c>
      <c r="D94" s="61">
        <f>TEN!C$24</f>
        <v>7</v>
      </c>
      <c r="E94" s="60">
        <f>TEN!L$24</f>
        <v>0</v>
      </c>
      <c r="F94" s="60">
        <f>TEN!M$24</f>
        <v>0</v>
      </c>
      <c r="G94" s="60">
        <f>TEN!N$24</f>
        <v>0</v>
      </c>
      <c r="H94" s="60">
        <f>TEN!O$24</f>
        <v>0</v>
      </c>
      <c r="I94" s="60">
        <f t="shared" si="6"/>
        <v>0</v>
      </c>
      <c r="J94" s="60">
        <f t="shared" si="7"/>
        <v>0</v>
      </c>
      <c r="K94" s="60">
        <f t="shared" si="8"/>
        <v>0</v>
      </c>
      <c r="L94" s="95">
        <f>(TableTEMaster[[#This Row],[TGT]]*TARGETS)+(TableTEMaster[[#This Row],[REC]]*RECEPTIONS_TE)+(TableTEMaster[[#This Row],[RCYD]]*RECV_YARDS)+(TableTEMaster[[#This Row],[RCTD]]*RECV_TDS)</f>
        <v>0</v>
      </c>
      <c r="M94" s="96">
        <v>0</v>
      </c>
    </row>
    <row r="95" spans="1:13" x14ac:dyDescent="0.2">
      <c r="A95" s="59">
        <f>IF(TableTEMaster[[#This Row],[Player]]&lt;&gt;0,A94+1,A94)</f>
        <v>83</v>
      </c>
      <c r="B95" s="59" t="str">
        <f>WSH!A$22</f>
        <v>Zach Ertz</v>
      </c>
      <c r="C95" s="59" t="s">
        <v>125</v>
      </c>
      <c r="D95" s="61">
        <f>WSH!C$22</f>
        <v>14</v>
      </c>
      <c r="E95" s="60">
        <f>WSH!L$22</f>
        <v>56.967889999999997</v>
      </c>
      <c r="F95" s="60">
        <f>WSH!M$22</f>
        <v>36.972160609999996</v>
      </c>
      <c r="G95" s="60">
        <f>WSH!N$22</f>
        <v>340.88332082419998</v>
      </c>
      <c r="H95" s="60">
        <f>WSH!O$22</f>
        <v>2.6619955639199997</v>
      </c>
      <c r="I95" s="60">
        <f t="shared" si="6"/>
        <v>50.06030546593999</v>
      </c>
      <c r="J95" s="60">
        <f t="shared" si="7"/>
        <v>68.546385770939992</v>
      </c>
      <c r="K95" s="60">
        <f t="shared" si="8"/>
        <v>87.032466075939993</v>
      </c>
      <c r="L95" s="95">
        <f>(TableTEMaster[[#This Row],[TGT]]*TARGETS)+(TableTEMaster[[#This Row],[REC]]*RECEPTIONS_TE)+(TableTEMaster[[#This Row],[RCYD]]*RECV_YARDS)+(TableTEMaster[[#This Row],[RCTD]]*RECV_TDS)</f>
        <v>68.546385770939992</v>
      </c>
      <c r="M95" s="96">
        <v>4.5112693426953232</v>
      </c>
    </row>
    <row r="96" spans="1:13" x14ac:dyDescent="0.2">
      <c r="A96" s="59">
        <f>IF(TableTEMaster[[#This Row],[Player]]&lt;&gt;0,A95+1,A95)</f>
        <v>84</v>
      </c>
      <c r="B96" s="59" t="str">
        <f>WSH!A$23</f>
        <v>Ben Sinnott</v>
      </c>
      <c r="C96" s="59" t="s">
        <v>125</v>
      </c>
      <c r="D96" s="61">
        <f>WSH!C$23</f>
        <v>14</v>
      </c>
      <c r="E96" s="60">
        <f>WSH!L$23</f>
        <v>37.029128499999999</v>
      </c>
      <c r="F96" s="60">
        <f>WSH!M$23</f>
        <v>24.142991781999999</v>
      </c>
      <c r="G96" s="60">
        <f>WSH!N$23</f>
        <v>256.39857272483999</v>
      </c>
      <c r="H96" s="60">
        <f>WSH!O$23</f>
        <v>1.8107243836499998</v>
      </c>
      <c r="I96" s="60">
        <f t="shared" si="6"/>
        <v>36.504203574384</v>
      </c>
      <c r="J96" s="60">
        <f t="shared" si="7"/>
        <v>48.575699465383998</v>
      </c>
      <c r="K96" s="60">
        <f t="shared" si="8"/>
        <v>60.647195356384003</v>
      </c>
      <c r="L96" s="95">
        <f>(TableTEMaster[[#This Row],[TGT]]*TARGETS)+(TableTEMaster[[#This Row],[REC]]*RECEPTIONS_TE)+(TableTEMaster[[#This Row],[RCYD]]*RECV_YARDS)+(TableTEMaster[[#This Row],[RCTD]]*RECV_TDS)</f>
        <v>48.575699465383998</v>
      </c>
      <c r="M96" s="96">
        <v>0</v>
      </c>
    </row>
    <row r="97" spans="1:13" x14ac:dyDescent="0.2">
      <c r="A97" s="59">
        <f>IF(TableTEMaster[[#This Row],[Player]]&lt;&gt;0,A96+1,A96)</f>
        <v>85</v>
      </c>
      <c r="B97" s="59" t="str">
        <f>WSH!A$24</f>
        <v>Cole Turner</v>
      </c>
      <c r="C97" s="59" t="s">
        <v>125</v>
      </c>
      <c r="D97" s="61">
        <f>WSH!C$24</f>
        <v>14</v>
      </c>
      <c r="E97" s="60">
        <f>WSH!L$24</f>
        <v>5.696788999999999</v>
      </c>
      <c r="F97" s="60">
        <f>WSH!M$24</f>
        <v>3.6687321159999993</v>
      </c>
      <c r="G97" s="60">
        <f>WSH!N$24</f>
        <v>38.081439364079998</v>
      </c>
      <c r="H97" s="60">
        <f>WSH!O$24</f>
        <v>0.23846758753999997</v>
      </c>
      <c r="I97" s="60">
        <f t="shared" si="6"/>
        <v>5.2389494616479997</v>
      </c>
      <c r="J97" s="60">
        <f t="shared" si="7"/>
        <v>7.0733155196479993</v>
      </c>
      <c r="K97" s="60">
        <f t="shared" si="8"/>
        <v>8.9076815776479989</v>
      </c>
      <c r="L97" s="95">
        <f>(TableTEMaster[[#This Row],[TGT]]*TARGETS)+(TableTEMaster[[#This Row],[REC]]*RECEPTIONS_TE)+(TableTEMaster[[#This Row],[RCYD]]*RECV_YARDS)+(TableTEMaster[[#This Row],[RCTD]]*RECV_TDS)</f>
        <v>7.0733155196480002</v>
      </c>
      <c r="M97" s="96">
        <v>0</v>
      </c>
    </row>
  </sheetData>
  <sortState xmlns:xlrd2="http://schemas.microsoft.com/office/spreadsheetml/2017/richdata2" ref="B2:K97">
    <sortCondition ref="C2:C129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5"/>
  <dimension ref="A1:E33"/>
  <sheetViews>
    <sheetView showGridLines="0" zoomScale="85" zoomScaleNormal="85" workbookViewId="0">
      <selection activeCell="B33" sqref="B33"/>
    </sheetView>
  </sheetViews>
  <sheetFormatPr baseColWidth="10" defaultColWidth="9.19921875" defaultRowHeight="15" x14ac:dyDescent="0.2"/>
  <cols>
    <col min="1" max="1" width="10" style="59" bestFit="1" customWidth="1"/>
    <col min="2" max="2" width="26.59765625" style="59" bestFit="1" customWidth="1"/>
    <col min="3" max="3" width="7" style="59" bestFit="1" customWidth="1"/>
    <col min="4" max="4" width="10" style="59" bestFit="1" customWidth="1"/>
    <col min="5" max="5" width="8.3984375" style="59" bestFit="1" customWidth="1"/>
    <col min="6" max="16384" width="9.19921875" style="59"/>
  </cols>
  <sheetData>
    <row r="1" spans="1:5" x14ac:dyDescent="0.2">
      <c r="A1" s="58" t="s">
        <v>379</v>
      </c>
      <c r="B1" s="58" t="s">
        <v>340</v>
      </c>
      <c r="C1" s="58" t="s">
        <v>128</v>
      </c>
      <c r="D1" s="58" t="s">
        <v>336</v>
      </c>
      <c r="E1" s="58" t="s">
        <v>310</v>
      </c>
    </row>
    <row r="2" spans="1:5" x14ac:dyDescent="0.2">
      <c r="A2" s="59">
        <v>1</v>
      </c>
      <c r="B2" s="59" t="str">
        <f>DST!B2</f>
        <v>49ers</v>
      </c>
      <c r="C2" s="61">
        <f>DST!D2</f>
        <v>0</v>
      </c>
      <c r="D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115.14999999999999</v>
      </c>
      <c r="E2" s="98">
        <v>0.1601309495188814</v>
      </c>
    </row>
    <row r="3" spans="1:5" x14ac:dyDescent="0.2">
      <c r="A3" s="59">
        <v>2</v>
      </c>
      <c r="B3" s="59" t="str">
        <f>DST!B3</f>
        <v>Bears</v>
      </c>
      <c r="C3" s="61">
        <f>DST!D3</f>
        <v>0</v>
      </c>
      <c r="D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105.5</v>
      </c>
      <c r="E3" s="98">
        <v>0</v>
      </c>
    </row>
    <row r="4" spans="1:5" x14ac:dyDescent="0.2">
      <c r="A4" s="59">
        <v>3</v>
      </c>
      <c r="B4" s="59" t="str">
        <f>DST!B4</f>
        <v>Bengals</v>
      </c>
      <c r="C4" s="61">
        <f>DST!D4</f>
        <v>0</v>
      </c>
      <c r="D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119.85</v>
      </c>
      <c r="E4" s="98">
        <v>0.26989971239398014</v>
      </c>
    </row>
    <row r="5" spans="1:5" x14ac:dyDescent="0.2">
      <c r="A5" s="59">
        <v>4</v>
      </c>
      <c r="B5" s="59" t="str">
        <f>DST!B5</f>
        <v>Bills</v>
      </c>
      <c r="C5" s="61">
        <f>DST!D5</f>
        <v>0</v>
      </c>
      <c r="D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119.9</v>
      </c>
      <c r="E5" s="98">
        <v>0.12648798533843186</v>
      </c>
    </row>
    <row r="6" spans="1:5" x14ac:dyDescent="0.2">
      <c r="A6" s="59">
        <v>5</v>
      </c>
      <c r="B6" s="59" t="str">
        <f>DST!B6</f>
        <v>Broncos</v>
      </c>
      <c r="C6" s="61">
        <f>DST!D6</f>
        <v>0</v>
      </c>
      <c r="D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110.45</v>
      </c>
      <c r="E6" s="98">
        <v>0</v>
      </c>
    </row>
    <row r="7" spans="1:5" x14ac:dyDescent="0.2">
      <c r="A7" s="59">
        <v>6</v>
      </c>
      <c r="B7" s="59" t="str">
        <f>DST!B7</f>
        <v>Browns</v>
      </c>
      <c r="C7" s="61">
        <f>DST!D7</f>
        <v>0</v>
      </c>
      <c r="D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120.00000000000001</v>
      </c>
      <c r="E7" s="98">
        <v>0</v>
      </c>
    </row>
    <row r="8" spans="1:5" x14ac:dyDescent="0.2">
      <c r="A8" s="59">
        <v>7</v>
      </c>
      <c r="B8" s="59" t="str">
        <f>DST!B8</f>
        <v>Buccaneers</v>
      </c>
      <c r="C8" s="61">
        <f>DST!D8</f>
        <v>0</v>
      </c>
      <c r="D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117.00000000000001</v>
      </c>
      <c r="E8" s="98">
        <v>0</v>
      </c>
    </row>
    <row r="9" spans="1:5" x14ac:dyDescent="0.2">
      <c r="A9" s="59">
        <v>8</v>
      </c>
      <c r="B9" s="59" t="str">
        <f>DST!B9</f>
        <v>Cardinals</v>
      </c>
      <c r="C9" s="61">
        <f>DST!D9</f>
        <v>0</v>
      </c>
      <c r="D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104</v>
      </c>
      <c r="E9" s="98">
        <v>5.739541041219344E-2</v>
      </c>
    </row>
    <row r="10" spans="1:5" x14ac:dyDescent="0.2">
      <c r="A10" s="59">
        <v>9</v>
      </c>
      <c r="B10" s="59" t="str">
        <f>DST!B10</f>
        <v>Chargers</v>
      </c>
      <c r="C10" s="61">
        <f>DST!D10</f>
        <v>0</v>
      </c>
      <c r="D1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117.14999999999999</v>
      </c>
      <c r="E10" s="98">
        <v>0</v>
      </c>
    </row>
    <row r="11" spans="1:5" x14ac:dyDescent="0.2">
      <c r="A11" s="59">
        <v>10</v>
      </c>
      <c r="B11" s="59" t="str">
        <f>DST!B11</f>
        <v>Chiefs</v>
      </c>
      <c r="C11" s="61">
        <f>DST!D11</f>
        <v>0</v>
      </c>
      <c r="D1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116.70000000000002</v>
      </c>
      <c r="E11" s="98">
        <v>0</v>
      </c>
    </row>
    <row r="12" spans="1:5" x14ac:dyDescent="0.2">
      <c r="A12" s="59">
        <v>11</v>
      </c>
      <c r="B12" s="59" t="str">
        <f>DST!B12</f>
        <v>Colts</v>
      </c>
      <c r="C12" s="61">
        <f>DST!D12</f>
        <v>0</v>
      </c>
      <c r="D1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119.50000000000001</v>
      </c>
      <c r="E12" s="98">
        <v>0</v>
      </c>
    </row>
    <row r="13" spans="1:5" x14ac:dyDescent="0.2">
      <c r="A13" s="59">
        <v>12</v>
      </c>
      <c r="B13" s="59" t="str">
        <f>DST!B13</f>
        <v>Commanders</v>
      </c>
      <c r="C13" s="61">
        <f>DST!D13</f>
        <v>0</v>
      </c>
      <c r="D1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115.85</v>
      </c>
      <c r="E13" s="98">
        <v>0.11135103317964741</v>
      </c>
    </row>
    <row r="14" spans="1:5" x14ac:dyDescent="0.2">
      <c r="A14" s="59">
        <v>13</v>
      </c>
      <c r="B14" s="59" t="str">
        <f>DST!B14</f>
        <v>Cowboys</v>
      </c>
      <c r="C14" s="61">
        <f>DST!D14</f>
        <v>0</v>
      </c>
      <c r="D1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123.05</v>
      </c>
      <c r="E14" s="98">
        <v>0</v>
      </c>
    </row>
    <row r="15" spans="1:5" x14ac:dyDescent="0.2">
      <c r="A15" s="59">
        <v>14</v>
      </c>
      <c r="B15" s="59" t="str">
        <f>DST!B15</f>
        <v>Dolphins</v>
      </c>
      <c r="C15" s="61">
        <f>DST!D15</f>
        <v>0</v>
      </c>
      <c r="D1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116.45</v>
      </c>
      <c r="E15" s="98">
        <v>0.30436492593653164</v>
      </c>
    </row>
    <row r="16" spans="1:5" x14ac:dyDescent="0.2">
      <c r="A16" s="59">
        <v>15</v>
      </c>
      <c r="B16" s="59" t="str">
        <f>DST!B16</f>
        <v>Eagles</v>
      </c>
      <c r="C16" s="61">
        <f>DST!D16</f>
        <v>0</v>
      </c>
      <c r="D1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123.35</v>
      </c>
      <c r="E16" s="98">
        <v>0</v>
      </c>
    </row>
    <row r="17" spans="1:5" x14ac:dyDescent="0.2">
      <c r="A17" s="59">
        <v>16</v>
      </c>
      <c r="B17" s="59" t="str">
        <f>DST!B17</f>
        <v>Falcons</v>
      </c>
      <c r="C17" s="61">
        <f>DST!D17</f>
        <v>0</v>
      </c>
      <c r="D1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107.50000000000001</v>
      </c>
      <c r="E17" s="98">
        <v>0</v>
      </c>
    </row>
    <row r="18" spans="1:5" x14ac:dyDescent="0.2">
      <c r="A18" s="59">
        <v>17</v>
      </c>
      <c r="B18" s="59" t="str">
        <f>DST!B18</f>
        <v>Giants</v>
      </c>
      <c r="C18" s="61">
        <f>DST!D18</f>
        <v>0</v>
      </c>
      <c r="D1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118.45</v>
      </c>
      <c r="E18" s="98">
        <v>0</v>
      </c>
    </row>
    <row r="19" spans="1:5" x14ac:dyDescent="0.2">
      <c r="A19" s="59">
        <v>18</v>
      </c>
      <c r="B19" s="59" t="str">
        <f>DST!B19</f>
        <v>Jaguars</v>
      </c>
      <c r="C19" s="61">
        <f>DST!D19</f>
        <v>0</v>
      </c>
      <c r="D1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113.45</v>
      </c>
      <c r="E19" s="98">
        <v>0</v>
      </c>
    </row>
    <row r="20" spans="1:5" x14ac:dyDescent="0.2">
      <c r="A20" s="59">
        <v>19</v>
      </c>
      <c r="B20" s="59" t="str">
        <f>DST!B20</f>
        <v>Jets</v>
      </c>
      <c r="C20" s="61">
        <f>DST!D20</f>
        <v>0</v>
      </c>
      <c r="D2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119.7</v>
      </c>
      <c r="E20" s="98">
        <v>1.4689537351671356</v>
      </c>
    </row>
    <row r="21" spans="1:5" x14ac:dyDescent="0.2">
      <c r="A21" s="59">
        <v>20</v>
      </c>
      <c r="B21" s="59" t="str">
        <f>DST!B21</f>
        <v>Lions</v>
      </c>
      <c r="C21" s="61">
        <f>DST!D21</f>
        <v>0</v>
      </c>
      <c r="D2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115.60000000000001</v>
      </c>
      <c r="E21" s="98">
        <v>0</v>
      </c>
    </row>
    <row r="22" spans="1:5" x14ac:dyDescent="0.2">
      <c r="A22" s="59">
        <v>21</v>
      </c>
      <c r="B22" s="59" t="str">
        <f>DST!B22</f>
        <v>Packers</v>
      </c>
      <c r="C22" s="61">
        <f>DST!D22</f>
        <v>0</v>
      </c>
      <c r="D2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113.35</v>
      </c>
      <c r="E22" s="98">
        <v>0</v>
      </c>
    </row>
    <row r="23" spans="1:5" x14ac:dyDescent="0.2">
      <c r="A23" s="59">
        <v>22</v>
      </c>
      <c r="B23" s="59" t="str">
        <f>DST!B23</f>
        <v>Panthers</v>
      </c>
      <c r="C23" s="61">
        <f>DST!D23</f>
        <v>0</v>
      </c>
      <c r="D2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104.30000000000001</v>
      </c>
      <c r="E23" s="98">
        <v>0</v>
      </c>
    </row>
    <row r="24" spans="1:5" x14ac:dyDescent="0.2">
      <c r="A24" s="59">
        <v>23</v>
      </c>
      <c r="B24" s="59" t="str">
        <f>DST!B24</f>
        <v>Patriots</v>
      </c>
      <c r="C24" s="61">
        <f>DST!D24</f>
        <v>0</v>
      </c>
      <c r="D2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107.64999999999999</v>
      </c>
      <c r="E24" s="98">
        <v>0</v>
      </c>
    </row>
    <row r="25" spans="1:5" x14ac:dyDescent="0.2">
      <c r="A25" s="59">
        <v>24</v>
      </c>
      <c r="B25" s="59" t="str">
        <f>DST!B25</f>
        <v>Raiders</v>
      </c>
      <c r="C25" s="61">
        <f>DST!D25</f>
        <v>0</v>
      </c>
      <c r="D2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107.6</v>
      </c>
      <c r="E25" s="98">
        <v>0</v>
      </c>
    </row>
    <row r="26" spans="1:5" x14ac:dyDescent="0.2">
      <c r="A26" s="59">
        <v>25</v>
      </c>
      <c r="B26" s="59" t="str">
        <f>DST!B26</f>
        <v>Rams</v>
      </c>
      <c r="C26" s="61">
        <f>DST!D26</f>
        <v>0</v>
      </c>
      <c r="D2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107.15</v>
      </c>
      <c r="E26" s="98">
        <v>0</v>
      </c>
    </row>
    <row r="27" spans="1:5" x14ac:dyDescent="0.2">
      <c r="A27" s="59">
        <v>26</v>
      </c>
      <c r="B27" s="59" t="str">
        <f>DST!B27</f>
        <v>Ravens</v>
      </c>
      <c r="C27" s="61">
        <f>DST!D27</f>
        <v>0</v>
      </c>
      <c r="D2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121.85</v>
      </c>
      <c r="E27" s="98">
        <v>0</v>
      </c>
    </row>
    <row r="28" spans="1:5" x14ac:dyDescent="0.2">
      <c r="A28" s="59">
        <v>27</v>
      </c>
      <c r="B28" s="59" t="str">
        <f>DST!B28</f>
        <v>Saints</v>
      </c>
      <c r="C28" s="61">
        <f>DST!D28</f>
        <v>0</v>
      </c>
      <c r="D2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112.5</v>
      </c>
      <c r="E28" s="98">
        <v>0.69174930560247694</v>
      </c>
    </row>
    <row r="29" spans="1:5" x14ac:dyDescent="0.2">
      <c r="A29" s="59">
        <v>28</v>
      </c>
      <c r="B29" s="59" t="str">
        <f>DST!B29</f>
        <v>Seahawks</v>
      </c>
      <c r="C29" s="61">
        <f>DST!D29</f>
        <v>0</v>
      </c>
      <c r="D2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113.20000000000002</v>
      </c>
      <c r="E29" s="98">
        <v>0.21909806626723186</v>
      </c>
    </row>
    <row r="30" spans="1:5" x14ac:dyDescent="0.2">
      <c r="A30" s="59">
        <v>29</v>
      </c>
      <c r="B30" s="59" t="str">
        <f>DST!B30</f>
        <v>Steelers</v>
      </c>
      <c r="C30" s="61">
        <f>DST!D30</f>
        <v>0</v>
      </c>
      <c r="D3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115.99999999999999</v>
      </c>
      <c r="E30" s="98">
        <v>0</v>
      </c>
    </row>
    <row r="31" spans="1:5" x14ac:dyDescent="0.2">
      <c r="A31" s="59">
        <v>30</v>
      </c>
      <c r="B31" s="59" t="str">
        <f>DST!B31</f>
        <v>Texans</v>
      </c>
      <c r="C31" s="61">
        <f>DST!D31</f>
        <v>0</v>
      </c>
      <c r="D3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117.1</v>
      </c>
      <c r="E31" s="98">
        <v>2</v>
      </c>
    </row>
    <row r="32" spans="1:5" x14ac:dyDescent="0.2">
      <c r="A32" s="59">
        <v>31</v>
      </c>
      <c r="B32" s="59" t="str">
        <f>DST!B32</f>
        <v>Titans</v>
      </c>
      <c r="C32" s="61">
        <f>DST!D32</f>
        <v>0</v>
      </c>
      <c r="D3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105.35</v>
      </c>
      <c r="E32" s="98">
        <v>0</v>
      </c>
    </row>
    <row r="33" spans="1:5" x14ac:dyDescent="0.2">
      <c r="A33" s="59">
        <v>32</v>
      </c>
      <c r="B33" s="59" t="str">
        <f>DST!B33</f>
        <v>Vikings</v>
      </c>
      <c r="C33" s="61">
        <f>DST!D33</f>
        <v>0</v>
      </c>
      <c r="D3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113.30000000000001</v>
      </c>
      <c r="E33" s="98">
        <v>1.1054705371824296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>
    <tabColor rgb="FFF5DCFF"/>
  </sheetPr>
  <dimension ref="A1:BN306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baseColWidth="10" defaultColWidth="4.796875" defaultRowHeight="14" x14ac:dyDescent="0.2"/>
  <cols>
    <col min="1" max="1" width="4.19921875" bestFit="1" customWidth="1"/>
    <col min="2" max="2" width="23.59765625" bestFit="1" customWidth="1"/>
    <col min="3" max="3" width="4.796875" bestFit="1" customWidth="1"/>
    <col min="4" max="4" width="4" bestFit="1" customWidth="1"/>
    <col min="5" max="5" width="5.796875" style="52" bestFit="1" customWidth="1"/>
    <col min="6" max="6" width="7.59765625" style="124" bestFit="1" customWidth="1"/>
    <col min="7" max="7" width="4.796875" customWidth="1"/>
    <col min="8" max="8" width="4.19921875" bestFit="1" customWidth="1"/>
    <col min="9" max="9" width="19.19921875" bestFit="1" customWidth="1"/>
    <col min="10" max="10" width="4.796875" bestFit="1" customWidth="1"/>
    <col min="11" max="11" width="4" bestFit="1" customWidth="1"/>
    <col min="12" max="12" width="5.796875" style="52" bestFit="1" customWidth="1"/>
    <col min="13" max="13" width="7" style="52" bestFit="1" customWidth="1"/>
    <col min="14" max="14" width="4.796875" customWidth="1"/>
    <col min="15" max="15" width="4.19921875" bestFit="1" customWidth="1"/>
    <col min="16" max="16" width="22" bestFit="1" customWidth="1"/>
    <col min="17" max="17" width="4.796875" bestFit="1" customWidth="1"/>
    <col min="18" max="18" width="4" bestFit="1" customWidth="1"/>
    <col min="19" max="19" width="5.796875" style="52" bestFit="1" customWidth="1"/>
    <col min="20" max="20" width="7" style="52" bestFit="1" customWidth="1"/>
    <col min="21" max="21" width="4.796875" customWidth="1"/>
    <col min="22" max="22" width="4.19921875" bestFit="1" customWidth="1"/>
    <col min="23" max="23" width="18.19921875" bestFit="1" customWidth="1"/>
    <col min="24" max="24" width="4.796875" bestFit="1" customWidth="1"/>
    <col min="25" max="25" width="4" bestFit="1" customWidth="1"/>
    <col min="26" max="26" width="5.796875" style="52" bestFit="1" customWidth="1"/>
    <col min="27" max="27" width="6.59765625" style="52" bestFit="1" customWidth="1"/>
    <col min="28" max="28" width="4.796875" hidden="1" customWidth="1"/>
    <col min="29" max="29" width="5.59765625" hidden="1" customWidth="1"/>
    <col min="30" max="30" width="4.19921875" hidden="1" customWidth="1"/>
    <col min="31" max="31" width="3.796875" customWidth="1"/>
    <col min="32" max="33" width="4.19921875" hidden="1" customWidth="1"/>
    <col min="34" max="34" width="6.796875" hidden="1" customWidth="1"/>
    <col min="35" max="35" width="22" hidden="1" customWidth="1"/>
    <col min="36" max="36" width="6.796875" style="57" hidden="1" customWidth="1"/>
    <col min="37" max="37" width="4" style="57" hidden="1" customWidth="1"/>
    <col min="38" max="38" width="7" style="82" hidden="1" customWidth="1"/>
    <col min="39" max="39" width="7.59765625" hidden="1" customWidth="1"/>
    <col min="40" max="40" width="6" hidden="1" customWidth="1"/>
    <col min="41" max="41" width="4.19921875" bestFit="1" customWidth="1"/>
    <col min="42" max="42" width="22" bestFit="1" customWidth="1"/>
    <col min="43" max="43" width="6.796875" style="57" bestFit="1" customWidth="1"/>
    <col min="44" max="44" width="4" style="57" bestFit="1" customWidth="1"/>
    <col min="45" max="45" width="5.796875" bestFit="1" customWidth="1"/>
    <col min="46" max="46" width="7.59765625" bestFit="1" customWidth="1"/>
    <col min="47" max="47" width="4.796875" customWidth="1"/>
    <col min="48" max="48" width="4.19921875" bestFit="1" customWidth="1"/>
    <col min="49" max="49" width="22" bestFit="1" customWidth="1"/>
    <col min="50" max="50" width="6.796875" bestFit="1" customWidth="1"/>
    <col min="51" max="51" width="4" style="52" bestFit="1" customWidth="1"/>
    <col min="52" max="52" width="5.796875" style="52" bestFit="1" customWidth="1"/>
    <col min="53" max="53" width="7" bestFit="1" customWidth="1"/>
    <col min="54" max="54" width="4.796875" hidden="1" customWidth="1"/>
    <col min="55" max="56" width="4.19921875" hidden="1" customWidth="1"/>
    <col min="57" max="57" width="7.59765625" hidden="1" customWidth="1"/>
    <col min="58" max="58" width="22" hidden="1" customWidth="1"/>
    <col min="59" max="59" width="6.796875" hidden="1" customWidth="1"/>
    <col min="60" max="60" width="4" hidden="1" customWidth="1"/>
    <col min="61" max="62" width="7" hidden="1" customWidth="1"/>
    <col min="63" max="63" width="0" hidden="1" customWidth="1"/>
    <col min="64" max="64" width="3.796875" hidden="1" customWidth="1"/>
    <col min="65" max="65" width="4.796875" hidden="1" customWidth="1"/>
  </cols>
  <sheetData>
    <row r="1" spans="1:66" s="109" customFormat="1" x14ac:dyDescent="0.2">
      <c r="A1" s="109" t="s">
        <v>142</v>
      </c>
      <c r="B1" s="109" t="s">
        <v>389</v>
      </c>
      <c r="C1" s="109" t="s">
        <v>92</v>
      </c>
      <c r="D1" s="109" t="s">
        <v>128</v>
      </c>
      <c r="E1" s="110" t="s">
        <v>123</v>
      </c>
      <c r="F1" s="111" t="s">
        <v>383</v>
      </c>
      <c r="H1" s="109" t="s">
        <v>142</v>
      </c>
      <c r="I1" s="109" t="s">
        <v>388</v>
      </c>
      <c r="J1" s="109" t="s">
        <v>92</v>
      </c>
      <c r="K1" s="109" t="s">
        <v>128</v>
      </c>
      <c r="L1" s="110" t="s">
        <v>123</v>
      </c>
      <c r="M1" s="111" t="s">
        <v>383</v>
      </c>
      <c r="O1" s="109" t="s">
        <v>142</v>
      </c>
      <c r="P1" s="109" t="s">
        <v>387</v>
      </c>
      <c r="Q1" s="109" t="s">
        <v>92</v>
      </c>
      <c r="R1" s="109" t="s">
        <v>128</v>
      </c>
      <c r="S1" s="110" t="s">
        <v>123</v>
      </c>
      <c r="T1" s="111" t="s">
        <v>383</v>
      </c>
      <c r="V1" s="109" t="s">
        <v>142</v>
      </c>
      <c r="W1" s="109" t="s">
        <v>386</v>
      </c>
      <c r="X1" s="109" t="s">
        <v>92</v>
      </c>
      <c r="Y1" s="109" t="s">
        <v>128</v>
      </c>
      <c r="Z1" s="110" t="s">
        <v>123</v>
      </c>
      <c r="AA1" s="111" t="s">
        <v>383</v>
      </c>
      <c r="AC1" s="109" t="s">
        <v>390</v>
      </c>
      <c r="AD1" s="109" t="s">
        <v>391</v>
      </c>
      <c r="AF1" s="109" t="s">
        <v>8</v>
      </c>
      <c r="AG1" s="109" t="s">
        <v>142</v>
      </c>
      <c r="AH1" s="109" t="s">
        <v>392</v>
      </c>
      <c r="AI1" s="109" t="s">
        <v>385</v>
      </c>
      <c r="AJ1" s="109" t="s">
        <v>394</v>
      </c>
      <c r="AK1" s="109" t="s">
        <v>128</v>
      </c>
      <c r="AL1" s="110" t="s">
        <v>336</v>
      </c>
      <c r="AM1" s="111" t="s">
        <v>383</v>
      </c>
      <c r="AO1" s="109" t="s">
        <v>142</v>
      </c>
      <c r="AP1" s="109" t="s">
        <v>385</v>
      </c>
      <c r="AQ1" s="109" t="s">
        <v>394</v>
      </c>
      <c r="AR1" s="109" t="s">
        <v>128</v>
      </c>
      <c r="AS1" s="110" t="s">
        <v>123</v>
      </c>
      <c r="AT1" s="111" t="s">
        <v>383</v>
      </c>
      <c r="AV1" s="109" t="s">
        <v>142</v>
      </c>
      <c r="AW1" s="109" t="s">
        <v>384</v>
      </c>
      <c r="AX1" s="109" t="s">
        <v>394</v>
      </c>
      <c r="AY1" s="109" t="s">
        <v>128</v>
      </c>
      <c r="AZ1" s="110" t="s">
        <v>123</v>
      </c>
      <c r="BA1" s="111" t="s">
        <v>383</v>
      </c>
      <c r="BC1" s="109" t="s">
        <v>8</v>
      </c>
      <c r="BD1" s="109" t="s">
        <v>142</v>
      </c>
      <c r="BE1" s="109" t="s">
        <v>392</v>
      </c>
      <c r="BF1" s="109" t="s">
        <v>385</v>
      </c>
      <c r="BG1" s="109" t="s">
        <v>394</v>
      </c>
      <c r="BH1" s="109" t="s">
        <v>128</v>
      </c>
      <c r="BI1" s="110" t="s">
        <v>336</v>
      </c>
      <c r="BJ1" s="111" t="s">
        <v>383</v>
      </c>
    </row>
    <row r="2" spans="1:66" x14ac:dyDescent="0.2">
      <c r="A2">
        <v>1</v>
      </c>
      <c r="B2" s="112" t="str">
        <f>IFERROR(INDEX(TableQBCalcPts[PLAYER],MATCH(TableQBVORP[[#This Row],[RK]],TableQBCalcPts[RK],0)),"")</f>
        <v>Josh Allen</v>
      </c>
      <c r="C2" s="112" t="str">
        <f>IFERROR(INDEX(TableQBCalcPts[TM],MATCH(TableQBVORP[[#This Row],[RK]],TableQBCalcPts[RK],0)),"")</f>
        <v>BUF</v>
      </c>
      <c r="D2" s="112">
        <f>IFERROR(INDEX(TableQBCalcPts[BYE],MATCH(TableQBVORP[[#This Row],[RK]],TableQBCalcPts[RK],0)),"")</f>
        <v>13</v>
      </c>
      <c r="E2" s="113">
        <f>IFERROR(INDEX(TableQBCalcPts[Custom],MATCH(TableQBVORP[[#This Row],[RK]],TableQBCalcPts[RK],0)),"")</f>
        <v>395.82932580863996</v>
      </c>
      <c r="F2" s="114">
        <f>(IFERROR((TableQBVORP[[#This Row],[FPS]]-INDEX(TableQBVORP[FPS],MATCH(QBVORPCalc,TableQBVORP[RK],0)))/INDEX(TableQBVORP[FPS],MATCH(QBVORPCalc,TableQBVORP[RK],0)),""))+(TableRBVORP[[#This Row],[VORP]]*0.45)</f>
        <v>0.81126160236414602</v>
      </c>
      <c r="H2">
        <v>1</v>
      </c>
      <c r="I2" s="112" t="str">
        <f>IFERROR(INDEX(TableRBCalcPts[PLAYER],MATCH(TableRBVORP[[#This Row],[RK]],TableRBCalcPts[RK],0)),"")</f>
        <v>Christian McCaffrey</v>
      </c>
      <c r="J2" s="112" t="str">
        <f>IFERROR(INDEX(TableRBCalcPts[TM],MATCH(TableRBVORP[[#This Row],[RK]],TableRBCalcPts[RK],0)),"")</f>
        <v>SF</v>
      </c>
      <c r="K2" s="112">
        <f>IFERROR(INDEX(TableRBCalcPts[BYE],MATCH(TableRBVORP[[#This Row],[RK]],TableRBCalcPts[RK],0)),"")</f>
        <v>9</v>
      </c>
      <c r="L2" s="113">
        <f>IFERROR(INDEX(TableRBCalcPts[Custom],MATCH(TableRBVORP[[#This Row],[RK]],TableRBCalcPts[RK],0)),"")</f>
        <v>302.45567415335995</v>
      </c>
      <c r="M2" s="114">
        <f>IFERROR((TableRBVORP[[#This Row],[FPS]]-INDEX(TableRBVORP[FPS],MATCH(RBVORPCalc,TableRBVORP[RK],0)))/INDEX(TableRBVORP[FPS],MATCH(RBVORPCalc,TableRBVORP[RK],0)),"")</f>
        <v>1.6832933815421214</v>
      </c>
      <c r="O2">
        <v>1</v>
      </c>
      <c r="P2" s="112" t="str">
        <f>IFERROR(INDEX(TableWRCalcPts[PLAYER],MATCH(TableWRVORP[[#This Row],[RK]],TableWRCalcPts[RK],0)),"")</f>
        <v>Tyreek Hill</v>
      </c>
      <c r="Q2" s="112" t="str">
        <f>IFERROR(INDEX(TableWRCalcPts[TM],MATCH(TableWRVORP[[#This Row],[RK]],TableWRCalcPts[RK],0)),"")</f>
        <v>MIA</v>
      </c>
      <c r="R2" s="112">
        <f>IFERROR(INDEX(TableWRCalcPts[BYE],MATCH(TableWRVORP[[#This Row],[RK]],TableWRCalcPts[RK],0)),"")</f>
        <v>10</v>
      </c>
      <c r="S2" s="113">
        <f>IFERROR(INDEX(TableWRCalcPts[Custom],MATCH(TableWRVORP[[#This Row],[RK]],TableWRCalcPts[RK],0)),"")</f>
        <v>276.05461827121923</v>
      </c>
      <c r="T2" s="114">
        <f>IFERROR((TableWRVORP[[#This Row],[FPS]]-INDEX(TableWRVORP[FPS],MATCH(WRVORPCalc,TableWRVORP[RK],0)))/INDEX(TableWRVORP[FPS],MATCH(WRVORPCalc,TableWRVORP[RK],0)),"")</f>
        <v>0.91170025540013555</v>
      </c>
      <c r="V2">
        <v>1</v>
      </c>
      <c r="W2" s="112" t="str">
        <f>IFERROR(INDEX(TableTECalcPts[PLAYER],MATCH(TableTEVORP[[#This Row],[RK]],TableTECalcPts[RK],0)),"")</f>
        <v>Travis Kelce</v>
      </c>
      <c r="X2" s="112" t="str">
        <f>IFERROR(INDEX(TableTECalcPts[TM],MATCH(TableTEVORP[[#This Row],[RK]],TableTECalcPts[RK],0)),"")</f>
        <v>KC</v>
      </c>
      <c r="Y2" s="112">
        <f>IFERROR(INDEX(TableTECalcPts[BYE],MATCH(TableTEVORP[[#This Row],[RK]],TableTECalcPts[RK],0)),"")</f>
        <v>10</v>
      </c>
      <c r="Z2" s="113">
        <f>IFERROR(INDEX(TableTECalcPts[Custom],MATCH(TableTEVORP[[#This Row],[RK]],TableTECalcPts[RK],0)),"")</f>
        <v>190.78049731103991</v>
      </c>
      <c r="AA2" s="114">
        <f>IFERROR((TableTEVORP[[#This Row],[FPS]]-INDEX(TableTEVORP[FPS],MATCH(TEVORPCalc,TableTEVORP[RK],0)))/INDEX(TableTEVORP[FPS],MATCH(TEVORPCalc,TableTEVORP[RK],0)),"")</f>
        <v>0.45254119014208488</v>
      </c>
      <c r="AC2" t="s">
        <v>9</v>
      </c>
      <c r="AD2" s="83">
        <f>IF(STARTING_QB=2,((STARTING_QB*TEAMS)+(AD10)),IF(STARTING_SUPERFLEX=1,((STARTING_QB*(TEAMS*2))+(AD10)),IF(STARTING_SUPERFLEX=2,((STARTING_QB*(TEAMS*2))+(AD10)),((STARTING_QB*TEAMS)+(AD10-(TEAMS))))))</f>
        <v>2</v>
      </c>
      <c r="AF2" t="s">
        <v>9</v>
      </c>
      <c r="AG2">
        <v>1</v>
      </c>
      <c r="AH2" s="83">
        <f>RANK(TableOverallMaster[[#This Row],[VORP]],TableOverallMaster[VORP])+COUNTIF($AM$2:AM2,AM2)-1</f>
        <v>15</v>
      </c>
      <c r="AI2" s="115" t="str">
        <f>IFERROR(INDEX(TableQBVORP[QUARTERBACK],MATCH(TableOverallMaster[[#This Row],[RK]],TableQBVORP[RK],0)),"")</f>
        <v>Josh Allen</v>
      </c>
      <c r="AJ2" s="115" t="str">
        <f t="shared" ref="AJ2:AJ65" si="0">CONCATENATE(AF2,AG2)</f>
        <v>QB1</v>
      </c>
      <c r="AK2" s="115">
        <f>IFERROR(INDEX(TableQBVORP[BYE],MATCH(TableOverallMaster[[#This Row],[RK]],TableQBVORP[RK],0)),"")</f>
        <v>13</v>
      </c>
      <c r="AL2" s="116">
        <f>IFERROR(INDEX(TableQBVORP[FPS],MATCH(TableOverallMaster[[#This Row],[RK]],TableQBVORP[RK],0)),"")</f>
        <v>395.82932580863996</v>
      </c>
      <c r="AM2" s="117">
        <f>IFERROR(INDEX(TableQBVORP[VORP],MATCH(TableOverallMaster[[#This Row],[RK]],TableQBVORP[RK],0)),"")</f>
        <v>0.81126160236414602</v>
      </c>
      <c r="AO2">
        <v>1</v>
      </c>
      <c r="AP2" s="118" t="str">
        <f>IFERROR(INDEX(TableOverallMaster[OVERALL PLAYER],MATCH(TableOverallRank[[#This Row],[RK]],TableOverallMaster[OVR RK],0)),"")</f>
        <v>Christian McCaffrey</v>
      </c>
      <c r="AQ2" s="119" t="str">
        <f>IFERROR(INDEX(TableOverallMaster[POS RK],MATCH(TableOverallRank[[#This Row],[OVERALL PLAYER]],TableOverallMaster[OVERALL PLAYER],0)),"")</f>
        <v>RB1</v>
      </c>
      <c r="AR2" s="120">
        <f>IFERROR(INDEX(TableOverallMaster[BYE],MATCH(TableOverallRank[[#This Row],[OVERALL PLAYER]],TableOverallMaster[OVERALL PLAYER],0)),"")</f>
        <v>9</v>
      </c>
      <c r="AS2" s="119">
        <f>IFERROR(INDEX(TableOverallMaster[Custom],MATCH(TableOverallRank[[#This Row],[OVERALL PLAYER]],TableOverallMaster[OVERALL PLAYER],0)),"")</f>
        <v>302.45567415335995</v>
      </c>
      <c r="AT2" s="121">
        <f>IFERROR(INDEX(TableOverallMaster[VORP],MATCH(TableOverallRank[[#This Row],[OVERALL PLAYER]],TableOverallMaster[OVERALL PLAYER],0)),"")</f>
        <v>1.6832933815421214</v>
      </c>
      <c r="AV2">
        <v>1</v>
      </c>
      <c r="AW2" s="122" t="str">
        <f>IFERROR(INDEX(TableWRTECalcPts[PLAYER],MATCH(TableWRTERank[[#This Row],[RK]],TableWRTECalcPts[RK],0)),"")</f>
        <v>Tyreek Hill</v>
      </c>
      <c r="AX2" s="122" t="str">
        <f>IFERROR(INDEX(TableWRTECalcPts[POS RK],MATCH(TableWRTERank[[#This Row],[WR and TE COMBINED]],TableWRTECalcPts[PLAYER],0)),"")</f>
        <v>WR1</v>
      </c>
      <c r="AY2" s="122">
        <f>IFERROR(INDEX(TableWRTECalcPts[BYE],MATCH(TableWRTERank[[#This Row],[RK]],TableWRTECalcPts[RK],0)),"")</f>
        <v>10</v>
      </c>
      <c r="AZ2" s="123">
        <f>IFERROR(INDEX(TableWRTECalcPts[Custom],MATCH(TableWRTERank[[#This Row],[RK]],TableWRTECalcPts[RK],0)),"")</f>
        <v>276.05461827121923</v>
      </c>
      <c r="BA2" s="174">
        <f>IFERROR((TableWRTERank[[#This Row],[FPS]]-INDEX(TableWRTERank[FPS],MATCH(WRTEVORPCalc,TableWRTERank[RK],0)))/INDEX(TableWRTERank[FPS],MATCH(WRTEVORPCalc,TableWRTERank[RK],0)),"")</f>
        <v>0.84917238689032071</v>
      </c>
      <c r="BC2" t="s">
        <v>223</v>
      </c>
      <c r="BD2">
        <v>1</v>
      </c>
      <c r="BE2" s="83">
        <f>RANK(TableWRTEMaster[[#This Row],[VORP]],TableWRTEMaster[VORP])+COUNTIF($BJ$2:BJ2,BJ2)-1</f>
        <v>1</v>
      </c>
      <c r="BF2" s="115" t="str">
        <f>IFERROR(INDEX(TableWRVORP[WIDE RECEIVER],MATCH(TableWRTEMaster[[#This Row],[RK]],TableWRVORP[RK],0)),"")</f>
        <v>Tyreek Hill</v>
      </c>
      <c r="BG2" s="115" t="str">
        <f>_xlfn.CONCAT(TableWRTEMaster[[#This Row],[POS]],TableWRTEMaster[[#This Row],[RK]])</f>
        <v>WR1</v>
      </c>
      <c r="BH2" s="115">
        <f>IFERROR(INDEX(TableWRVORP[BYE],MATCH(TableWRTEMaster[[#This Row],[RK]],TableWRVORP[RK],0)),"")</f>
        <v>10</v>
      </c>
      <c r="BI2" s="116">
        <f>IFERROR(INDEX(TableWRVORP[FPS],MATCH(TableWRTEMaster[[#This Row],[RK]],TableWRVORP[RK],0)),"")</f>
        <v>276.05461827121923</v>
      </c>
      <c r="BJ2" s="117">
        <f>IFERROR(INDEX(TableWRVORP[VORP],MATCH(TableWRTEMaster[[#This Row],[RK]],TableWRVORP[RK],0)),"")</f>
        <v>0.91170025540013555</v>
      </c>
      <c r="BL2" t="s">
        <v>9</v>
      </c>
      <c r="BM2" s="57">
        <f>SUMIF(F:F,"&gt;0")</f>
        <v>6.1054066879020876</v>
      </c>
    </row>
    <row r="3" spans="1:66" x14ac:dyDescent="0.2">
      <c r="A3">
        <v>2</v>
      </c>
      <c r="B3" s="112" t="str">
        <f>IFERROR(INDEX(TableQBCalcPts[PLAYER],MATCH(TableQBVORP[[#This Row],[RK]],TableQBCalcPts[RK],0)),"")</f>
        <v>Lamar Jackson</v>
      </c>
      <c r="C3" s="112" t="str">
        <f>IFERROR(INDEX(TableQBCalcPts[TM],MATCH(TableQBVORP[[#This Row],[RK]],TableQBCalcPts[RK],0)),"")</f>
        <v>BAL</v>
      </c>
      <c r="D3" s="112">
        <f>IFERROR(INDEX(TableQBCalcPts[BYE],MATCH(TableQBVORP[[#This Row],[RK]],TableQBCalcPts[RK],0)),"")</f>
        <v>13</v>
      </c>
      <c r="E3" s="113">
        <f>IFERROR(INDEX(TableQBCalcPts[Custom],MATCH(TableQBVORP[[#This Row],[RK]],TableQBCalcPts[RK],0)),"")</f>
        <v>375.62819878982395</v>
      </c>
      <c r="F3" s="114">
        <f>(IFERROR((TableQBVORP[[#This Row],[FPS]]-INDEX(TableQBVORP[FPS],MATCH(QBVORPCalc,TableQBVORP[RK],0)))/INDEX(TableQBVORP[FPS],MATCH(QBVORPCalc,TableQBVORP[RK],0)),""))+(TableRBVORP[[#This Row],[VORP]]*0.45)</f>
        <v>0.58006903634653906</v>
      </c>
      <c r="H3">
        <v>2</v>
      </c>
      <c r="I3" s="112" t="str">
        <f>IFERROR(INDEX(TableRBCalcPts[PLAYER],MATCH(TableRBVORP[[#This Row],[RK]],TableRBCalcPts[RK],0)),"")</f>
        <v>Jonathan Taylor</v>
      </c>
      <c r="J3" s="112" t="str">
        <f>IFERROR(INDEX(TableRBCalcPts[TM],MATCH(TableRBVORP[[#This Row],[RK]],TableRBCalcPts[RK],0)),"")</f>
        <v>IND</v>
      </c>
      <c r="K3" s="112">
        <f>IFERROR(INDEX(TableRBCalcPts[BYE],MATCH(TableRBVORP[[#This Row],[RK]],TableRBCalcPts[RK],0)),"")</f>
        <v>11</v>
      </c>
      <c r="L3" s="113">
        <f>IFERROR(INDEX(TableRBCalcPts[Custom],MATCH(TableRBVORP[[#This Row],[RK]],TableRBCalcPts[RK],0)),"")</f>
        <v>258.01645011296</v>
      </c>
      <c r="M3" s="114">
        <f>IFERROR((TableRBVORP[[#This Row],[FPS]]-INDEX(TableRBVORP[FPS],MATCH(RBVORPCalc,TableRBVORP[RK],0)))/INDEX(TableRBVORP[FPS],MATCH(RBVORPCalc,TableRBVORP[RK],0)),"")</f>
        <v>1.289042302992309</v>
      </c>
      <c r="O3">
        <v>2</v>
      </c>
      <c r="P3" s="112" t="str">
        <f>IFERROR(INDEX(TableWRCalcPts[PLAYER],MATCH(TableWRVORP[[#This Row],[RK]],TableWRCalcPts[RK],0)),"")</f>
        <v>CeeDee Lamb</v>
      </c>
      <c r="Q3" s="112" t="str">
        <f>IFERROR(INDEX(TableWRCalcPts[TM],MATCH(TableWRVORP[[#This Row],[RK]],TableWRCalcPts[RK],0)),"")</f>
        <v>DAL</v>
      </c>
      <c r="R3" s="112">
        <f>IFERROR(INDEX(TableWRCalcPts[BYE],MATCH(TableWRVORP[[#This Row],[RK]],TableWRCalcPts[RK],0)),"")</f>
        <v>7</v>
      </c>
      <c r="S3" s="113">
        <f>IFERROR(INDEX(TableWRCalcPts[Custom],MATCH(TableWRVORP[[#This Row],[RK]],TableWRCalcPts[RK],0)),"")</f>
        <v>252.66183146769589</v>
      </c>
      <c r="T3" s="114">
        <f>IFERROR((TableWRVORP[[#This Row],[FPS]]-INDEX(TableWRVORP[FPS],MATCH(WRVORPCalc,TableWRVORP[RK],0)))/INDEX(TableWRVORP[FPS],MATCH(WRVORPCalc,TableWRVORP[RK],0)),"")</f>
        <v>0.74970334048933407</v>
      </c>
      <c r="V3">
        <v>2</v>
      </c>
      <c r="W3" s="112" t="str">
        <f>IFERROR(INDEX(TableTECalcPts[PLAYER],MATCH(TableTEVORP[[#This Row],[RK]],TableTECalcPts[RK],0)),"")</f>
        <v>Sam LaPorta</v>
      </c>
      <c r="X3" s="112" t="str">
        <f>IFERROR(INDEX(TableTECalcPts[TM],MATCH(TableTEVORP[[#This Row],[RK]],TableTECalcPts[RK],0)),"")</f>
        <v>DET</v>
      </c>
      <c r="Y3" s="112">
        <f>IFERROR(INDEX(TableTECalcPts[BYE],MATCH(TableTEVORP[[#This Row],[RK]],TableTECalcPts[RK],0)),"")</f>
        <v>9</v>
      </c>
      <c r="Z3" s="113">
        <f>IFERROR(INDEX(TableTECalcPts[Custom],MATCH(TableTEVORP[[#This Row],[RK]],TableTECalcPts[RK],0)),"")</f>
        <v>183.65560471586994</v>
      </c>
      <c r="AA3" s="114">
        <f>IFERROR((TableTEVORP[[#This Row],[FPS]]-INDEX(TableTEVORP[FPS],MATCH(TEVORPCalc,TableTEVORP[RK],0)))/INDEX(TableTEVORP[FPS],MATCH(TEVORPCalc,TableTEVORP[RK],0)),"")</f>
        <v>0.39829455531467983</v>
      </c>
      <c r="AC3" t="s">
        <v>222</v>
      </c>
      <c r="AD3" s="83">
        <f>(TEAMS*STARTING_RB)+(STARTING_RB)+(FLEXVORPCalc)</f>
        <v>44</v>
      </c>
      <c r="AF3" t="s">
        <v>9</v>
      </c>
      <c r="AG3">
        <v>2</v>
      </c>
      <c r="AH3" s="83">
        <f>RANK(TableOverallMaster[[#This Row],[VORP]],TableOverallMaster[VORP])+COUNTIF($AM$2:AM3,AM3)-1</f>
        <v>33</v>
      </c>
      <c r="AI3" s="115" t="str">
        <f>IFERROR(INDEX(TableQBVORP[QUARTERBACK],MATCH(TableOverallMaster[[#This Row],[RK]],TableQBVORP[RK],0)),"")</f>
        <v>Lamar Jackson</v>
      </c>
      <c r="AJ3" s="115" t="str">
        <f t="shared" si="0"/>
        <v>QB2</v>
      </c>
      <c r="AK3" s="115">
        <f>IFERROR(INDEX(TableQBVORP[BYE],MATCH(TableOverallMaster[[#This Row],[RK]],TableQBVORP[RK],0)),"")</f>
        <v>13</v>
      </c>
      <c r="AL3" s="116">
        <f>IFERROR(INDEX(TableQBVORP[FPS],MATCH(TableOverallMaster[[#This Row],[RK]],TableQBVORP[RK],0)),"")</f>
        <v>375.62819878982395</v>
      </c>
      <c r="AM3" s="117">
        <f>IFERROR(INDEX(TableQBVORP[VORP],MATCH(TableOverallMaster[[#This Row],[RK]],TableQBVORP[RK],0)),"")</f>
        <v>0.58006903634653906</v>
      </c>
      <c r="AO3">
        <v>2</v>
      </c>
      <c r="AP3" s="118" t="str">
        <f>IFERROR(INDEX(TableOverallMaster[OVERALL PLAYER],MATCH(TableOverallRank[[#This Row],[RK]],TableOverallMaster[OVR RK],0)),"")</f>
        <v>Jonathan Taylor</v>
      </c>
      <c r="AQ3" s="119" t="str">
        <f>IFERROR(INDEX(TableOverallMaster[POS RK],MATCH(TableOverallRank[[#This Row],[OVERALL PLAYER]],TableOverallMaster[OVERALL PLAYER],0)),"")</f>
        <v>RB2</v>
      </c>
      <c r="AR3" s="120">
        <f>IFERROR(INDEX(TableOverallMaster[BYE],MATCH(TableOverallRank[[#This Row],[OVERALL PLAYER]],TableOverallMaster[OVERALL PLAYER],0)),"")</f>
        <v>11</v>
      </c>
      <c r="AS3" s="119">
        <f>IFERROR(INDEX(TableOverallMaster[Custom],MATCH(TableOverallRank[[#This Row],[OVERALL PLAYER]],TableOverallMaster[OVERALL PLAYER],0)),"")</f>
        <v>258.01645011296</v>
      </c>
      <c r="AT3" s="121">
        <f>IFERROR(INDEX(TableOverallMaster[VORP],MATCH(TableOverallRank[[#This Row],[OVERALL PLAYER]],TableOverallMaster[OVERALL PLAYER],0)),"")</f>
        <v>1.289042302992309</v>
      </c>
      <c r="AV3">
        <v>2</v>
      </c>
      <c r="AW3" s="122" t="str">
        <f>IFERROR(INDEX(TableWRTECalcPts[PLAYER],MATCH(TableWRTERank[[#This Row],[RK]],TableWRTECalcPts[RK],0)),"")</f>
        <v>CeeDee Lamb</v>
      </c>
      <c r="AX3" s="122" t="str">
        <f>IFERROR(INDEX(TableWRTECalcPts[POS RK],MATCH(TableWRTERank[[#This Row],[WR and TE COMBINED]],TableWRTECalcPts[PLAYER],0)),"")</f>
        <v>WR2</v>
      </c>
      <c r="AY3" s="122">
        <f>IFERROR(INDEX(TableWRTECalcPts[BYE],MATCH(TableWRTERank[[#This Row],[RK]],TableWRTECalcPts[RK],0)),"")</f>
        <v>7</v>
      </c>
      <c r="AZ3" s="123">
        <f>IFERROR(INDEX(TableWRTECalcPts[Custom],MATCH(TableWRTERank[[#This Row],[RK]],TableWRTECalcPts[RK],0)),"")</f>
        <v>252.66183146769589</v>
      </c>
      <c r="BA3" s="174">
        <f>IFERROR((TableWRTERank[[#This Row],[FPS]]-INDEX(TableWRTERank[FPS],MATCH(WRTEVORPCalc,TableWRTERank[RK],0)))/INDEX(TableWRTERank[FPS],MATCH(WRTEVORPCalc,TableWRTERank[RK],0)),"")</f>
        <v>0.69247406508580001</v>
      </c>
      <c r="BC3" t="s">
        <v>223</v>
      </c>
      <c r="BD3">
        <v>2</v>
      </c>
      <c r="BE3" s="83">
        <f>RANK(TableWRTEMaster[[#This Row],[VORP]],TableWRTEMaster[VORP])+COUNTIF($BJ$2:BJ3,BJ3)-1</f>
        <v>2</v>
      </c>
      <c r="BF3" s="115" t="str">
        <f>IFERROR(INDEX(TableWRVORP[WIDE RECEIVER],MATCH(TableWRTEMaster[[#This Row],[RK]],TableWRVORP[RK],0)),"")</f>
        <v>CeeDee Lamb</v>
      </c>
      <c r="BG3" s="115" t="str">
        <f>_xlfn.CONCAT(TableWRTEMaster[[#This Row],[POS]],TableWRTEMaster[[#This Row],[RK]])</f>
        <v>WR2</v>
      </c>
      <c r="BH3" s="115">
        <f>IFERROR(INDEX(TableWRVORP[BYE],MATCH(TableWRTEMaster[[#This Row],[RK]],TableWRVORP[RK],0)),"")</f>
        <v>7</v>
      </c>
      <c r="BI3" s="116">
        <f>IFERROR(INDEX(TableWRVORP[FPS],MATCH(TableWRTEMaster[[#This Row],[RK]],TableWRVORP[RK],0)),"")</f>
        <v>252.66183146769589</v>
      </c>
      <c r="BJ3" s="117">
        <f>IFERROR(INDEX(TableWRVORP[VORP],MATCH(TableWRTEMaster[[#This Row],[RK]],TableWRVORP[RK],0)),"")</f>
        <v>0.74970334048933407</v>
      </c>
      <c r="BL3" t="s">
        <v>222</v>
      </c>
      <c r="BM3" s="57">
        <f>SUMIF(M:M,"&gt;0")</f>
        <v>27.000546111082674</v>
      </c>
    </row>
    <row r="4" spans="1:66" x14ac:dyDescent="0.2">
      <c r="A4">
        <v>3</v>
      </c>
      <c r="B4" s="112" t="str">
        <f>IFERROR(INDEX(TableQBCalcPts[PLAYER],MATCH(TableQBVORP[[#This Row],[RK]],TableQBCalcPts[RK],0)),"")</f>
        <v>Jalen Hurts</v>
      </c>
      <c r="C4" s="112" t="str">
        <f>IFERROR(INDEX(TableQBCalcPts[TM],MATCH(TableQBVORP[[#This Row],[RK]],TableQBCalcPts[RK],0)),"")</f>
        <v>PHI</v>
      </c>
      <c r="D4" s="112">
        <f>IFERROR(INDEX(TableQBCalcPts[BYE],MATCH(TableQBVORP[[#This Row],[RK]],TableQBCalcPts[RK],0)),"")</f>
        <v>10</v>
      </c>
      <c r="E4" s="113">
        <f>IFERROR(INDEX(TableQBCalcPts[Custom],MATCH(TableQBVORP[[#This Row],[RK]],TableQBCalcPts[RK],0)),"")</f>
        <v>373.54217098705925</v>
      </c>
      <c r="F4" s="114">
        <f>(IFERROR((TableQBVORP[[#This Row],[FPS]]-INDEX(TableQBVORP[FPS],MATCH(QBVORPCalc,TableQBVORP[RK],0)))/INDEX(TableQBVORP[FPS],MATCH(QBVORPCalc,TableQBVORP[RK],0)),""))+(TableRBVORP[[#This Row],[VORP]]*0.45)</f>
        <v>0.5707451197349569</v>
      </c>
      <c r="H4">
        <v>3</v>
      </c>
      <c r="I4" s="112" t="str">
        <f>IFERROR(INDEX(TableRBCalcPts[PLAYER],MATCH(TableRBVORP[[#This Row],[RK]],TableRBCalcPts[RK],0)),"")</f>
        <v>Breece Hall</v>
      </c>
      <c r="J4" s="112" t="str">
        <f>IFERROR(INDEX(TableRBCalcPts[TM],MATCH(TableRBVORP[[#This Row],[RK]],TableRBCalcPts[RK],0)),"")</f>
        <v>NYJ</v>
      </c>
      <c r="K4" s="112">
        <f>IFERROR(INDEX(TableRBCalcPts[BYE],MATCH(TableRBVORP[[#This Row],[RK]],TableRBCalcPts[RK],0)),"")</f>
        <v>7</v>
      </c>
      <c r="L4" s="113">
        <f>IFERROR(INDEX(TableRBCalcPts[Custom],MATCH(TableRBVORP[[#This Row],[RK]],TableRBCalcPts[RK],0)),"")</f>
        <v>257.07200314096002</v>
      </c>
      <c r="M4" s="114">
        <f>IFERROR((TableRBVORP[[#This Row],[FPS]]-INDEX(TableRBVORP[FPS],MATCH(RBVORPCalc,TableRBVORP[RK],0)))/INDEX(TableRBVORP[FPS],MATCH(RBVORPCalc,TableRBVORP[RK],0)),"")</f>
        <v>1.2806634609809007</v>
      </c>
      <c r="O4">
        <v>3</v>
      </c>
      <c r="P4" s="112" t="str">
        <f>IFERROR(INDEX(TableWRCalcPts[PLAYER],MATCH(TableWRVORP[[#This Row],[RK]],TableWRCalcPts[RK],0)),"")</f>
        <v>Amon-Ra St. Brown</v>
      </c>
      <c r="Q4" s="112" t="str">
        <f>IFERROR(INDEX(TableWRCalcPts[TM],MATCH(TableWRVORP[[#This Row],[RK]],TableWRCalcPts[RK],0)),"")</f>
        <v>DET</v>
      </c>
      <c r="R4" s="112">
        <f>IFERROR(INDEX(TableWRCalcPts[BYE],MATCH(TableWRVORP[[#This Row],[RK]],TableWRCalcPts[RK],0)),"")</f>
        <v>9</v>
      </c>
      <c r="S4" s="113">
        <f>IFERROR(INDEX(TableWRCalcPts[Custom],MATCH(TableWRVORP[[#This Row],[RK]],TableWRCalcPts[RK],0)),"")</f>
        <v>250.73054050100694</v>
      </c>
      <c r="T4" s="114">
        <f>IFERROR((TableWRVORP[[#This Row],[FPS]]-INDEX(TableWRVORP[FPS],MATCH(WRVORPCalc,TableWRVORP[RK],0)))/INDEX(TableWRVORP[FPS],MATCH(WRVORPCalc,TableWRVORP[RK],0)),"")</f>
        <v>0.73632899646497929</v>
      </c>
      <c r="V4">
        <v>3</v>
      </c>
      <c r="W4" s="112" t="str">
        <f>IFERROR(INDEX(TableTECalcPts[PLAYER],MATCH(TableTEVORP[[#This Row],[RK]],TableTECalcPts[RK],0)),"")</f>
        <v>Mark Andrews</v>
      </c>
      <c r="X4" s="112" t="str">
        <f>IFERROR(INDEX(TableTECalcPts[TM],MATCH(TableTEVORP[[#This Row],[RK]],TableTECalcPts[RK],0)),"")</f>
        <v>BAL</v>
      </c>
      <c r="Y4" s="112">
        <f>IFERROR(INDEX(TableTECalcPts[BYE],MATCH(TableTEVORP[[#This Row],[RK]],TableTECalcPts[RK],0)),"")</f>
        <v>13</v>
      </c>
      <c r="Z4" s="113">
        <f>IFERROR(INDEX(TableTECalcPts[Custom],MATCH(TableTEVORP[[#This Row],[RK]],TableTECalcPts[RK],0)),"")</f>
        <v>181.76200187228162</v>
      </c>
      <c r="AA4" s="114">
        <f>IFERROR((TableTEVORP[[#This Row],[FPS]]-INDEX(TableTEVORP[FPS],MATCH(TEVORPCalc,TableTEVORP[RK],0)))/INDEX(TableTEVORP[FPS],MATCH(TEVORPCalc,TableTEVORP[RK],0)),"")</f>
        <v>0.383877273848022</v>
      </c>
      <c r="AC4" t="s">
        <v>223</v>
      </c>
      <c r="AD4" s="83">
        <f>(TEAMS*STARTING_WR)+(STARTING_WR)+(FLEXVORPCalc)</f>
        <v>57</v>
      </c>
      <c r="AF4" t="s">
        <v>9</v>
      </c>
      <c r="AG4">
        <v>3</v>
      </c>
      <c r="AH4" s="83">
        <f>RANK(TableOverallMaster[[#This Row],[VORP]],TableOverallMaster[VORP])+COUNTIF($AM$2:AM4,AM4)-1</f>
        <v>35</v>
      </c>
      <c r="AI4" s="115" t="str">
        <f>IFERROR(INDEX(TableQBVORP[QUARTERBACK],MATCH(TableOverallMaster[[#This Row],[RK]],TableQBVORP[RK],0)),"")</f>
        <v>Jalen Hurts</v>
      </c>
      <c r="AJ4" s="115" t="str">
        <f t="shared" si="0"/>
        <v>QB3</v>
      </c>
      <c r="AK4" s="115">
        <f>IFERROR(INDEX(TableQBVORP[BYE],MATCH(TableOverallMaster[[#This Row],[RK]],TableQBVORP[RK],0)),"")</f>
        <v>10</v>
      </c>
      <c r="AL4" s="116">
        <f>IFERROR(INDEX(TableQBVORP[FPS],MATCH(TableOverallMaster[[#This Row],[RK]],TableQBVORP[RK],0)),"")</f>
        <v>373.54217098705925</v>
      </c>
      <c r="AM4" s="117">
        <f>IFERROR(INDEX(TableQBVORP[VORP],MATCH(TableOverallMaster[[#This Row],[RK]],TableQBVORP[RK],0)),"")</f>
        <v>0.5707451197349569</v>
      </c>
      <c r="AO4">
        <v>3</v>
      </c>
      <c r="AP4" s="118" t="str">
        <f>IFERROR(INDEX(TableOverallMaster[OVERALL PLAYER],MATCH(TableOverallRank[[#This Row],[RK]],TableOverallMaster[OVR RK],0)),"")</f>
        <v>Breece Hall</v>
      </c>
      <c r="AQ4" s="119" t="str">
        <f>IFERROR(INDEX(TableOverallMaster[POS RK],MATCH(TableOverallRank[[#This Row],[OVERALL PLAYER]],TableOverallMaster[OVERALL PLAYER],0)),"")</f>
        <v>RB3</v>
      </c>
      <c r="AR4" s="120">
        <f>IFERROR(INDEX(TableOverallMaster[BYE],MATCH(TableOverallRank[[#This Row],[OVERALL PLAYER]],TableOverallMaster[OVERALL PLAYER],0)),"")</f>
        <v>7</v>
      </c>
      <c r="AS4" s="119">
        <f>IFERROR(INDEX(TableOverallMaster[Custom],MATCH(TableOverallRank[[#This Row],[OVERALL PLAYER]],TableOverallMaster[OVERALL PLAYER],0)),"")</f>
        <v>257.07200314096002</v>
      </c>
      <c r="AT4" s="121">
        <f>IFERROR(INDEX(TableOverallMaster[VORP],MATCH(TableOverallRank[[#This Row],[OVERALL PLAYER]],TableOverallMaster[OVERALL PLAYER],0)),"")</f>
        <v>1.2806634609809007</v>
      </c>
      <c r="AV4">
        <v>3</v>
      </c>
      <c r="AW4" s="122" t="str">
        <f>IFERROR(INDEX(TableWRTECalcPts[PLAYER],MATCH(TableWRTERank[[#This Row],[RK]],TableWRTECalcPts[RK],0)),"")</f>
        <v>Amon-Ra St. Brown</v>
      </c>
      <c r="AX4" s="122" t="str">
        <f>IFERROR(INDEX(TableWRTECalcPts[POS RK],MATCH(TableWRTERank[[#This Row],[WR and TE COMBINED]],TableWRTECalcPts[PLAYER],0)),"")</f>
        <v>WR3</v>
      </c>
      <c r="AY4" s="122">
        <f>IFERROR(INDEX(TableWRTECalcPts[BYE],MATCH(TableWRTERank[[#This Row],[RK]],TableWRTECalcPts[RK],0)),"")</f>
        <v>9</v>
      </c>
      <c r="AZ4" s="123">
        <f>IFERROR(INDEX(TableWRTECalcPts[Custom],MATCH(TableWRTERank[[#This Row],[RK]],TableWRTECalcPts[RK],0)),"")</f>
        <v>250.73054050100694</v>
      </c>
      <c r="BA4" s="174">
        <f>IFERROR((TableWRTERank[[#This Row],[FPS]]-INDEX(TableWRTERank[FPS],MATCH(WRTEVORPCalc,TableWRTERank[RK],0)))/INDEX(TableWRTERank[FPS],MATCH(WRTEVORPCalc,TableWRTERank[RK],0)),"")</f>
        <v>0.67953716894177973</v>
      </c>
      <c r="BC4" t="s">
        <v>223</v>
      </c>
      <c r="BD4">
        <v>3</v>
      </c>
      <c r="BE4" s="83">
        <f>RANK(TableWRTEMaster[[#This Row],[VORP]],TableWRTEMaster[VORP])+COUNTIF($BJ$2:BJ4,BJ4)-1</f>
        <v>3</v>
      </c>
      <c r="BF4" s="115" t="str">
        <f>IFERROR(INDEX(TableWRVORP[WIDE RECEIVER],MATCH(TableWRTEMaster[[#This Row],[RK]],TableWRVORP[RK],0)),"")</f>
        <v>Amon-Ra St. Brown</v>
      </c>
      <c r="BG4" s="115" t="str">
        <f>_xlfn.CONCAT(TableWRTEMaster[[#This Row],[POS]],TableWRTEMaster[[#This Row],[RK]])</f>
        <v>WR3</v>
      </c>
      <c r="BH4" s="115">
        <f>IFERROR(INDEX(TableWRVORP[BYE],MATCH(TableWRTEMaster[[#This Row],[RK]],TableWRVORP[RK],0)),"")</f>
        <v>9</v>
      </c>
      <c r="BI4" s="116">
        <f>IFERROR(INDEX(TableWRVORP[FPS],MATCH(TableWRTEMaster[[#This Row],[RK]],TableWRVORP[RK],0)),"")</f>
        <v>250.73054050100694</v>
      </c>
      <c r="BJ4" s="117">
        <f>IFERROR(INDEX(TableWRVORP[VORP],MATCH(TableWRTEMaster[[#This Row],[RK]],TableWRVORP[RK],0)),"")</f>
        <v>0.73632899646497929</v>
      </c>
      <c r="BL4" t="s">
        <v>223</v>
      </c>
      <c r="BM4" s="57">
        <f>SUMIF(T:T,"&gt;0")</f>
        <v>15.838115719369226</v>
      </c>
    </row>
    <row r="5" spans="1:66" x14ac:dyDescent="0.2">
      <c r="A5">
        <v>4</v>
      </c>
      <c r="B5" s="112" t="str">
        <f>IFERROR(INDEX(TableQBCalcPts[PLAYER],MATCH(TableQBVORP[[#This Row],[RK]],TableQBCalcPts[RK],0)),"")</f>
        <v>Patrick Mahomes</v>
      </c>
      <c r="C5" s="112" t="str">
        <f>IFERROR(INDEX(TableQBCalcPts[TM],MATCH(TableQBVORP[[#This Row],[RK]],TableQBCalcPts[RK],0)),"")</f>
        <v>KC</v>
      </c>
      <c r="D5" s="112">
        <f>IFERROR(INDEX(TableQBCalcPts[BYE],MATCH(TableQBVORP[[#This Row],[RK]],TableQBCalcPts[RK],0)),"")</f>
        <v>10</v>
      </c>
      <c r="E5" s="113">
        <f>IFERROR(INDEX(TableQBCalcPts[Custom],MATCH(TableQBVORP[[#This Row],[RK]],TableQBCalcPts[RK],0)),"")</f>
        <v>366.75681728383995</v>
      </c>
      <c r="F5" s="114">
        <f>(IFERROR((TableQBVORP[[#This Row],[FPS]]-INDEX(TableQBVORP[FPS],MATCH(QBVORPCalc,TableQBVORP[RK],0)))/INDEX(TableQBVORP[FPS],MATCH(QBVORPCalc,TableQBVORP[RK],0)),""))+(TableRBVORP[[#This Row],[VORP]]*0.45)</f>
        <v>0.50524971502601279</v>
      </c>
      <c r="H5">
        <v>4</v>
      </c>
      <c r="I5" s="112" t="str">
        <f>IFERROR(INDEX(TableRBCalcPts[PLAYER],MATCH(TableRBVORP[[#This Row],[RK]],TableRBCalcPts[RK],0)),"")</f>
        <v>Bijan Robinson</v>
      </c>
      <c r="J5" s="112" t="str">
        <f>IFERROR(INDEX(TableRBCalcPts[TM],MATCH(TableRBVORP[[#This Row],[RK]],TableRBCalcPts[RK],0)),"")</f>
        <v>ATL</v>
      </c>
      <c r="K5" s="112">
        <f>IFERROR(INDEX(TableRBCalcPts[BYE],MATCH(TableRBVORP[[#This Row],[RK]],TableRBCalcPts[RK],0)),"")</f>
        <v>11</v>
      </c>
      <c r="L5" s="113">
        <f>IFERROR(INDEX(TableRBCalcPts[Custom],MATCH(TableRBVORP[[#This Row],[RK]],TableRBCalcPts[RK],0)),"")</f>
        <v>245.19116975169601</v>
      </c>
      <c r="M5" s="114">
        <f>IFERROR((TableRBVORP[[#This Row],[FPS]]-INDEX(TableRBVORP[FPS],MATCH(RBVORPCalc,TableRBVORP[RK],0)))/INDEX(TableRBVORP[FPS],MATCH(RBVORPCalc,TableRBVORP[RK],0)),"")</f>
        <v>1.1752603744299366</v>
      </c>
      <c r="O5">
        <v>4</v>
      </c>
      <c r="P5" s="112" t="str">
        <f>IFERROR(INDEX(TableWRCalcPts[PLAYER],MATCH(TableWRVORP[[#This Row],[RK]],TableWRCalcPts[RK],0)),"")</f>
        <v>Justin Jefferson</v>
      </c>
      <c r="Q5" s="112" t="str">
        <f>IFERROR(INDEX(TableWRCalcPts[TM],MATCH(TableWRVORP[[#This Row],[RK]],TableWRCalcPts[RK],0)),"")</f>
        <v>MIN</v>
      </c>
      <c r="R5" s="112">
        <f>IFERROR(INDEX(TableWRCalcPts[BYE],MATCH(TableWRVORP[[#This Row],[RK]],TableWRCalcPts[RK],0)),"")</f>
        <v>13</v>
      </c>
      <c r="S5" s="113">
        <f>IFERROR(INDEX(TableWRCalcPts[Custom],MATCH(TableWRVORP[[#This Row],[RK]],TableWRCalcPts[RK],0)),"")</f>
        <v>244.5777406576</v>
      </c>
      <c r="T5" s="114">
        <f>IFERROR((TableWRVORP[[#This Row],[FPS]]-INDEX(TableWRVORP[FPS],MATCH(WRVORPCalc,TableWRVORP[RK],0)))/INDEX(TableWRVORP[FPS],MATCH(WRVORPCalc,TableWRVORP[RK],0)),"")</f>
        <v>0.69372036667378811</v>
      </c>
      <c r="V5">
        <v>4</v>
      </c>
      <c r="W5" s="112" t="str">
        <f>IFERROR(INDEX(TableTECalcPts[PLAYER],MATCH(TableTEVORP[[#This Row],[RK]],TableTECalcPts[RK],0)),"")</f>
        <v>Trey McBride</v>
      </c>
      <c r="X5" s="112" t="str">
        <f>IFERROR(INDEX(TableTECalcPts[TM],MATCH(TableTEVORP[[#This Row],[RK]],TableTECalcPts[RK],0)),"")</f>
        <v>ARI</v>
      </c>
      <c r="Y5" s="112">
        <f>IFERROR(INDEX(TableTECalcPts[BYE],MATCH(TableTEVORP[[#This Row],[RK]],TableTECalcPts[RK],0)),"")</f>
        <v>14</v>
      </c>
      <c r="Z5" s="113">
        <f>IFERROR(INDEX(TableTECalcPts[Custom],MATCH(TableTEVORP[[#This Row],[RK]],TableTECalcPts[RK],0)),"")</f>
        <v>168.4093531322475</v>
      </c>
      <c r="AA5" s="114">
        <f>IFERROR((TableTEVORP[[#This Row],[FPS]]-INDEX(TableTEVORP[FPS],MATCH(TEVORPCalc,TableTEVORP[RK],0)))/INDEX(TableTEVORP[FPS],MATCH(TEVORPCalc,TableTEVORP[RK],0)),"")</f>
        <v>0.2822145118478937</v>
      </c>
      <c r="AC5" t="s">
        <v>10</v>
      </c>
      <c r="AD5" s="83">
        <f>TEAMS*STARTING_TE</f>
        <v>12</v>
      </c>
      <c r="AF5" t="s">
        <v>9</v>
      </c>
      <c r="AG5">
        <v>4</v>
      </c>
      <c r="AH5" s="83">
        <f>RANK(TableOverallMaster[[#This Row],[VORP]],TableOverallMaster[VORP])+COUNTIF($AM$2:AM5,AM5)-1</f>
        <v>36</v>
      </c>
      <c r="AI5" s="115" t="str">
        <f>IFERROR(INDEX(TableQBVORP[QUARTERBACK],MATCH(TableOverallMaster[[#This Row],[RK]],TableQBVORP[RK],0)),"")</f>
        <v>Patrick Mahomes</v>
      </c>
      <c r="AJ5" s="115" t="str">
        <f t="shared" si="0"/>
        <v>QB4</v>
      </c>
      <c r="AK5" s="115">
        <f>IFERROR(INDEX(TableQBVORP[BYE],MATCH(TableOverallMaster[[#This Row],[RK]],TableQBVORP[RK],0)),"")</f>
        <v>10</v>
      </c>
      <c r="AL5" s="116">
        <f>IFERROR(INDEX(TableQBVORP[FPS],MATCH(TableOverallMaster[[#This Row],[RK]],TableQBVORP[RK],0)),"")</f>
        <v>366.75681728383995</v>
      </c>
      <c r="AM5" s="117">
        <f>IFERROR(INDEX(TableQBVORP[VORP],MATCH(TableOverallMaster[[#This Row],[RK]],TableQBVORP[RK],0)),"")</f>
        <v>0.50524971502601279</v>
      </c>
      <c r="AO5">
        <v>4</v>
      </c>
      <c r="AP5" s="118" t="str">
        <f>IFERROR(INDEX(TableOverallMaster[OVERALL PLAYER],MATCH(TableOverallRank[[#This Row],[RK]],TableOverallMaster[OVR RK],0)),"")</f>
        <v>Bijan Robinson</v>
      </c>
      <c r="AQ5" s="119" t="str">
        <f>IFERROR(INDEX(TableOverallMaster[POS RK],MATCH(TableOverallRank[[#This Row],[OVERALL PLAYER]],TableOverallMaster[OVERALL PLAYER],0)),"")</f>
        <v>RB4</v>
      </c>
      <c r="AR5" s="120">
        <f>IFERROR(INDEX(TableOverallMaster[BYE],MATCH(TableOverallRank[[#This Row],[OVERALL PLAYER]],TableOverallMaster[OVERALL PLAYER],0)),"")</f>
        <v>11</v>
      </c>
      <c r="AS5" s="119">
        <f>IFERROR(INDEX(TableOverallMaster[Custom],MATCH(TableOverallRank[[#This Row],[OVERALL PLAYER]],TableOverallMaster[OVERALL PLAYER],0)),"")</f>
        <v>245.19116975169601</v>
      </c>
      <c r="AT5" s="121">
        <f>IFERROR(INDEX(TableOverallMaster[VORP],MATCH(TableOverallRank[[#This Row],[OVERALL PLAYER]],TableOverallMaster[OVERALL PLAYER],0)),"")</f>
        <v>1.1752603744299366</v>
      </c>
      <c r="AV5">
        <v>4</v>
      </c>
      <c r="AW5" s="122" t="str">
        <f>IFERROR(INDEX(TableWRTECalcPts[PLAYER],MATCH(TableWRTERank[[#This Row],[RK]],TableWRTECalcPts[RK],0)),"")</f>
        <v>Justin Jefferson</v>
      </c>
      <c r="AX5" s="122" t="str">
        <f>IFERROR(INDEX(TableWRTECalcPts[POS RK],MATCH(TableWRTERank[[#This Row],[WR and TE COMBINED]],TableWRTECalcPts[PLAYER],0)),"")</f>
        <v>WR4</v>
      </c>
      <c r="AY5" s="122">
        <f>IFERROR(INDEX(TableWRTECalcPts[BYE],MATCH(TableWRTERank[[#This Row],[RK]],TableWRTECalcPts[RK],0)),"")</f>
        <v>13</v>
      </c>
      <c r="AZ5" s="123">
        <f>IFERROR(INDEX(TableWRTECalcPts[Custom],MATCH(TableWRTERank[[#This Row],[RK]],TableWRTECalcPts[RK],0)),"")</f>
        <v>244.5777406576</v>
      </c>
      <c r="BA5" s="174">
        <f>IFERROR((TableWRTERank[[#This Row],[FPS]]-INDEX(TableWRTERank[FPS],MATCH(WRTEVORPCalc,TableWRTERank[RK],0)))/INDEX(TableWRTERank[FPS],MATCH(WRTEVORPCalc,TableWRTERank[RK],0)),"")</f>
        <v>0.63832218169127519</v>
      </c>
      <c r="BC5" t="s">
        <v>223</v>
      </c>
      <c r="BD5">
        <v>4</v>
      </c>
      <c r="BE5" s="83">
        <f>RANK(TableWRTEMaster[[#This Row],[VORP]],TableWRTEMaster[VORP])+COUNTIF($BJ$2:BJ5,BJ5)-1</f>
        <v>4</v>
      </c>
      <c r="BF5" s="115" t="str">
        <f>IFERROR(INDEX(TableWRVORP[WIDE RECEIVER],MATCH(TableWRTEMaster[[#This Row],[RK]],TableWRVORP[RK],0)),"")</f>
        <v>Justin Jefferson</v>
      </c>
      <c r="BG5" s="115" t="str">
        <f>_xlfn.CONCAT(TableWRTEMaster[[#This Row],[POS]],TableWRTEMaster[[#This Row],[RK]])</f>
        <v>WR4</v>
      </c>
      <c r="BH5" s="115">
        <f>IFERROR(INDEX(TableWRVORP[BYE],MATCH(TableWRTEMaster[[#This Row],[RK]],TableWRVORP[RK],0)),"")</f>
        <v>13</v>
      </c>
      <c r="BI5" s="116">
        <f>IFERROR(INDEX(TableWRVORP[FPS],MATCH(TableWRTEMaster[[#This Row],[RK]],TableWRVORP[RK],0)),"")</f>
        <v>244.5777406576</v>
      </c>
      <c r="BJ5" s="117">
        <f>IFERROR(INDEX(TableWRVORP[VORP],MATCH(TableWRTEMaster[[#This Row],[RK]],TableWRVORP[RK],0)),"")</f>
        <v>0.69372036667378811</v>
      </c>
      <c r="BL5" t="s">
        <v>10</v>
      </c>
      <c r="BM5" s="57">
        <f>SUMIF(AA:AA,"&gt;0")</f>
        <v>2.4250358333983568</v>
      </c>
    </row>
    <row r="6" spans="1:66" x14ac:dyDescent="0.2">
      <c r="A6">
        <v>5</v>
      </c>
      <c r="B6" s="112" t="str">
        <f>IFERROR(INDEX(TableQBCalcPts[PLAYER],MATCH(TableQBVORP[[#This Row],[RK]],TableQBCalcPts[RK],0)),"")</f>
        <v>Anthony Richardson</v>
      </c>
      <c r="C6" s="112" t="str">
        <f>IFERROR(INDEX(TableQBCalcPts[TM],MATCH(TableQBVORP[[#This Row],[RK]],TableQBCalcPts[RK],0)),"")</f>
        <v>IND</v>
      </c>
      <c r="D6" s="112">
        <f>IFERROR(INDEX(TableQBCalcPts[BYE],MATCH(TableQBVORP[[#This Row],[RK]],TableQBCalcPts[RK],0)),"")</f>
        <v>11</v>
      </c>
      <c r="E6" s="113">
        <f>IFERROR(INDEX(TableQBCalcPts[Custom],MATCH(TableQBVORP[[#This Row],[RK]],TableQBCalcPts[RK],0)),"")</f>
        <v>337.949489218</v>
      </c>
      <c r="F6" s="114">
        <f>(IFERROR((TableQBVORP[[#This Row],[FPS]]-INDEX(TableQBVORP[FPS],MATCH(QBVORPCalc,TableQBVORP[RK],0)))/INDEX(TableQBVORP[FPS],MATCH(QBVORPCalc,TableQBVORP[RK],0)),""))+(TableRBVORP[[#This Row],[VORP]]*0.45)</f>
        <v>0.39340771717486089</v>
      </c>
      <c r="H6">
        <v>5</v>
      </c>
      <c r="I6" s="112" t="str">
        <f>IFERROR(INDEX(TableRBCalcPts[PLAYER],MATCH(TableRBVORP[[#This Row],[RK]],TableRBCalcPts[RK],0)),"")</f>
        <v>Saquon Barkley</v>
      </c>
      <c r="J6" s="112" t="str">
        <f>IFERROR(INDEX(TableRBCalcPts[TM],MATCH(TableRBVORP[[#This Row],[RK]],TableRBCalcPts[RK],0)),"")</f>
        <v>PHI</v>
      </c>
      <c r="K6" s="112">
        <f>IFERROR(INDEX(TableRBCalcPts[BYE],MATCH(TableRBVORP[[#This Row],[RK]],TableRBCalcPts[RK],0)),"")</f>
        <v>10</v>
      </c>
      <c r="L6" s="113">
        <f>IFERROR(INDEX(TableRBCalcPts[Custom],MATCH(TableRBVORP[[#This Row],[RK]],TableRBCalcPts[RK],0)),"")</f>
        <v>236.38640270031365</v>
      </c>
      <c r="M6" s="114">
        <f>IFERROR((TableRBVORP[[#This Row],[FPS]]-INDEX(TableRBVORP[FPS],MATCH(RBVORPCalc,TableRBVORP[RK],0)))/INDEX(TableRBVORP[FPS],MATCH(RBVORPCalc,TableRBVORP[RK],0)),"")</f>
        <v>1.0971471989336323</v>
      </c>
      <c r="O6">
        <v>5</v>
      </c>
      <c r="P6" s="112" t="str">
        <f>IFERROR(INDEX(TableWRCalcPts[PLAYER],MATCH(TableWRVORP[[#This Row],[RK]],TableWRCalcPts[RK],0)),"")</f>
        <v>Ja'Marr Chase</v>
      </c>
      <c r="Q6" s="112" t="str">
        <f>IFERROR(INDEX(TableWRCalcPts[TM],MATCH(TableWRVORP[[#This Row],[RK]],TableWRCalcPts[RK],0)),"")</f>
        <v>CIN</v>
      </c>
      <c r="R6" s="112">
        <f>IFERROR(INDEX(TableWRCalcPts[BYE],MATCH(TableWRVORP[[#This Row],[RK]],TableWRCalcPts[RK],0)),"")</f>
        <v>7</v>
      </c>
      <c r="S6" s="113">
        <f>IFERROR(INDEX(TableWRCalcPts[Custom],MATCH(TableWRVORP[[#This Row],[RK]],TableWRCalcPts[RK],0)),"")</f>
        <v>239.22255571620002</v>
      </c>
      <c r="T6" s="114">
        <f>IFERROR((TableWRVORP[[#This Row],[FPS]]-INDEX(TableWRVORP[FPS],MATCH(WRVORPCalc,TableWRVORP[RK],0)))/INDEX(TableWRVORP[FPS],MATCH(WRVORPCalc,TableWRVORP[RK],0)),"")</f>
        <v>0.65663528371338964</v>
      </c>
      <c r="V6">
        <v>5</v>
      </c>
      <c r="W6" s="112" t="str">
        <f>IFERROR(INDEX(TableTECalcPts[PLAYER],MATCH(TableTEVORP[[#This Row],[RK]],TableTECalcPts[RK],0)),"")</f>
        <v>Kyle Pitts</v>
      </c>
      <c r="X6" s="112" t="str">
        <f>IFERROR(INDEX(TableTECalcPts[TM],MATCH(TableTEVORP[[#This Row],[RK]],TableTECalcPts[RK],0)),"")</f>
        <v>ATL</v>
      </c>
      <c r="Y6" s="112">
        <f>IFERROR(INDEX(TableTECalcPts[BYE],MATCH(TableTEVORP[[#This Row],[RK]],TableTECalcPts[RK],0)),"")</f>
        <v>11</v>
      </c>
      <c r="Z6" s="113">
        <f>IFERROR(INDEX(TableTECalcPts[Custom],MATCH(TableTEVORP[[#This Row],[RK]],TableTECalcPts[RK],0)),"")</f>
        <v>161.83872421516796</v>
      </c>
      <c r="AA6" s="114">
        <f>IFERROR((TableTEVORP[[#This Row],[FPS]]-INDEX(TableTEVORP[FPS],MATCH(TEVORPCalc,TableTEVORP[RK],0)))/INDEX(TableTEVORP[FPS],MATCH(TEVORPCalc,TableTEVORP[RK],0)),"")</f>
        <v>0.23218786194543312</v>
      </c>
      <c r="AC6" t="s">
        <v>382</v>
      </c>
      <c r="AD6" s="83">
        <f>(TEAMS*STARTING_FLEX)*1.5</f>
        <v>18</v>
      </c>
      <c r="AF6" t="s">
        <v>9</v>
      </c>
      <c r="AG6">
        <v>5</v>
      </c>
      <c r="AH6" s="83">
        <f>RANK(TableOverallMaster[[#This Row],[VORP]],TableOverallMaster[VORP])+COUNTIF($AM$2:AM6,AM6)-1</f>
        <v>52</v>
      </c>
      <c r="AI6" s="115" t="str">
        <f>IFERROR(INDEX(TableQBVORP[QUARTERBACK],MATCH(TableOverallMaster[[#This Row],[RK]],TableQBVORP[RK],0)),"")</f>
        <v>Anthony Richardson</v>
      </c>
      <c r="AJ6" s="115" t="str">
        <f t="shared" si="0"/>
        <v>QB5</v>
      </c>
      <c r="AK6" s="115">
        <f>IFERROR(INDEX(TableQBVORP[BYE],MATCH(TableOverallMaster[[#This Row],[RK]],TableQBVORP[RK],0)),"")</f>
        <v>11</v>
      </c>
      <c r="AL6" s="116">
        <f>IFERROR(INDEX(TableQBVORP[FPS],MATCH(TableOverallMaster[[#This Row],[RK]],TableQBVORP[RK],0)),"")</f>
        <v>337.949489218</v>
      </c>
      <c r="AM6" s="117">
        <f>IFERROR(INDEX(TableQBVORP[VORP],MATCH(TableOverallMaster[[#This Row],[RK]],TableQBVORP[RK],0)),"")</f>
        <v>0.39340771717486089</v>
      </c>
      <c r="AO6">
        <v>5</v>
      </c>
      <c r="AP6" s="118" t="str">
        <f>IFERROR(INDEX(TableOverallMaster[OVERALL PLAYER],MATCH(TableOverallRank[[#This Row],[RK]],TableOverallMaster[OVR RK],0)),"")</f>
        <v>Saquon Barkley</v>
      </c>
      <c r="AQ6" s="119" t="str">
        <f>IFERROR(INDEX(TableOverallMaster[POS RK],MATCH(TableOverallRank[[#This Row],[OVERALL PLAYER]],TableOverallMaster[OVERALL PLAYER],0)),"")</f>
        <v>RB5</v>
      </c>
      <c r="AR6" s="120">
        <f>IFERROR(INDEX(TableOverallMaster[BYE],MATCH(TableOverallRank[[#This Row],[OVERALL PLAYER]],TableOverallMaster[OVERALL PLAYER],0)),"")</f>
        <v>10</v>
      </c>
      <c r="AS6" s="119">
        <f>IFERROR(INDEX(TableOverallMaster[Custom],MATCH(TableOverallRank[[#This Row],[OVERALL PLAYER]],TableOverallMaster[OVERALL PLAYER],0)),"")</f>
        <v>236.38640270031365</v>
      </c>
      <c r="AT6" s="121">
        <f>IFERROR(INDEX(TableOverallMaster[VORP],MATCH(TableOverallRank[[#This Row],[OVERALL PLAYER]],TableOverallMaster[OVERALL PLAYER],0)),"")</f>
        <v>1.0971471989336323</v>
      </c>
      <c r="AV6">
        <v>5</v>
      </c>
      <c r="AW6" s="122" t="str">
        <f>IFERROR(INDEX(TableWRTECalcPts[PLAYER],MATCH(TableWRTERank[[#This Row],[RK]],TableWRTECalcPts[RK],0)),"")</f>
        <v>Ja'Marr Chase</v>
      </c>
      <c r="AX6" s="122" t="str">
        <f>IFERROR(INDEX(TableWRTECalcPts[POS RK],MATCH(TableWRTERank[[#This Row],[WR and TE COMBINED]],TableWRTECalcPts[PLAYER],0)),"")</f>
        <v>WR5</v>
      </c>
      <c r="AY6" s="122">
        <f>IFERROR(INDEX(TableWRTECalcPts[BYE],MATCH(TableWRTERank[[#This Row],[RK]],TableWRTECalcPts[RK],0)),"")</f>
        <v>7</v>
      </c>
      <c r="AZ6" s="123">
        <f>IFERROR(INDEX(TableWRTECalcPts[Custom],MATCH(TableWRTERank[[#This Row],[RK]],TableWRTECalcPts[RK],0)),"")</f>
        <v>239.22255571620002</v>
      </c>
      <c r="BA6" s="174">
        <f>IFERROR((TableWRTERank[[#This Row],[FPS]]-INDEX(TableWRTERank[FPS],MATCH(WRTEVORPCalc,TableWRTERank[RK],0)))/INDEX(TableWRTERank[FPS],MATCH(WRTEVORPCalc,TableWRTERank[RK],0)),"")</f>
        <v>0.60245007716955878</v>
      </c>
      <c r="BC6" t="s">
        <v>223</v>
      </c>
      <c r="BD6">
        <v>5</v>
      </c>
      <c r="BE6" s="83">
        <f>RANK(TableWRTEMaster[[#This Row],[VORP]],TableWRTEMaster[VORP])+COUNTIF($BJ$2:BJ6,BJ6)-1</f>
        <v>5</v>
      </c>
      <c r="BF6" s="115" t="str">
        <f>IFERROR(INDEX(TableWRVORP[WIDE RECEIVER],MATCH(TableWRTEMaster[[#This Row],[RK]],TableWRVORP[RK],0)),"")</f>
        <v>Ja'Marr Chase</v>
      </c>
      <c r="BG6" s="115" t="str">
        <f>_xlfn.CONCAT(TableWRTEMaster[[#This Row],[POS]],TableWRTEMaster[[#This Row],[RK]])</f>
        <v>WR5</v>
      </c>
      <c r="BH6" s="115">
        <f>IFERROR(INDEX(TableWRVORP[BYE],MATCH(TableWRTEMaster[[#This Row],[RK]],TableWRVORP[RK],0)),"")</f>
        <v>7</v>
      </c>
      <c r="BI6" s="116">
        <f>IFERROR(INDEX(TableWRVORP[FPS],MATCH(TableWRTEMaster[[#This Row],[RK]],TableWRVORP[RK],0)),"")</f>
        <v>239.22255571620002</v>
      </c>
      <c r="BJ6" s="117">
        <f>IFERROR(INDEX(TableWRVORP[VORP],MATCH(TableWRTEMaster[[#This Row],[RK]],TableWRVORP[RK],0)),"")</f>
        <v>0.65663528371338964</v>
      </c>
      <c r="BM6" s="57">
        <f>SUM(BM2:BM5)</f>
        <v>51.369104351752341</v>
      </c>
      <c r="BN6" s="80"/>
    </row>
    <row r="7" spans="1:66" x14ac:dyDescent="0.2">
      <c r="A7">
        <v>6</v>
      </c>
      <c r="B7" s="112" t="str">
        <f>IFERROR(INDEX(TableQBCalcPts[PLAYER],MATCH(TableQBVORP[[#This Row],[RK]],TableQBCalcPts[RK],0)),"")</f>
        <v>Dak Prescott</v>
      </c>
      <c r="C7" s="112" t="str">
        <f>IFERROR(INDEX(TableQBCalcPts[TM],MATCH(TableQBVORP[[#This Row],[RK]],TableQBCalcPts[RK],0)),"")</f>
        <v>DAL</v>
      </c>
      <c r="D7" s="112">
        <f>IFERROR(INDEX(TableQBCalcPts[BYE],MATCH(TableQBVORP[[#This Row],[RK]],TableQBCalcPts[RK],0)),"")</f>
        <v>7</v>
      </c>
      <c r="E7" s="113">
        <f>IFERROR(INDEX(TableQBCalcPts[Custom],MATCH(TableQBVORP[[#This Row],[RK]],TableQBCalcPts[RK],0)),"")</f>
        <v>334.28760747900003</v>
      </c>
      <c r="F7" s="114">
        <f>(IFERROR((TableQBVORP[[#This Row],[FPS]]-INDEX(TableQBVORP[FPS],MATCH(QBVORPCalc,TableQBVORP[RK],0)))/INDEX(TableQBVORP[FPS],MATCH(QBVORPCalc,TableQBVORP[RK],0)),""))+(TableRBVORP[[#This Row],[VORP]]*0.45)</f>
        <v>0.3636689282711193</v>
      </c>
      <c r="H7">
        <v>6</v>
      </c>
      <c r="I7" s="112" t="str">
        <f>IFERROR(INDEX(TableRBCalcPts[PLAYER],MATCH(TableRBVORP[[#This Row],[RK]],TableRBCalcPts[RK],0)),"")</f>
        <v>Derrick Henry</v>
      </c>
      <c r="J7" s="112" t="str">
        <f>IFERROR(INDEX(TableRBCalcPts[TM],MATCH(TableRBVORP[[#This Row],[RK]],TableRBCalcPts[RK],0)),"")</f>
        <v>BAL</v>
      </c>
      <c r="K7" s="112">
        <f>IFERROR(INDEX(TableRBCalcPts[BYE],MATCH(TableRBVORP[[#This Row],[RK]],TableRBCalcPts[RK],0)),"")</f>
        <v>13</v>
      </c>
      <c r="L7" s="113">
        <f>IFERROR(INDEX(TableRBCalcPts[Custom],MATCH(TableRBVORP[[#This Row],[RK]],TableRBCalcPts[RK],0)),"")</f>
        <v>231.37918964159999</v>
      </c>
      <c r="M7" s="114">
        <f>IFERROR((TableRBVORP[[#This Row],[FPS]]-INDEX(TableRBVORP[FPS],MATCH(RBVORPCalc,TableRBVORP[RK],0)))/INDEX(TableRBVORP[FPS],MATCH(RBVORPCalc,TableRBVORP[RK],0)),"")</f>
        <v>1.0527247502623438</v>
      </c>
      <c r="O7">
        <v>6</v>
      </c>
      <c r="P7" s="112" t="str">
        <f>IFERROR(INDEX(TableWRCalcPts[PLAYER],MATCH(TableWRVORP[[#This Row],[RK]],TableWRCalcPts[RK],0)),"")</f>
        <v>Puka Nacua</v>
      </c>
      <c r="Q7" s="112" t="str">
        <f>IFERROR(INDEX(TableWRCalcPts[TM],MATCH(TableWRVORP[[#This Row],[RK]],TableWRCalcPts[RK],0)),"")</f>
        <v>LAR</v>
      </c>
      <c r="R7" s="112">
        <f>IFERROR(INDEX(TableWRCalcPts[BYE],MATCH(TableWRVORP[[#This Row],[RK]],TableWRCalcPts[RK],0)),"")</f>
        <v>10</v>
      </c>
      <c r="S7" s="113">
        <f>IFERROR(INDEX(TableWRCalcPts[Custom],MATCH(TableWRVORP[[#This Row],[RK]],TableWRCalcPts[RK],0)),"")</f>
        <v>229.36045052313952</v>
      </c>
      <c r="T7" s="114">
        <f>IFERROR((TableWRVORP[[#This Row],[FPS]]-INDEX(TableWRVORP[FPS],MATCH(WRVORPCalc,TableWRVORP[RK],0)))/INDEX(TableWRVORP[FPS],MATCH(WRVORPCalc,TableWRVORP[RK],0)),"")</f>
        <v>0.58833941844431592</v>
      </c>
      <c r="V7">
        <v>6</v>
      </c>
      <c r="W7" s="112" t="str">
        <f>IFERROR(INDEX(TableTECalcPts[PLAYER],MATCH(TableTEVORP[[#This Row],[RK]],TableTECalcPts[RK],0)),"")</f>
        <v>Dalton Kincaid</v>
      </c>
      <c r="X7" s="112" t="str">
        <f>IFERROR(INDEX(TableTECalcPts[TM],MATCH(TableTEVORP[[#This Row],[RK]],TableTECalcPts[RK],0)),"")</f>
        <v>BUF</v>
      </c>
      <c r="Y7" s="112">
        <f>IFERROR(INDEX(TableTECalcPts[BYE],MATCH(TableTEVORP[[#This Row],[RK]],TableTECalcPts[RK],0)),"")</f>
        <v>13</v>
      </c>
      <c r="Z7" s="113">
        <f>IFERROR(INDEX(TableTECalcPts[Custom],MATCH(TableTEVORP[[#This Row],[RK]],TableTECalcPts[RK],0)),"")</f>
        <v>155.12491385395197</v>
      </c>
      <c r="AA7" s="114">
        <f>IFERROR((TableTEVORP[[#This Row],[FPS]]-INDEX(TableTEVORP[FPS],MATCH(TEVORPCalc,TableTEVORP[RK],0)))/INDEX(TableTEVORP[FPS],MATCH(TEVORPCalc,TableTEVORP[RK],0)),"")</f>
        <v>0.18107107469558348</v>
      </c>
      <c r="AC7" t="s">
        <v>381</v>
      </c>
      <c r="AD7" s="83">
        <f>TEAMS*STARTING_SUPERFLEX</f>
        <v>0</v>
      </c>
      <c r="AF7" t="s">
        <v>9</v>
      </c>
      <c r="AG7">
        <v>6</v>
      </c>
      <c r="AH7" s="83">
        <f>RANK(TableOverallMaster[[#This Row],[VORP]],TableOverallMaster[VORP])+COUNTIF($AM$2:AM7,AM7)-1</f>
        <v>57</v>
      </c>
      <c r="AI7" s="115" t="str">
        <f>IFERROR(INDEX(TableQBVORP[QUARTERBACK],MATCH(TableOverallMaster[[#This Row],[RK]],TableQBVORP[RK],0)),"")</f>
        <v>Dak Prescott</v>
      </c>
      <c r="AJ7" s="115" t="str">
        <f t="shared" si="0"/>
        <v>QB6</v>
      </c>
      <c r="AK7" s="115">
        <f>IFERROR(INDEX(TableQBVORP[BYE],MATCH(TableOverallMaster[[#This Row],[RK]],TableQBVORP[RK],0)),"")</f>
        <v>7</v>
      </c>
      <c r="AL7" s="116">
        <f>IFERROR(INDEX(TableQBVORP[FPS],MATCH(TableOverallMaster[[#This Row],[RK]],TableQBVORP[RK],0)),"")</f>
        <v>334.28760747900003</v>
      </c>
      <c r="AM7" s="117">
        <f>IFERROR(INDEX(TableQBVORP[VORP],MATCH(TableOverallMaster[[#This Row],[RK]],TableQBVORP[RK],0)),"")</f>
        <v>0.3636689282711193</v>
      </c>
      <c r="AO7">
        <v>6</v>
      </c>
      <c r="AP7" s="118" t="str">
        <f>IFERROR(INDEX(TableOverallMaster[OVERALL PLAYER],MATCH(TableOverallRank[[#This Row],[RK]],TableOverallMaster[OVR RK],0)),"")</f>
        <v>Derrick Henry</v>
      </c>
      <c r="AQ7" s="119" t="str">
        <f>IFERROR(INDEX(TableOverallMaster[POS RK],MATCH(TableOverallRank[[#This Row],[OVERALL PLAYER]],TableOverallMaster[OVERALL PLAYER],0)),"")</f>
        <v>RB6</v>
      </c>
      <c r="AR7" s="120">
        <f>IFERROR(INDEX(TableOverallMaster[BYE],MATCH(TableOverallRank[[#This Row],[OVERALL PLAYER]],TableOverallMaster[OVERALL PLAYER],0)),"")</f>
        <v>13</v>
      </c>
      <c r="AS7" s="119">
        <f>IFERROR(INDEX(TableOverallMaster[Custom],MATCH(TableOverallRank[[#This Row],[OVERALL PLAYER]],TableOverallMaster[OVERALL PLAYER],0)),"")</f>
        <v>231.37918964159999</v>
      </c>
      <c r="AT7" s="121">
        <f>IFERROR(INDEX(TableOverallMaster[VORP],MATCH(TableOverallRank[[#This Row],[OVERALL PLAYER]],TableOverallMaster[OVERALL PLAYER],0)),"")</f>
        <v>1.0527247502623438</v>
      </c>
      <c r="AV7">
        <v>6</v>
      </c>
      <c r="AW7" s="122" t="str">
        <f>IFERROR(INDEX(TableWRTECalcPts[PLAYER],MATCH(TableWRTERank[[#This Row],[RK]],TableWRTECalcPts[RK],0)),"")</f>
        <v>Puka Nacua</v>
      </c>
      <c r="AX7" s="122" t="str">
        <f>IFERROR(INDEX(TableWRTECalcPts[POS RK],MATCH(TableWRTERank[[#This Row],[WR and TE COMBINED]],TableWRTECalcPts[PLAYER],0)),"")</f>
        <v>WR6</v>
      </c>
      <c r="AY7" s="122">
        <f>IFERROR(INDEX(TableWRTECalcPts[BYE],MATCH(TableWRTERank[[#This Row],[RK]],TableWRTECalcPts[RK],0)),"")</f>
        <v>10</v>
      </c>
      <c r="AZ7" s="123">
        <f>IFERROR(INDEX(TableWRTECalcPts[Custom],MATCH(TableWRTERank[[#This Row],[RK]],TableWRTECalcPts[RK],0)),"")</f>
        <v>229.36045052313952</v>
      </c>
      <c r="BA7" s="174">
        <f>IFERROR((TableWRTERank[[#This Row],[FPS]]-INDEX(TableWRTERank[FPS],MATCH(WRTEVORPCalc,TableWRTERank[RK],0)))/INDEX(TableWRTERank[FPS],MATCH(WRTEVORPCalc,TableWRTERank[RK],0)),"")</f>
        <v>0.53638803222417109</v>
      </c>
      <c r="BC7" t="s">
        <v>223</v>
      </c>
      <c r="BD7">
        <v>6</v>
      </c>
      <c r="BE7" s="83">
        <f>RANK(TableWRTEMaster[[#This Row],[VORP]],TableWRTEMaster[VORP])+COUNTIF($BJ$2:BJ7,BJ7)-1</f>
        <v>6</v>
      </c>
      <c r="BF7" s="115" t="str">
        <f>IFERROR(INDEX(TableWRVORP[WIDE RECEIVER],MATCH(TableWRTEMaster[[#This Row],[RK]],TableWRVORP[RK],0)),"")</f>
        <v>Puka Nacua</v>
      </c>
      <c r="BG7" s="115" t="str">
        <f>_xlfn.CONCAT(TableWRTEMaster[[#This Row],[POS]],TableWRTEMaster[[#This Row],[RK]])</f>
        <v>WR6</v>
      </c>
      <c r="BH7" s="115">
        <f>IFERROR(INDEX(TableWRVORP[BYE],MATCH(TableWRTEMaster[[#This Row],[RK]],TableWRVORP[RK],0)),"")</f>
        <v>10</v>
      </c>
      <c r="BI7" s="116">
        <f>IFERROR(INDEX(TableWRVORP[FPS],MATCH(TableWRTEMaster[[#This Row],[RK]],TableWRVORP[RK],0)),"")</f>
        <v>229.36045052313952</v>
      </c>
      <c r="BJ7" s="117">
        <f>IFERROR(INDEX(TableWRVORP[VORP],MATCH(TableWRTEMaster[[#This Row],[RK]],TableWRVORP[RK],0)),"")</f>
        <v>0.58833941844431592</v>
      </c>
    </row>
    <row r="8" spans="1:66" x14ac:dyDescent="0.2">
      <c r="A8">
        <v>7</v>
      </c>
      <c r="B8" s="112" t="str">
        <f>IFERROR(INDEX(TableQBCalcPts[PLAYER],MATCH(TableQBVORP[[#This Row],[RK]],TableQBCalcPts[RK],0)),"")</f>
        <v>Joe Burrow</v>
      </c>
      <c r="C8" s="112" t="str">
        <f>IFERROR(INDEX(TableQBCalcPts[TM],MATCH(TableQBVORP[[#This Row],[RK]],TableQBCalcPts[RK],0)),"")</f>
        <v>CIN</v>
      </c>
      <c r="D8" s="112">
        <f>IFERROR(INDEX(TableQBCalcPts[BYE],MATCH(TableQBVORP[[#This Row],[RK]],TableQBCalcPts[RK],0)),"")</f>
        <v>7</v>
      </c>
      <c r="E8" s="113">
        <f>IFERROR(INDEX(TableQBCalcPts[Custom],MATCH(TableQBVORP[[#This Row],[RK]],TableQBCalcPts[RK],0)),"")</f>
        <v>331.31720383031995</v>
      </c>
      <c r="F8" s="114">
        <f>(IFERROR((TableQBVORP[[#This Row],[FPS]]-INDEX(TableQBVORP[FPS],MATCH(QBVORPCalc,TableQBVORP[RK],0)))/INDEX(TableQBVORP[FPS],MATCH(QBVORPCalc,TableQBVORP[RK],0)),""))+(TableRBVORP[[#This Row],[VORP]]*0.45)</f>
        <v>0.34623432172374063</v>
      </c>
      <c r="H8">
        <v>7</v>
      </c>
      <c r="I8" s="112" t="str">
        <f>IFERROR(INDEX(TableRBCalcPts[PLAYER],MATCH(TableRBVORP[[#This Row],[RK]],TableRBCalcPts[RK],0)),"")</f>
        <v>Kyren Williams</v>
      </c>
      <c r="J8" s="112" t="str">
        <f>IFERROR(INDEX(TableRBCalcPts[TM],MATCH(TableRBVORP[[#This Row],[RK]],TableRBCalcPts[RK],0)),"")</f>
        <v>LAR</v>
      </c>
      <c r="K8" s="112">
        <f>IFERROR(INDEX(TableRBCalcPts[BYE],MATCH(TableRBVORP[[#This Row],[RK]],TableRBCalcPts[RK],0)),"")</f>
        <v>10</v>
      </c>
      <c r="L8" s="113">
        <f>IFERROR(INDEX(TableRBCalcPts[Custom],MATCH(TableRBVORP[[#This Row],[RK]],TableRBCalcPts[RK],0)),"")</f>
        <v>228.99287845407679</v>
      </c>
      <c r="M8" s="114">
        <f>IFERROR((TableRBVORP[[#This Row],[FPS]]-INDEX(TableRBVORP[FPS],MATCH(RBVORPCalc,TableRBVORP[RK],0)))/INDEX(TableRBVORP[FPS],MATCH(RBVORPCalc,TableRBVORP[RK],0)),"")</f>
        <v>1.0315541339936793</v>
      </c>
      <c r="O8">
        <v>7</v>
      </c>
      <c r="P8" s="112" t="str">
        <f>IFERROR(INDEX(TableWRCalcPts[PLAYER],MATCH(TableWRVORP[[#This Row],[RK]],TableWRCalcPts[RK],0)),"")</f>
        <v>Deebo Samuel</v>
      </c>
      <c r="Q8" s="112" t="str">
        <f>IFERROR(INDEX(TableWRCalcPts[TM],MATCH(TableWRVORP[[#This Row],[RK]],TableWRCalcPts[RK],0)),"")</f>
        <v>SF</v>
      </c>
      <c r="R8" s="112">
        <f>IFERROR(INDEX(TableWRCalcPts[BYE],MATCH(TableWRVORP[[#This Row],[RK]],TableWRCalcPts[RK],0)),"")</f>
        <v>9</v>
      </c>
      <c r="S8" s="113">
        <f>IFERROR(INDEX(TableWRCalcPts[Custom],MATCH(TableWRVORP[[#This Row],[RK]],TableWRCalcPts[RK],0)),"")</f>
        <v>227.35073229258597</v>
      </c>
      <c r="T8" s="114">
        <f>IFERROR((TableWRVORP[[#This Row],[FPS]]-INDEX(TableWRVORP[FPS],MATCH(WRVORPCalc,TableWRVORP[RK],0)))/INDEX(TableWRVORP[FPS],MATCH(WRVORPCalc,TableWRVORP[RK],0)),"")</f>
        <v>0.57442195936070506</v>
      </c>
      <c r="V8">
        <v>7</v>
      </c>
      <c r="W8" s="112" t="str">
        <f>IFERROR(INDEX(TableTECalcPts[PLAYER],MATCH(TableTEVORP[[#This Row],[RK]],TableTECalcPts[RK],0)),"")</f>
        <v>George Kittle</v>
      </c>
      <c r="X8" s="112" t="str">
        <f>IFERROR(INDEX(TableTECalcPts[TM],MATCH(TableTEVORP[[#This Row],[RK]],TableTECalcPts[RK],0)),"")</f>
        <v>SF</v>
      </c>
      <c r="Y8" s="112">
        <f>IFERROR(INDEX(TableTECalcPts[BYE],MATCH(TableTEVORP[[#This Row],[RK]],TableTECalcPts[RK],0)),"")</f>
        <v>9</v>
      </c>
      <c r="Z8" s="113">
        <f>IFERROR(INDEX(TableTECalcPts[Custom],MATCH(TableTEVORP[[#This Row],[RK]],TableTECalcPts[RK],0)),"")</f>
        <v>155.07776599922877</v>
      </c>
      <c r="AA8" s="114">
        <f>IFERROR((TableTEVORP[[#This Row],[FPS]]-INDEX(TableTEVORP[FPS],MATCH(TEVORPCalc,TableTEVORP[RK],0)))/INDEX(TableTEVORP[FPS],MATCH(TEVORPCalc,TableTEVORP[RK],0)),"")</f>
        <v>0.18071210613235231</v>
      </c>
      <c r="AC8" t="s">
        <v>396</v>
      </c>
      <c r="AD8" s="83">
        <f>(TEAMS*STARTING_WR)+(TEAMS*STARTING_TE)+(TEAMS*STARTING_FLEX)</f>
        <v>60</v>
      </c>
      <c r="AF8" t="s">
        <v>9</v>
      </c>
      <c r="AG8">
        <v>7</v>
      </c>
      <c r="AH8" s="83">
        <f>RANK(TableOverallMaster[[#This Row],[VORP]],TableOverallMaster[VORP])+COUNTIF($AM$2:AM8,AM8)-1</f>
        <v>60</v>
      </c>
      <c r="AI8" s="115" t="str">
        <f>IFERROR(INDEX(TableQBVORP[QUARTERBACK],MATCH(TableOverallMaster[[#This Row],[RK]],TableQBVORP[RK],0)),"")</f>
        <v>Joe Burrow</v>
      </c>
      <c r="AJ8" s="115" t="str">
        <f t="shared" si="0"/>
        <v>QB7</v>
      </c>
      <c r="AK8" s="115">
        <f>IFERROR(INDEX(TableQBVORP[BYE],MATCH(TableOverallMaster[[#This Row],[RK]],TableQBVORP[RK],0)),"")</f>
        <v>7</v>
      </c>
      <c r="AL8" s="116">
        <f>IFERROR(INDEX(TableQBVORP[FPS],MATCH(TableOverallMaster[[#This Row],[RK]],TableQBVORP[RK],0)),"")</f>
        <v>331.31720383031995</v>
      </c>
      <c r="AM8" s="117">
        <f>IFERROR(INDEX(TableQBVORP[VORP],MATCH(TableOverallMaster[[#This Row],[RK]],TableQBVORP[RK],0)),"")</f>
        <v>0.34623432172374063</v>
      </c>
      <c r="AO8">
        <v>7</v>
      </c>
      <c r="AP8" s="118" t="str">
        <f>IFERROR(INDEX(TableOverallMaster[OVERALL PLAYER],MATCH(TableOverallRank[[#This Row],[RK]],TableOverallMaster[OVR RK],0)),"")</f>
        <v>Kyren Williams</v>
      </c>
      <c r="AQ8" s="119" t="str">
        <f>IFERROR(INDEX(TableOverallMaster[POS RK],MATCH(TableOverallRank[[#This Row],[OVERALL PLAYER]],TableOverallMaster[OVERALL PLAYER],0)),"")</f>
        <v>RB7</v>
      </c>
      <c r="AR8" s="120">
        <f>IFERROR(INDEX(TableOverallMaster[BYE],MATCH(TableOverallRank[[#This Row],[OVERALL PLAYER]],TableOverallMaster[OVERALL PLAYER],0)),"")</f>
        <v>10</v>
      </c>
      <c r="AS8" s="119">
        <f>IFERROR(INDEX(TableOverallMaster[Custom],MATCH(TableOverallRank[[#This Row],[OVERALL PLAYER]],TableOverallMaster[OVERALL PLAYER],0)),"")</f>
        <v>228.99287845407679</v>
      </c>
      <c r="AT8" s="121">
        <f>IFERROR(INDEX(TableOverallMaster[VORP],MATCH(TableOverallRank[[#This Row],[OVERALL PLAYER]],TableOverallMaster[OVERALL PLAYER],0)),"")</f>
        <v>1.0315541339936793</v>
      </c>
      <c r="AV8">
        <v>7</v>
      </c>
      <c r="AW8" s="122" t="str">
        <f>IFERROR(INDEX(TableWRTECalcPts[PLAYER],MATCH(TableWRTERank[[#This Row],[RK]],TableWRTECalcPts[RK],0)),"")</f>
        <v>Deebo Samuel</v>
      </c>
      <c r="AX8" s="122" t="str">
        <f>IFERROR(INDEX(TableWRTECalcPts[POS RK],MATCH(TableWRTERank[[#This Row],[WR and TE COMBINED]],TableWRTECalcPts[PLAYER],0)),"")</f>
        <v>WR7</v>
      </c>
      <c r="AY8" s="122">
        <f>IFERROR(INDEX(TableWRTECalcPts[BYE],MATCH(TableWRTERank[[#This Row],[RK]],TableWRTECalcPts[RK],0)),"")</f>
        <v>9</v>
      </c>
      <c r="AZ8" s="123">
        <f>IFERROR(INDEX(TableWRTECalcPts[Custom],MATCH(TableWRTERank[[#This Row],[RK]],TableWRTECalcPts[RK],0)),"")</f>
        <v>227.35073229258597</v>
      </c>
      <c r="BA8" s="174">
        <f>IFERROR((TableWRTERank[[#This Row],[FPS]]-INDEX(TableWRTERank[FPS],MATCH(WRTEVORPCalc,TableWRTERank[RK],0)))/INDEX(TableWRTERank[FPS],MATCH(WRTEVORPCalc,TableWRTERank[RK],0)),"")</f>
        <v>0.52292578522159261</v>
      </c>
      <c r="BC8" t="s">
        <v>223</v>
      </c>
      <c r="BD8">
        <v>7</v>
      </c>
      <c r="BE8" s="83">
        <f>RANK(TableWRTEMaster[[#This Row],[VORP]],TableWRTEMaster[VORP])+COUNTIF($BJ$2:BJ8,BJ8)-1</f>
        <v>7</v>
      </c>
      <c r="BF8" s="115" t="str">
        <f>IFERROR(INDEX(TableWRVORP[WIDE RECEIVER],MATCH(TableWRTEMaster[[#This Row],[RK]],TableWRVORP[RK],0)),"")</f>
        <v>Deebo Samuel</v>
      </c>
      <c r="BG8" s="115" t="str">
        <f>_xlfn.CONCAT(TableWRTEMaster[[#This Row],[POS]],TableWRTEMaster[[#This Row],[RK]])</f>
        <v>WR7</v>
      </c>
      <c r="BH8" s="115">
        <f>IFERROR(INDEX(TableWRVORP[BYE],MATCH(TableWRTEMaster[[#This Row],[RK]],TableWRVORP[RK],0)),"")</f>
        <v>9</v>
      </c>
      <c r="BI8" s="116">
        <f>IFERROR(INDEX(TableWRVORP[FPS],MATCH(TableWRTEMaster[[#This Row],[RK]],TableWRVORP[RK],0)),"")</f>
        <v>227.35073229258597</v>
      </c>
      <c r="BJ8" s="117">
        <f>IFERROR(INDEX(TableWRVORP[VORP],MATCH(TableWRTEMaster[[#This Row],[RK]],TableWRVORP[RK],0)),"")</f>
        <v>0.57442195936070506</v>
      </c>
    </row>
    <row r="9" spans="1:66" x14ac:dyDescent="0.2">
      <c r="A9">
        <v>8</v>
      </c>
      <c r="B9" s="112" t="str">
        <f>IFERROR(INDEX(TableQBCalcPts[PLAYER],MATCH(TableQBVORP[[#This Row],[RK]],TableQBCalcPts[RK],0)),"")</f>
        <v>Jayden Daniels</v>
      </c>
      <c r="C9" s="112" t="str">
        <f>IFERROR(INDEX(TableQBCalcPts[TM],MATCH(TableQBVORP[[#This Row],[RK]],TableQBCalcPts[RK],0)),"")</f>
        <v>WSH</v>
      </c>
      <c r="D9" s="112">
        <f>IFERROR(INDEX(TableQBCalcPts[BYE],MATCH(TableQBVORP[[#This Row],[RK]],TableQBCalcPts[RK],0)),"")</f>
        <v>14</v>
      </c>
      <c r="E9" s="113">
        <f>IFERROR(INDEX(TableQBCalcPts[Custom],MATCH(TableQBVORP[[#This Row],[RK]],TableQBCalcPts[RK],0)),"")</f>
        <v>331.08857873538</v>
      </c>
      <c r="F9" s="114">
        <f>(IFERROR((TableQBVORP[[#This Row],[FPS]]-INDEX(TableQBVORP[FPS],MATCH(QBVORPCalc,TableQBVORP[RK],0)))/INDEX(TableQBVORP[FPS],MATCH(QBVORPCalc,TableQBVORP[RK],0)),""))+(TableRBVORP[[#This Row],[VORP]]*0.45)</f>
        <v>0.31224503642919932</v>
      </c>
      <c r="H9">
        <v>8</v>
      </c>
      <c r="I9" s="112" t="str">
        <f>IFERROR(INDEX(TableRBCalcPts[PLAYER],MATCH(TableRBVORP[[#This Row],[RK]],TableRBCalcPts[RK],0)),"")</f>
        <v>Jahmyr Gibbs</v>
      </c>
      <c r="J9" s="112" t="str">
        <f>IFERROR(INDEX(TableRBCalcPts[TM],MATCH(TableRBVORP[[#This Row],[RK]],TableRBCalcPts[RK],0)),"")</f>
        <v>DET</v>
      </c>
      <c r="K9" s="112">
        <f>IFERROR(INDEX(TableRBCalcPts[BYE],MATCH(TableRBVORP[[#This Row],[RK]],TableRBCalcPts[RK],0)),"")</f>
        <v>9</v>
      </c>
      <c r="L9" s="113">
        <f>IFERROR(INDEX(TableRBCalcPts[Custom],MATCH(TableRBVORP[[#This Row],[RK]],TableRBCalcPts[RK],0)),"")</f>
        <v>220.63154206799999</v>
      </c>
      <c r="M9" s="114">
        <f>IFERROR((TableRBVORP[[#This Row],[FPS]]-INDEX(TableRBVORP[FPS],MATCH(RBVORPCalc,TableRBVORP[RK],0)))/INDEX(TableRBVORP[FPS],MATCH(RBVORPCalc,TableRBVORP[RK],0)),"")</f>
        <v>0.95737493848541111</v>
      </c>
      <c r="O9">
        <v>8</v>
      </c>
      <c r="P9" s="112" t="str">
        <f>IFERROR(INDEX(TableWRCalcPts[PLAYER],MATCH(TableWRVORP[[#This Row],[RK]],TableWRCalcPts[RK],0)),"")</f>
        <v>A.J. Brown</v>
      </c>
      <c r="Q9" s="112" t="str">
        <f>IFERROR(INDEX(TableWRCalcPts[TM],MATCH(TableWRVORP[[#This Row],[RK]],TableWRCalcPts[RK],0)),"")</f>
        <v>PHI</v>
      </c>
      <c r="R9" s="112">
        <f>IFERROR(INDEX(TableWRCalcPts[BYE],MATCH(TableWRVORP[[#This Row],[RK]],TableWRCalcPts[RK],0)),"")</f>
        <v>10</v>
      </c>
      <c r="S9" s="113">
        <f>IFERROR(INDEX(TableWRCalcPts[Custom],MATCH(TableWRVORP[[#This Row],[RK]],TableWRCalcPts[RK],0)),"")</f>
        <v>216.54967608681122</v>
      </c>
      <c r="T9" s="114">
        <f>IFERROR((TableWRVORP[[#This Row],[FPS]]-INDEX(TableWRVORP[FPS],MATCH(WRVORPCalc,TableWRVORP[RK],0)))/INDEX(TableWRVORP[FPS],MATCH(WRVORPCalc,TableWRVORP[RK],0)),"")</f>
        <v>0.49962378341827568</v>
      </c>
      <c r="V9">
        <v>8</v>
      </c>
      <c r="W9" s="112" t="str">
        <f>IFERROR(INDEX(TableTECalcPts[PLAYER],MATCH(TableTEVORP[[#This Row],[RK]],TableTECalcPts[RK],0)),"")</f>
        <v>David Njoku</v>
      </c>
      <c r="X9" s="112" t="str">
        <f>IFERROR(INDEX(TableTECalcPts[TM],MATCH(TableTEVORP[[#This Row],[RK]],TableTECalcPts[RK],0)),"")</f>
        <v>CLE</v>
      </c>
      <c r="Y9" s="112">
        <f>IFERROR(INDEX(TableTECalcPts[BYE],MATCH(TableTEVORP[[#This Row],[RK]],TableTECalcPts[RK],0)),"")</f>
        <v>5</v>
      </c>
      <c r="Z9" s="113">
        <f>IFERROR(INDEX(TableTECalcPts[Custom],MATCH(TableTEVORP[[#This Row],[RK]],TableTECalcPts[RK],0)),"")</f>
        <v>146.32427848500004</v>
      </c>
      <c r="AA9" s="114">
        <f>IFERROR((TableTEVORP[[#This Row],[FPS]]-INDEX(TableTEVORP[FPS],MATCH(TEVORPCalc,TableTEVORP[RK],0)))/INDEX(TableTEVORP[FPS],MATCH(TEVORPCalc,TableTEVORP[RK],0)),"")</f>
        <v>0.11406587472494564</v>
      </c>
      <c r="AF9" t="s">
        <v>9</v>
      </c>
      <c r="AG9">
        <v>8</v>
      </c>
      <c r="AH9" s="83">
        <f>RANK(TableOverallMaster[[#This Row],[VORP]],TableOverallMaster[VORP])+COUNTIF($AM$2:AM9,AM9)-1</f>
        <v>65</v>
      </c>
      <c r="AI9" s="115" t="str">
        <f>IFERROR(INDEX(TableQBVORP[QUARTERBACK],MATCH(TableOverallMaster[[#This Row],[RK]],TableQBVORP[RK],0)),"")</f>
        <v>Jayden Daniels</v>
      </c>
      <c r="AJ9" s="115" t="str">
        <f t="shared" si="0"/>
        <v>QB8</v>
      </c>
      <c r="AK9" s="115">
        <f>IFERROR(INDEX(TableQBVORP[BYE],MATCH(TableOverallMaster[[#This Row],[RK]],TableQBVORP[RK],0)),"")</f>
        <v>14</v>
      </c>
      <c r="AL9" s="116">
        <f>IFERROR(INDEX(TableQBVORP[FPS],MATCH(TableOverallMaster[[#This Row],[RK]],TableQBVORP[RK],0)),"")</f>
        <v>331.08857873538</v>
      </c>
      <c r="AM9" s="117">
        <f>IFERROR(INDEX(TableQBVORP[VORP],MATCH(TableOverallMaster[[#This Row],[RK]],TableQBVORP[RK],0)),"")</f>
        <v>0.31224503642919932</v>
      </c>
      <c r="AO9">
        <v>8</v>
      </c>
      <c r="AP9" s="118" t="str">
        <f>IFERROR(INDEX(TableOverallMaster[OVERALL PLAYER],MATCH(TableOverallRank[[#This Row],[RK]],TableOverallMaster[OVR RK],0)),"")</f>
        <v>Jahmyr Gibbs</v>
      </c>
      <c r="AQ9" s="119" t="str">
        <f>IFERROR(INDEX(TableOverallMaster[POS RK],MATCH(TableOverallRank[[#This Row],[OVERALL PLAYER]],TableOverallMaster[OVERALL PLAYER],0)),"")</f>
        <v>RB8</v>
      </c>
      <c r="AR9" s="120">
        <f>IFERROR(INDEX(TableOverallMaster[BYE],MATCH(TableOverallRank[[#This Row],[OVERALL PLAYER]],TableOverallMaster[OVERALL PLAYER],0)),"")</f>
        <v>9</v>
      </c>
      <c r="AS9" s="119">
        <f>IFERROR(INDEX(TableOverallMaster[Custom],MATCH(TableOverallRank[[#This Row],[OVERALL PLAYER]],TableOverallMaster[OVERALL PLAYER],0)),"")</f>
        <v>220.63154206799999</v>
      </c>
      <c r="AT9" s="121">
        <f>IFERROR(INDEX(TableOverallMaster[VORP],MATCH(TableOverallRank[[#This Row],[OVERALL PLAYER]],TableOverallMaster[OVERALL PLAYER],0)),"")</f>
        <v>0.95737493848541111</v>
      </c>
      <c r="AV9">
        <v>8</v>
      </c>
      <c r="AW9" s="122" t="str">
        <f>IFERROR(INDEX(TableWRTECalcPts[PLAYER],MATCH(TableWRTERank[[#This Row],[RK]],TableWRTECalcPts[RK],0)),"")</f>
        <v>A.J. Brown</v>
      </c>
      <c r="AX9" s="122" t="str">
        <f>IFERROR(INDEX(TableWRTECalcPts[POS RK],MATCH(TableWRTERank[[#This Row],[WR and TE COMBINED]],TableWRTECalcPts[PLAYER],0)),"")</f>
        <v>WR8</v>
      </c>
      <c r="AY9" s="122">
        <f>IFERROR(INDEX(TableWRTECalcPts[BYE],MATCH(TableWRTERank[[#This Row],[RK]],TableWRTECalcPts[RK],0)),"")</f>
        <v>10</v>
      </c>
      <c r="AZ9" s="123">
        <f>IFERROR(INDEX(TableWRTECalcPts[Custom],MATCH(TableWRTERank[[#This Row],[RK]],TableWRTECalcPts[RK],0)),"")</f>
        <v>216.54967608681122</v>
      </c>
      <c r="BA9" s="174">
        <f>IFERROR((TableWRTERank[[#This Row],[FPS]]-INDEX(TableWRTERank[FPS],MATCH(WRTEVORPCalc,TableWRTERank[RK],0)))/INDEX(TableWRTERank[FPS],MATCH(WRTEVORPCalc,TableWRTERank[RK],0)),"")</f>
        <v>0.45057410710061341</v>
      </c>
      <c r="BC9" t="s">
        <v>223</v>
      </c>
      <c r="BD9">
        <v>8</v>
      </c>
      <c r="BE9" s="83">
        <f>RANK(TableWRTEMaster[[#This Row],[VORP]],TableWRTEMaster[VORP])+COUNTIF($BJ$2:BJ9,BJ9)-1</f>
        <v>8</v>
      </c>
      <c r="BF9" s="115" t="str">
        <f>IFERROR(INDEX(TableWRVORP[WIDE RECEIVER],MATCH(TableWRTEMaster[[#This Row],[RK]],TableWRVORP[RK],0)),"")</f>
        <v>A.J. Brown</v>
      </c>
      <c r="BG9" s="115" t="str">
        <f>_xlfn.CONCAT(TableWRTEMaster[[#This Row],[POS]],TableWRTEMaster[[#This Row],[RK]])</f>
        <v>WR8</v>
      </c>
      <c r="BH9" s="115">
        <f>IFERROR(INDEX(TableWRVORP[BYE],MATCH(TableWRTEMaster[[#This Row],[RK]],TableWRVORP[RK],0)),"")</f>
        <v>10</v>
      </c>
      <c r="BI9" s="116">
        <f>IFERROR(INDEX(TableWRVORP[FPS],MATCH(TableWRTEMaster[[#This Row],[RK]],TableWRVORP[RK],0)),"")</f>
        <v>216.54967608681122</v>
      </c>
      <c r="BJ9" s="117">
        <f>IFERROR(INDEX(TableWRVORP[VORP],MATCH(TableWRTEMaster[[#This Row],[RK]],TableWRVORP[RK],0)),"")</f>
        <v>0.49962378341827568</v>
      </c>
    </row>
    <row r="10" spans="1:66" x14ac:dyDescent="0.2">
      <c r="A10">
        <v>9</v>
      </c>
      <c r="B10" s="112" t="str">
        <f>IFERROR(INDEX(TableQBCalcPts[PLAYER],MATCH(TableQBVORP[[#This Row],[RK]],TableQBCalcPts[RK],0)),"")</f>
        <v>C.J. Stroud</v>
      </c>
      <c r="C10" s="112" t="str">
        <f>IFERROR(INDEX(TableQBCalcPts[TM],MATCH(TableQBVORP[[#This Row],[RK]],TableQBCalcPts[RK],0)),"")</f>
        <v>HOU</v>
      </c>
      <c r="D10" s="112">
        <f>IFERROR(INDEX(TableQBCalcPts[BYE],MATCH(TableQBVORP[[#This Row],[RK]],TableQBCalcPts[RK],0)),"")</f>
        <v>7</v>
      </c>
      <c r="E10" s="113">
        <f>IFERROR(INDEX(TableQBCalcPts[Custom],MATCH(TableQBVORP[[#This Row],[RK]],TableQBCalcPts[RK],0)),"")</f>
        <v>330.83255162880005</v>
      </c>
      <c r="F10" s="114">
        <f>(IFERROR((TableQBVORP[[#This Row],[FPS]]-INDEX(TableQBVORP[FPS],MATCH(QBVORPCalc,TableQBVORP[RK],0)))/INDEX(TableQBVORP[FPS],MATCH(QBVORPCalc,TableQBVORP[RK],0)),""))+(TableRBVORP[[#This Row],[VORP]]*0.45)</f>
        <v>0.30741968755855065</v>
      </c>
      <c r="H10">
        <v>9</v>
      </c>
      <c r="I10" s="112" t="str">
        <f>IFERROR(INDEX(TableRBCalcPts[PLAYER],MATCH(TableRBVORP[[#This Row],[RK]],TableRBCalcPts[RK],0)),"")</f>
        <v>Joe Mixon</v>
      </c>
      <c r="J10" s="112" t="str">
        <f>IFERROR(INDEX(TableRBCalcPts[TM],MATCH(TableRBVORP[[#This Row],[RK]],TableRBCalcPts[RK],0)),"")</f>
        <v>HOU</v>
      </c>
      <c r="K10" s="112">
        <f>IFERROR(INDEX(TableRBCalcPts[BYE],MATCH(TableRBVORP[[#This Row],[RK]],TableRBCalcPts[RK],0)),"")</f>
        <v>7</v>
      </c>
      <c r="L10" s="113">
        <f>IFERROR(INDEX(TableRBCalcPts[Custom],MATCH(TableRBVORP[[#This Row],[RK]],TableRBCalcPts[RK],0)),"")</f>
        <v>219.5935959949056</v>
      </c>
      <c r="M10" s="114">
        <f>IFERROR((TableRBVORP[[#This Row],[FPS]]-INDEX(TableRBVORP[FPS],MATCH(RBVORPCalc,TableRBVORP[RK],0)))/INDEX(TableRBVORP[FPS],MATCH(RBVORPCalc,TableRBVORP[RK],0)),"")</f>
        <v>0.94816660130963171</v>
      </c>
      <c r="O10">
        <v>9</v>
      </c>
      <c r="P10" s="112" t="str">
        <f>IFERROR(INDEX(TableWRCalcPts[PLAYER],MATCH(TableWRVORP[[#This Row],[RK]],TableWRCalcPts[RK],0)),"")</f>
        <v>Mike Evans</v>
      </c>
      <c r="Q10" s="112" t="str">
        <f>IFERROR(INDEX(TableWRCalcPts[TM],MATCH(TableWRVORP[[#This Row],[RK]],TableWRCalcPts[RK],0)),"")</f>
        <v>TB</v>
      </c>
      <c r="R10" s="112">
        <f>IFERROR(INDEX(TableWRCalcPts[BYE],MATCH(TableWRVORP[[#This Row],[RK]],TableWRCalcPts[RK],0)),"")</f>
        <v>5</v>
      </c>
      <c r="S10" s="113">
        <f>IFERROR(INDEX(TableWRCalcPts[Custom],MATCH(TableWRVORP[[#This Row],[RK]],TableWRCalcPts[RK],0)),"")</f>
        <v>210.90826433402879</v>
      </c>
      <c r="T10" s="114">
        <f>IFERROR((TableWRVORP[[#This Row],[FPS]]-INDEX(TableWRVORP[FPS],MATCH(WRVORPCalc,TableWRVORP[RK],0)))/INDEX(TableWRVORP[FPS],MATCH(WRVORPCalc,TableWRVORP[RK],0)),"")</f>
        <v>0.46055655695363557</v>
      </c>
      <c r="V10">
        <v>9</v>
      </c>
      <c r="W10" s="112" t="str">
        <f>IFERROR(INDEX(TableTECalcPts[PLAYER],MATCH(TableTEVORP[[#This Row],[RK]],TableTECalcPts[RK],0)),"")</f>
        <v>Jake Ferguson</v>
      </c>
      <c r="X10" s="112" t="str">
        <f>IFERROR(INDEX(TableTECalcPts[TM],MATCH(TableTEVORP[[#This Row],[RK]],TableTECalcPts[RK],0)),"")</f>
        <v>DAL</v>
      </c>
      <c r="Y10" s="112">
        <f>IFERROR(INDEX(TableTECalcPts[BYE],MATCH(TableTEVORP[[#This Row],[RK]],TableTECalcPts[RK],0)),"")</f>
        <v>7</v>
      </c>
      <c r="Z10" s="113">
        <f>IFERROR(INDEX(TableTECalcPts[Custom],MATCH(TableTEVORP[[#This Row],[RK]],TableTECalcPts[RK],0)),"")</f>
        <v>145.89143428607994</v>
      </c>
      <c r="AA10" s="114">
        <f>IFERROR((TableTEVORP[[#This Row],[FPS]]-INDEX(TableTEVORP[FPS],MATCH(TEVORPCalc,TableTEVORP[RK],0)))/INDEX(TableTEVORP[FPS],MATCH(TEVORPCalc,TableTEVORP[RK],0)),"")</f>
        <v>0.11077033856319402</v>
      </c>
      <c r="AD10">
        <f>IF(AND(TEAMS&gt;0,TEAMS&lt;8),8,IF(AND(TEAMS&gt;7,TEAMS&lt;12),6,IF(AND(TEAMS&gt;11,TEAMS&lt;14),2,2)))</f>
        <v>2</v>
      </c>
      <c r="AF10" t="s">
        <v>9</v>
      </c>
      <c r="AG10">
        <v>9</v>
      </c>
      <c r="AH10" s="83">
        <f>RANK(TableOverallMaster[[#This Row],[VORP]],TableOverallMaster[VORP])+COUNTIF($AM$2:AM10,AM10)-1</f>
        <v>67</v>
      </c>
      <c r="AI10" s="115" t="str">
        <f>IFERROR(INDEX(TableQBVORP[QUARTERBACK],MATCH(TableOverallMaster[[#This Row],[RK]],TableQBVORP[RK],0)),"")</f>
        <v>C.J. Stroud</v>
      </c>
      <c r="AJ10" s="115" t="str">
        <f t="shared" si="0"/>
        <v>QB9</v>
      </c>
      <c r="AK10" s="115">
        <f>IFERROR(INDEX(TableQBVORP[BYE],MATCH(TableOverallMaster[[#This Row],[RK]],TableQBVORP[RK],0)),"")</f>
        <v>7</v>
      </c>
      <c r="AL10" s="116">
        <f>IFERROR(INDEX(TableQBVORP[FPS],MATCH(TableOverallMaster[[#This Row],[RK]],TableQBVORP[RK],0)),"")</f>
        <v>330.83255162880005</v>
      </c>
      <c r="AM10" s="117">
        <f>IFERROR(INDEX(TableQBVORP[VORP],MATCH(TableOverallMaster[[#This Row],[RK]],TableQBVORP[RK],0)),"")</f>
        <v>0.30741968755855065</v>
      </c>
      <c r="AO10">
        <v>9</v>
      </c>
      <c r="AP10" s="118" t="str">
        <f>IFERROR(INDEX(TableOverallMaster[OVERALL PLAYER],MATCH(TableOverallRank[[#This Row],[RK]],TableOverallMaster[OVR RK],0)),"")</f>
        <v>Joe Mixon</v>
      </c>
      <c r="AQ10" s="119" t="str">
        <f>IFERROR(INDEX(TableOverallMaster[POS RK],MATCH(TableOverallRank[[#This Row],[OVERALL PLAYER]],TableOverallMaster[OVERALL PLAYER],0)),"")</f>
        <v>RB9</v>
      </c>
      <c r="AR10" s="120">
        <f>IFERROR(INDEX(TableOverallMaster[BYE],MATCH(TableOverallRank[[#This Row],[OVERALL PLAYER]],TableOverallMaster[OVERALL PLAYER],0)),"")</f>
        <v>7</v>
      </c>
      <c r="AS10" s="119">
        <f>IFERROR(INDEX(TableOverallMaster[Custom],MATCH(TableOverallRank[[#This Row],[OVERALL PLAYER]],TableOverallMaster[OVERALL PLAYER],0)),"")</f>
        <v>219.5935959949056</v>
      </c>
      <c r="AT10" s="121">
        <f>IFERROR(INDEX(TableOverallMaster[VORP],MATCH(TableOverallRank[[#This Row],[OVERALL PLAYER]],TableOverallMaster[OVERALL PLAYER],0)),"")</f>
        <v>0.94816660130963171</v>
      </c>
      <c r="AV10">
        <v>9</v>
      </c>
      <c r="AW10" s="122" t="str">
        <f>IFERROR(INDEX(TableWRTECalcPts[PLAYER],MATCH(TableWRTERank[[#This Row],[RK]],TableWRTECalcPts[RK],0)),"")</f>
        <v>Mike Evans</v>
      </c>
      <c r="AX10" s="122" t="str">
        <f>IFERROR(INDEX(TableWRTECalcPts[POS RK],MATCH(TableWRTERank[[#This Row],[WR and TE COMBINED]],TableWRTECalcPts[PLAYER],0)),"")</f>
        <v>WR9</v>
      </c>
      <c r="AY10" s="122">
        <f>IFERROR(INDEX(TableWRTECalcPts[BYE],MATCH(TableWRTERank[[#This Row],[RK]],TableWRTECalcPts[RK],0)),"")</f>
        <v>5</v>
      </c>
      <c r="AZ10" s="123">
        <f>IFERROR(INDEX(TableWRTECalcPts[Custom],MATCH(TableWRTERank[[#This Row],[RK]],TableWRTECalcPts[RK],0)),"")</f>
        <v>210.90826433402879</v>
      </c>
      <c r="BA10" s="174">
        <f>IFERROR((TableWRTERank[[#This Row],[FPS]]-INDEX(TableWRTERank[FPS],MATCH(WRTEVORPCalc,TableWRTERank[RK],0)))/INDEX(TableWRTERank[FPS],MATCH(WRTEVORPCalc,TableWRTERank[RK],0)),"")</f>
        <v>0.41278469100008441</v>
      </c>
      <c r="BC10" t="s">
        <v>223</v>
      </c>
      <c r="BD10">
        <v>9</v>
      </c>
      <c r="BE10" s="83">
        <f>RANK(TableWRTEMaster[[#This Row],[VORP]],TableWRTEMaster[VORP])+COUNTIF($BJ$2:BJ10,BJ10)-1</f>
        <v>9</v>
      </c>
      <c r="BF10" s="115" t="str">
        <f>IFERROR(INDEX(TableWRVORP[WIDE RECEIVER],MATCH(TableWRTEMaster[[#This Row],[RK]],TableWRVORP[RK],0)),"")</f>
        <v>Mike Evans</v>
      </c>
      <c r="BG10" s="115" t="str">
        <f>_xlfn.CONCAT(TableWRTEMaster[[#This Row],[POS]],TableWRTEMaster[[#This Row],[RK]])</f>
        <v>WR9</v>
      </c>
      <c r="BH10" s="115">
        <f>IFERROR(INDEX(TableWRVORP[BYE],MATCH(TableWRTEMaster[[#This Row],[RK]],TableWRVORP[RK],0)),"")</f>
        <v>5</v>
      </c>
      <c r="BI10" s="116">
        <f>IFERROR(INDEX(TableWRVORP[FPS],MATCH(TableWRTEMaster[[#This Row],[RK]],TableWRVORP[RK],0)),"")</f>
        <v>210.90826433402879</v>
      </c>
      <c r="BJ10" s="117">
        <f>IFERROR(INDEX(TableWRVORP[VORP],MATCH(TableWRTEMaster[[#This Row],[RK]],TableWRVORP[RK],0)),"")</f>
        <v>0.46055655695363557</v>
      </c>
    </row>
    <row r="11" spans="1:66" x14ac:dyDescent="0.2">
      <c r="A11">
        <v>10</v>
      </c>
      <c r="B11" s="112" t="str">
        <f>IFERROR(INDEX(TableQBCalcPts[PLAYER],MATCH(TableQBVORP[[#This Row],[RK]],TableQBCalcPts[RK],0)),"")</f>
        <v>Jordan Love</v>
      </c>
      <c r="C11" s="112" t="str">
        <f>IFERROR(INDEX(TableQBCalcPts[TM],MATCH(TableQBVORP[[#This Row],[RK]],TableQBCalcPts[RK],0)),"")</f>
        <v>GB</v>
      </c>
      <c r="D11" s="112">
        <f>IFERROR(INDEX(TableQBCalcPts[BYE],MATCH(TableQBVORP[[#This Row],[RK]],TableQBCalcPts[RK],0)),"")</f>
        <v>6</v>
      </c>
      <c r="E11" s="113">
        <f>IFERROR(INDEX(TableQBCalcPts[Custom],MATCH(TableQBVORP[[#This Row],[RK]],TableQBCalcPts[RK],0)),"")</f>
        <v>326.93467879072</v>
      </c>
      <c r="F11" s="114">
        <f>(IFERROR((TableQBVORP[[#This Row],[FPS]]-INDEX(TableQBVORP[FPS],MATCH(QBVORPCalc,TableQBVORP[RK],0)))/INDEX(TableQBVORP[FPS],MATCH(QBVORPCalc,TableQBVORP[RK],0)),""))+(TableRBVORP[[#This Row],[VORP]]*0.45)</f>
        <v>0.28737818090692835</v>
      </c>
      <c r="H11">
        <v>10</v>
      </c>
      <c r="I11" s="112" t="str">
        <f>IFERROR(INDEX(TableRBCalcPts[PLAYER],MATCH(TableRBVORP[[#This Row],[RK]],TableRBCalcPts[RK],0)),"")</f>
        <v>Isiah Pacheco</v>
      </c>
      <c r="J11" s="112" t="str">
        <f>IFERROR(INDEX(TableRBCalcPts[TM],MATCH(TableRBVORP[[#This Row],[RK]],TableRBCalcPts[RK],0)),"")</f>
        <v>KC</v>
      </c>
      <c r="K11" s="112">
        <f>IFERROR(INDEX(TableRBCalcPts[BYE],MATCH(TableRBVORP[[#This Row],[RK]],TableRBCalcPts[RK],0)),"")</f>
        <v>10</v>
      </c>
      <c r="L11" s="113">
        <f>IFERROR(INDEX(TableRBCalcPts[Custom],MATCH(TableRBVORP[[#This Row],[RK]],TableRBCalcPts[RK],0)),"")</f>
        <v>217.17277173760002</v>
      </c>
      <c r="M11" s="114">
        <f>IFERROR((TableRBVORP[[#This Row],[FPS]]-INDEX(TableRBVORP[FPS],MATCH(RBVORPCalc,TableRBVORP[RK],0)))/INDEX(TableRBVORP[FPS],MATCH(RBVORPCalc,TableRBVORP[RK],0)),"")</f>
        <v>0.92668979573907062</v>
      </c>
      <c r="O11">
        <v>10</v>
      </c>
      <c r="P11" s="112" t="str">
        <f>IFERROR(INDEX(TableWRCalcPts[PLAYER],MATCH(TableWRVORP[[#This Row],[RK]],TableWRCalcPts[RK],0)),"")</f>
        <v>Brandon Aiyuk</v>
      </c>
      <c r="Q11" s="112" t="str">
        <f>IFERROR(INDEX(TableWRCalcPts[TM],MATCH(TableWRVORP[[#This Row],[RK]],TableWRCalcPts[RK],0)),"")</f>
        <v>SF</v>
      </c>
      <c r="R11" s="112">
        <f>IFERROR(INDEX(TableWRCalcPts[BYE],MATCH(TableWRVORP[[#This Row],[RK]],TableWRCalcPts[RK],0)),"")</f>
        <v>9</v>
      </c>
      <c r="S11" s="113">
        <f>IFERROR(INDEX(TableWRCalcPts[Custom],MATCH(TableWRVORP[[#This Row],[RK]],TableWRCalcPts[RK],0)),"")</f>
        <v>209.84308981574395</v>
      </c>
      <c r="T11" s="114">
        <f>IFERROR((TableWRVORP[[#This Row],[FPS]]-INDEX(TableWRVORP[FPS],MATCH(WRVORPCalc,TableWRVORP[RK],0)))/INDEX(TableWRVORP[FPS],MATCH(WRVORPCalc,TableWRVORP[RK],0)),"")</f>
        <v>0.45318013843398519</v>
      </c>
      <c r="V11">
        <v>10</v>
      </c>
      <c r="W11" s="112" t="str">
        <f>IFERROR(INDEX(TableTECalcPts[PLAYER],MATCH(TableTEVORP[[#This Row],[RK]],TableTECalcPts[RK],0)),"")</f>
        <v>Evan Engram</v>
      </c>
      <c r="X11" s="112" t="str">
        <f>IFERROR(INDEX(TableTECalcPts[TM],MATCH(TableTEVORP[[#This Row],[RK]],TableTECalcPts[RK],0)),"")</f>
        <v>JAX</v>
      </c>
      <c r="Y11" s="112">
        <f>IFERROR(INDEX(TableTECalcPts[BYE],MATCH(TableTEVORP[[#This Row],[RK]],TableTECalcPts[RK],0)),"")</f>
        <v>9</v>
      </c>
      <c r="Z11" s="113">
        <f>IFERROR(INDEX(TableTECalcPts[Custom],MATCH(TableTEVORP[[#This Row],[RK]],TableTECalcPts[RK],0)),"")</f>
        <v>142.99224053587196</v>
      </c>
      <c r="AA11" s="114">
        <f>IFERROR((TableTEVORP[[#This Row],[FPS]]-INDEX(TableTEVORP[FPS],MATCH(TEVORPCalc,TableTEVORP[RK],0)))/INDEX(TableTEVORP[FPS],MATCH(TEVORPCalc,TableTEVORP[RK],0)),"")</f>
        <v>8.8696812182172735E-2</v>
      </c>
      <c r="AF11" t="s">
        <v>9</v>
      </c>
      <c r="AG11">
        <v>10</v>
      </c>
      <c r="AH11" s="83">
        <f>RANK(TableOverallMaster[[#This Row],[VORP]],TableOverallMaster[VORP])+COUNTIF($AM$2:AM11,AM11)-1</f>
        <v>69</v>
      </c>
      <c r="AI11" s="115" t="str">
        <f>IFERROR(INDEX(TableQBVORP[QUARTERBACK],MATCH(TableOverallMaster[[#This Row],[RK]],TableQBVORP[RK],0)),"")</f>
        <v>Jordan Love</v>
      </c>
      <c r="AJ11" s="115" t="str">
        <f t="shared" si="0"/>
        <v>QB10</v>
      </c>
      <c r="AK11" s="115">
        <f>IFERROR(INDEX(TableQBVORP[BYE],MATCH(TableOverallMaster[[#This Row],[RK]],TableQBVORP[RK],0)),"")</f>
        <v>6</v>
      </c>
      <c r="AL11" s="116">
        <f>IFERROR(INDEX(TableQBVORP[FPS],MATCH(TableOverallMaster[[#This Row],[RK]],TableQBVORP[RK],0)),"")</f>
        <v>326.93467879072</v>
      </c>
      <c r="AM11" s="117">
        <f>IFERROR(INDEX(TableQBVORP[VORP],MATCH(TableOverallMaster[[#This Row],[RK]],TableQBVORP[RK],0)),"")</f>
        <v>0.28737818090692835</v>
      </c>
      <c r="AO11">
        <v>10</v>
      </c>
      <c r="AP11" s="118" t="str">
        <f>IFERROR(INDEX(TableOverallMaster[OVERALL PLAYER],MATCH(TableOverallRank[[#This Row],[RK]],TableOverallMaster[OVR RK],0)),"")</f>
        <v>Isiah Pacheco</v>
      </c>
      <c r="AQ11" s="119" t="str">
        <f>IFERROR(INDEX(TableOverallMaster[POS RK],MATCH(TableOverallRank[[#This Row],[OVERALL PLAYER]],TableOverallMaster[OVERALL PLAYER],0)),"")</f>
        <v>RB10</v>
      </c>
      <c r="AR11" s="120">
        <f>IFERROR(INDEX(TableOverallMaster[BYE],MATCH(TableOverallRank[[#This Row],[OVERALL PLAYER]],TableOverallMaster[OVERALL PLAYER],0)),"")</f>
        <v>10</v>
      </c>
      <c r="AS11" s="119">
        <f>IFERROR(INDEX(TableOverallMaster[Custom],MATCH(TableOverallRank[[#This Row],[OVERALL PLAYER]],TableOverallMaster[OVERALL PLAYER],0)),"")</f>
        <v>217.17277173760002</v>
      </c>
      <c r="AT11" s="121">
        <f>IFERROR(INDEX(TableOverallMaster[VORP],MATCH(TableOverallRank[[#This Row],[OVERALL PLAYER]],TableOverallMaster[OVERALL PLAYER],0)),"")</f>
        <v>0.92668979573907062</v>
      </c>
      <c r="AV11">
        <v>10</v>
      </c>
      <c r="AW11" s="122" t="str">
        <f>IFERROR(INDEX(TableWRTECalcPts[PLAYER],MATCH(TableWRTERank[[#This Row],[RK]],TableWRTECalcPts[RK],0)),"")</f>
        <v>Brandon Aiyuk</v>
      </c>
      <c r="AX11" s="122" t="str">
        <f>IFERROR(INDEX(TableWRTECalcPts[POS RK],MATCH(TableWRTERank[[#This Row],[WR and TE COMBINED]],TableWRTECalcPts[PLAYER],0)),"")</f>
        <v>WR10</v>
      </c>
      <c r="AY11" s="122">
        <f>IFERROR(INDEX(TableWRTECalcPts[BYE],MATCH(TableWRTERank[[#This Row],[RK]],TableWRTECalcPts[RK],0)),"")</f>
        <v>9</v>
      </c>
      <c r="AZ11" s="123">
        <f>IFERROR(INDEX(TableWRTECalcPts[Custom],MATCH(TableWRTERank[[#This Row],[RK]],TableWRTECalcPts[RK],0)),"")</f>
        <v>209.84308981574395</v>
      </c>
      <c r="BA11" s="174">
        <f>IFERROR((TableWRTERank[[#This Row],[FPS]]-INDEX(TableWRTERank[FPS],MATCH(WRTEVORPCalc,TableWRTERank[RK],0)))/INDEX(TableWRTERank[FPS],MATCH(WRTEVORPCalc,TableWRTERank[RK],0)),"")</f>
        <v>0.40564954028691536</v>
      </c>
      <c r="BC11" t="s">
        <v>223</v>
      </c>
      <c r="BD11">
        <v>10</v>
      </c>
      <c r="BE11" s="83">
        <f>RANK(TableWRTEMaster[[#This Row],[VORP]],TableWRTEMaster[VORP])+COUNTIF($BJ$2:BJ11,BJ11)-1</f>
        <v>10</v>
      </c>
      <c r="BF11" s="115" t="str">
        <f>IFERROR(INDEX(TableWRVORP[WIDE RECEIVER],MATCH(TableWRTEMaster[[#This Row],[RK]],TableWRVORP[RK],0)),"")</f>
        <v>Brandon Aiyuk</v>
      </c>
      <c r="BG11" s="115" t="str">
        <f>_xlfn.CONCAT(TableWRTEMaster[[#This Row],[POS]],TableWRTEMaster[[#This Row],[RK]])</f>
        <v>WR10</v>
      </c>
      <c r="BH11" s="115">
        <f>IFERROR(INDEX(TableWRVORP[BYE],MATCH(TableWRTEMaster[[#This Row],[RK]],TableWRVORP[RK],0)),"")</f>
        <v>9</v>
      </c>
      <c r="BI11" s="116">
        <f>IFERROR(INDEX(TableWRVORP[FPS],MATCH(TableWRTEMaster[[#This Row],[RK]],TableWRVORP[RK],0)),"")</f>
        <v>209.84308981574395</v>
      </c>
      <c r="BJ11" s="117">
        <f>IFERROR(INDEX(TableWRVORP[VORP],MATCH(TableWRTEMaster[[#This Row],[RK]],TableWRVORP[RK],0)),"")</f>
        <v>0.45318013843398519</v>
      </c>
    </row>
    <row r="12" spans="1:66" x14ac:dyDescent="0.2">
      <c r="A12">
        <v>11</v>
      </c>
      <c r="B12" s="112" t="str">
        <f>IFERROR(INDEX(TableQBCalcPts[PLAYER],MATCH(TableQBVORP[[#This Row],[RK]],TableQBCalcPts[RK],0)),"")</f>
        <v>Caleb Williams</v>
      </c>
      <c r="C12" s="112" t="str">
        <f>IFERROR(INDEX(TableQBCalcPts[TM],MATCH(TableQBVORP[[#This Row],[RK]],TableQBCalcPts[RK],0)),"")</f>
        <v>CHI</v>
      </c>
      <c r="D12" s="112">
        <f>IFERROR(INDEX(TableQBCalcPts[BYE],MATCH(TableQBVORP[[#This Row],[RK]],TableQBCalcPts[RK],0)),"")</f>
        <v>13</v>
      </c>
      <c r="E12" s="113">
        <f>IFERROR(INDEX(TableQBCalcPts[Custom],MATCH(TableQBVORP[[#This Row],[RK]],TableQBCalcPts[RK],0)),"")</f>
        <v>318.25078148102403</v>
      </c>
      <c r="F12" s="114">
        <f>(IFERROR((TableQBVORP[[#This Row],[FPS]]-INDEX(TableQBVORP[FPS],MATCH(QBVORPCalc,TableQBVORP[RK],0)))/INDEX(TableQBVORP[FPS],MATCH(QBVORPCalc,TableQBVORP[RK],0)),""))+(TableRBVORP[[#This Row],[VORP]]*0.45)</f>
        <v>0.23232727339687956</v>
      </c>
      <c r="H12">
        <v>11</v>
      </c>
      <c r="I12" s="112" t="str">
        <f>IFERROR(INDEX(TableRBCalcPts[PLAYER],MATCH(TableRBVORP[[#This Row],[RK]],TableRBCalcPts[RK],0)),"")</f>
        <v>De'Von Achane</v>
      </c>
      <c r="J12" s="112" t="str">
        <f>IFERROR(INDEX(TableRBCalcPts[TM],MATCH(TableRBVORP[[#This Row],[RK]],TableRBCalcPts[RK],0)),"")</f>
        <v>MIA</v>
      </c>
      <c r="K12" s="112">
        <f>IFERROR(INDEX(TableRBCalcPts[BYE],MATCH(TableRBVORP[[#This Row],[RK]],TableRBCalcPts[RK],0)),"")</f>
        <v>10</v>
      </c>
      <c r="L12" s="113">
        <f>IFERROR(INDEX(TableRBCalcPts[Custom],MATCH(TableRBVORP[[#This Row],[RK]],TableRBCalcPts[RK],0)),"")</f>
        <v>209.1741526616</v>
      </c>
      <c r="M12" s="114">
        <f>IFERROR((TableRBVORP[[#This Row],[FPS]]-INDEX(TableRBVORP[FPS],MATCH(RBVORPCalc,TableRBVORP[RK],0)))/INDEX(TableRBVORP[FPS],MATCH(RBVORPCalc,TableRBVORP[RK],0)),"")</f>
        <v>0.85572851624518753</v>
      </c>
      <c r="O12">
        <v>11</v>
      </c>
      <c r="P12" s="112" t="str">
        <f>IFERROR(INDEX(TableWRCalcPts[PLAYER],MATCH(TableWRVORP[[#This Row],[RK]],TableWRCalcPts[RK],0)),"")</f>
        <v>Nico Collins</v>
      </c>
      <c r="Q12" s="112" t="str">
        <f>IFERROR(INDEX(TableWRCalcPts[TM],MATCH(TableWRVORP[[#This Row],[RK]],TableWRCalcPts[RK],0)),"")</f>
        <v>HOU</v>
      </c>
      <c r="R12" s="112">
        <f>IFERROR(INDEX(TableWRCalcPts[BYE],MATCH(TableWRVORP[[#This Row],[RK]],TableWRCalcPts[RK],0)),"")</f>
        <v>7</v>
      </c>
      <c r="S12" s="113">
        <f>IFERROR(INDEX(TableWRCalcPts[Custom],MATCH(TableWRVORP[[#This Row],[RK]],TableWRCalcPts[RK],0)),"")</f>
        <v>205.18742284185601</v>
      </c>
      <c r="T12" s="114">
        <f>IFERROR((TableWRVORP[[#This Row],[FPS]]-INDEX(TableWRVORP[FPS],MATCH(WRVORPCalc,TableWRVORP[RK],0)))/INDEX(TableWRVORP[FPS],MATCH(WRVORPCalc,TableWRVORP[RK],0)),"")</f>
        <v>0.42093927320674518</v>
      </c>
      <c r="V12">
        <v>11</v>
      </c>
      <c r="W12" s="112" t="str">
        <f>IFERROR(INDEX(TableTECalcPts[PLAYER],MATCH(TableTEVORP[[#This Row],[RK]],TableTECalcPts[RK],0)),"")</f>
        <v>Dallas Goedert</v>
      </c>
      <c r="X12" s="112" t="str">
        <f>IFERROR(INDEX(TableTECalcPts[TM],MATCH(TableTEVORP[[#This Row],[RK]],TableTECalcPts[RK],0)),"")</f>
        <v>PHI</v>
      </c>
      <c r="Y12" s="112">
        <f>IFERROR(INDEX(TableTECalcPts[BYE],MATCH(TableTEVORP[[#This Row],[RK]],TableTECalcPts[RK],0)),"")</f>
        <v>10</v>
      </c>
      <c r="Z12" s="113">
        <f>IFERROR(INDEX(TableTECalcPts[Custom],MATCH(TableTEVORP[[#This Row],[RK]],TableTECalcPts[RK],0)),"")</f>
        <v>131.42193465491999</v>
      </c>
      <c r="AA12" s="114">
        <f>IFERROR((TableTEVORP[[#This Row],[FPS]]-INDEX(TableTEVORP[FPS],MATCH(TEVORPCalc,TableTEVORP[RK],0)))/INDEX(TableTEVORP[FPS],MATCH(TEVORPCalc,TableTEVORP[RK],0)),"")</f>
        <v>6.0423400199521805E-4</v>
      </c>
      <c r="AF12" t="s">
        <v>9</v>
      </c>
      <c r="AG12">
        <v>11</v>
      </c>
      <c r="AH12" s="83">
        <f>RANK(TableOverallMaster[[#This Row],[VORP]],TableOverallMaster[VORP])+COUNTIF($AM$2:AM12,AM12)-1</f>
        <v>83</v>
      </c>
      <c r="AI12" s="115" t="str">
        <f>IFERROR(INDEX(TableQBVORP[QUARTERBACK],MATCH(TableOverallMaster[[#This Row],[RK]],TableQBVORP[RK],0)),"")</f>
        <v>Caleb Williams</v>
      </c>
      <c r="AJ12" s="115" t="str">
        <f t="shared" si="0"/>
        <v>QB11</v>
      </c>
      <c r="AK12" s="115">
        <f>IFERROR(INDEX(TableQBVORP[BYE],MATCH(TableOverallMaster[[#This Row],[RK]],TableQBVORP[RK],0)),"")</f>
        <v>13</v>
      </c>
      <c r="AL12" s="116">
        <f>IFERROR(INDEX(TableQBVORP[FPS],MATCH(TableOverallMaster[[#This Row],[RK]],TableQBVORP[RK],0)),"")</f>
        <v>318.25078148102403</v>
      </c>
      <c r="AM12" s="117">
        <f>IFERROR(INDEX(TableQBVORP[VORP],MATCH(TableOverallMaster[[#This Row],[RK]],TableQBVORP[RK],0)),"")</f>
        <v>0.23232727339687956</v>
      </c>
      <c r="AO12">
        <v>11</v>
      </c>
      <c r="AP12" s="118" t="str">
        <f>IFERROR(INDEX(TableOverallMaster[OVERALL PLAYER],MATCH(TableOverallRank[[#This Row],[RK]],TableOverallMaster[OVR RK],0)),"")</f>
        <v>Tyreek Hill</v>
      </c>
      <c r="AQ12" s="119" t="str">
        <f>IFERROR(INDEX(TableOverallMaster[POS RK],MATCH(TableOverallRank[[#This Row],[OVERALL PLAYER]],TableOverallMaster[OVERALL PLAYER],0)),"")</f>
        <v>WR1</v>
      </c>
      <c r="AR12" s="120">
        <f>IFERROR(INDEX(TableOverallMaster[BYE],MATCH(TableOverallRank[[#This Row],[OVERALL PLAYER]],TableOverallMaster[OVERALL PLAYER],0)),"")</f>
        <v>10</v>
      </c>
      <c r="AS12" s="119">
        <f>IFERROR(INDEX(TableOverallMaster[Custom],MATCH(TableOverallRank[[#This Row],[OVERALL PLAYER]],TableOverallMaster[OVERALL PLAYER],0)),"")</f>
        <v>276.05461827121923</v>
      </c>
      <c r="AT12" s="121">
        <f>IFERROR(INDEX(TableOverallMaster[VORP],MATCH(TableOverallRank[[#This Row],[OVERALL PLAYER]],TableOverallMaster[OVERALL PLAYER],0)),"")</f>
        <v>0.91170025540013555</v>
      </c>
      <c r="AV12">
        <v>11</v>
      </c>
      <c r="AW12" s="122" t="str">
        <f>IFERROR(INDEX(TableWRTECalcPts[PLAYER],MATCH(TableWRTERank[[#This Row],[RK]],TableWRTECalcPts[RK],0)),"")</f>
        <v>Nico Collins</v>
      </c>
      <c r="AX12" s="122" t="str">
        <f>IFERROR(INDEX(TableWRTECalcPts[POS RK],MATCH(TableWRTERank[[#This Row],[WR and TE COMBINED]],TableWRTECalcPts[PLAYER],0)),"")</f>
        <v>WR11</v>
      </c>
      <c r="AY12" s="122">
        <f>IFERROR(INDEX(TableWRTECalcPts[BYE],MATCH(TableWRTERank[[#This Row],[RK]],TableWRTECalcPts[RK],0)),"")</f>
        <v>7</v>
      </c>
      <c r="AZ12" s="123">
        <f>IFERROR(INDEX(TableWRTECalcPts[Custom],MATCH(TableWRTERank[[#This Row],[RK]],TableWRTECalcPts[RK],0)),"")</f>
        <v>205.18742284185601</v>
      </c>
      <c r="BA12" s="174">
        <f>IFERROR((TableWRTERank[[#This Row],[FPS]]-INDEX(TableWRTERank[FPS],MATCH(WRTEVORPCalc,TableWRTERank[RK],0)))/INDEX(TableWRTERank[FPS],MATCH(WRTEVORPCalc,TableWRTERank[RK],0)),"")</f>
        <v>0.37446320888414752</v>
      </c>
      <c r="BC12" t="s">
        <v>223</v>
      </c>
      <c r="BD12">
        <v>11</v>
      </c>
      <c r="BE12" s="83">
        <f>RANK(TableWRTEMaster[[#This Row],[VORP]],TableWRTEMaster[VORP])+COUNTIF($BJ$2:BJ12,BJ12)-1</f>
        <v>12</v>
      </c>
      <c r="BF12" s="115" t="str">
        <f>IFERROR(INDEX(TableWRVORP[WIDE RECEIVER],MATCH(TableWRTEMaster[[#This Row],[RK]],TableWRVORP[RK],0)),"")</f>
        <v>Nico Collins</v>
      </c>
      <c r="BG12" s="115" t="str">
        <f>_xlfn.CONCAT(TableWRTEMaster[[#This Row],[POS]],TableWRTEMaster[[#This Row],[RK]])</f>
        <v>WR11</v>
      </c>
      <c r="BH12" s="115">
        <f>IFERROR(INDEX(TableWRVORP[BYE],MATCH(TableWRTEMaster[[#This Row],[RK]],TableWRVORP[RK],0)),"")</f>
        <v>7</v>
      </c>
      <c r="BI12" s="116">
        <f>IFERROR(INDEX(TableWRVORP[FPS],MATCH(TableWRTEMaster[[#This Row],[RK]],TableWRVORP[RK],0)),"")</f>
        <v>205.18742284185601</v>
      </c>
      <c r="BJ12" s="117">
        <f>IFERROR(INDEX(TableWRVORP[VORP],MATCH(TableWRTEMaster[[#This Row],[RK]],TableWRVORP[RK],0)),"")</f>
        <v>0.42093927320674518</v>
      </c>
    </row>
    <row r="13" spans="1:66" x14ac:dyDescent="0.2">
      <c r="A13">
        <v>12</v>
      </c>
      <c r="B13" s="112" t="str">
        <f>IFERROR(INDEX(TableQBCalcPts[PLAYER],MATCH(TableQBVORP[[#This Row],[RK]],TableQBCalcPts[RK],0)),"")</f>
        <v>Kyler Murray</v>
      </c>
      <c r="C13" s="112" t="str">
        <f>IFERROR(INDEX(TableQBCalcPts[TM],MATCH(TableQBVORP[[#This Row],[RK]],TableQBCalcPts[RK],0)),"")</f>
        <v>ARI</v>
      </c>
      <c r="D13" s="112">
        <f>IFERROR(INDEX(TableQBCalcPts[BYE],MATCH(TableQBVORP[[#This Row],[RK]],TableQBCalcPts[RK],0)),"")</f>
        <v>14</v>
      </c>
      <c r="E13" s="113">
        <f>IFERROR(INDEX(TableQBCalcPts[Custom],MATCH(TableQBVORP[[#This Row],[RK]],TableQBCalcPts[RK],0)),"")</f>
        <v>313.96453693650005</v>
      </c>
      <c r="F13" s="114">
        <f>(IFERROR((TableQBVORP[[#This Row],[FPS]]-INDEX(TableQBVORP[FPS],MATCH(QBVORPCalc,TableQBVORP[RK],0)))/INDEX(TableQBVORP[FPS],MATCH(QBVORPCalc,TableQBVORP[RK],0)),""))+(TableRBVORP[[#This Row],[VORP]]*0.45)</f>
        <v>0.22059991727895947</v>
      </c>
      <c r="H13">
        <v>12</v>
      </c>
      <c r="I13" s="112" t="str">
        <f>IFERROR(INDEX(TableRBCalcPts[PLAYER],MATCH(TableRBVORP[[#This Row],[RK]],TableRBCalcPts[RK],0)),"")</f>
        <v>Aaron Jones</v>
      </c>
      <c r="J13" s="112" t="str">
        <f>IFERROR(INDEX(TableRBCalcPts[TM],MATCH(TableRBVORP[[#This Row],[RK]],TableRBCalcPts[RK],0)),"")</f>
        <v>MIN</v>
      </c>
      <c r="K13" s="112">
        <f>IFERROR(INDEX(TableRBCalcPts[BYE],MATCH(TableRBVORP[[#This Row],[RK]],TableRBCalcPts[RK],0)),"")</f>
        <v>13</v>
      </c>
      <c r="L13" s="113">
        <f>IFERROR(INDEX(TableRBCalcPts[Custom],MATCH(TableRBVORP[[#This Row],[RK]],TableRBCalcPts[RK],0)),"")</f>
        <v>209.09487775680006</v>
      </c>
      <c r="M13" s="114">
        <f>IFERROR((TableRBVORP[[#This Row],[FPS]]-INDEX(TableRBVORP[FPS],MATCH(RBVORPCalc,TableRBVORP[RK],0)))/INDEX(TableRBVORP[FPS],MATCH(RBVORPCalc,TableRBVORP[RK],0)),"")</f>
        <v>0.85502521375973239</v>
      </c>
      <c r="O13">
        <v>12</v>
      </c>
      <c r="P13" s="112" t="str">
        <f>IFERROR(INDEX(TableWRCalcPts[PLAYER],MATCH(TableWRVORP[[#This Row],[RK]],TableWRCalcPts[RK],0)),"")</f>
        <v>Marvin Harrison</v>
      </c>
      <c r="Q13" s="112" t="str">
        <f>IFERROR(INDEX(TableWRCalcPts[TM],MATCH(TableWRVORP[[#This Row],[RK]],TableWRCalcPts[RK],0)),"")</f>
        <v>ARI</v>
      </c>
      <c r="R13" s="112">
        <f>IFERROR(INDEX(TableWRCalcPts[BYE],MATCH(TableWRVORP[[#This Row],[RK]],TableWRCalcPts[RK],0)),"")</f>
        <v>14</v>
      </c>
      <c r="S13" s="113">
        <f>IFERROR(INDEX(TableWRCalcPts[Custom],MATCH(TableWRVORP[[#This Row],[RK]],TableWRCalcPts[RK],0)),"")</f>
        <v>204.83187286464002</v>
      </c>
      <c r="T13" s="114">
        <f>IFERROR((TableWRVORP[[#This Row],[FPS]]-INDEX(TableWRVORP[FPS],MATCH(WRVORPCalc,TableWRVORP[RK],0)))/INDEX(TableWRVORP[FPS],MATCH(WRVORPCalc,TableWRVORP[RK],0)),"")</f>
        <v>0.4184770612484453</v>
      </c>
      <c r="V13">
        <v>12</v>
      </c>
      <c r="W13" s="112" t="str">
        <f>IFERROR(INDEX(TableTECalcPts[PLAYER],MATCH(TableTEVORP[[#This Row],[RK]],TableTECalcPts[RK],0)),"")</f>
        <v>Brock Bowers</v>
      </c>
      <c r="X13" s="112" t="str">
        <f>IFERROR(INDEX(TableTECalcPts[TM],MATCH(TableTEVORP[[#This Row],[RK]],TableTECalcPts[RK],0)),"")</f>
        <v>LV</v>
      </c>
      <c r="Y13" s="112">
        <f>IFERROR(INDEX(TableTECalcPts[BYE],MATCH(TableTEVORP[[#This Row],[RK]],TableTECalcPts[RK],0)),"")</f>
        <v>13</v>
      </c>
      <c r="Z13" s="113">
        <f>IFERROR(INDEX(TableTECalcPts[Custom],MATCH(TableTEVORP[[#This Row],[RK]],TableTECalcPts[RK],0)),"")</f>
        <v>131.34257300639999</v>
      </c>
      <c r="AA13" s="114">
        <f>IFERROR((TableTEVORP[[#This Row],[FPS]]-INDEX(TableTEVORP[FPS],MATCH(TEVORPCalc,TableTEVORP[RK],0)))/INDEX(TableTEVORP[FPS],MATCH(TEVORPCalc,TableTEVORP[RK],0)),"")</f>
        <v>0</v>
      </c>
      <c r="AF13" t="s">
        <v>9</v>
      </c>
      <c r="AG13">
        <v>12</v>
      </c>
      <c r="AH13" s="83">
        <f>RANK(TableOverallMaster[[#This Row],[VORP]],TableOverallMaster[VORP])+COUNTIF($AM$2:AM13,AM13)-1</f>
        <v>87</v>
      </c>
      <c r="AI13" s="115" t="str">
        <f>IFERROR(INDEX(TableQBVORP[QUARTERBACK],MATCH(TableOverallMaster[[#This Row],[RK]],TableQBVORP[RK],0)),"")</f>
        <v>Kyler Murray</v>
      </c>
      <c r="AJ13" s="115" t="str">
        <f t="shared" si="0"/>
        <v>QB12</v>
      </c>
      <c r="AK13" s="115">
        <f>IFERROR(INDEX(TableQBVORP[BYE],MATCH(TableOverallMaster[[#This Row],[RK]],TableQBVORP[RK],0)),"")</f>
        <v>14</v>
      </c>
      <c r="AL13" s="116">
        <f>IFERROR(INDEX(TableQBVORP[FPS],MATCH(TableOverallMaster[[#This Row],[RK]],TableQBVORP[RK],0)),"")</f>
        <v>313.96453693650005</v>
      </c>
      <c r="AM13" s="117">
        <f>IFERROR(INDEX(TableQBVORP[VORP],MATCH(TableOverallMaster[[#This Row],[RK]],TableQBVORP[RK],0)),"")</f>
        <v>0.22059991727895947</v>
      </c>
      <c r="AO13">
        <v>12</v>
      </c>
      <c r="AP13" s="118" t="str">
        <f>IFERROR(INDEX(TableOverallMaster[OVERALL PLAYER],MATCH(TableOverallRank[[#This Row],[RK]],TableOverallMaster[OVR RK],0)),"")</f>
        <v>De'Von Achane</v>
      </c>
      <c r="AQ13" s="119" t="str">
        <f>IFERROR(INDEX(TableOverallMaster[POS RK],MATCH(TableOverallRank[[#This Row],[OVERALL PLAYER]],TableOverallMaster[OVERALL PLAYER],0)),"")</f>
        <v>RB11</v>
      </c>
      <c r="AR13" s="120">
        <f>IFERROR(INDEX(TableOverallMaster[BYE],MATCH(TableOverallRank[[#This Row],[OVERALL PLAYER]],TableOverallMaster[OVERALL PLAYER],0)),"")</f>
        <v>10</v>
      </c>
      <c r="AS13" s="119">
        <f>IFERROR(INDEX(TableOverallMaster[Custom],MATCH(TableOverallRank[[#This Row],[OVERALL PLAYER]],TableOverallMaster[OVERALL PLAYER],0)),"")</f>
        <v>209.1741526616</v>
      </c>
      <c r="AT13" s="121">
        <f>IFERROR(INDEX(TableOverallMaster[VORP],MATCH(TableOverallRank[[#This Row],[OVERALL PLAYER]],TableOverallMaster[OVERALL PLAYER],0)),"")</f>
        <v>0.85572851624518753</v>
      </c>
      <c r="AV13">
        <v>12</v>
      </c>
      <c r="AW13" s="122" t="str">
        <f>IFERROR(INDEX(TableWRTECalcPts[PLAYER],MATCH(TableWRTERank[[#This Row],[RK]],TableWRTECalcPts[RK],0)),"")</f>
        <v>Marvin Harrison</v>
      </c>
      <c r="AX13" s="122" t="str">
        <f>IFERROR(INDEX(TableWRTECalcPts[POS RK],MATCH(TableWRTERank[[#This Row],[WR and TE COMBINED]],TableWRTECalcPts[PLAYER],0)),"")</f>
        <v>WR12</v>
      </c>
      <c r="AY13" s="122">
        <f>IFERROR(INDEX(TableWRTECalcPts[BYE],MATCH(TableWRTERank[[#This Row],[RK]],TableWRTECalcPts[RK],0)),"")</f>
        <v>14</v>
      </c>
      <c r="AZ13" s="123">
        <f>IFERROR(INDEX(TableWRTECalcPts[Custom],MATCH(TableWRTERank[[#This Row],[RK]],TableWRTECalcPts[RK],0)),"")</f>
        <v>204.83187286464002</v>
      </c>
      <c r="BA13" s="174">
        <f>IFERROR((TableWRTERank[[#This Row],[FPS]]-INDEX(TableWRTERank[FPS],MATCH(WRTEVORPCalc,TableWRTERank[RK],0)))/INDEX(TableWRTERank[FPS],MATCH(WRTEVORPCalc,TableWRTERank[RK],0)),"")</f>
        <v>0.37208153092438473</v>
      </c>
      <c r="BC13" t="s">
        <v>223</v>
      </c>
      <c r="BD13">
        <v>12</v>
      </c>
      <c r="BE13" s="83">
        <f>RANK(TableWRTEMaster[[#This Row],[VORP]],TableWRTEMaster[VORP])+COUNTIF($BJ$2:BJ13,BJ13)-1</f>
        <v>13</v>
      </c>
      <c r="BF13" s="115" t="str">
        <f>IFERROR(INDEX(TableWRVORP[WIDE RECEIVER],MATCH(TableWRTEMaster[[#This Row],[RK]],TableWRVORP[RK],0)),"")</f>
        <v>Marvin Harrison</v>
      </c>
      <c r="BG13" s="115" t="str">
        <f>_xlfn.CONCAT(TableWRTEMaster[[#This Row],[POS]],TableWRTEMaster[[#This Row],[RK]])</f>
        <v>WR12</v>
      </c>
      <c r="BH13" s="115">
        <f>IFERROR(INDEX(TableWRVORP[BYE],MATCH(TableWRTEMaster[[#This Row],[RK]],TableWRVORP[RK],0)),"")</f>
        <v>14</v>
      </c>
      <c r="BI13" s="116">
        <f>IFERROR(INDEX(TableWRVORP[FPS],MATCH(TableWRTEMaster[[#This Row],[RK]],TableWRVORP[RK],0)),"")</f>
        <v>204.83187286464002</v>
      </c>
      <c r="BJ13" s="117">
        <f>IFERROR(INDEX(TableWRVORP[VORP],MATCH(TableWRTEMaster[[#This Row],[RK]],TableWRVORP[RK],0)),"")</f>
        <v>0.4184770612484453</v>
      </c>
    </row>
    <row r="14" spans="1:66" x14ac:dyDescent="0.2">
      <c r="A14">
        <v>13</v>
      </c>
      <c r="B14" s="112" t="str">
        <f>IFERROR(INDEX(TableQBCalcPts[PLAYER],MATCH(TableQBVORP[[#This Row],[RK]],TableQBCalcPts[RK],0)),"")</f>
        <v>Brock Purdy</v>
      </c>
      <c r="C14" s="112" t="str">
        <f>IFERROR(INDEX(TableQBCalcPts[TM],MATCH(TableQBVORP[[#This Row],[RK]],TableQBCalcPts[RK],0)),"")</f>
        <v>SF</v>
      </c>
      <c r="D14" s="112">
        <f>IFERROR(INDEX(TableQBCalcPts[BYE],MATCH(TableQBVORP[[#This Row],[RK]],TableQBCalcPts[RK],0)),"")</f>
        <v>9</v>
      </c>
      <c r="E14" s="113">
        <f>IFERROR(INDEX(TableQBCalcPts[Custom],MATCH(TableQBVORP[[#This Row],[RK]],TableQBCalcPts[RK],0)),"")</f>
        <v>311.34483384782396</v>
      </c>
      <c r="F14" s="114">
        <f>(IFERROR((TableQBVORP[[#This Row],[FPS]]-INDEX(TableQBVORP[FPS],MATCH(QBVORPCalc,TableQBVORP[RK],0)))/INDEX(TableQBVORP[FPS],MATCH(QBVORPCalc,TableQBVORP[RK],0)),""))+(TableRBVORP[[#This Row],[VORP]]*0.45)</f>
        <v>0.20488777112677525</v>
      </c>
      <c r="H14">
        <v>13</v>
      </c>
      <c r="I14" s="112" t="str">
        <f>IFERROR(INDEX(TableRBCalcPts[PLAYER],MATCH(TableRBVORP[[#This Row],[RK]],TableRBCalcPts[RK],0)),"")</f>
        <v>Rachaad White</v>
      </c>
      <c r="J14" s="112" t="str">
        <f>IFERROR(INDEX(TableRBCalcPts[TM],MATCH(TableRBVORP[[#This Row],[RK]],TableRBCalcPts[RK],0)),"")</f>
        <v>TB</v>
      </c>
      <c r="K14" s="112">
        <f>IFERROR(INDEX(TableRBCalcPts[BYE],MATCH(TableRBVORP[[#This Row],[RK]],TableRBCalcPts[RK],0)),"")</f>
        <v>5</v>
      </c>
      <c r="L14" s="113">
        <f>IFERROR(INDEX(TableRBCalcPts[Custom],MATCH(TableRBVORP[[#This Row],[RK]],TableRBCalcPts[RK],0)),"")</f>
        <v>206.90615457993601</v>
      </c>
      <c r="M14" s="114">
        <f>IFERROR((TableRBVORP[[#This Row],[FPS]]-INDEX(TableRBVORP[FPS],MATCH(RBVORPCalc,TableRBVORP[RK],0)))/INDEX(TableRBVORP[FPS],MATCH(RBVORPCalc,TableRBVORP[RK],0)),"")</f>
        <v>0.83560753733178339</v>
      </c>
      <c r="O14">
        <v>13</v>
      </c>
      <c r="P14" s="112" t="str">
        <f>IFERROR(INDEX(TableWRCalcPts[PLAYER],MATCH(TableWRVORP[[#This Row],[RK]],TableWRCalcPts[RK],0)),"")</f>
        <v>Jaylen Waddle</v>
      </c>
      <c r="Q14" s="112" t="str">
        <f>IFERROR(INDEX(TableWRCalcPts[TM],MATCH(TableWRVORP[[#This Row],[RK]],TableWRCalcPts[RK],0)),"")</f>
        <v>MIA</v>
      </c>
      <c r="R14" s="112">
        <f>IFERROR(INDEX(TableWRCalcPts[BYE],MATCH(TableWRVORP[[#This Row],[RK]],TableWRCalcPts[RK],0)),"")</f>
        <v>10</v>
      </c>
      <c r="S14" s="113">
        <f>IFERROR(INDEX(TableWRCalcPts[Custom],MATCH(TableWRVORP[[#This Row],[RK]],TableWRCalcPts[RK],0)),"")</f>
        <v>201.51482224375039</v>
      </c>
      <c r="T14" s="114">
        <f>IFERROR((TableWRVORP[[#This Row],[FPS]]-INDEX(TableWRVORP[FPS],MATCH(WRVORPCalc,TableWRVORP[RK],0)))/INDEX(TableWRVORP[FPS],MATCH(WRVORPCalc,TableWRVORP[RK],0)),"")</f>
        <v>0.39550622106166838</v>
      </c>
      <c r="V14">
        <v>13</v>
      </c>
      <c r="W14" s="112" t="str">
        <f>IFERROR(INDEX(TableTECalcPts[PLAYER],MATCH(TableTEVORP[[#This Row],[RK]],TableTECalcPts[RK],0)),"")</f>
        <v>T.J. Hockenson</v>
      </c>
      <c r="X14" s="112" t="str">
        <f>IFERROR(INDEX(TableTECalcPts[TM],MATCH(TableTEVORP[[#This Row],[RK]],TableTECalcPts[RK],0)),"")</f>
        <v>MIN</v>
      </c>
      <c r="Y14" s="112">
        <f>IFERROR(INDEX(TableTECalcPts[BYE],MATCH(TableTEVORP[[#This Row],[RK]],TableTECalcPts[RK],0)),"")</f>
        <v>13</v>
      </c>
      <c r="Z14" s="113">
        <f>IFERROR(INDEX(TableTECalcPts[Custom],MATCH(TableTEVORP[[#This Row],[RK]],TableTECalcPts[RK],0)),"")</f>
        <v>122.60684427264</v>
      </c>
      <c r="AA14" s="114">
        <f>IFERROR((TableTEVORP[[#This Row],[FPS]]-INDEX(TableTEVORP[FPS],MATCH(TEVORPCalc,TableTEVORP[RK],0)))/INDEX(TableTEVORP[FPS],MATCH(TEVORPCalc,TableTEVORP[RK],0)),"")</f>
        <v>-6.6511021779163057E-2</v>
      </c>
      <c r="AF14" t="s">
        <v>9</v>
      </c>
      <c r="AG14">
        <v>13</v>
      </c>
      <c r="AH14" s="83">
        <f>RANK(TableOverallMaster[[#This Row],[VORP]],TableOverallMaster[VORP])+COUNTIF($AM$2:AM14,AM14)-1</f>
        <v>90</v>
      </c>
      <c r="AI14" s="115" t="str">
        <f>IFERROR(INDEX(TableQBVORP[QUARTERBACK],MATCH(TableOverallMaster[[#This Row],[RK]],TableQBVORP[RK],0)),"")</f>
        <v>Brock Purdy</v>
      </c>
      <c r="AJ14" s="115" t="str">
        <f t="shared" si="0"/>
        <v>QB13</v>
      </c>
      <c r="AK14" s="115">
        <f>IFERROR(INDEX(TableQBVORP[BYE],MATCH(TableOverallMaster[[#This Row],[RK]],TableQBVORP[RK],0)),"")</f>
        <v>9</v>
      </c>
      <c r="AL14" s="116">
        <f>IFERROR(INDEX(TableQBVORP[FPS],MATCH(TableOverallMaster[[#This Row],[RK]],TableQBVORP[RK],0)),"")</f>
        <v>311.34483384782396</v>
      </c>
      <c r="AM14" s="117">
        <f>IFERROR(INDEX(TableQBVORP[VORP],MATCH(TableOverallMaster[[#This Row],[RK]],TableQBVORP[RK],0)),"")</f>
        <v>0.20488777112677525</v>
      </c>
      <c r="AO14">
        <v>13</v>
      </c>
      <c r="AP14" s="118" t="str">
        <f>IFERROR(INDEX(TableOverallMaster[OVERALL PLAYER],MATCH(TableOverallRank[[#This Row],[RK]],TableOverallMaster[OVR RK],0)),"")</f>
        <v>Aaron Jones</v>
      </c>
      <c r="AQ14" s="119" t="str">
        <f>IFERROR(INDEX(TableOverallMaster[POS RK],MATCH(TableOverallRank[[#This Row],[OVERALL PLAYER]],TableOverallMaster[OVERALL PLAYER],0)),"")</f>
        <v>RB12</v>
      </c>
      <c r="AR14" s="120">
        <f>IFERROR(INDEX(TableOverallMaster[BYE],MATCH(TableOverallRank[[#This Row],[OVERALL PLAYER]],TableOverallMaster[OVERALL PLAYER],0)),"")</f>
        <v>13</v>
      </c>
      <c r="AS14" s="119">
        <f>IFERROR(INDEX(TableOverallMaster[Custom],MATCH(TableOverallRank[[#This Row],[OVERALL PLAYER]],TableOverallMaster[OVERALL PLAYER],0)),"")</f>
        <v>209.09487775680006</v>
      </c>
      <c r="AT14" s="121">
        <f>IFERROR(INDEX(TableOverallMaster[VORP],MATCH(TableOverallRank[[#This Row],[OVERALL PLAYER]],TableOverallMaster[OVERALL PLAYER],0)),"")</f>
        <v>0.85502521375973239</v>
      </c>
      <c r="AV14">
        <v>13</v>
      </c>
      <c r="AW14" s="122" t="str">
        <f>IFERROR(INDEX(TableWRTECalcPts[PLAYER],MATCH(TableWRTERank[[#This Row],[RK]],TableWRTECalcPts[RK],0)),"")</f>
        <v>Jaylen Waddle</v>
      </c>
      <c r="AX14" s="122" t="str">
        <f>IFERROR(INDEX(TableWRTECalcPts[POS RK],MATCH(TableWRTERank[[#This Row],[WR and TE COMBINED]],TableWRTECalcPts[PLAYER],0)),"")</f>
        <v>WR13</v>
      </c>
      <c r="AY14" s="122">
        <f>IFERROR(INDEX(TableWRTECalcPts[BYE],MATCH(TableWRTERank[[#This Row],[RK]],TableWRTECalcPts[RK],0)),"")</f>
        <v>10</v>
      </c>
      <c r="AZ14" s="123">
        <f>IFERROR(INDEX(TableWRTECalcPts[Custom],MATCH(TableWRTERank[[#This Row],[RK]],TableWRTECalcPts[RK],0)),"")</f>
        <v>201.51482224375039</v>
      </c>
      <c r="BA14" s="174">
        <f>IFERROR((TableWRTERank[[#This Row],[FPS]]-INDEX(TableWRTERank[FPS],MATCH(WRTEVORPCalc,TableWRTERank[RK],0)))/INDEX(TableWRTERank[FPS],MATCH(WRTEVORPCalc,TableWRTERank[RK],0)),"")</f>
        <v>0.34986202069673789</v>
      </c>
      <c r="BC14" t="s">
        <v>223</v>
      </c>
      <c r="BD14">
        <v>13</v>
      </c>
      <c r="BE14" s="83">
        <f>RANK(TableWRTEMaster[[#This Row],[VORP]],TableWRTEMaster[VORP])+COUNTIF($BJ$2:BJ14,BJ14)-1</f>
        <v>15</v>
      </c>
      <c r="BF14" s="115" t="str">
        <f>IFERROR(INDEX(TableWRVORP[WIDE RECEIVER],MATCH(TableWRTEMaster[[#This Row],[RK]],TableWRVORP[RK],0)),"")</f>
        <v>Jaylen Waddle</v>
      </c>
      <c r="BG14" s="115" t="str">
        <f>_xlfn.CONCAT(TableWRTEMaster[[#This Row],[POS]],TableWRTEMaster[[#This Row],[RK]])</f>
        <v>WR13</v>
      </c>
      <c r="BH14" s="115">
        <f>IFERROR(INDEX(TableWRVORP[BYE],MATCH(TableWRTEMaster[[#This Row],[RK]],TableWRVORP[RK],0)),"")</f>
        <v>10</v>
      </c>
      <c r="BI14" s="116">
        <f>IFERROR(INDEX(TableWRVORP[FPS],MATCH(TableWRTEMaster[[#This Row],[RK]],TableWRVORP[RK],0)),"")</f>
        <v>201.51482224375039</v>
      </c>
      <c r="BJ14" s="117">
        <f>IFERROR(INDEX(TableWRVORP[VORP],MATCH(TableWRTEMaster[[#This Row],[RK]],TableWRVORP[RK],0)),"")</f>
        <v>0.39550622106166838</v>
      </c>
    </row>
    <row r="15" spans="1:66" x14ac:dyDescent="0.2">
      <c r="A15">
        <v>14</v>
      </c>
      <c r="B15" s="112" t="str">
        <f>IFERROR(INDEX(TableQBCalcPts[PLAYER],MATCH(TableQBVORP[[#This Row],[RK]],TableQBCalcPts[RK],0)),"")</f>
        <v>Trevor Lawrence</v>
      </c>
      <c r="C15" s="112" t="str">
        <f>IFERROR(INDEX(TableQBCalcPts[TM],MATCH(TableQBVORP[[#This Row],[RK]],TableQBCalcPts[RK],0)),"")</f>
        <v>JAX</v>
      </c>
      <c r="D15" s="112">
        <f>IFERROR(INDEX(TableQBCalcPts[BYE],MATCH(TableQBVORP[[#This Row],[RK]],TableQBCalcPts[RK],0)),"")</f>
        <v>9</v>
      </c>
      <c r="E15" s="113">
        <f>IFERROR(INDEX(TableQBCalcPts[Custom],MATCH(TableQBVORP[[#This Row],[RK]],TableQBCalcPts[RK],0)),"")</f>
        <v>309.60138209180002</v>
      </c>
      <c r="F15" s="114">
        <f>(IFERROR((TableQBVORP[[#This Row],[FPS]]-INDEX(TableQBVORP[FPS],MATCH(QBVORPCalc,TableQBVORP[RK],0)))/INDEX(TableQBVORP[FPS],MATCH(QBVORPCalc,TableQBVORP[RK],0)),""))+(TableRBVORP[[#This Row],[VORP]]*0.45)</f>
        <v>0.16586217617811572</v>
      </c>
      <c r="H15">
        <v>14</v>
      </c>
      <c r="I15" s="112" t="str">
        <f>IFERROR(INDEX(TableRBCalcPts[PLAYER],MATCH(TableRBVORP[[#This Row],[RK]],TableRBCalcPts[RK],0)),"")</f>
        <v>Rhamondre Stevenson</v>
      </c>
      <c r="J15" s="112" t="str">
        <f>IFERROR(INDEX(TableRBCalcPts[TM],MATCH(TableRBVORP[[#This Row],[RK]],TableRBCalcPts[RK],0)),"")</f>
        <v>NE</v>
      </c>
      <c r="K15" s="112">
        <f>IFERROR(INDEX(TableRBCalcPts[BYE],MATCH(TableRBVORP[[#This Row],[RK]],TableRBCalcPts[RK],0)),"")</f>
        <v>11</v>
      </c>
      <c r="L15" s="113">
        <f>IFERROR(INDEX(TableRBCalcPts[Custom],MATCH(TableRBVORP[[#This Row],[RK]],TableRBCalcPts[RK],0)),"")</f>
        <v>198.29344996664003</v>
      </c>
      <c r="M15" s="114">
        <f>IFERROR((TableRBVORP[[#This Row],[FPS]]-INDEX(TableRBVORP[FPS],MATCH(RBVORPCalc,TableRBVORP[RK],0)))/INDEX(TableRBVORP[FPS],MATCH(RBVORPCalc,TableRBVORP[RK],0)),"")</f>
        <v>0.75919828050191707</v>
      </c>
      <c r="O15">
        <v>14</v>
      </c>
      <c r="P15" s="112" t="str">
        <f>IFERROR(INDEX(TableWRCalcPts[PLAYER],MATCH(TableWRVORP[[#This Row],[RK]],TableWRCalcPts[RK],0)),"")</f>
        <v>Tee Higgins</v>
      </c>
      <c r="Q15" s="112" t="str">
        <f>IFERROR(INDEX(TableWRCalcPts[TM],MATCH(TableWRVORP[[#This Row],[RK]],TableWRCalcPts[RK],0)),"")</f>
        <v>CIN</v>
      </c>
      <c r="R15" s="112">
        <f>IFERROR(INDEX(TableWRCalcPts[BYE],MATCH(TableWRVORP[[#This Row],[RK]],TableWRCalcPts[RK],0)),"")</f>
        <v>7</v>
      </c>
      <c r="S15" s="113">
        <f>IFERROR(INDEX(TableWRCalcPts[Custom],MATCH(TableWRVORP[[#This Row],[RK]],TableWRCalcPts[RK],0)),"")</f>
        <v>200.92599491277602</v>
      </c>
      <c r="T15" s="114">
        <f>IFERROR((TableWRVORP[[#This Row],[FPS]]-INDEX(TableWRVORP[FPS],MATCH(WRVORPCalc,TableWRVORP[RK],0)))/INDEX(TableWRVORP[FPS],MATCH(WRVORPCalc,TableWRVORP[RK],0)),"")</f>
        <v>0.3914285448175262</v>
      </c>
      <c r="V15">
        <v>14</v>
      </c>
      <c r="W15" s="112" t="str">
        <f>IFERROR(INDEX(TableTECalcPts[PLAYER],MATCH(TableTEVORP[[#This Row],[RK]],TableTECalcPts[RK],0)),"")</f>
        <v>Cole Kmet</v>
      </c>
      <c r="X15" s="112" t="str">
        <f>IFERROR(INDEX(TableTECalcPts[TM],MATCH(TableTEVORP[[#This Row],[RK]],TableTECalcPts[RK],0)),"")</f>
        <v>CHI</v>
      </c>
      <c r="Y15" s="112">
        <f>IFERROR(INDEX(TableTECalcPts[BYE],MATCH(TableTEVORP[[#This Row],[RK]],TableTECalcPts[RK],0)),"")</f>
        <v>13</v>
      </c>
      <c r="Z15" s="113">
        <f>IFERROR(INDEX(TableTECalcPts[Custom],MATCH(TableTEVORP[[#This Row],[RK]],TableTECalcPts[RK],0)),"")</f>
        <v>113.3588619576</v>
      </c>
      <c r="AA15" s="114">
        <f>IFERROR((TableTEVORP[[#This Row],[FPS]]-INDEX(TableTEVORP[FPS],MATCH(TEVORPCalc,TableTEVORP[RK],0)))/INDEX(TableTEVORP[FPS],MATCH(TEVORPCalc,TableTEVORP[RK],0)),"")</f>
        <v>-0.13692217715213856</v>
      </c>
      <c r="AF15" t="s">
        <v>9</v>
      </c>
      <c r="AG15">
        <v>14</v>
      </c>
      <c r="AH15" s="83">
        <f>RANK(TableOverallMaster[[#This Row],[VORP]],TableOverallMaster[VORP])+COUNTIF($AM$2:AM15,AM15)-1</f>
        <v>97</v>
      </c>
      <c r="AI15" s="115" t="str">
        <f>IFERROR(INDEX(TableQBVORP[QUARTERBACK],MATCH(TableOverallMaster[[#This Row],[RK]],TableQBVORP[RK],0)),"")</f>
        <v>Trevor Lawrence</v>
      </c>
      <c r="AJ15" s="115" t="str">
        <f t="shared" si="0"/>
        <v>QB14</v>
      </c>
      <c r="AK15" s="115">
        <f>IFERROR(INDEX(TableQBVORP[BYE],MATCH(TableOverallMaster[[#This Row],[RK]],TableQBVORP[RK],0)),"")</f>
        <v>9</v>
      </c>
      <c r="AL15" s="116">
        <f>IFERROR(INDEX(TableQBVORP[FPS],MATCH(TableOverallMaster[[#This Row],[RK]],TableQBVORP[RK],0)),"")</f>
        <v>309.60138209180002</v>
      </c>
      <c r="AM15" s="117">
        <f>IFERROR(INDEX(TableQBVORP[VORP],MATCH(TableOverallMaster[[#This Row],[RK]],TableQBVORP[RK],0)),"")</f>
        <v>0.16586217617811572</v>
      </c>
      <c r="AO15">
        <v>14</v>
      </c>
      <c r="AP15" s="118" t="str">
        <f>IFERROR(INDEX(TableOverallMaster[OVERALL PLAYER],MATCH(TableOverallRank[[#This Row],[RK]],TableOverallMaster[OVR RK],0)),"")</f>
        <v>Rachaad White</v>
      </c>
      <c r="AQ15" s="119" t="str">
        <f>IFERROR(INDEX(TableOverallMaster[POS RK],MATCH(TableOverallRank[[#This Row],[OVERALL PLAYER]],TableOverallMaster[OVERALL PLAYER],0)),"")</f>
        <v>RB13</v>
      </c>
      <c r="AR15" s="120">
        <f>IFERROR(INDEX(TableOverallMaster[BYE],MATCH(TableOverallRank[[#This Row],[OVERALL PLAYER]],TableOverallMaster[OVERALL PLAYER],0)),"")</f>
        <v>5</v>
      </c>
      <c r="AS15" s="119">
        <f>IFERROR(INDEX(TableOverallMaster[Custom],MATCH(TableOverallRank[[#This Row],[OVERALL PLAYER]],TableOverallMaster[OVERALL PLAYER],0)),"")</f>
        <v>206.90615457993601</v>
      </c>
      <c r="AT15" s="121">
        <f>IFERROR(INDEX(TableOverallMaster[VORP],MATCH(TableOverallRank[[#This Row],[OVERALL PLAYER]],TableOverallMaster[OVERALL PLAYER],0)),"")</f>
        <v>0.83560753733178339</v>
      </c>
      <c r="AV15">
        <v>14</v>
      </c>
      <c r="AW15" s="122" t="str">
        <f>IFERROR(INDEX(TableWRTECalcPts[PLAYER],MATCH(TableWRTERank[[#This Row],[RK]],TableWRTECalcPts[RK],0)),"")</f>
        <v>Tee Higgins</v>
      </c>
      <c r="AX15" s="122" t="str">
        <f>IFERROR(INDEX(TableWRTECalcPts[POS RK],MATCH(TableWRTERank[[#This Row],[WR and TE COMBINED]],TableWRTECalcPts[PLAYER],0)),"")</f>
        <v>WR14</v>
      </c>
      <c r="AY15" s="122">
        <f>IFERROR(INDEX(TableWRTECalcPts[BYE],MATCH(TableWRTERank[[#This Row],[RK]],TableWRTECalcPts[RK],0)),"")</f>
        <v>7</v>
      </c>
      <c r="AZ15" s="123">
        <f>IFERROR(INDEX(TableWRTECalcPts[Custom],MATCH(TableWRTERank[[#This Row],[RK]],TableWRTECalcPts[RK],0)),"")</f>
        <v>200.92599491277602</v>
      </c>
      <c r="BA15" s="174">
        <f>IFERROR((TableWRTERank[[#This Row],[FPS]]-INDEX(TableWRTERank[FPS],MATCH(WRTEVORPCalc,TableWRTERank[RK],0)))/INDEX(TableWRTERank[FPS],MATCH(WRTEVORPCalc,TableWRTERank[RK],0)),"")</f>
        <v>0.34591771703718327</v>
      </c>
      <c r="BC15" t="s">
        <v>223</v>
      </c>
      <c r="BD15">
        <v>14</v>
      </c>
      <c r="BE15" s="83">
        <f>RANK(TableWRTEMaster[[#This Row],[VORP]],TableWRTEMaster[VORP])+COUNTIF($BJ$2:BJ15,BJ15)-1</f>
        <v>16</v>
      </c>
      <c r="BF15" s="115" t="str">
        <f>IFERROR(INDEX(TableWRVORP[WIDE RECEIVER],MATCH(TableWRTEMaster[[#This Row],[RK]],TableWRVORP[RK],0)),"")</f>
        <v>Tee Higgins</v>
      </c>
      <c r="BG15" s="115" t="str">
        <f>_xlfn.CONCAT(TableWRTEMaster[[#This Row],[POS]],TableWRTEMaster[[#This Row],[RK]])</f>
        <v>WR14</v>
      </c>
      <c r="BH15" s="115">
        <f>IFERROR(INDEX(TableWRVORP[BYE],MATCH(TableWRTEMaster[[#This Row],[RK]],TableWRVORP[RK],0)),"")</f>
        <v>7</v>
      </c>
      <c r="BI15" s="116">
        <f>IFERROR(INDEX(TableWRVORP[FPS],MATCH(TableWRTEMaster[[#This Row],[RK]],TableWRVORP[RK],0)),"")</f>
        <v>200.92599491277602</v>
      </c>
      <c r="BJ15" s="117">
        <f>IFERROR(INDEX(TableWRVORP[VORP],MATCH(TableWRTEMaster[[#This Row],[RK]],TableWRVORP[RK],0)),"")</f>
        <v>0.3914285448175262</v>
      </c>
    </row>
    <row r="16" spans="1:66" x14ac:dyDescent="0.2">
      <c r="A16">
        <v>15</v>
      </c>
      <c r="B16" s="112" t="str">
        <f>IFERROR(INDEX(TableQBCalcPts[PLAYER],MATCH(TableQBVORP[[#This Row],[RK]],TableQBCalcPts[RK],0)),"")</f>
        <v>Justin Herbert</v>
      </c>
      <c r="C16" s="112" t="str">
        <f>IFERROR(INDEX(TableQBCalcPts[TM],MATCH(TableQBVORP[[#This Row],[RK]],TableQBCalcPts[RK],0)),"")</f>
        <v>LAC</v>
      </c>
      <c r="D16" s="112">
        <f>IFERROR(INDEX(TableQBCalcPts[BYE],MATCH(TableQBVORP[[#This Row],[RK]],TableQBCalcPts[RK],0)),"")</f>
        <v>5</v>
      </c>
      <c r="E16" s="113">
        <f>IFERROR(INDEX(TableQBCalcPts[Custom],MATCH(TableQBVORP[[#This Row],[RK]],TableQBCalcPts[RK],0)),"")</f>
        <v>309.26148084574157</v>
      </c>
      <c r="F16" s="114">
        <f>(IFERROR((TableQBVORP[[#This Row],[FPS]]-INDEX(TableQBVORP[FPS],MATCH(QBVORPCalc,TableQBVORP[RK],0)))/INDEX(TableQBVORP[FPS],MATCH(QBVORPCalc,TableQBVORP[RK],0)),""))+(TableRBVORP[[#This Row],[VORP]]*0.45)</f>
        <v>0.154510434578815</v>
      </c>
      <c r="H16">
        <v>15</v>
      </c>
      <c r="I16" s="112" t="str">
        <f>IFERROR(INDEX(TableRBCalcPts[PLAYER],MATCH(TableRBVORP[[#This Row],[RK]],TableRBCalcPts[RK],0)),"")</f>
        <v>Josh Jacobs</v>
      </c>
      <c r="J16" s="112" t="str">
        <f>IFERROR(INDEX(TableRBCalcPts[TM],MATCH(TableRBVORP[[#This Row],[RK]],TableRBCalcPts[RK],0)),"")</f>
        <v>GB</v>
      </c>
      <c r="K16" s="112">
        <f>IFERROR(INDEX(TableRBCalcPts[BYE],MATCH(TableRBVORP[[#This Row],[RK]],TableRBCalcPts[RK],0)),"")</f>
        <v>6</v>
      </c>
      <c r="L16" s="113">
        <f>IFERROR(INDEX(TableRBCalcPts[Custom],MATCH(TableRBVORP[[#This Row],[RK]],TableRBCalcPts[RK],0)),"")</f>
        <v>195.67667368737602</v>
      </c>
      <c r="M16" s="114">
        <f>IFERROR((TableRBVORP[[#This Row],[FPS]]-INDEX(TableRBVORP[FPS],MATCH(RBVORPCalc,TableRBVORP[RK],0)))/INDEX(TableRBVORP[FPS],MATCH(RBVORPCalc,TableRBVORP[RK],0)),"")</f>
        <v>0.73598304907741019</v>
      </c>
      <c r="O16">
        <v>15</v>
      </c>
      <c r="P16" s="112" t="str">
        <f>IFERROR(INDEX(TableWRCalcPts[PLAYER],MATCH(TableWRVORP[[#This Row],[RK]],TableWRCalcPts[RK],0)),"")</f>
        <v>DK Metcalf</v>
      </c>
      <c r="Q16" s="112" t="str">
        <f>IFERROR(INDEX(TableWRCalcPts[TM],MATCH(TableWRVORP[[#This Row],[RK]],TableWRCalcPts[RK],0)),"")</f>
        <v>SEA</v>
      </c>
      <c r="R16" s="112">
        <f>IFERROR(INDEX(TableWRCalcPts[BYE],MATCH(TableWRVORP[[#This Row],[RK]],TableWRCalcPts[RK],0)),"")</f>
        <v>5</v>
      </c>
      <c r="S16" s="113">
        <f>IFERROR(INDEX(TableWRCalcPts[Custom],MATCH(TableWRVORP[[#This Row],[RK]],TableWRCalcPts[RK],0)),"")</f>
        <v>199.92229009247873</v>
      </c>
      <c r="T16" s="114">
        <f>IFERROR((TableWRVORP[[#This Row],[FPS]]-INDEX(TableWRVORP[FPS],MATCH(WRVORPCalc,TableWRVORP[RK],0)))/INDEX(TableWRVORP[FPS],MATCH(WRVORPCalc,TableWRVORP[RK],0)),"")</f>
        <v>0.38447780886054433</v>
      </c>
      <c r="V16">
        <v>15</v>
      </c>
      <c r="W16" s="112" t="str">
        <f>IFERROR(INDEX(TableTECalcPts[PLAYER],MATCH(TableTEVORP[[#This Row],[RK]],TableTECalcPts[RK],0)),"")</f>
        <v>Pat Freiermuth</v>
      </c>
      <c r="X16" s="112" t="str">
        <f>IFERROR(INDEX(TableTECalcPts[TM],MATCH(TableTEVORP[[#This Row],[RK]],TableTECalcPts[RK],0)),"")</f>
        <v>PIT</v>
      </c>
      <c r="Y16" s="112">
        <f>IFERROR(INDEX(TableTECalcPts[BYE],MATCH(TableTEVORP[[#This Row],[RK]],TableTECalcPts[RK],0)),"")</f>
        <v>6</v>
      </c>
      <c r="Z16" s="113">
        <f>IFERROR(INDEX(TableTECalcPts[Custom],MATCH(TableTEVORP[[#This Row],[RK]],TableTECalcPts[RK],0)),"")</f>
        <v>111.11222832065999</v>
      </c>
      <c r="AA16" s="114">
        <f>IFERROR((TableTEVORP[[#This Row],[FPS]]-INDEX(TableTEVORP[FPS],MATCH(TEVORPCalc,TableTEVORP[RK],0)))/INDEX(TableTEVORP[FPS],MATCH(TEVORPCalc,TableTEVORP[RK],0)),"")</f>
        <v>-0.15402732124605339</v>
      </c>
      <c r="AF16" t="s">
        <v>9</v>
      </c>
      <c r="AG16">
        <v>15</v>
      </c>
      <c r="AH16" s="83">
        <f>RANK(TableOverallMaster[[#This Row],[VORP]],TableOverallMaster[VORP])+COUNTIF($AM$2:AM16,AM16)-1</f>
        <v>99</v>
      </c>
      <c r="AI16" s="115" t="str">
        <f>IFERROR(INDEX(TableQBVORP[QUARTERBACK],MATCH(TableOverallMaster[[#This Row],[RK]],TableQBVORP[RK],0)),"")</f>
        <v>Justin Herbert</v>
      </c>
      <c r="AJ16" s="115" t="str">
        <f t="shared" si="0"/>
        <v>QB15</v>
      </c>
      <c r="AK16" s="115">
        <f>IFERROR(INDEX(TableQBVORP[BYE],MATCH(TableOverallMaster[[#This Row],[RK]],TableQBVORP[RK],0)),"")</f>
        <v>5</v>
      </c>
      <c r="AL16" s="116">
        <f>IFERROR(INDEX(TableQBVORP[FPS],MATCH(TableOverallMaster[[#This Row],[RK]],TableQBVORP[RK],0)),"")</f>
        <v>309.26148084574157</v>
      </c>
      <c r="AM16" s="117">
        <f>IFERROR(INDEX(TableQBVORP[VORP],MATCH(TableOverallMaster[[#This Row],[RK]],TableQBVORP[RK],0)),"")</f>
        <v>0.154510434578815</v>
      </c>
      <c r="AO16">
        <v>15</v>
      </c>
      <c r="AP16" s="118" t="str">
        <f>IFERROR(INDEX(TableOverallMaster[OVERALL PLAYER],MATCH(TableOverallRank[[#This Row],[RK]],TableOverallMaster[OVR RK],0)),"")</f>
        <v>Josh Allen</v>
      </c>
      <c r="AQ16" s="119" t="str">
        <f>IFERROR(INDEX(TableOverallMaster[POS RK],MATCH(TableOverallRank[[#This Row],[OVERALL PLAYER]],TableOverallMaster[OVERALL PLAYER],0)),"")</f>
        <v>QB1</v>
      </c>
      <c r="AR16" s="120">
        <f>IFERROR(INDEX(TableOverallMaster[BYE],MATCH(TableOverallRank[[#This Row],[OVERALL PLAYER]],TableOverallMaster[OVERALL PLAYER],0)),"")</f>
        <v>13</v>
      </c>
      <c r="AS16" s="119">
        <f>IFERROR(INDEX(TableOverallMaster[Custom],MATCH(TableOverallRank[[#This Row],[OVERALL PLAYER]],TableOverallMaster[OVERALL PLAYER],0)),"")</f>
        <v>395.82932580863996</v>
      </c>
      <c r="AT16" s="121">
        <f>IFERROR(INDEX(TableOverallMaster[VORP],MATCH(TableOverallRank[[#This Row],[OVERALL PLAYER]],TableOverallMaster[OVERALL PLAYER],0)),"")</f>
        <v>0.81126160236414602</v>
      </c>
      <c r="AV16">
        <v>15</v>
      </c>
      <c r="AW16" s="122" t="str">
        <f>IFERROR(INDEX(TableWRTECalcPts[PLAYER],MATCH(TableWRTERank[[#This Row],[RK]],TableWRTECalcPts[RK],0)),"")</f>
        <v>DK Metcalf</v>
      </c>
      <c r="AX16" s="122" t="str">
        <f>IFERROR(INDEX(TableWRTECalcPts[POS RK],MATCH(TableWRTERank[[#This Row],[WR and TE COMBINED]],TableWRTECalcPts[PLAYER],0)),"")</f>
        <v>WR15</v>
      </c>
      <c r="AY16" s="122">
        <f>IFERROR(INDEX(TableWRTECalcPts[BYE],MATCH(TableWRTERank[[#This Row],[RK]],TableWRTECalcPts[RK],0)),"")</f>
        <v>5</v>
      </c>
      <c r="AZ16" s="123">
        <f>IFERROR(INDEX(TableWRTECalcPts[Custom],MATCH(TableWRTERank[[#This Row],[RK]],TableWRTECalcPts[RK],0)),"")</f>
        <v>199.92229009247873</v>
      </c>
      <c r="BA16" s="174">
        <f>IFERROR((TableWRTERank[[#This Row],[FPS]]-INDEX(TableWRTERank[FPS],MATCH(WRTEVORPCalc,TableWRTERank[RK],0)))/INDEX(TableWRTERank[FPS],MATCH(WRTEVORPCalc,TableWRTERank[RK],0)),"")</f>
        <v>0.33919432566664315</v>
      </c>
      <c r="BC16" t="s">
        <v>223</v>
      </c>
      <c r="BD16">
        <v>15</v>
      </c>
      <c r="BE16" s="83">
        <f>RANK(TableWRTEMaster[[#This Row],[VORP]],TableWRTEMaster[VORP])+COUNTIF($BJ$2:BJ16,BJ16)-1</f>
        <v>17</v>
      </c>
      <c r="BF16" s="115" t="str">
        <f>IFERROR(INDEX(TableWRVORP[WIDE RECEIVER],MATCH(TableWRTEMaster[[#This Row],[RK]],TableWRVORP[RK],0)),"")</f>
        <v>DK Metcalf</v>
      </c>
      <c r="BG16" s="115" t="str">
        <f>_xlfn.CONCAT(TableWRTEMaster[[#This Row],[POS]],TableWRTEMaster[[#This Row],[RK]])</f>
        <v>WR15</v>
      </c>
      <c r="BH16" s="115">
        <f>IFERROR(INDEX(TableWRVORP[BYE],MATCH(TableWRTEMaster[[#This Row],[RK]],TableWRVORP[RK],0)),"")</f>
        <v>5</v>
      </c>
      <c r="BI16" s="116">
        <f>IFERROR(INDEX(TableWRVORP[FPS],MATCH(TableWRTEMaster[[#This Row],[RK]],TableWRVORP[RK],0)),"")</f>
        <v>199.92229009247873</v>
      </c>
      <c r="BJ16" s="117">
        <f>IFERROR(INDEX(TableWRVORP[VORP],MATCH(TableWRTEMaster[[#This Row],[RK]],TableWRVORP[RK],0)),"")</f>
        <v>0.38447780886054433</v>
      </c>
    </row>
    <row r="17" spans="1:62" x14ac:dyDescent="0.2">
      <c r="A17">
        <v>16</v>
      </c>
      <c r="B17" s="112" t="str">
        <f>IFERROR(INDEX(TableQBCalcPts[PLAYER],MATCH(TableQBVORP[[#This Row],[RK]],TableQBCalcPts[RK],0)),"")</f>
        <v>Jared Goff</v>
      </c>
      <c r="C17" s="112" t="str">
        <f>IFERROR(INDEX(TableQBCalcPts[TM],MATCH(TableQBVORP[[#This Row],[RK]],TableQBCalcPts[RK],0)),"")</f>
        <v>DET</v>
      </c>
      <c r="D17" s="112">
        <f>IFERROR(INDEX(TableQBCalcPts[BYE],MATCH(TableQBVORP[[#This Row],[RK]],TableQBCalcPts[RK],0)),"")</f>
        <v>9</v>
      </c>
      <c r="E17" s="113">
        <f>IFERROR(INDEX(TableQBCalcPts[Custom],MATCH(TableQBVORP[[#This Row],[RK]],TableQBCalcPts[RK],0)),"")</f>
        <v>306.24531786967998</v>
      </c>
      <c r="F17" s="114">
        <f>(IFERROR((TableQBVORP[[#This Row],[FPS]]-INDEX(TableQBVORP[FPS],MATCH(QBVORPCalc,TableQBVORP[RK],0)))/INDEX(TableQBVORP[FPS],MATCH(QBVORPCalc,TableQBVORP[RK],0)),""))+(TableRBVORP[[#This Row],[VORP]]*0.45)</f>
        <v>0.12792709895291127</v>
      </c>
      <c r="H17">
        <v>16</v>
      </c>
      <c r="I17" s="112" t="str">
        <f>IFERROR(INDEX(TableRBCalcPts[PLAYER],MATCH(TableRBVORP[[#This Row],[RK]],TableRBCalcPts[RK],0)),"")</f>
        <v>Travis Etienne</v>
      </c>
      <c r="J17" s="112" t="str">
        <f>IFERROR(INDEX(TableRBCalcPts[TM],MATCH(TableRBVORP[[#This Row],[RK]],TableRBCalcPts[RK],0)),"")</f>
        <v>JAX</v>
      </c>
      <c r="K17" s="112">
        <f>IFERROR(INDEX(TableRBCalcPts[BYE],MATCH(TableRBVORP[[#This Row],[RK]],TableRBCalcPts[RK],0)),"")</f>
        <v>9</v>
      </c>
      <c r="L17" s="113">
        <f>IFERROR(INDEX(TableRBCalcPts[Custom],MATCH(TableRBVORP[[#This Row],[RK]],TableRBCalcPts[RK],0)),"")</f>
        <v>191.02926081876004</v>
      </c>
      <c r="M17" s="114">
        <f>IFERROR((TableRBVORP[[#This Row],[FPS]]-INDEX(TableRBVORP[FPS],MATCH(RBVORPCalc,TableRBVORP[RK],0)))/INDEX(TableRBVORP[FPS],MATCH(RBVORPCalc,TableRBVORP[RK],0)),"")</f>
        <v>0.69475263663248488</v>
      </c>
      <c r="O17">
        <v>16</v>
      </c>
      <c r="P17" s="112" t="str">
        <f>IFERROR(INDEX(TableWRCalcPts[PLAYER],MATCH(TableWRVORP[[#This Row],[RK]],TableWRCalcPts[RK],0)),"")</f>
        <v>Drake London</v>
      </c>
      <c r="Q17" s="112" t="str">
        <f>IFERROR(INDEX(TableWRCalcPts[TM],MATCH(TableWRVORP[[#This Row],[RK]],TableWRCalcPts[RK],0)),"")</f>
        <v>ATL</v>
      </c>
      <c r="R17" s="112">
        <f>IFERROR(INDEX(TableWRCalcPts[BYE],MATCH(TableWRVORP[[#This Row],[RK]],TableWRCalcPts[RK],0)),"")</f>
        <v>11</v>
      </c>
      <c r="S17" s="113">
        <f>IFERROR(INDEX(TableWRCalcPts[Custom],MATCH(TableWRVORP[[#This Row],[RK]],TableWRCalcPts[RK],0)),"")</f>
        <v>196.45429046443195</v>
      </c>
      <c r="T17" s="114">
        <f>IFERROR((TableWRVORP[[#This Row],[FPS]]-INDEX(TableWRVORP[FPS],MATCH(WRVORPCalc,TableWRVORP[RK],0)))/INDEX(TableWRVORP[FPS],MATCH(WRVORPCalc,TableWRVORP[RK],0)),"")</f>
        <v>0.36046163475636411</v>
      </c>
      <c r="V17">
        <v>16</v>
      </c>
      <c r="W17" s="112" t="str">
        <f>IFERROR(INDEX(TableTECalcPts[PLAYER],MATCH(TableTEVORP[[#This Row],[RK]],TableTECalcPts[RK],0)),"")</f>
        <v>Taysom Hill</v>
      </c>
      <c r="X17" s="112" t="str">
        <f>IFERROR(INDEX(TableTECalcPts[TM],MATCH(TableTEVORP[[#This Row],[RK]],TableTECalcPts[RK],0)),"")</f>
        <v>NO</v>
      </c>
      <c r="Y17" s="112">
        <f>IFERROR(INDEX(TableTECalcPts[BYE],MATCH(TableTEVORP[[#This Row],[RK]],TableTECalcPts[RK],0)),"")</f>
        <v>11</v>
      </c>
      <c r="Z17" s="113">
        <f>IFERROR(INDEX(TableTECalcPts[Custom],MATCH(TableTEVORP[[#This Row],[RK]],TableTECalcPts[RK],0)),"")</f>
        <v>109.30098272834891</v>
      </c>
      <c r="AA17" s="114">
        <f>IFERROR((TableTEVORP[[#This Row],[FPS]]-INDEX(TableTEVORP[FPS],MATCH(TEVORPCalc,TableTEVORP[RK],0)))/INDEX(TableTEVORP[FPS],MATCH(TEVORPCalc,TableTEVORP[RK],0)),"")</f>
        <v>-0.16781756115724217</v>
      </c>
      <c r="AF17" t="s">
        <v>9</v>
      </c>
      <c r="AG17">
        <v>16</v>
      </c>
      <c r="AH17" s="83">
        <f>RANK(TableOverallMaster[[#This Row],[VORP]],TableOverallMaster[VORP])+COUNTIF($AM$2:AM17,AM17)-1</f>
        <v>104</v>
      </c>
      <c r="AI17" s="115" t="str">
        <f>IFERROR(INDEX(TableQBVORP[QUARTERBACK],MATCH(TableOverallMaster[[#This Row],[RK]],TableQBVORP[RK],0)),"")</f>
        <v>Jared Goff</v>
      </c>
      <c r="AJ17" s="115" t="str">
        <f t="shared" si="0"/>
        <v>QB16</v>
      </c>
      <c r="AK17" s="115">
        <f>IFERROR(INDEX(TableQBVORP[BYE],MATCH(TableOverallMaster[[#This Row],[RK]],TableQBVORP[RK],0)),"")</f>
        <v>9</v>
      </c>
      <c r="AL17" s="116">
        <f>IFERROR(INDEX(TableQBVORP[FPS],MATCH(TableOverallMaster[[#This Row],[RK]],TableQBVORP[RK],0)),"")</f>
        <v>306.24531786967998</v>
      </c>
      <c r="AM17" s="117">
        <f>IFERROR(INDEX(TableQBVORP[VORP],MATCH(TableOverallMaster[[#This Row],[RK]],TableQBVORP[RK],0)),"")</f>
        <v>0.12792709895291127</v>
      </c>
      <c r="AO17">
        <v>16</v>
      </c>
      <c r="AP17" s="118" t="str">
        <f>IFERROR(INDEX(TableOverallMaster[OVERALL PLAYER],MATCH(TableOverallRank[[#This Row],[RK]],TableOverallMaster[OVR RK],0)),"")</f>
        <v>Rhamondre Stevenson</v>
      </c>
      <c r="AQ17" s="119" t="str">
        <f>IFERROR(INDEX(TableOverallMaster[POS RK],MATCH(TableOverallRank[[#This Row],[OVERALL PLAYER]],TableOverallMaster[OVERALL PLAYER],0)),"")</f>
        <v>RB14</v>
      </c>
      <c r="AR17" s="120">
        <f>IFERROR(INDEX(TableOverallMaster[BYE],MATCH(TableOverallRank[[#This Row],[OVERALL PLAYER]],TableOverallMaster[OVERALL PLAYER],0)),"")</f>
        <v>11</v>
      </c>
      <c r="AS17" s="119">
        <f>IFERROR(INDEX(TableOverallMaster[Custom],MATCH(TableOverallRank[[#This Row],[OVERALL PLAYER]],TableOverallMaster[OVERALL PLAYER],0)),"")</f>
        <v>198.29344996664003</v>
      </c>
      <c r="AT17" s="121">
        <f>IFERROR(INDEX(TableOverallMaster[VORP],MATCH(TableOverallRank[[#This Row],[OVERALL PLAYER]],TableOverallMaster[OVERALL PLAYER],0)),"")</f>
        <v>0.75919828050191707</v>
      </c>
      <c r="AV17">
        <v>16</v>
      </c>
      <c r="AW17" s="122" t="str">
        <f>IFERROR(INDEX(TableWRTECalcPts[PLAYER],MATCH(TableWRTERank[[#This Row],[RK]],TableWRTECalcPts[RK],0)),"")</f>
        <v>Drake London</v>
      </c>
      <c r="AX17" s="122" t="str">
        <f>IFERROR(INDEX(TableWRTECalcPts[POS RK],MATCH(TableWRTERank[[#This Row],[WR and TE COMBINED]],TableWRTECalcPts[PLAYER],0)),"")</f>
        <v>WR16</v>
      </c>
      <c r="AY17" s="122">
        <f>IFERROR(INDEX(TableWRTECalcPts[BYE],MATCH(TableWRTERank[[#This Row],[RK]],TableWRTECalcPts[RK],0)),"")</f>
        <v>11</v>
      </c>
      <c r="AZ17" s="123">
        <f>IFERROR(INDEX(TableWRTECalcPts[Custom],MATCH(TableWRTERank[[#This Row],[RK]],TableWRTECalcPts[RK],0)),"")</f>
        <v>196.45429046443195</v>
      </c>
      <c r="BA17" s="174">
        <f>IFERROR((TableWRTERank[[#This Row],[FPS]]-INDEX(TableWRTERank[FPS],MATCH(WRTEVORPCalc,TableWRTERank[RK],0)))/INDEX(TableWRTERank[FPS],MATCH(WRTEVORPCalc,TableWRTERank[RK],0)),"")</f>
        <v>0.31596367229054417</v>
      </c>
      <c r="BC17" t="s">
        <v>223</v>
      </c>
      <c r="BD17">
        <v>16</v>
      </c>
      <c r="BE17" s="83">
        <f>RANK(TableWRTEMaster[[#This Row],[VORP]],TableWRTEMaster[VORP])+COUNTIF($BJ$2:BJ17,BJ17)-1</f>
        <v>19</v>
      </c>
      <c r="BF17" s="115" t="str">
        <f>IFERROR(INDEX(TableWRVORP[WIDE RECEIVER],MATCH(TableWRTEMaster[[#This Row],[RK]],TableWRVORP[RK],0)),"")</f>
        <v>Drake London</v>
      </c>
      <c r="BG17" s="115" t="str">
        <f>_xlfn.CONCAT(TableWRTEMaster[[#This Row],[POS]],TableWRTEMaster[[#This Row],[RK]])</f>
        <v>WR16</v>
      </c>
      <c r="BH17" s="115">
        <f>IFERROR(INDEX(TableWRVORP[BYE],MATCH(TableWRTEMaster[[#This Row],[RK]],TableWRVORP[RK],0)),"")</f>
        <v>11</v>
      </c>
      <c r="BI17" s="116">
        <f>IFERROR(INDEX(TableWRVORP[FPS],MATCH(TableWRTEMaster[[#This Row],[RK]],TableWRVORP[RK],0)),"")</f>
        <v>196.45429046443195</v>
      </c>
      <c r="BJ17" s="117">
        <f>IFERROR(INDEX(TableWRVORP[VORP],MATCH(TableWRTEMaster[[#This Row],[RK]],TableWRVORP[RK],0)),"")</f>
        <v>0.36046163475636411</v>
      </c>
    </row>
    <row r="18" spans="1:62" x14ac:dyDescent="0.2">
      <c r="A18">
        <v>17</v>
      </c>
      <c r="B18" s="112" t="str">
        <f>IFERROR(INDEX(TableQBCalcPts[PLAYER],MATCH(TableQBVORP[[#This Row],[RK]],TableQBCalcPts[RK],0)),"")</f>
        <v>Tua Tagovailoa</v>
      </c>
      <c r="C18" s="112" t="str">
        <f>IFERROR(INDEX(TableQBCalcPts[TM],MATCH(TableQBVORP[[#This Row],[RK]],TableQBCalcPts[RK],0)),"")</f>
        <v>MIA</v>
      </c>
      <c r="D18" s="112">
        <f>IFERROR(INDEX(TableQBCalcPts[BYE],MATCH(TableQBVORP[[#This Row],[RK]],TableQBCalcPts[RK],0)),"")</f>
        <v>10</v>
      </c>
      <c r="E18" s="113">
        <f>IFERROR(INDEX(TableQBCalcPts[Custom],MATCH(TableQBVORP[[#This Row],[RK]],TableQBCalcPts[RK],0)),"")</f>
        <v>302.2407970072</v>
      </c>
      <c r="F18" s="114">
        <f>(IFERROR((TableQBVORP[[#This Row],[FPS]]-INDEX(TableQBVORP[FPS],MATCH(QBVORPCalc,TableQBVORP[RK],0)))/INDEX(TableQBVORP[FPS],MATCH(QBVORPCalc,TableQBVORP[RK],0)),""))+(TableRBVORP[[#This Row],[VORP]]*0.45)</f>
        <v>0.11584976964720434</v>
      </c>
      <c r="H18">
        <v>17</v>
      </c>
      <c r="I18" s="112" t="str">
        <f>IFERROR(INDEX(TableRBCalcPts[PLAYER],MATCH(TableRBVORP[[#This Row],[RK]],TableRBCalcPts[RK],0)),"")</f>
        <v>Kenneth Walker</v>
      </c>
      <c r="J18" s="112" t="str">
        <f>IFERROR(INDEX(TableRBCalcPts[TM],MATCH(TableRBVORP[[#This Row],[RK]],TableRBCalcPts[RK],0)),"")</f>
        <v>SEA</v>
      </c>
      <c r="K18" s="112">
        <f>IFERROR(INDEX(TableRBCalcPts[BYE],MATCH(TableRBVORP[[#This Row],[RK]],TableRBCalcPts[RK],0)),"")</f>
        <v>5</v>
      </c>
      <c r="L18" s="113">
        <f>IFERROR(INDEX(TableRBCalcPts[Custom],MATCH(TableRBVORP[[#This Row],[RK]],TableRBCalcPts[RK],0)),"")</f>
        <v>190.67445786002884</v>
      </c>
      <c r="M18" s="114">
        <f>IFERROR((TableRBVORP[[#This Row],[FPS]]-INDEX(TableRBVORP[FPS],MATCH(RBVORPCalc,TableRBVORP[RK],0)))/INDEX(TableRBVORP[FPS],MATCH(RBVORPCalc,TableRBVORP[RK],0)),"")</f>
        <v>0.69160493430030023</v>
      </c>
      <c r="O18">
        <v>17</v>
      </c>
      <c r="P18" s="112" t="str">
        <f>IFERROR(INDEX(TableWRCalcPts[PLAYER],MATCH(TableWRVORP[[#This Row],[RK]],TableWRCalcPts[RK],0)),"")</f>
        <v>Garrett Wilson</v>
      </c>
      <c r="Q18" s="112" t="str">
        <f>IFERROR(INDEX(TableWRCalcPts[TM],MATCH(TableWRVORP[[#This Row],[RK]],TableWRCalcPts[RK],0)),"")</f>
        <v>NYJ</v>
      </c>
      <c r="R18" s="112">
        <f>IFERROR(INDEX(TableWRCalcPts[BYE],MATCH(TableWRVORP[[#This Row],[RK]],TableWRCalcPts[RK],0)),"")</f>
        <v>7</v>
      </c>
      <c r="S18" s="113">
        <f>IFERROR(INDEX(TableWRCalcPts[Custom],MATCH(TableWRVORP[[#This Row],[RK]],TableWRCalcPts[RK],0)),"")</f>
        <v>193.57599061120317</v>
      </c>
      <c r="T18" s="114">
        <f>IFERROR((TableWRVORP[[#This Row],[FPS]]-INDEX(TableWRVORP[FPS],MATCH(WRVORPCalc,TableWRVORP[RK],0)))/INDEX(TableWRVORP[FPS],MATCH(WRVORPCalc,TableWRVORP[RK],0)),"")</f>
        <v>0.34052917863954751</v>
      </c>
      <c r="V18">
        <v>17</v>
      </c>
      <c r="W18" s="112" t="str">
        <f>IFERROR(INDEX(TableTECalcPts[PLAYER],MATCH(TableTEVORP[[#This Row],[RK]],TableTECalcPts[RK],0)),"")</f>
        <v>Chigoziem Okonkwo</v>
      </c>
      <c r="X18" s="112" t="str">
        <f>IFERROR(INDEX(TableTECalcPts[TM],MATCH(TableTEVORP[[#This Row],[RK]],TableTECalcPts[RK],0)),"")</f>
        <v>TEN</v>
      </c>
      <c r="Y18" s="112">
        <f>IFERROR(INDEX(TableTECalcPts[BYE],MATCH(TableTEVORP[[#This Row],[RK]],TableTECalcPts[RK],0)),"")</f>
        <v>7</v>
      </c>
      <c r="Z18" s="113">
        <f>IFERROR(INDEX(TableTECalcPts[Custom],MATCH(TableTEVORP[[#This Row],[RK]],TableTECalcPts[RK],0)),"")</f>
        <v>105.83006106172496</v>
      </c>
      <c r="AA18" s="114">
        <f>IFERROR((TableTEVORP[[#This Row],[FPS]]-INDEX(TableTEVORP[FPS],MATCH(TEVORPCalc,TableTEVORP[RK],0)))/INDEX(TableTEVORP[FPS],MATCH(TEVORPCalc,TableTEVORP[RK],0)),"")</f>
        <v>-0.19424403954254701</v>
      </c>
      <c r="AF18" t="s">
        <v>9</v>
      </c>
      <c r="AG18">
        <v>17</v>
      </c>
      <c r="AH18" s="83">
        <f>RANK(TableOverallMaster[[#This Row],[VORP]],TableOverallMaster[VORP])+COUNTIF($AM$2:AM18,AM18)-1</f>
        <v>106</v>
      </c>
      <c r="AI18" s="115" t="str">
        <f>IFERROR(INDEX(TableQBVORP[QUARTERBACK],MATCH(TableOverallMaster[[#This Row],[RK]],TableQBVORP[RK],0)),"")</f>
        <v>Tua Tagovailoa</v>
      </c>
      <c r="AJ18" s="115" t="str">
        <f t="shared" si="0"/>
        <v>QB17</v>
      </c>
      <c r="AK18" s="115">
        <f>IFERROR(INDEX(TableQBVORP[BYE],MATCH(TableOverallMaster[[#This Row],[RK]],TableQBVORP[RK],0)),"")</f>
        <v>10</v>
      </c>
      <c r="AL18" s="116">
        <f>IFERROR(INDEX(TableQBVORP[FPS],MATCH(TableOverallMaster[[#This Row],[RK]],TableQBVORP[RK],0)),"")</f>
        <v>302.2407970072</v>
      </c>
      <c r="AM18" s="117">
        <f>IFERROR(INDEX(TableQBVORP[VORP],MATCH(TableOverallMaster[[#This Row],[RK]],TableQBVORP[RK],0)),"")</f>
        <v>0.11584976964720434</v>
      </c>
      <c r="AO18">
        <v>17</v>
      </c>
      <c r="AP18" s="118" t="str">
        <f>IFERROR(INDEX(TableOverallMaster[OVERALL PLAYER],MATCH(TableOverallRank[[#This Row],[RK]],TableOverallMaster[OVR RK],0)),"")</f>
        <v>CeeDee Lamb</v>
      </c>
      <c r="AQ18" s="119" t="str">
        <f>IFERROR(INDEX(TableOverallMaster[POS RK],MATCH(TableOverallRank[[#This Row],[OVERALL PLAYER]],TableOverallMaster[OVERALL PLAYER],0)),"")</f>
        <v>WR2</v>
      </c>
      <c r="AR18" s="120">
        <f>IFERROR(INDEX(TableOverallMaster[BYE],MATCH(TableOverallRank[[#This Row],[OVERALL PLAYER]],TableOverallMaster[OVERALL PLAYER],0)),"")</f>
        <v>7</v>
      </c>
      <c r="AS18" s="119">
        <f>IFERROR(INDEX(TableOverallMaster[Custom],MATCH(TableOverallRank[[#This Row],[OVERALL PLAYER]],TableOverallMaster[OVERALL PLAYER],0)),"")</f>
        <v>252.66183146769589</v>
      </c>
      <c r="AT18" s="121">
        <f>IFERROR(INDEX(TableOverallMaster[VORP],MATCH(TableOverallRank[[#This Row],[OVERALL PLAYER]],TableOverallMaster[OVERALL PLAYER],0)),"")</f>
        <v>0.74970334048933407</v>
      </c>
      <c r="AV18">
        <v>17</v>
      </c>
      <c r="AW18" s="122" t="str">
        <f>IFERROR(INDEX(TableWRTECalcPts[PLAYER],MATCH(TableWRTERank[[#This Row],[RK]],TableWRTECalcPts[RK],0)),"")</f>
        <v>Garrett Wilson</v>
      </c>
      <c r="AX18" s="122" t="str">
        <f>IFERROR(INDEX(TableWRTECalcPts[POS RK],MATCH(TableWRTERank[[#This Row],[WR and TE COMBINED]],TableWRTECalcPts[PLAYER],0)),"")</f>
        <v>WR17</v>
      </c>
      <c r="AY18" s="122">
        <f>IFERROR(INDEX(TableWRTECalcPts[BYE],MATCH(TableWRTERank[[#This Row],[RK]],TableWRTECalcPts[RK],0)),"")</f>
        <v>7</v>
      </c>
      <c r="AZ18" s="123">
        <f>IFERROR(INDEX(TableWRTECalcPts[Custom],MATCH(TableWRTERank[[#This Row],[RK]],TableWRTECalcPts[RK],0)),"")</f>
        <v>193.57599061120317</v>
      </c>
      <c r="BA18" s="174">
        <f>IFERROR((TableWRTERank[[#This Row],[FPS]]-INDEX(TableWRTERank[FPS],MATCH(WRTEVORPCalc,TableWRTERank[RK],0)))/INDEX(TableWRTERank[FPS],MATCH(WRTEVORPCalc,TableWRTERank[RK],0)),"")</f>
        <v>0.29668316670395811</v>
      </c>
      <c r="BC18" t="s">
        <v>223</v>
      </c>
      <c r="BD18">
        <v>17</v>
      </c>
      <c r="BE18" s="83">
        <f>RANK(TableWRTEMaster[[#This Row],[VORP]],TableWRTEMaster[VORP])+COUNTIF($BJ$2:BJ18,BJ18)-1</f>
        <v>20</v>
      </c>
      <c r="BF18" s="115" t="str">
        <f>IFERROR(INDEX(TableWRVORP[WIDE RECEIVER],MATCH(TableWRTEMaster[[#This Row],[RK]],TableWRVORP[RK],0)),"")</f>
        <v>Garrett Wilson</v>
      </c>
      <c r="BG18" s="115" t="str">
        <f>_xlfn.CONCAT(TableWRTEMaster[[#This Row],[POS]],TableWRTEMaster[[#This Row],[RK]])</f>
        <v>WR17</v>
      </c>
      <c r="BH18" s="115">
        <f>IFERROR(INDEX(TableWRVORP[BYE],MATCH(TableWRTEMaster[[#This Row],[RK]],TableWRVORP[RK],0)),"")</f>
        <v>7</v>
      </c>
      <c r="BI18" s="116">
        <f>IFERROR(INDEX(TableWRVORP[FPS],MATCH(TableWRTEMaster[[#This Row],[RK]],TableWRVORP[RK],0)),"")</f>
        <v>193.57599061120317</v>
      </c>
      <c r="BJ18" s="117">
        <f>IFERROR(INDEX(TableWRVORP[VORP],MATCH(TableWRTEMaster[[#This Row],[RK]],TableWRVORP[RK],0)),"")</f>
        <v>0.34052917863954751</v>
      </c>
    </row>
    <row r="19" spans="1:62" x14ac:dyDescent="0.2">
      <c r="A19">
        <v>18</v>
      </c>
      <c r="B19" s="112" t="str">
        <f>IFERROR(INDEX(TableQBCalcPts[PLAYER],MATCH(TableQBVORP[[#This Row],[RK]],TableQBCalcPts[RK],0)),"")</f>
        <v>Aaron Rodgers</v>
      </c>
      <c r="C19" s="112" t="str">
        <f>IFERROR(INDEX(TableQBCalcPts[TM],MATCH(TableQBVORP[[#This Row],[RK]],TableQBCalcPts[RK],0)),"")</f>
        <v>NYJ</v>
      </c>
      <c r="D19" s="112">
        <f>IFERROR(INDEX(TableQBCalcPts[BYE],MATCH(TableQBVORP[[#This Row],[RK]],TableQBCalcPts[RK],0)),"")</f>
        <v>7</v>
      </c>
      <c r="E19" s="113">
        <f>IFERROR(INDEX(TableQBCalcPts[Custom],MATCH(TableQBVORP[[#This Row],[RK]],TableQBCalcPts[RK],0)),"")</f>
        <v>299.34462933983997</v>
      </c>
      <c r="F19" s="114">
        <f>(IFERROR((TableQBVORP[[#This Row],[FPS]]-INDEX(TableQBVORP[FPS],MATCH(QBVORPCalc,TableQBVORP[RK],0)))/INDEX(TableQBVORP[FPS],MATCH(QBVORPCalc,TableQBVORP[RK],0)),""))+(TableRBVORP[[#This Row],[VORP]]*0.45)</f>
        <v>0.10544144898038862</v>
      </c>
      <c r="H19">
        <v>18</v>
      </c>
      <c r="I19" s="112" t="str">
        <f>IFERROR(INDEX(TableRBCalcPts[PLAYER],MATCH(TableRBVORP[[#This Row],[RK]],TableRBCalcPts[RK],0)),"")</f>
        <v>Zamir White</v>
      </c>
      <c r="J19" s="112" t="str">
        <f>IFERROR(INDEX(TableRBCalcPts[TM],MATCH(TableRBVORP[[#This Row],[RK]],TableRBCalcPts[RK],0)),"")</f>
        <v>LV</v>
      </c>
      <c r="K19" s="112">
        <f>IFERROR(INDEX(TableRBCalcPts[BYE],MATCH(TableRBVORP[[#This Row],[RK]],TableRBCalcPts[RK],0)),"")</f>
        <v>13</v>
      </c>
      <c r="L19" s="113">
        <f>IFERROR(INDEX(TableRBCalcPts[Custom],MATCH(TableRBVORP[[#This Row],[RK]],TableRBCalcPts[RK],0)),"")</f>
        <v>189.99861955200001</v>
      </c>
      <c r="M19" s="114">
        <f>IFERROR((TableRBVORP[[#This Row],[FPS]]-INDEX(TableRBVORP[FPS],MATCH(RBVORPCalc,TableRBVORP[RK],0)))/INDEX(TableRBVORP[FPS],MATCH(RBVORPCalc,TableRBVORP[RK],0)),"")</f>
        <v>0.68560910544371589</v>
      </c>
      <c r="O19">
        <v>18</v>
      </c>
      <c r="P19" s="112" t="str">
        <f>IFERROR(INDEX(TableWRCalcPts[PLAYER],MATCH(TableWRVORP[[#This Row],[RK]],TableWRCalcPts[RK],0)),"")</f>
        <v>Jayden Reed</v>
      </c>
      <c r="Q19" s="112" t="str">
        <f>IFERROR(INDEX(TableWRCalcPts[TM],MATCH(TableWRVORP[[#This Row],[RK]],TableWRCalcPts[RK],0)),"")</f>
        <v>GB</v>
      </c>
      <c r="R19" s="112">
        <f>IFERROR(INDEX(TableWRCalcPts[BYE],MATCH(TableWRVORP[[#This Row],[RK]],TableWRCalcPts[RK],0)),"")</f>
        <v>6</v>
      </c>
      <c r="S19" s="113">
        <f>IFERROR(INDEX(TableWRCalcPts[Custom],MATCH(TableWRVORP[[#This Row],[RK]],TableWRCalcPts[RK],0)),"")</f>
        <v>191.81540749896001</v>
      </c>
      <c r="T19" s="114">
        <f>IFERROR((TableWRVORP[[#This Row],[FPS]]-INDEX(TableWRVORP[FPS],MATCH(WRVORPCalc,TableWRVORP[RK],0)))/INDEX(TableWRVORP[FPS],MATCH(WRVORPCalc,TableWRVORP[RK],0)),"")</f>
        <v>0.32833700012644745</v>
      </c>
      <c r="V19">
        <v>18</v>
      </c>
      <c r="W19" s="112" t="str">
        <f>IFERROR(INDEX(TableTECalcPts[PLAYER],MATCH(TableTEVORP[[#This Row],[RK]],TableTECalcPts[RK],0)),"")</f>
        <v>Luke Musgrave</v>
      </c>
      <c r="X19" s="112" t="str">
        <f>IFERROR(INDEX(TableTECalcPts[TM],MATCH(TableTEVORP[[#This Row],[RK]],TableTECalcPts[RK],0)),"")</f>
        <v>GB</v>
      </c>
      <c r="Y19" s="112">
        <f>IFERROR(INDEX(TableTECalcPts[BYE],MATCH(TableTEVORP[[#This Row],[RK]],TableTECalcPts[RK],0)),"")</f>
        <v>6</v>
      </c>
      <c r="Z19" s="113">
        <f>IFERROR(INDEX(TableTECalcPts[Custom],MATCH(TableTEVORP[[#This Row],[RK]],TableTECalcPts[RK],0)),"")</f>
        <v>99.969667209216013</v>
      </c>
      <c r="AA19" s="114">
        <f>IFERROR((TableTEVORP[[#This Row],[FPS]]-INDEX(TableTEVORP[FPS],MATCH(TEVORPCalc,TableTEVORP[RK],0)))/INDEX(TableTEVORP[FPS],MATCH(TEVORPCalc,TableTEVORP[RK],0)),"")</f>
        <v>-0.23886318867573314</v>
      </c>
      <c r="AF19" t="s">
        <v>9</v>
      </c>
      <c r="AG19">
        <v>18</v>
      </c>
      <c r="AH19" s="83">
        <f>RANK(TableOverallMaster[[#This Row],[VORP]],TableOverallMaster[VORP])+COUNTIF($AM$2:AM19,AM19)-1</f>
        <v>111</v>
      </c>
      <c r="AI19" s="115" t="str">
        <f>IFERROR(INDEX(TableQBVORP[QUARTERBACK],MATCH(TableOverallMaster[[#This Row],[RK]],TableQBVORP[RK],0)),"")</f>
        <v>Aaron Rodgers</v>
      </c>
      <c r="AJ19" s="115" t="str">
        <f t="shared" si="0"/>
        <v>QB18</v>
      </c>
      <c r="AK19" s="115">
        <f>IFERROR(INDEX(TableQBVORP[BYE],MATCH(TableOverallMaster[[#This Row],[RK]],TableQBVORP[RK],0)),"")</f>
        <v>7</v>
      </c>
      <c r="AL19" s="116">
        <f>IFERROR(INDEX(TableQBVORP[FPS],MATCH(TableOverallMaster[[#This Row],[RK]],TableQBVORP[RK],0)),"")</f>
        <v>299.34462933983997</v>
      </c>
      <c r="AM19" s="117">
        <f>IFERROR(INDEX(TableQBVORP[VORP],MATCH(TableOverallMaster[[#This Row],[RK]],TableQBVORP[RK],0)),"")</f>
        <v>0.10544144898038862</v>
      </c>
      <c r="AO19">
        <v>18</v>
      </c>
      <c r="AP19" s="118" t="str">
        <f>IFERROR(INDEX(TableOverallMaster[OVERALL PLAYER],MATCH(TableOverallRank[[#This Row],[RK]],TableOverallMaster[OVR RK],0)),"")</f>
        <v>Amon-Ra St. Brown</v>
      </c>
      <c r="AQ19" s="119" t="str">
        <f>IFERROR(INDEX(TableOverallMaster[POS RK],MATCH(TableOverallRank[[#This Row],[OVERALL PLAYER]],TableOverallMaster[OVERALL PLAYER],0)),"")</f>
        <v>WR3</v>
      </c>
      <c r="AR19" s="120">
        <f>IFERROR(INDEX(TableOverallMaster[BYE],MATCH(TableOverallRank[[#This Row],[OVERALL PLAYER]],TableOverallMaster[OVERALL PLAYER],0)),"")</f>
        <v>9</v>
      </c>
      <c r="AS19" s="119">
        <f>IFERROR(INDEX(TableOverallMaster[Custom],MATCH(TableOverallRank[[#This Row],[OVERALL PLAYER]],TableOverallMaster[OVERALL PLAYER],0)),"")</f>
        <v>250.73054050100694</v>
      </c>
      <c r="AT19" s="121">
        <f>IFERROR(INDEX(TableOverallMaster[VORP],MATCH(TableOverallRank[[#This Row],[OVERALL PLAYER]],TableOverallMaster[OVERALL PLAYER],0)),"")</f>
        <v>0.73632899646497929</v>
      </c>
      <c r="AV19">
        <v>18</v>
      </c>
      <c r="AW19" s="122" t="str">
        <f>IFERROR(INDEX(TableWRTECalcPts[PLAYER],MATCH(TableWRTERank[[#This Row],[RK]],TableWRTECalcPts[RK],0)),"")</f>
        <v>Jayden Reed</v>
      </c>
      <c r="AX19" s="122" t="str">
        <f>IFERROR(INDEX(TableWRTECalcPts[POS RK],MATCH(TableWRTERank[[#This Row],[WR and TE COMBINED]],TableWRTECalcPts[PLAYER],0)),"")</f>
        <v>WR18</v>
      </c>
      <c r="AY19" s="122">
        <f>IFERROR(INDEX(TableWRTECalcPts[BYE],MATCH(TableWRTERank[[#This Row],[RK]],TableWRTECalcPts[RK],0)),"")</f>
        <v>6</v>
      </c>
      <c r="AZ19" s="123">
        <f>IFERROR(INDEX(TableWRTECalcPts[Custom],MATCH(TableWRTERank[[#This Row],[RK]],TableWRTECalcPts[RK],0)),"")</f>
        <v>191.81540749896001</v>
      </c>
      <c r="BA19" s="174">
        <f>IFERROR((TableWRTERank[[#This Row],[FPS]]-INDEX(TableWRTERank[FPS],MATCH(WRTEVORPCalc,TableWRTERank[RK],0)))/INDEX(TableWRTERank[FPS],MATCH(WRTEVORPCalc,TableWRTERank[RK],0)),"")</f>
        <v>0.28488976981614778</v>
      </c>
      <c r="BC19" t="s">
        <v>223</v>
      </c>
      <c r="BD19">
        <v>18</v>
      </c>
      <c r="BE19" s="83">
        <f>RANK(TableWRTEMaster[[#This Row],[VORP]],TableWRTEMaster[VORP])+COUNTIF($BJ$2:BJ19,BJ19)-1</f>
        <v>21</v>
      </c>
      <c r="BF19" s="115" t="str">
        <f>IFERROR(INDEX(TableWRVORP[WIDE RECEIVER],MATCH(TableWRTEMaster[[#This Row],[RK]],TableWRVORP[RK],0)),"")</f>
        <v>Jayden Reed</v>
      </c>
      <c r="BG19" s="115" t="str">
        <f>_xlfn.CONCAT(TableWRTEMaster[[#This Row],[POS]],TableWRTEMaster[[#This Row],[RK]])</f>
        <v>WR18</v>
      </c>
      <c r="BH19" s="115">
        <f>IFERROR(INDEX(TableWRVORP[BYE],MATCH(TableWRTEMaster[[#This Row],[RK]],TableWRVORP[RK],0)),"")</f>
        <v>6</v>
      </c>
      <c r="BI19" s="116">
        <f>IFERROR(INDEX(TableWRVORP[FPS],MATCH(TableWRTEMaster[[#This Row],[RK]],TableWRVORP[RK],0)),"")</f>
        <v>191.81540749896001</v>
      </c>
      <c r="BJ19" s="117">
        <f>IFERROR(INDEX(TableWRVORP[VORP],MATCH(TableWRTEMaster[[#This Row],[RK]],TableWRVORP[RK],0)),"")</f>
        <v>0.32833700012644745</v>
      </c>
    </row>
    <row r="20" spans="1:62" x14ac:dyDescent="0.2">
      <c r="A20">
        <v>19</v>
      </c>
      <c r="B20" s="112" t="str">
        <f>IFERROR(INDEX(TableQBCalcPts[PLAYER],MATCH(TableQBVORP[[#This Row],[RK]],TableQBCalcPts[RK],0)),"")</f>
        <v>Kirk Cousins</v>
      </c>
      <c r="C20" s="112" t="str">
        <f>IFERROR(INDEX(TableQBCalcPts[TM],MATCH(TableQBVORP[[#This Row],[RK]],TableQBCalcPts[RK],0)),"")</f>
        <v>ATL</v>
      </c>
      <c r="D20" s="112">
        <f>IFERROR(INDEX(TableQBCalcPts[BYE],MATCH(TableQBVORP[[#This Row],[RK]],TableQBCalcPts[RK],0)),"")</f>
        <v>11</v>
      </c>
      <c r="E20" s="113">
        <f>IFERROR(INDEX(TableQBCalcPts[Custom],MATCH(TableQBVORP[[#This Row],[RK]],TableQBCalcPts[RK],0)),"")</f>
        <v>296.18510429087996</v>
      </c>
      <c r="F20" s="114">
        <f>(IFERROR((TableQBVORP[[#This Row],[FPS]]-INDEX(TableQBVORP[FPS],MATCH(QBVORPCalc,TableQBVORP[RK],0)))/INDEX(TableQBVORP[FPS],MATCH(QBVORPCalc,TableQBVORP[RK],0)),""))+(TableRBVORP[[#This Row],[VORP]]*0.45)</f>
        <v>8.3016999110641504E-2</v>
      </c>
      <c r="H20">
        <v>19</v>
      </c>
      <c r="I20" s="112" t="str">
        <f>IFERROR(INDEX(TableRBCalcPts[PLAYER],MATCH(TableRBVORP[[#This Row],[RK]],TableRBCalcPts[RK],0)),"")</f>
        <v>Nick Chubb</v>
      </c>
      <c r="J20" s="112" t="str">
        <f>IFERROR(INDEX(TableRBCalcPts[TM],MATCH(TableRBVORP[[#This Row],[RK]],TableRBCalcPts[RK],0)),"")</f>
        <v>CLE</v>
      </c>
      <c r="K20" s="112">
        <f>IFERROR(INDEX(TableRBCalcPts[BYE],MATCH(TableRBVORP[[#This Row],[RK]],TableRBCalcPts[RK],0)),"")</f>
        <v>5</v>
      </c>
      <c r="L20" s="113">
        <f>IFERROR(INDEX(TableRBCalcPts[Custom],MATCH(TableRBVORP[[#This Row],[RK]],TableRBCalcPts[RK],0)),"")</f>
        <v>186.48854343350001</v>
      </c>
      <c r="M20" s="114">
        <f>IFERROR((TableRBVORP[[#This Row],[FPS]]-INDEX(TableRBVORP[FPS],MATCH(RBVORPCalc,TableRBVORP[RK],0)))/INDEX(TableRBVORP[FPS],MATCH(RBVORPCalc,TableRBVORP[RK],0)),"")</f>
        <v>0.65446879358200349</v>
      </c>
      <c r="O20">
        <v>19</v>
      </c>
      <c r="P20" s="112" t="str">
        <f>IFERROR(INDEX(TableWRCalcPts[PLAYER],MATCH(TableWRVORP[[#This Row],[RK]],TableWRCalcPts[RK],0)),"")</f>
        <v>DJ Moore</v>
      </c>
      <c r="Q20" s="112" t="str">
        <f>IFERROR(INDEX(TableWRCalcPts[TM],MATCH(TableWRVORP[[#This Row],[RK]],TableWRCalcPts[RK],0)),"")</f>
        <v>CHI</v>
      </c>
      <c r="R20" s="112">
        <f>IFERROR(INDEX(TableWRCalcPts[BYE],MATCH(TableWRVORP[[#This Row],[RK]],TableWRCalcPts[RK],0)),"")</f>
        <v>13</v>
      </c>
      <c r="S20" s="113">
        <f>IFERROR(INDEX(TableWRCalcPts[Custom],MATCH(TableWRVORP[[#This Row],[RK]],TableWRCalcPts[RK],0)),"")</f>
        <v>190.97919337139996</v>
      </c>
      <c r="T20" s="114">
        <f>IFERROR((TableWRVORP[[#This Row],[FPS]]-INDEX(TableWRVORP[FPS],MATCH(WRVORPCalc,TableWRVORP[RK],0)))/INDEX(TableWRVORP[FPS],MATCH(WRVORPCalc,TableWRVORP[RK],0)),"")</f>
        <v>0.32254615057922065</v>
      </c>
      <c r="V20">
        <v>19</v>
      </c>
      <c r="W20" s="112" t="str">
        <f>IFERROR(INDEX(TableTECalcPts[PLAYER],MATCH(TableTEVORP[[#This Row],[RK]],TableTECalcPts[RK],0)),"")</f>
        <v>Hunter Henry</v>
      </c>
      <c r="X20" s="112" t="str">
        <f>IFERROR(INDEX(TableTECalcPts[TM],MATCH(TableTEVORP[[#This Row],[RK]],TableTECalcPts[RK],0)),"")</f>
        <v>NE</v>
      </c>
      <c r="Y20" s="112">
        <f>IFERROR(INDEX(TableTECalcPts[BYE],MATCH(TableTEVORP[[#This Row],[RK]],TableTECalcPts[RK],0)),"")</f>
        <v>11</v>
      </c>
      <c r="Z20" s="113">
        <f>IFERROR(INDEX(TableTECalcPts[Custom],MATCH(TableTEVORP[[#This Row],[RK]],TableTECalcPts[RK],0)),"")</f>
        <v>96.809080357735198</v>
      </c>
      <c r="AA20" s="114">
        <f>IFERROR((TableTEVORP[[#This Row],[FPS]]-INDEX(TableTEVORP[FPS],MATCH(TEVORPCalc,TableTEVORP[RK],0)))/INDEX(TableTEVORP[FPS],MATCH(TEVORPCalc,TableTEVORP[RK],0)),"")</f>
        <v>-0.2629268778447188</v>
      </c>
      <c r="AF20" t="s">
        <v>9</v>
      </c>
      <c r="AG20">
        <v>19</v>
      </c>
      <c r="AH20" s="83">
        <f>RANK(TableOverallMaster[[#This Row],[VORP]],TableOverallMaster[VORP])+COUNTIF($AM$2:AM20,AM20)-1</f>
        <v>116</v>
      </c>
      <c r="AI20" s="115" t="str">
        <f>IFERROR(INDEX(TableQBVORP[QUARTERBACK],MATCH(TableOverallMaster[[#This Row],[RK]],TableQBVORP[RK],0)),"")</f>
        <v>Kirk Cousins</v>
      </c>
      <c r="AJ20" s="115" t="str">
        <f t="shared" si="0"/>
        <v>QB19</v>
      </c>
      <c r="AK20" s="115">
        <f>IFERROR(INDEX(TableQBVORP[BYE],MATCH(TableOverallMaster[[#This Row],[RK]],TableQBVORP[RK],0)),"")</f>
        <v>11</v>
      </c>
      <c r="AL20" s="116">
        <f>IFERROR(INDEX(TableQBVORP[FPS],MATCH(TableOverallMaster[[#This Row],[RK]],TableQBVORP[RK],0)),"")</f>
        <v>296.18510429087996</v>
      </c>
      <c r="AM20" s="117">
        <f>IFERROR(INDEX(TableQBVORP[VORP],MATCH(TableOverallMaster[[#This Row],[RK]],TableQBVORP[RK],0)),"")</f>
        <v>8.3016999110641504E-2</v>
      </c>
      <c r="AO20">
        <v>19</v>
      </c>
      <c r="AP20" s="118" t="str">
        <f>IFERROR(INDEX(TableOverallMaster[OVERALL PLAYER],MATCH(TableOverallRank[[#This Row],[RK]],TableOverallMaster[OVR RK],0)),"")</f>
        <v>Josh Jacobs</v>
      </c>
      <c r="AQ20" s="119" t="str">
        <f>IFERROR(INDEX(TableOverallMaster[POS RK],MATCH(TableOverallRank[[#This Row],[OVERALL PLAYER]],TableOverallMaster[OVERALL PLAYER],0)),"")</f>
        <v>RB15</v>
      </c>
      <c r="AR20" s="120">
        <f>IFERROR(INDEX(TableOverallMaster[BYE],MATCH(TableOverallRank[[#This Row],[OVERALL PLAYER]],TableOverallMaster[OVERALL PLAYER],0)),"")</f>
        <v>6</v>
      </c>
      <c r="AS20" s="119">
        <f>IFERROR(INDEX(TableOverallMaster[Custom],MATCH(TableOverallRank[[#This Row],[OVERALL PLAYER]],TableOverallMaster[OVERALL PLAYER],0)),"")</f>
        <v>195.67667368737602</v>
      </c>
      <c r="AT20" s="121">
        <f>IFERROR(INDEX(TableOverallMaster[VORP],MATCH(TableOverallRank[[#This Row],[OVERALL PLAYER]],TableOverallMaster[OVERALL PLAYER],0)),"")</f>
        <v>0.73598304907741019</v>
      </c>
      <c r="AV20">
        <v>19</v>
      </c>
      <c r="AW20" s="122" t="str">
        <f>IFERROR(INDEX(TableWRTECalcPts[PLAYER],MATCH(TableWRTERank[[#This Row],[RK]],TableWRTECalcPts[RK],0)),"")</f>
        <v>DJ Moore</v>
      </c>
      <c r="AX20" s="122" t="str">
        <f>IFERROR(INDEX(TableWRTECalcPts[POS RK],MATCH(TableWRTERank[[#This Row],[WR and TE COMBINED]],TableWRTECalcPts[PLAYER],0)),"")</f>
        <v>WR19</v>
      </c>
      <c r="AY20" s="122">
        <f>IFERROR(INDEX(TableWRTECalcPts[BYE],MATCH(TableWRTERank[[#This Row],[RK]],TableWRTECalcPts[RK],0)),"")</f>
        <v>13</v>
      </c>
      <c r="AZ20" s="123">
        <f>IFERROR(INDEX(TableWRTECalcPts[Custom],MATCH(TableWRTERank[[#This Row],[RK]],TableWRTECalcPts[RK],0)),"")</f>
        <v>190.97919337139996</v>
      </c>
      <c r="BA20" s="174">
        <f>IFERROR((TableWRTERank[[#This Row],[FPS]]-INDEX(TableWRTERank[FPS],MATCH(WRTEVORPCalc,TableWRTERank[RK],0)))/INDEX(TableWRTERank[FPS],MATCH(WRTEVORPCalc,TableWRTERank[RK],0)),"")</f>
        <v>0.27928832730489661</v>
      </c>
      <c r="BC20" t="s">
        <v>223</v>
      </c>
      <c r="BD20">
        <v>19</v>
      </c>
      <c r="BE20" s="83">
        <f>RANK(TableWRTEMaster[[#This Row],[VORP]],TableWRTEMaster[VORP])+COUNTIF($BJ$2:BJ20,BJ20)-1</f>
        <v>22</v>
      </c>
      <c r="BF20" s="115" t="str">
        <f>IFERROR(INDEX(TableWRVORP[WIDE RECEIVER],MATCH(TableWRTEMaster[[#This Row],[RK]],TableWRVORP[RK],0)),"")</f>
        <v>DJ Moore</v>
      </c>
      <c r="BG20" s="115" t="str">
        <f>_xlfn.CONCAT(TableWRTEMaster[[#This Row],[POS]],TableWRTEMaster[[#This Row],[RK]])</f>
        <v>WR19</v>
      </c>
      <c r="BH20" s="115">
        <f>IFERROR(INDEX(TableWRVORP[BYE],MATCH(TableWRTEMaster[[#This Row],[RK]],TableWRVORP[RK],0)),"")</f>
        <v>13</v>
      </c>
      <c r="BI20" s="116">
        <f>IFERROR(INDEX(TableWRVORP[FPS],MATCH(TableWRTEMaster[[#This Row],[RK]],TableWRVORP[RK],0)),"")</f>
        <v>190.97919337139996</v>
      </c>
      <c r="BJ20" s="117">
        <f>IFERROR(INDEX(TableWRVORP[VORP],MATCH(TableWRTEMaster[[#This Row],[RK]],TableWRVORP[RK],0)),"")</f>
        <v>0.32254615057922065</v>
      </c>
    </row>
    <row r="21" spans="1:62" x14ac:dyDescent="0.2">
      <c r="A21">
        <v>20</v>
      </c>
      <c r="B21" s="112" t="str">
        <f>IFERROR(INDEX(TableQBCalcPts[PLAYER],MATCH(TableQBVORP[[#This Row],[RK]],TableQBCalcPts[RK],0)),"")</f>
        <v>Deshaun Watson</v>
      </c>
      <c r="C21" s="112" t="str">
        <f>IFERROR(INDEX(TableQBCalcPts[TM],MATCH(TableQBVORP[[#This Row],[RK]],TableQBCalcPts[RK],0)),"")</f>
        <v>CLE</v>
      </c>
      <c r="D21" s="112">
        <f>IFERROR(INDEX(TableQBCalcPts[BYE],MATCH(TableQBVORP[[#This Row],[RK]],TableQBCalcPts[RK],0)),"")</f>
        <v>5</v>
      </c>
      <c r="E21" s="113">
        <f>IFERROR(INDEX(TableQBCalcPts[Custom],MATCH(TableQBVORP[[#This Row],[RK]],TableQBCalcPts[RK],0)),"")</f>
        <v>292.97794439760003</v>
      </c>
      <c r="F21" s="114">
        <f>(IFERROR((TableQBVORP[[#This Row],[FPS]]-INDEX(TableQBVORP[FPS],MATCH(QBVORPCalc,TableQBVORP[RK],0)))/INDEX(TableQBVORP[FPS],MATCH(QBVORPCalc,TableQBVORP[RK],0)),""))+(TableRBVORP[[#This Row],[VORP]]*0.45)</f>
        <v>7.3756936642192517E-2</v>
      </c>
      <c r="H21">
        <v>20</v>
      </c>
      <c r="I21" s="112" t="str">
        <f>IFERROR(INDEX(TableRBCalcPts[PLAYER],MATCH(TableRBVORP[[#This Row],[RK]],TableRBCalcPts[RK],0)),"")</f>
        <v>Alvin Kamara</v>
      </c>
      <c r="J21" s="112" t="str">
        <f>IFERROR(INDEX(TableRBCalcPts[TM],MATCH(TableRBVORP[[#This Row],[RK]],TableRBCalcPts[RK],0)),"")</f>
        <v>NO</v>
      </c>
      <c r="K21" s="112">
        <f>IFERROR(INDEX(TableRBCalcPts[BYE],MATCH(TableRBVORP[[#This Row],[RK]],TableRBCalcPts[RK],0)),"")</f>
        <v>11</v>
      </c>
      <c r="L21" s="113">
        <f>IFERROR(INDEX(TableRBCalcPts[Custom],MATCH(TableRBVORP[[#This Row],[RK]],TableRBCalcPts[RK],0)),"")</f>
        <v>186.30770878732321</v>
      </c>
      <c r="M21" s="114">
        <f>IFERROR((TableRBVORP[[#This Row],[FPS]]-INDEX(TableRBVORP[FPS],MATCH(RBVORPCalc,TableRBVORP[RK],0)))/INDEX(TableRBVORP[FPS],MATCH(RBVORPCalc,TableRBVORP[RK],0)),"")</f>
        <v>0.65286448441968414</v>
      </c>
      <c r="O21">
        <v>20</v>
      </c>
      <c r="P21" s="112" t="str">
        <f>IFERROR(INDEX(TableWRCalcPts[PLAYER],MATCH(TableWRVORP[[#This Row],[RK]],TableWRCalcPts[RK],0)),"")</f>
        <v>Chris Olave</v>
      </c>
      <c r="Q21" s="112" t="str">
        <f>IFERROR(INDEX(TableWRCalcPts[TM],MATCH(TableWRVORP[[#This Row],[RK]],TableWRCalcPts[RK],0)),"")</f>
        <v>NO</v>
      </c>
      <c r="R21" s="112">
        <f>IFERROR(INDEX(TableWRCalcPts[BYE],MATCH(TableWRVORP[[#This Row],[RK]],TableWRCalcPts[RK],0)),"")</f>
        <v>11</v>
      </c>
      <c r="S21" s="113">
        <f>IFERROR(INDEX(TableWRCalcPts[Custom],MATCH(TableWRVORP[[#This Row],[RK]],TableWRCalcPts[RK],0)),"")</f>
        <v>190.09510405256719</v>
      </c>
      <c r="T21" s="114">
        <f>IFERROR((TableWRVORP[[#This Row],[FPS]]-INDEX(TableWRVORP[FPS],MATCH(WRVORPCalc,TableWRVORP[RK],0)))/INDEX(TableWRVORP[FPS],MATCH(WRVORPCalc,TableWRVORP[RK],0)),"")</f>
        <v>0.31642376151290691</v>
      </c>
      <c r="V21">
        <v>20</v>
      </c>
      <c r="W21" s="112" t="str">
        <f>IFERROR(INDEX(TableTECalcPts[PLAYER],MATCH(TableTEVORP[[#This Row],[RK]],TableTECalcPts[RK],0)),"")</f>
        <v>Tyler Higbee</v>
      </c>
      <c r="X21" s="112" t="str">
        <f>IFERROR(INDEX(TableTECalcPts[TM],MATCH(TableTEVORP[[#This Row],[RK]],TableTECalcPts[RK],0)),"")</f>
        <v>LAR</v>
      </c>
      <c r="Y21" s="112">
        <f>IFERROR(INDEX(TableTECalcPts[BYE],MATCH(TableTEVORP[[#This Row],[RK]],TableTECalcPts[RK],0)),"")</f>
        <v>10</v>
      </c>
      <c r="Z21" s="113">
        <f>IFERROR(INDEX(TableTECalcPts[Custom],MATCH(TableTEVORP[[#This Row],[RK]],TableTECalcPts[RK],0)),"")</f>
        <v>94.274959189353581</v>
      </c>
      <c r="AA21" s="114">
        <f>IFERROR((TableTEVORP[[#This Row],[FPS]]-INDEX(TableTEVORP[FPS],MATCH(TEVORPCalc,TableTEVORP[RK],0)))/INDEX(TableTEVORP[FPS],MATCH(TEVORPCalc,TableTEVORP[RK],0)),"")</f>
        <v>-0.28222085930386182</v>
      </c>
      <c r="AF21" t="s">
        <v>9</v>
      </c>
      <c r="AG21">
        <v>20</v>
      </c>
      <c r="AH21" s="83">
        <f>RANK(TableOverallMaster[[#This Row],[VORP]],TableOverallMaster[VORP])+COUNTIF($AM$2:AM21,AM21)-1</f>
        <v>117</v>
      </c>
      <c r="AI21" s="115" t="str">
        <f>IFERROR(INDEX(TableQBVORP[QUARTERBACK],MATCH(TableOverallMaster[[#This Row],[RK]],TableQBVORP[RK],0)),"")</f>
        <v>Deshaun Watson</v>
      </c>
      <c r="AJ21" s="115" t="str">
        <f t="shared" si="0"/>
        <v>QB20</v>
      </c>
      <c r="AK21" s="115">
        <f>IFERROR(INDEX(TableQBVORP[BYE],MATCH(TableOverallMaster[[#This Row],[RK]],TableQBVORP[RK],0)),"")</f>
        <v>5</v>
      </c>
      <c r="AL21" s="116">
        <f>IFERROR(INDEX(TableQBVORP[FPS],MATCH(TableOverallMaster[[#This Row],[RK]],TableQBVORP[RK],0)),"")</f>
        <v>292.97794439760003</v>
      </c>
      <c r="AM21" s="117">
        <f>IFERROR(INDEX(TableQBVORP[VORP],MATCH(TableOverallMaster[[#This Row],[RK]],TableQBVORP[RK],0)),"")</f>
        <v>7.3756936642192517E-2</v>
      </c>
      <c r="AO21">
        <v>20</v>
      </c>
      <c r="AP21" s="118" t="str">
        <f>IFERROR(INDEX(TableOverallMaster[OVERALL PLAYER],MATCH(TableOverallRank[[#This Row],[RK]],TableOverallMaster[OVR RK],0)),"")</f>
        <v>Travis Etienne</v>
      </c>
      <c r="AQ21" s="119" t="str">
        <f>IFERROR(INDEX(TableOverallMaster[POS RK],MATCH(TableOverallRank[[#This Row],[OVERALL PLAYER]],TableOverallMaster[OVERALL PLAYER],0)),"")</f>
        <v>RB16</v>
      </c>
      <c r="AR21" s="120">
        <f>IFERROR(INDEX(TableOverallMaster[BYE],MATCH(TableOverallRank[[#This Row],[OVERALL PLAYER]],TableOverallMaster[OVERALL PLAYER],0)),"")</f>
        <v>9</v>
      </c>
      <c r="AS21" s="119">
        <f>IFERROR(INDEX(TableOverallMaster[Custom],MATCH(TableOverallRank[[#This Row],[OVERALL PLAYER]],TableOverallMaster[OVERALL PLAYER],0)),"")</f>
        <v>191.02926081876004</v>
      </c>
      <c r="AT21" s="121">
        <f>IFERROR(INDEX(TableOverallMaster[VORP],MATCH(TableOverallRank[[#This Row],[OVERALL PLAYER]],TableOverallMaster[OVERALL PLAYER],0)),"")</f>
        <v>0.69475263663248488</v>
      </c>
      <c r="AV21">
        <v>20</v>
      </c>
      <c r="AW21" s="122" t="str">
        <f>IFERROR(INDEX(TableWRTECalcPts[PLAYER],MATCH(TableWRTERank[[#This Row],[RK]],TableWRTECalcPts[RK],0)),"")</f>
        <v>Travis Kelce</v>
      </c>
      <c r="AX21" s="122" t="str">
        <f>IFERROR(INDEX(TableWRTECalcPts[POS RK],MATCH(TableWRTERank[[#This Row],[WR and TE COMBINED]],TableWRTECalcPts[PLAYER],0)),"")</f>
        <v>TE1</v>
      </c>
      <c r="AY21" s="122">
        <f>IFERROR(INDEX(TableWRTECalcPts[BYE],MATCH(TableWRTERank[[#This Row],[RK]],TableWRTECalcPts[RK],0)),"")</f>
        <v>10</v>
      </c>
      <c r="AZ21" s="123">
        <f>IFERROR(INDEX(TableWRTECalcPts[Custom],MATCH(TableWRTERank[[#This Row],[RK]],TableWRTECalcPts[RK],0)),"")</f>
        <v>190.78049731103991</v>
      </c>
      <c r="BA21" s="174">
        <f>IFERROR((TableWRTERank[[#This Row],[FPS]]-INDEX(TableWRTERank[FPS],MATCH(WRTEVORPCalc,TableWRTERank[RK],0)))/INDEX(TableWRTERank[FPS],MATCH(WRTEVORPCalc,TableWRTERank[RK],0)),"")</f>
        <v>0.27795734697027052</v>
      </c>
      <c r="BC21" t="s">
        <v>223</v>
      </c>
      <c r="BD21">
        <v>20</v>
      </c>
      <c r="BE21" s="83">
        <f>RANK(TableWRTEMaster[[#This Row],[VORP]],TableWRTEMaster[VORP])+COUNTIF($BJ$2:BJ21,BJ21)-1</f>
        <v>23</v>
      </c>
      <c r="BF21" s="115" t="str">
        <f>IFERROR(INDEX(TableWRVORP[WIDE RECEIVER],MATCH(TableWRTEMaster[[#This Row],[RK]],TableWRVORP[RK],0)),"")</f>
        <v>Chris Olave</v>
      </c>
      <c r="BG21" s="115" t="str">
        <f>_xlfn.CONCAT(TableWRTEMaster[[#This Row],[POS]],TableWRTEMaster[[#This Row],[RK]])</f>
        <v>WR20</v>
      </c>
      <c r="BH21" s="115">
        <f>IFERROR(INDEX(TableWRVORP[BYE],MATCH(TableWRTEMaster[[#This Row],[RK]],TableWRVORP[RK],0)),"")</f>
        <v>11</v>
      </c>
      <c r="BI21" s="116">
        <f>IFERROR(INDEX(TableWRVORP[FPS],MATCH(TableWRTEMaster[[#This Row],[RK]],TableWRVORP[RK],0)),"")</f>
        <v>190.09510405256719</v>
      </c>
      <c r="BJ21" s="117">
        <f>IFERROR(INDEX(TableWRVORP[VORP],MATCH(TableWRTEMaster[[#This Row],[RK]],TableWRVORP[RK],0)),"")</f>
        <v>0.31642376151290691</v>
      </c>
    </row>
    <row r="22" spans="1:62" x14ac:dyDescent="0.2">
      <c r="A22">
        <v>21</v>
      </c>
      <c r="B22" s="112" t="str">
        <f>IFERROR(INDEX(TableQBCalcPts[PLAYER],MATCH(TableQBVORP[[#This Row],[RK]],TableQBCalcPts[RK],0)),"")</f>
        <v>Matthew Stafford</v>
      </c>
      <c r="C22" s="112" t="str">
        <f>IFERROR(INDEX(TableQBCalcPts[TM],MATCH(TableQBVORP[[#This Row],[RK]],TableQBCalcPts[RK],0)),"")</f>
        <v>LAR</v>
      </c>
      <c r="D22" s="112">
        <f>IFERROR(INDEX(TableQBCalcPts[BYE],MATCH(TableQBVORP[[#This Row],[RK]],TableQBCalcPts[RK],0)),"")</f>
        <v>10</v>
      </c>
      <c r="E22" s="113">
        <f>IFERROR(INDEX(TableQBCalcPts[Custom],MATCH(TableQBVORP[[#This Row],[RK]],TableQBCalcPts[RK],0)),"")</f>
        <v>290.96319501864951</v>
      </c>
      <c r="F22" s="114">
        <f>(IFERROR((TableQBVORP[[#This Row],[FPS]]-INDEX(TableQBVORP[FPS],MATCH(QBVORPCalc,TableQBVORP[RK],0)))/INDEX(TableQBVORP[FPS],MATCH(QBVORPCalc,TableQBVORP[RK],0)),""))+(TableRBVORP[[#This Row],[VORP]]*0.45)</f>
        <v>5.686087760758804E-2</v>
      </c>
      <c r="H22">
        <v>21</v>
      </c>
      <c r="I22" s="112" t="str">
        <f>IFERROR(INDEX(TableRBCalcPts[PLAYER],MATCH(TableRBVORP[[#This Row],[RK]],TableRBCalcPts[RK],0)),"")</f>
        <v>James Conner</v>
      </c>
      <c r="J22" s="112" t="str">
        <f>IFERROR(INDEX(TableRBCalcPts[TM],MATCH(TableRBVORP[[#This Row],[RK]],TableRBCalcPts[RK],0)),"")</f>
        <v>ARI</v>
      </c>
      <c r="K22" s="112">
        <f>IFERROR(INDEX(TableRBCalcPts[BYE],MATCH(TableRBVORP[[#This Row],[RK]],TableRBCalcPts[RK],0)),"")</f>
        <v>14</v>
      </c>
      <c r="L22" s="113">
        <f>IFERROR(INDEX(TableRBCalcPts[Custom],MATCH(TableRBVORP[[#This Row],[RK]],TableRBCalcPts[RK],0)),"")</f>
        <v>183.41902516644001</v>
      </c>
      <c r="M22" s="114">
        <f>IFERROR((TableRBVORP[[#This Row],[FPS]]-INDEX(TableRBVORP[FPS],MATCH(RBVORPCalc,TableRBVORP[RK],0)))/INDEX(TableRBVORP[FPS],MATCH(RBVORPCalc,TableRBVORP[RK],0)),"")</f>
        <v>0.62723697499046838</v>
      </c>
      <c r="O22">
        <v>21</v>
      </c>
      <c r="P22" s="112" t="str">
        <f>IFERROR(INDEX(TableWRCalcPts[PLAYER],MATCH(TableWRVORP[[#This Row],[RK]],TableWRCalcPts[RK],0)),"")</f>
        <v>George Pickens</v>
      </c>
      <c r="Q22" s="112" t="str">
        <f>IFERROR(INDEX(TableWRCalcPts[TM],MATCH(TableWRVORP[[#This Row],[RK]],TableWRCalcPts[RK],0)),"")</f>
        <v>PIT</v>
      </c>
      <c r="R22" s="112">
        <f>IFERROR(INDEX(TableWRCalcPts[BYE],MATCH(TableWRVORP[[#This Row],[RK]],TableWRCalcPts[RK],0)),"")</f>
        <v>6</v>
      </c>
      <c r="S22" s="113">
        <f>IFERROR(INDEX(TableWRCalcPts[Custom],MATCH(TableWRVORP[[#This Row],[RK]],TableWRCalcPts[RK],0)),"")</f>
        <v>189.09800485379998</v>
      </c>
      <c r="T22" s="114">
        <f>IFERROR((TableWRVORP[[#This Row],[FPS]]-INDEX(TableWRVORP[FPS],MATCH(WRVORPCalc,TableWRVORP[RK],0)))/INDEX(TableWRVORP[FPS],MATCH(WRVORPCalc,TableWRVORP[RK],0)),"")</f>
        <v>0.30951877001202283</v>
      </c>
      <c r="V22">
        <v>21</v>
      </c>
      <c r="W22" s="112" t="str">
        <f>IFERROR(INDEX(TableTECalcPts[PLAYER],MATCH(TableTEVORP[[#This Row],[RK]],TableTECalcPts[RK],0)),"")</f>
        <v>Jelani Woods</v>
      </c>
      <c r="X22" s="112" t="str">
        <f>IFERROR(INDEX(TableTECalcPts[TM],MATCH(TableTEVORP[[#This Row],[RK]],TableTECalcPts[RK],0)),"")</f>
        <v>IND</v>
      </c>
      <c r="Y22" s="112">
        <f>IFERROR(INDEX(TableTECalcPts[BYE],MATCH(TableTEVORP[[#This Row],[RK]],TableTECalcPts[RK],0)),"")</f>
        <v>11</v>
      </c>
      <c r="Z22" s="113">
        <f>IFERROR(INDEX(TableTECalcPts[Custom],MATCH(TableTEVORP[[#This Row],[RK]],TableTECalcPts[RK],0)),"")</f>
        <v>89.963733537216015</v>
      </c>
      <c r="AA22" s="114">
        <f>IFERROR((TableTEVORP[[#This Row],[FPS]]-INDEX(TableTEVORP[FPS],MATCH(TEVORPCalc,TableTEVORP[RK],0)))/INDEX(TableTEVORP[FPS],MATCH(TEVORPCalc,TableTEVORP[RK],0)),"")</f>
        <v>-0.31504514128231437</v>
      </c>
      <c r="AF22" t="s">
        <v>9</v>
      </c>
      <c r="AG22">
        <v>21</v>
      </c>
      <c r="AH22" s="83">
        <f>RANK(TableOverallMaster[[#This Row],[VORP]],TableOverallMaster[VORP])+COUNTIF($AM$2:AM22,AM22)-1</f>
        <v>121</v>
      </c>
      <c r="AI22" s="115" t="str">
        <f>IFERROR(INDEX(TableQBVORP[QUARTERBACK],MATCH(TableOverallMaster[[#This Row],[RK]],TableQBVORP[RK],0)),"")</f>
        <v>Matthew Stafford</v>
      </c>
      <c r="AJ22" s="115" t="str">
        <f t="shared" si="0"/>
        <v>QB21</v>
      </c>
      <c r="AK22" s="115">
        <f>IFERROR(INDEX(TableQBVORP[BYE],MATCH(TableOverallMaster[[#This Row],[RK]],TableQBVORP[RK],0)),"")</f>
        <v>10</v>
      </c>
      <c r="AL22" s="116">
        <f>IFERROR(INDEX(TableQBVORP[FPS],MATCH(TableOverallMaster[[#This Row],[RK]],TableQBVORP[RK],0)),"")</f>
        <v>290.96319501864951</v>
      </c>
      <c r="AM22" s="117">
        <f>IFERROR(INDEX(TableQBVORP[VORP],MATCH(TableOverallMaster[[#This Row],[RK]],TableQBVORP[RK],0)),"")</f>
        <v>5.686087760758804E-2</v>
      </c>
      <c r="AO22">
        <v>21</v>
      </c>
      <c r="AP22" s="118" t="str">
        <f>IFERROR(INDEX(TableOverallMaster[OVERALL PLAYER],MATCH(TableOverallRank[[#This Row],[RK]],TableOverallMaster[OVR RK],0)),"")</f>
        <v>Justin Jefferson</v>
      </c>
      <c r="AQ22" s="119" t="str">
        <f>IFERROR(INDEX(TableOverallMaster[POS RK],MATCH(TableOverallRank[[#This Row],[OVERALL PLAYER]],TableOverallMaster[OVERALL PLAYER],0)),"")</f>
        <v>WR4</v>
      </c>
      <c r="AR22" s="120">
        <f>IFERROR(INDEX(TableOverallMaster[BYE],MATCH(TableOverallRank[[#This Row],[OVERALL PLAYER]],TableOverallMaster[OVERALL PLAYER],0)),"")</f>
        <v>13</v>
      </c>
      <c r="AS22" s="119">
        <f>IFERROR(INDEX(TableOverallMaster[Custom],MATCH(TableOverallRank[[#This Row],[OVERALL PLAYER]],TableOverallMaster[OVERALL PLAYER],0)),"")</f>
        <v>244.5777406576</v>
      </c>
      <c r="AT22" s="121">
        <f>IFERROR(INDEX(TableOverallMaster[VORP],MATCH(TableOverallRank[[#This Row],[OVERALL PLAYER]],TableOverallMaster[OVERALL PLAYER],0)),"")</f>
        <v>0.69372036667378811</v>
      </c>
      <c r="AV22">
        <v>21</v>
      </c>
      <c r="AW22" s="122" t="str">
        <f>IFERROR(INDEX(TableWRTECalcPts[PLAYER],MATCH(TableWRTERank[[#This Row],[RK]],TableWRTECalcPts[RK],0)),"")</f>
        <v>Chris Olave</v>
      </c>
      <c r="AX22" s="122" t="str">
        <f>IFERROR(INDEX(TableWRTECalcPts[POS RK],MATCH(TableWRTERank[[#This Row],[WR and TE COMBINED]],TableWRTECalcPts[PLAYER],0)),"")</f>
        <v>WR20</v>
      </c>
      <c r="AY22" s="122">
        <f>IFERROR(INDEX(TableWRTECalcPts[BYE],MATCH(TableWRTERank[[#This Row],[RK]],TableWRTECalcPts[RK],0)),"")</f>
        <v>11</v>
      </c>
      <c r="AZ22" s="123">
        <f>IFERROR(INDEX(TableWRTECalcPts[Custom],MATCH(TableWRTERank[[#This Row],[RK]],TableWRTECalcPts[RK],0)),"")</f>
        <v>190.09510405256719</v>
      </c>
      <c r="BA22" s="174">
        <f>IFERROR((TableWRTERank[[#This Row],[FPS]]-INDEX(TableWRTERank[FPS],MATCH(WRTEVORPCalc,TableWRTERank[RK],0)))/INDEX(TableWRTERank[FPS],MATCH(WRTEVORPCalc,TableWRTERank[RK],0)),"")</f>
        <v>0.27336618926508294</v>
      </c>
      <c r="BC22" t="s">
        <v>223</v>
      </c>
      <c r="BD22">
        <v>21</v>
      </c>
      <c r="BE22" s="83">
        <f>RANK(TableWRTEMaster[[#This Row],[VORP]],TableWRTEMaster[VORP])+COUNTIF($BJ$2:BJ22,BJ22)-1</f>
        <v>24</v>
      </c>
      <c r="BF22" s="115" t="str">
        <f>IFERROR(INDEX(TableWRVORP[WIDE RECEIVER],MATCH(TableWRTEMaster[[#This Row],[RK]],TableWRVORP[RK],0)),"")</f>
        <v>George Pickens</v>
      </c>
      <c r="BG22" s="115" t="str">
        <f>_xlfn.CONCAT(TableWRTEMaster[[#This Row],[POS]],TableWRTEMaster[[#This Row],[RK]])</f>
        <v>WR21</v>
      </c>
      <c r="BH22" s="115">
        <f>IFERROR(INDEX(TableWRVORP[BYE],MATCH(TableWRTEMaster[[#This Row],[RK]],TableWRVORP[RK],0)),"")</f>
        <v>6</v>
      </c>
      <c r="BI22" s="116">
        <f>IFERROR(INDEX(TableWRVORP[FPS],MATCH(TableWRTEMaster[[#This Row],[RK]],TableWRVORP[RK],0)),"")</f>
        <v>189.09800485379998</v>
      </c>
      <c r="BJ22" s="117">
        <f>IFERROR(INDEX(TableWRVORP[VORP],MATCH(TableWRTEMaster[[#This Row],[RK]],TableWRVORP[RK],0)),"")</f>
        <v>0.30951877001202283</v>
      </c>
    </row>
    <row r="23" spans="1:62" x14ac:dyDescent="0.2">
      <c r="A23">
        <v>22</v>
      </c>
      <c r="B23" s="112" t="str">
        <f>IFERROR(INDEX(TableQBCalcPts[PLAYER],MATCH(TableQBVORP[[#This Row],[RK]],TableQBCalcPts[RK],0)),"")</f>
        <v>Baker Mayfield</v>
      </c>
      <c r="C23" s="112" t="str">
        <f>IFERROR(INDEX(TableQBCalcPts[TM],MATCH(TableQBVORP[[#This Row],[RK]],TableQBCalcPts[RK],0)),"")</f>
        <v>TB</v>
      </c>
      <c r="D23" s="112">
        <f>IFERROR(INDEX(TableQBCalcPts[BYE],MATCH(TableQBVORP[[#This Row],[RK]],TableQBCalcPts[RK],0)),"")</f>
        <v>5</v>
      </c>
      <c r="E23" s="113">
        <f>IFERROR(INDEX(TableQBCalcPts[Custom],MATCH(TableQBVORP[[#This Row],[RK]],TableQBCalcPts[RK],0)),"")</f>
        <v>284.69249361643199</v>
      </c>
      <c r="F23" s="114">
        <f>(IFERROR((TableQBVORP[[#This Row],[FPS]]-INDEX(TableQBVORP[FPS],MATCH(QBVORPCalc,TableQBVORP[RK],0)))/INDEX(TableQBVORP[FPS],MATCH(QBVORPCalc,TableQBVORP[RK],0)),""))+(TableRBVORP[[#This Row],[VORP]]*0.45)</f>
        <v>3.7330770856607326E-2</v>
      </c>
      <c r="H23">
        <v>22</v>
      </c>
      <c r="I23" s="112" t="str">
        <f>IFERROR(INDEX(TableRBCalcPts[PLAYER],MATCH(TableRBVORP[[#This Row],[RK]],TableRBCalcPts[RK],0)),"")</f>
        <v>Ezekiel Elliott</v>
      </c>
      <c r="J23" s="112" t="str">
        <f>IFERROR(INDEX(TableRBCalcPts[TM],MATCH(TableRBVORP[[#This Row],[RK]],TableRBCalcPts[RK],0)),"")</f>
        <v>DAL</v>
      </c>
      <c r="K23" s="112">
        <f>IFERROR(INDEX(TableRBCalcPts[BYE],MATCH(TableRBVORP[[#This Row],[RK]],TableRBCalcPts[RK],0)),"")</f>
        <v>7</v>
      </c>
      <c r="L23" s="113">
        <f>IFERROR(INDEX(TableRBCalcPts[Custom],MATCH(TableRBVORP[[#This Row],[RK]],TableRBCalcPts[RK],0)),"")</f>
        <v>182.70860020896004</v>
      </c>
      <c r="M23" s="114">
        <f>IFERROR((TableRBVORP[[#This Row],[FPS]]-INDEX(TableRBVORP[FPS],MATCH(RBVORPCalc,TableRBVORP[RK],0)))/INDEX(TableRBVORP[FPS],MATCH(RBVORPCalc,TableRBVORP[RK],0)),"")</f>
        <v>0.62093430405587791</v>
      </c>
      <c r="O23">
        <v>22</v>
      </c>
      <c r="P23" s="112" t="str">
        <f>IFERROR(INDEX(TableWRCalcPts[PLAYER],MATCH(TableWRVORP[[#This Row],[RK]],TableWRCalcPts[RK],0)),"")</f>
        <v>Amari Cooper</v>
      </c>
      <c r="Q23" s="112" t="str">
        <f>IFERROR(INDEX(TableWRCalcPts[TM],MATCH(TableWRVORP[[#This Row],[RK]],TableWRCalcPts[RK],0)),"")</f>
        <v>CLE</v>
      </c>
      <c r="R23" s="112">
        <f>IFERROR(INDEX(TableWRCalcPts[BYE],MATCH(TableWRVORP[[#This Row],[RK]],TableWRCalcPts[RK],0)),"")</f>
        <v>5</v>
      </c>
      <c r="S23" s="113">
        <f>IFERROR(INDEX(TableWRCalcPts[Custom],MATCH(TableWRVORP[[#This Row],[RK]],TableWRCalcPts[RK],0)),"")</f>
        <v>185.65527934799999</v>
      </c>
      <c r="T23" s="114">
        <f>IFERROR((TableWRVORP[[#This Row],[FPS]]-INDEX(TableWRVORP[FPS],MATCH(WRVORPCalc,TableWRVORP[RK],0)))/INDEX(TableWRVORP[FPS],MATCH(WRVORPCalc,TableWRVORP[RK],0)),"")</f>
        <v>0.28567762122079265</v>
      </c>
      <c r="V23">
        <v>22</v>
      </c>
      <c r="W23" s="112" t="str">
        <f>IFERROR(INDEX(TableTECalcPts[PLAYER],MATCH(TableTEVORP[[#This Row],[RK]],TableTECalcPts[RK],0)),"")</f>
        <v>Juwan Johnson</v>
      </c>
      <c r="X23" s="112" t="str">
        <f>IFERROR(INDEX(TableTECalcPts[TM],MATCH(TableTEVORP[[#This Row],[RK]],TableTECalcPts[RK],0)),"")</f>
        <v>NO</v>
      </c>
      <c r="Y23" s="112">
        <f>IFERROR(INDEX(TableTECalcPts[BYE],MATCH(TableTEVORP[[#This Row],[RK]],TableTECalcPts[RK],0)),"")</f>
        <v>11</v>
      </c>
      <c r="Z23" s="113">
        <f>IFERROR(INDEX(TableTECalcPts[Custom],MATCH(TableTEVORP[[#This Row],[RK]],TableTECalcPts[RK],0)),"")</f>
        <v>88.505673243704607</v>
      </c>
      <c r="AA23" s="114">
        <f>IFERROR((TableTEVORP[[#This Row],[FPS]]-INDEX(TableTEVORP[FPS],MATCH(TEVORPCalc,TableTEVORP[RK],0)))/INDEX(TableTEVORP[FPS],MATCH(TEVORPCalc,TableTEVORP[RK],0)),"")</f>
        <v>-0.32614634221158473</v>
      </c>
      <c r="AF23" t="s">
        <v>9</v>
      </c>
      <c r="AG23">
        <v>22</v>
      </c>
      <c r="AH23" s="83">
        <f>RANK(TableOverallMaster[[#This Row],[VORP]],TableOverallMaster[VORP])+COUNTIF($AM$2:AM23,AM23)-1</f>
        <v>124</v>
      </c>
      <c r="AI23" s="115" t="str">
        <f>IFERROR(INDEX(TableQBVORP[QUARTERBACK],MATCH(TableOverallMaster[[#This Row],[RK]],TableQBVORP[RK],0)),"")</f>
        <v>Baker Mayfield</v>
      </c>
      <c r="AJ23" s="115" t="str">
        <f t="shared" si="0"/>
        <v>QB22</v>
      </c>
      <c r="AK23" s="115">
        <f>IFERROR(INDEX(TableQBVORP[BYE],MATCH(TableOverallMaster[[#This Row],[RK]],TableQBVORP[RK],0)),"")</f>
        <v>5</v>
      </c>
      <c r="AL23" s="116">
        <f>IFERROR(INDEX(TableQBVORP[FPS],MATCH(TableOverallMaster[[#This Row],[RK]],TableQBVORP[RK],0)),"")</f>
        <v>284.69249361643199</v>
      </c>
      <c r="AM23" s="117">
        <f>IFERROR(INDEX(TableQBVORP[VORP],MATCH(TableOverallMaster[[#This Row],[RK]],TableQBVORP[RK],0)),"")</f>
        <v>3.7330770856607326E-2</v>
      </c>
      <c r="AO23">
        <v>22</v>
      </c>
      <c r="AP23" s="118" t="str">
        <f>IFERROR(INDEX(TableOverallMaster[OVERALL PLAYER],MATCH(TableOverallRank[[#This Row],[RK]],TableOverallMaster[OVR RK],0)),"")</f>
        <v>Kenneth Walker</v>
      </c>
      <c r="AQ23" s="119" t="str">
        <f>IFERROR(INDEX(TableOverallMaster[POS RK],MATCH(TableOverallRank[[#This Row],[OVERALL PLAYER]],TableOverallMaster[OVERALL PLAYER],0)),"")</f>
        <v>RB17</v>
      </c>
      <c r="AR23" s="120">
        <f>IFERROR(INDEX(TableOverallMaster[BYE],MATCH(TableOverallRank[[#This Row],[OVERALL PLAYER]],TableOverallMaster[OVERALL PLAYER],0)),"")</f>
        <v>5</v>
      </c>
      <c r="AS23" s="119">
        <f>IFERROR(INDEX(TableOverallMaster[Custom],MATCH(TableOverallRank[[#This Row],[OVERALL PLAYER]],TableOverallMaster[OVERALL PLAYER],0)),"")</f>
        <v>190.67445786002884</v>
      </c>
      <c r="AT23" s="121">
        <f>IFERROR(INDEX(TableOverallMaster[VORP],MATCH(TableOverallRank[[#This Row],[OVERALL PLAYER]],TableOverallMaster[OVERALL PLAYER],0)),"")</f>
        <v>0.69160493430030023</v>
      </c>
      <c r="AV23">
        <v>22</v>
      </c>
      <c r="AW23" s="122" t="str">
        <f>IFERROR(INDEX(TableWRTECalcPts[PLAYER],MATCH(TableWRTERank[[#This Row],[RK]],TableWRTECalcPts[RK],0)),"")</f>
        <v>George Pickens</v>
      </c>
      <c r="AX23" s="122" t="str">
        <f>IFERROR(INDEX(TableWRTECalcPts[POS RK],MATCH(TableWRTERank[[#This Row],[WR and TE COMBINED]],TableWRTECalcPts[PLAYER],0)),"")</f>
        <v>WR21</v>
      </c>
      <c r="AY23" s="122">
        <f>IFERROR(INDEX(TableWRTECalcPts[BYE],MATCH(TableWRTERank[[#This Row],[RK]],TableWRTECalcPts[RK],0)),"")</f>
        <v>6</v>
      </c>
      <c r="AZ23" s="123">
        <f>IFERROR(INDEX(TableWRTECalcPts[Custom],MATCH(TableWRTERank[[#This Row],[RK]],TableWRTECalcPts[RK],0)),"")</f>
        <v>189.09800485379998</v>
      </c>
      <c r="BA23" s="174">
        <f>IFERROR((TableWRTERank[[#This Row],[FPS]]-INDEX(TableWRTERank[FPS],MATCH(WRTEVORPCalc,TableWRTERank[RK],0)))/INDEX(TableWRTERank[FPS],MATCH(WRTEVORPCalc,TableWRTERank[RK],0)),"")</f>
        <v>0.2666870461415316</v>
      </c>
      <c r="BC23" t="s">
        <v>223</v>
      </c>
      <c r="BD23">
        <v>22</v>
      </c>
      <c r="BE23" s="83">
        <f>RANK(TableWRTEMaster[[#This Row],[VORP]],TableWRTEMaster[VORP])+COUNTIF($BJ$2:BJ23,BJ23)-1</f>
        <v>25</v>
      </c>
      <c r="BF23" s="115" t="str">
        <f>IFERROR(INDEX(TableWRVORP[WIDE RECEIVER],MATCH(TableWRTEMaster[[#This Row],[RK]],TableWRVORP[RK],0)),"")</f>
        <v>Amari Cooper</v>
      </c>
      <c r="BG23" s="115" t="str">
        <f>_xlfn.CONCAT(TableWRTEMaster[[#This Row],[POS]],TableWRTEMaster[[#This Row],[RK]])</f>
        <v>WR22</v>
      </c>
      <c r="BH23" s="115">
        <f>IFERROR(INDEX(TableWRVORP[BYE],MATCH(TableWRTEMaster[[#This Row],[RK]],TableWRVORP[RK],0)),"")</f>
        <v>5</v>
      </c>
      <c r="BI23" s="116">
        <f>IFERROR(INDEX(TableWRVORP[FPS],MATCH(TableWRTEMaster[[#This Row],[RK]],TableWRVORP[RK],0)),"")</f>
        <v>185.65527934799999</v>
      </c>
      <c r="BJ23" s="117">
        <f>IFERROR(INDEX(TableWRVORP[VORP],MATCH(TableWRTEMaster[[#This Row],[RK]],TableWRVORP[RK],0)),"")</f>
        <v>0.28567762122079265</v>
      </c>
    </row>
    <row r="24" spans="1:62" x14ac:dyDescent="0.2">
      <c r="A24">
        <v>23</v>
      </c>
      <c r="B24" s="112" t="str">
        <f>IFERROR(INDEX(TableQBCalcPts[PLAYER],MATCH(TableQBVORP[[#This Row],[RK]],TableQBCalcPts[RK],0)),"")</f>
        <v>J.J. McCarthy</v>
      </c>
      <c r="C24" s="112" t="str">
        <f>IFERROR(INDEX(TableQBCalcPts[TM],MATCH(TableQBVORP[[#This Row],[RK]],TableQBCalcPts[RK],0)),"")</f>
        <v>MIN</v>
      </c>
      <c r="D24" s="112">
        <f>IFERROR(INDEX(TableQBCalcPts[BYE],MATCH(TableQBVORP[[#This Row],[RK]],TableQBCalcPts[RK],0)),"")</f>
        <v>13</v>
      </c>
      <c r="E24" s="113">
        <f>IFERROR(INDEX(TableQBCalcPts[Custom],MATCH(TableQBVORP[[#This Row],[RK]],TableQBCalcPts[RK],0)),"")</f>
        <v>284.59812010240006</v>
      </c>
      <c r="F24" s="114">
        <f>(IFERROR((TableQBVORP[[#This Row],[FPS]]-INDEX(TableQBVORP[FPS],MATCH(QBVORPCalc,TableQBVORP[RK],0)))/INDEX(TableQBVORP[FPS],MATCH(QBVORPCalc,TableQBVORP[RK],0)),""))+(TableRBVORP[[#This Row],[VORP]]*0.45)</f>
        <v>3.3994236871382144E-2</v>
      </c>
      <c r="H24">
        <v>23</v>
      </c>
      <c r="I24" s="112" t="str">
        <f>IFERROR(INDEX(TableRBCalcPts[PLAYER],MATCH(TableRBVORP[[#This Row],[RK]],TableRBCalcPts[RK],0)),"")</f>
        <v>D'Andre Swift</v>
      </c>
      <c r="J24" s="112" t="str">
        <f>IFERROR(INDEX(TableRBCalcPts[TM],MATCH(TableRBVORP[[#This Row],[RK]],TableRBCalcPts[RK],0)),"")</f>
        <v>CHI</v>
      </c>
      <c r="K24" s="112">
        <f>IFERROR(INDEX(TableRBCalcPts[BYE],MATCH(TableRBVORP[[#This Row],[RK]],TableRBCalcPts[RK],0)),"")</f>
        <v>13</v>
      </c>
      <c r="L24" s="113">
        <f>IFERROR(INDEX(TableRBCalcPts[Custom],MATCH(TableRBVORP[[#This Row],[RK]],TableRBCalcPts[RK],0)),"")</f>
        <v>181.93578197759999</v>
      </c>
      <c r="M24" s="114">
        <f>IFERROR((TableRBVORP[[#This Row],[FPS]]-INDEX(TableRBVORP[FPS],MATCH(RBVORPCalc,TableRBVORP[RK],0)))/INDEX(TableRBVORP[FPS],MATCH(RBVORPCalc,TableRBVORP[RK],0)),"")</f>
        <v>0.61407809925446943</v>
      </c>
      <c r="O24">
        <v>23</v>
      </c>
      <c r="P24" s="112" t="str">
        <f>IFERROR(INDEX(TableWRCalcPts[PLAYER],MATCH(TableWRVORP[[#This Row],[RK]],TableWRCalcPts[RK],0)),"")</f>
        <v>DeVonta Smith</v>
      </c>
      <c r="Q24" s="112" t="str">
        <f>IFERROR(INDEX(TableWRCalcPts[TM],MATCH(TableWRVORP[[#This Row],[RK]],TableWRCalcPts[RK],0)),"")</f>
        <v>PHI</v>
      </c>
      <c r="R24" s="112">
        <f>IFERROR(INDEX(TableWRCalcPts[BYE],MATCH(TableWRVORP[[#This Row],[RK]],TableWRCalcPts[RK],0)),"")</f>
        <v>10</v>
      </c>
      <c r="S24" s="113">
        <f>IFERROR(INDEX(TableWRCalcPts[Custom],MATCH(TableWRVORP[[#This Row],[RK]],TableWRCalcPts[RK],0)),"")</f>
        <v>184.12883214768004</v>
      </c>
      <c r="T24" s="114">
        <f>IFERROR((TableWRVORP[[#This Row],[FPS]]-INDEX(TableWRVORP[FPS],MATCH(WRVORPCalc,TableWRVORP[RK],0)))/INDEX(TableWRVORP[FPS],MATCH(WRVORPCalc,TableWRVORP[RK],0)),"")</f>
        <v>0.2751068525773227</v>
      </c>
      <c r="V24">
        <v>23</v>
      </c>
      <c r="W24" s="112" t="str">
        <f>IFERROR(INDEX(TableTECalcPts[PLAYER],MATCH(TableTEVORP[[#This Row],[RK]],TableTECalcPts[RK],0)),"")</f>
        <v>Daniel Bellinger</v>
      </c>
      <c r="X24" s="112" t="str">
        <f>IFERROR(INDEX(TableTECalcPts[TM],MATCH(TableTEVORP[[#This Row],[RK]],TableTECalcPts[RK],0)),"")</f>
        <v>NYG</v>
      </c>
      <c r="Y24" s="112">
        <f>IFERROR(INDEX(TableTECalcPts[BYE],MATCH(TableTEVORP[[#This Row],[RK]],TableTECalcPts[RK],0)),"")</f>
        <v>13</v>
      </c>
      <c r="Z24" s="113">
        <f>IFERROR(INDEX(TableTECalcPts[Custom],MATCH(TableTEVORP[[#This Row],[RK]],TableTECalcPts[RK],0)),"")</f>
        <v>87.870440020271985</v>
      </c>
      <c r="AA24" s="114">
        <f>IFERROR((TableTEVORP[[#This Row],[FPS]]-INDEX(TableTEVORP[FPS],MATCH(TEVORPCalc,TableTEVORP[RK],0)))/INDEX(TableTEVORP[FPS],MATCH(TEVORPCalc,TableTEVORP[RK],0)),"")</f>
        <v>-0.33098280314646888</v>
      </c>
      <c r="AF24" t="s">
        <v>9</v>
      </c>
      <c r="AG24">
        <v>23</v>
      </c>
      <c r="AH24" s="83">
        <f>RANK(TableOverallMaster[[#This Row],[VORP]],TableOverallMaster[VORP])+COUNTIF($AM$2:AM24,AM24)-1</f>
        <v>126</v>
      </c>
      <c r="AI24" s="115" t="str">
        <f>IFERROR(INDEX(TableQBVORP[QUARTERBACK],MATCH(TableOverallMaster[[#This Row],[RK]],TableQBVORP[RK],0)),"")</f>
        <v>J.J. McCarthy</v>
      </c>
      <c r="AJ24" s="115" t="str">
        <f t="shared" si="0"/>
        <v>QB23</v>
      </c>
      <c r="AK24" s="115">
        <f>IFERROR(INDEX(TableQBVORP[BYE],MATCH(TableOverallMaster[[#This Row],[RK]],TableQBVORP[RK],0)),"")</f>
        <v>13</v>
      </c>
      <c r="AL24" s="116">
        <f>IFERROR(INDEX(TableQBVORP[FPS],MATCH(TableOverallMaster[[#This Row],[RK]],TableQBVORP[RK],0)),"")</f>
        <v>284.59812010240006</v>
      </c>
      <c r="AM24" s="117">
        <f>IFERROR(INDEX(TableQBVORP[VORP],MATCH(TableOverallMaster[[#This Row],[RK]],TableQBVORP[RK],0)),"")</f>
        <v>3.3994236871382144E-2</v>
      </c>
      <c r="AO24">
        <v>23</v>
      </c>
      <c r="AP24" s="118" t="str">
        <f>IFERROR(INDEX(TableOverallMaster[OVERALL PLAYER],MATCH(TableOverallRank[[#This Row],[RK]],TableOverallMaster[OVR RK],0)),"")</f>
        <v>Zamir White</v>
      </c>
      <c r="AQ24" s="119" t="str">
        <f>IFERROR(INDEX(TableOverallMaster[POS RK],MATCH(TableOverallRank[[#This Row],[OVERALL PLAYER]],TableOverallMaster[OVERALL PLAYER],0)),"")</f>
        <v>RB18</v>
      </c>
      <c r="AR24" s="120">
        <f>IFERROR(INDEX(TableOverallMaster[BYE],MATCH(TableOverallRank[[#This Row],[OVERALL PLAYER]],TableOverallMaster[OVERALL PLAYER],0)),"")</f>
        <v>13</v>
      </c>
      <c r="AS24" s="119">
        <f>IFERROR(INDEX(TableOverallMaster[Custom],MATCH(TableOverallRank[[#This Row],[OVERALL PLAYER]],TableOverallMaster[OVERALL PLAYER],0)),"")</f>
        <v>189.99861955200001</v>
      </c>
      <c r="AT24" s="121">
        <f>IFERROR(INDEX(TableOverallMaster[VORP],MATCH(TableOverallRank[[#This Row],[OVERALL PLAYER]],TableOverallMaster[OVERALL PLAYER],0)),"")</f>
        <v>0.68560910544371589</v>
      </c>
      <c r="AV24">
        <v>23</v>
      </c>
      <c r="AW24" s="122" t="str">
        <f>IFERROR(INDEX(TableWRTECalcPts[PLAYER],MATCH(TableWRTERank[[#This Row],[RK]],TableWRTECalcPts[RK],0)),"")</f>
        <v>Amari Cooper</v>
      </c>
      <c r="AX24" s="122" t="str">
        <f>IFERROR(INDEX(TableWRTECalcPts[POS RK],MATCH(TableWRTERank[[#This Row],[WR and TE COMBINED]],TableWRTECalcPts[PLAYER],0)),"")</f>
        <v>WR22</v>
      </c>
      <c r="AY24" s="122">
        <f>IFERROR(INDEX(TableWRTECalcPts[BYE],MATCH(TableWRTERank[[#This Row],[RK]],TableWRTECalcPts[RK],0)),"")</f>
        <v>5</v>
      </c>
      <c r="AZ24" s="123">
        <f>IFERROR(INDEX(TableWRTECalcPts[Custom],MATCH(TableWRTERank[[#This Row],[RK]],TableWRTECalcPts[RK],0)),"")</f>
        <v>185.65527934799999</v>
      </c>
      <c r="BA24" s="174">
        <f>IFERROR((TableWRTERank[[#This Row],[FPS]]-INDEX(TableWRTERank[FPS],MATCH(WRTEVORPCalc,TableWRTERank[RK],0)))/INDEX(TableWRTERank[FPS],MATCH(WRTEVORPCalc,TableWRTERank[RK],0)),"")</f>
        <v>0.2436256933525931</v>
      </c>
      <c r="BC24" t="s">
        <v>223</v>
      </c>
      <c r="BD24">
        <v>23</v>
      </c>
      <c r="BE24" s="83">
        <f>RANK(TableWRTEMaster[[#This Row],[VORP]],TableWRTEMaster[VORP])+COUNTIF($BJ$2:BJ24,BJ24)-1</f>
        <v>27</v>
      </c>
      <c r="BF24" s="115" t="str">
        <f>IFERROR(INDEX(TableWRVORP[WIDE RECEIVER],MATCH(TableWRTEMaster[[#This Row],[RK]],TableWRVORP[RK],0)),"")</f>
        <v>DeVonta Smith</v>
      </c>
      <c r="BG24" s="115" t="str">
        <f>_xlfn.CONCAT(TableWRTEMaster[[#This Row],[POS]],TableWRTEMaster[[#This Row],[RK]])</f>
        <v>WR23</v>
      </c>
      <c r="BH24" s="115">
        <f>IFERROR(INDEX(TableWRVORP[BYE],MATCH(TableWRTEMaster[[#This Row],[RK]],TableWRVORP[RK],0)),"")</f>
        <v>10</v>
      </c>
      <c r="BI24" s="116">
        <f>IFERROR(INDEX(TableWRVORP[FPS],MATCH(TableWRTEMaster[[#This Row],[RK]],TableWRVORP[RK],0)),"")</f>
        <v>184.12883214768004</v>
      </c>
      <c r="BJ24" s="117">
        <f>IFERROR(INDEX(TableWRVORP[VORP],MATCH(TableWRTEMaster[[#This Row],[RK]],TableWRVORP[RK],0)),"")</f>
        <v>0.2751068525773227</v>
      </c>
    </row>
    <row r="25" spans="1:62" x14ac:dyDescent="0.2">
      <c r="A25">
        <v>24</v>
      </c>
      <c r="B25" s="112" t="str">
        <f>IFERROR(INDEX(TableQBCalcPts[PLAYER],MATCH(TableQBVORP[[#This Row],[RK]],TableQBCalcPts[RK],0)),"")</f>
        <v>Geno Smith</v>
      </c>
      <c r="C25" s="112" t="str">
        <f>IFERROR(INDEX(TableQBCalcPts[TM],MATCH(TableQBVORP[[#This Row],[RK]],TableQBCalcPts[RK],0)),"")</f>
        <v>SEA</v>
      </c>
      <c r="D25" s="112">
        <f>IFERROR(INDEX(TableQBCalcPts[BYE],MATCH(TableQBVORP[[#This Row],[RK]],TableQBCalcPts[RK],0)),"")</f>
        <v>5</v>
      </c>
      <c r="E25" s="113">
        <f>IFERROR(INDEX(TableQBCalcPts[Custom],MATCH(TableQBVORP[[#This Row],[RK]],TableQBCalcPts[RK],0)),"")</f>
        <v>278.21474601614403</v>
      </c>
      <c r="F25" s="114">
        <f>(IFERROR((TableQBVORP[[#This Row],[FPS]]-INDEX(TableQBVORP[FPS],MATCH(QBVORPCalc,TableQBVORP[RK],0)))/INDEX(TableQBVORP[FPS],MATCH(QBVORPCalc,TableQBVORP[RK],0)),""))+(TableRBVORP[[#This Row],[VORP]]*0.45)</f>
        <v>8.6053493567344597E-3</v>
      </c>
      <c r="H25">
        <v>24</v>
      </c>
      <c r="I25" s="112" t="str">
        <f>IFERROR(INDEX(TableRBCalcPts[PLAYER],MATCH(TableRBVORP[[#This Row],[RK]],TableRBCalcPts[RK],0)),"")</f>
        <v>James Cook</v>
      </c>
      <c r="J25" s="112" t="str">
        <f>IFERROR(INDEX(TableRBCalcPts[TM],MATCH(TableRBVORP[[#This Row],[RK]],TableRBCalcPts[RK],0)),"")</f>
        <v>BUF</v>
      </c>
      <c r="K25" s="112">
        <f>IFERROR(INDEX(TableRBCalcPts[BYE],MATCH(TableRBVORP[[#This Row],[RK]],TableRBCalcPts[RK],0)),"")</f>
        <v>13</v>
      </c>
      <c r="L25" s="113">
        <f>IFERROR(INDEX(TableRBCalcPts[Custom],MATCH(TableRBVORP[[#This Row],[RK]],TableRBCalcPts[RK],0)),"")</f>
        <v>179.83295741859843</v>
      </c>
      <c r="M25" s="114">
        <f>IFERROR((TableRBVORP[[#This Row],[FPS]]-INDEX(TableRBVORP[FPS],MATCH(RBVORPCalc,TableRBVORP[RK],0)))/INDEX(TableRBVORP[FPS],MATCH(RBVORPCalc,TableRBVORP[RK],0)),"")</f>
        <v>0.59542248884971283</v>
      </c>
      <c r="O25">
        <v>24</v>
      </c>
      <c r="P25" s="112" t="str">
        <f>IFERROR(INDEX(TableWRCalcPts[PLAYER],MATCH(TableWRVORP[[#This Row],[RK]],TableWRCalcPts[RK],0)),"")</f>
        <v>Malik Nabers</v>
      </c>
      <c r="Q25" s="112" t="str">
        <f>IFERROR(INDEX(TableWRCalcPts[TM],MATCH(TableWRVORP[[#This Row],[RK]],TableWRCalcPts[RK],0)),"")</f>
        <v>NYG</v>
      </c>
      <c r="R25" s="112">
        <f>IFERROR(INDEX(TableWRCalcPts[BYE],MATCH(TableWRVORP[[#This Row],[RK]],TableWRCalcPts[RK],0)),"")</f>
        <v>13</v>
      </c>
      <c r="S25" s="113">
        <f>IFERROR(INDEX(TableWRCalcPts[Custom],MATCH(TableWRVORP[[#This Row],[RK]],TableWRCalcPts[RK],0)),"")</f>
        <v>183.31286653088634</v>
      </c>
      <c r="T25" s="114">
        <f>IFERROR((TableWRVORP[[#This Row],[FPS]]-INDEX(TableWRVORP[FPS],MATCH(WRVORPCalc,TableWRVORP[RK],0)))/INDEX(TableWRVORP[FPS],MATCH(WRVORPCalc,TableWRVORP[RK],0)),"")</f>
        <v>0.26945622558259624</v>
      </c>
      <c r="V25">
        <v>24</v>
      </c>
      <c r="W25" s="112" t="str">
        <f>IFERROR(INDEX(TableTECalcPts[PLAYER],MATCH(TableTEVORP[[#This Row],[RK]],TableTECalcPts[RK],0)),"")</f>
        <v>Cade Otton</v>
      </c>
      <c r="X25" s="112" t="str">
        <f>IFERROR(INDEX(TableTECalcPts[TM],MATCH(TableTEVORP[[#This Row],[RK]],TableTECalcPts[RK],0)),"")</f>
        <v>TB</v>
      </c>
      <c r="Y25" s="112">
        <f>IFERROR(INDEX(TableTECalcPts[BYE],MATCH(TableTEVORP[[#This Row],[RK]],TableTECalcPts[RK],0)),"")</f>
        <v>5</v>
      </c>
      <c r="Z25" s="113">
        <f>IFERROR(INDEX(TableTECalcPts[Custom],MATCH(TableTEVORP[[#This Row],[RK]],TableTECalcPts[RK],0)),"")</f>
        <v>87.511587115490997</v>
      </c>
      <c r="AA25" s="114">
        <f>IFERROR((TableTEVORP[[#This Row],[FPS]]-INDEX(TableTEVORP[FPS],MATCH(TEVORPCalc,TableTEVORP[RK],0)))/INDEX(TableTEVORP[FPS],MATCH(TEVORPCalc,TableTEVORP[RK],0)),"")</f>
        <v>-0.33371499345283284</v>
      </c>
      <c r="AF25" t="s">
        <v>9</v>
      </c>
      <c r="AG25">
        <v>24</v>
      </c>
      <c r="AH25" s="83">
        <f>RANK(TableOverallMaster[[#This Row],[VORP]],TableOverallMaster[VORP])+COUNTIF($AM$2:AM25,AM25)-1</f>
        <v>130</v>
      </c>
      <c r="AI25" s="115" t="str">
        <f>IFERROR(INDEX(TableQBVORP[QUARTERBACK],MATCH(TableOverallMaster[[#This Row],[RK]],TableQBVORP[RK],0)),"")</f>
        <v>Geno Smith</v>
      </c>
      <c r="AJ25" s="115" t="str">
        <f t="shared" si="0"/>
        <v>QB24</v>
      </c>
      <c r="AK25" s="115">
        <f>IFERROR(INDEX(TableQBVORP[BYE],MATCH(TableOverallMaster[[#This Row],[RK]],TableQBVORP[RK],0)),"")</f>
        <v>5</v>
      </c>
      <c r="AL25" s="116">
        <f>IFERROR(INDEX(TableQBVORP[FPS],MATCH(TableOverallMaster[[#This Row],[RK]],TableQBVORP[RK],0)),"")</f>
        <v>278.21474601614403</v>
      </c>
      <c r="AM25" s="117">
        <f>IFERROR(INDEX(TableQBVORP[VORP],MATCH(TableOverallMaster[[#This Row],[RK]],TableQBVORP[RK],0)),"")</f>
        <v>8.6053493567344597E-3</v>
      </c>
      <c r="AO25">
        <v>24</v>
      </c>
      <c r="AP25" s="118" t="str">
        <f>IFERROR(INDEX(TableOverallMaster[OVERALL PLAYER],MATCH(TableOverallRank[[#This Row],[RK]],TableOverallMaster[OVR RK],0)),"")</f>
        <v>Ja'Marr Chase</v>
      </c>
      <c r="AQ25" s="119" t="str">
        <f>IFERROR(INDEX(TableOverallMaster[POS RK],MATCH(TableOverallRank[[#This Row],[OVERALL PLAYER]],TableOverallMaster[OVERALL PLAYER],0)),"")</f>
        <v>WR5</v>
      </c>
      <c r="AR25" s="120">
        <f>IFERROR(INDEX(TableOverallMaster[BYE],MATCH(TableOverallRank[[#This Row],[OVERALL PLAYER]],TableOverallMaster[OVERALL PLAYER],0)),"")</f>
        <v>7</v>
      </c>
      <c r="AS25" s="119">
        <f>IFERROR(INDEX(TableOverallMaster[Custom],MATCH(TableOverallRank[[#This Row],[OVERALL PLAYER]],TableOverallMaster[OVERALL PLAYER],0)),"")</f>
        <v>239.22255571620002</v>
      </c>
      <c r="AT25" s="121">
        <f>IFERROR(INDEX(TableOverallMaster[VORP],MATCH(TableOverallRank[[#This Row],[OVERALL PLAYER]],TableOverallMaster[OVERALL PLAYER],0)),"")</f>
        <v>0.65663528371338964</v>
      </c>
      <c r="AV25">
        <v>24</v>
      </c>
      <c r="AW25" s="122" t="str">
        <f>IFERROR(INDEX(TableWRTECalcPts[PLAYER],MATCH(TableWRTERank[[#This Row],[RK]],TableWRTECalcPts[RK],0)),"")</f>
        <v>DeVonta Smith</v>
      </c>
      <c r="AX25" s="122" t="str">
        <f>IFERROR(INDEX(TableWRTECalcPts[POS RK],MATCH(TableWRTERank[[#This Row],[WR and TE COMBINED]],TableWRTECalcPts[PLAYER],0)),"")</f>
        <v>WR23</v>
      </c>
      <c r="AY25" s="122">
        <f>IFERROR(INDEX(TableWRTECalcPts[BYE],MATCH(TableWRTERank[[#This Row],[RK]],TableWRTECalcPts[RK],0)),"")</f>
        <v>10</v>
      </c>
      <c r="AZ25" s="123">
        <f>IFERROR(INDEX(TableWRTECalcPts[Custom],MATCH(TableWRTERank[[#This Row],[RK]],TableWRTECalcPts[RK],0)),"")</f>
        <v>184.12883214768004</v>
      </c>
      <c r="BA25" s="174">
        <f>IFERROR((TableWRTERank[[#This Row],[FPS]]-INDEX(TableWRTERank[FPS],MATCH(WRTEVORPCalc,TableWRTERank[RK],0)))/INDEX(TableWRTERank[FPS],MATCH(WRTEVORPCalc,TableWRTERank[RK],0)),"")</f>
        <v>0.23340067328028091</v>
      </c>
      <c r="BC25" t="s">
        <v>223</v>
      </c>
      <c r="BD25">
        <v>24</v>
      </c>
      <c r="BE25" s="83">
        <f>RANK(TableWRTEMaster[[#This Row],[VORP]],TableWRTEMaster[VORP])+COUNTIF($BJ$2:BJ25,BJ25)-1</f>
        <v>28</v>
      </c>
      <c r="BF25" s="115" t="str">
        <f>IFERROR(INDEX(TableWRVORP[WIDE RECEIVER],MATCH(TableWRTEMaster[[#This Row],[RK]],TableWRVORP[RK],0)),"")</f>
        <v>Malik Nabers</v>
      </c>
      <c r="BG25" s="115" t="str">
        <f>_xlfn.CONCAT(TableWRTEMaster[[#This Row],[POS]],TableWRTEMaster[[#This Row],[RK]])</f>
        <v>WR24</v>
      </c>
      <c r="BH25" s="115">
        <f>IFERROR(INDEX(TableWRVORP[BYE],MATCH(TableWRTEMaster[[#This Row],[RK]],TableWRVORP[RK],0)),"")</f>
        <v>13</v>
      </c>
      <c r="BI25" s="116">
        <f>IFERROR(INDEX(TableWRVORP[FPS],MATCH(TableWRTEMaster[[#This Row],[RK]],TableWRVORP[RK],0)),"")</f>
        <v>183.31286653088634</v>
      </c>
      <c r="BJ25" s="117">
        <f>IFERROR(INDEX(TableWRVORP[VORP],MATCH(TableWRTEMaster[[#This Row],[RK]],TableWRVORP[RK],0)),"")</f>
        <v>0.26945622558259624</v>
      </c>
    </row>
    <row r="26" spans="1:62" x14ac:dyDescent="0.2">
      <c r="A26">
        <v>25</v>
      </c>
      <c r="B26" s="112" t="str">
        <f>IFERROR(INDEX(TableQBCalcPts[PLAYER],MATCH(TableQBVORP[[#This Row],[RK]],TableQBCalcPts[RK],0)),"")</f>
        <v>Bryce Young</v>
      </c>
      <c r="C26" s="112" t="str">
        <f>IFERROR(INDEX(TableQBCalcPts[TM],MATCH(TableQBVORP[[#This Row],[RK]],TableQBCalcPts[RK],0)),"")</f>
        <v>CAR</v>
      </c>
      <c r="D26" s="112">
        <f>IFERROR(INDEX(TableQBCalcPts[BYE],MATCH(TableQBVORP[[#This Row],[RK]],TableQBCalcPts[RK],0)),"")</f>
        <v>7</v>
      </c>
      <c r="E26" s="113">
        <f>IFERROR(INDEX(TableQBCalcPts[Custom],MATCH(TableQBVORP[[#This Row],[RK]],TableQBCalcPts[RK],0)),"")</f>
        <v>277.64474536199998</v>
      </c>
      <c r="F26" s="114">
        <f>(IFERROR((TableQBVORP[[#This Row],[FPS]]-INDEX(TableQBVORP[FPS],MATCH(QBVORPCalc,TableQBVORP[RK],0)))/INDEX(TableQBVORP[FPS],MATCH(QBVORPCalc,TableQBVORP[RK],0)),""))+(TableRBVORP[[#This Row],[VORP]]*0.45)</f>
        <v>6.7562817808376474E-3</v>
      </c>
      <c r="H26">
        <v>25</v>
      </c>
      <c r="I26" s="112" t="str">
        <f>IFERROR(INDEX(TableRBCalcPts[PLAYER],MATCH(TableRBVORP[[#This Row],[RK]],TableRBCalcPts[RK],0)),"")</f>
        <v>Tyjae Spears</v>
      </c>
      <c r="J26" s="112" t="str">
        <f>IFERROR(INDEX(TableRBCalcPts[TM],MATCH(TableRBVORP[[#This Row],[RK]],TableRBCalcPts[RK],0)),"")</f>
        <v>TEN</v>
      </c>
      <c r="K26" s="112">
        <f>IFERROR(INDEX(TableRBCalcPts[BYE],MATCH(TableRBVORP[[#This Row],[RK]],TableRBCalcPts[RK],0)),"")</f>
        <v>7</v>
      </c>
      <c r="L26" s="113">
        <f>IFERROR(INDEX(TableRBCalcPts[Custom],MATCH(TableRBVORP[[#This Row],[RK]],TableRBCalcPts[RK],0)),"")</f>
        <v>179.74989474634501</v>
      </c>
      <c r="M26" s="114">
        <f>IFERROR((TableRBVORP[[#This Row],[FPS]]-INDEX(TableRBVORP[FPS],MATCH(RBVORPCalc,TableRBVORP[RK],0)))/INDEX(TableRBVORP[FPS],MATCH(RBVORPCalc,TableRBVORP[RK],0)),"")</f>
        <v>0.59468558246058745</v>
      </c>
      <c r="O26">
        <v>25</v>
      </c>
      <c r="P26" s="112" t="str">
        <f>IFERROR(INDEX(TableWRCalcPts[PLAYER],MATCH(TableWRVORP[[#This Row],[RK]],TableWRCalcPts[RK],0)),"")</f>
        <v>Stefon Diggs</v>
      </c>
      <c r="Q26" s="112" t="str">
        <f>IFERROR(INDEX(TableWRCalcPts[TM],MATCH(TableWRVORP[[#This Row],[RK]],TableWRCalcPts[RK],0)),"")</f>
        <v>HOU</v>
      </c>
      <c r="R26" s="112">
        <f>IFERROR(INDEX(TableWRCalcPts[BYE],MATCH(TableWRVORP[[#This Row],[RK]],TableWRCalcPts[RK],0)),"")</f>
        <v>7</v>
      </c>
      <c r="S26" s="113">
        <f>IFERROR(INDEX(TableWRCalcPts[Custom],MATCH(TableWRVORP[[#This Row],[RK]],TableWRCalcPts[RK],0)),"")</f>
        <v>181.51740331712003</v>
      </c>
      <c r="T26" s="114">
        <f>IFERROR((TableWRVORP[[#This Row],[FPS]]-INDEX(TableWRVORP[FPS],MATCH(WRVORPCalc,TableWRVORP[RK],0)))/INDEX(TableWRVORP[FPS],MATCH(WRVORPCalc,TableWRVORP[RK],0)),"")</f>
        <v>0.25702249958368417</v>
      </c>
      <c r="V26">
        <v>25</v>
      </c>
      <c r="W26" s="112" t="str">
        <f>IFERROR(INDEX(TableTECalcPts[PLAYER],MATCH(TableTEVORP[[#This Row],[RK]],TableTECalcPts[RK],0)),"")</f>
        <v>Dalton Schultz</v>
      </c>
      <c r="X26" s="112" t="str">
        <f>IFERROR(INDEX(TableTECalcPts[TM],MATCH(TableTEVORP[[#This Row],[RK]],TableTECalcPts[RK],0)),"")</f>
        <v>HOU</v>
      </c>
      <c r="Y26" s="112">
        <f>IFERROR(INDEX(TableTECalcPts[BYE],MATCH(TableTEVORP[[#This Row],[RK]],TableTECalcPts[RK],0)),"")</f>
        <v>7</v>
      </c>
      <c r="Z26" s="113">
        <f>IFERROR(INDEX(TableTECalcPts[Custom],MATCH(TableTEVORP[[#This Row],[RK]],TableTECalcPts[RK],0)),"")</f>
        <v>86.800296892108804</v>
      </c>
      <c r="AA26" s="114">
        <f>IFERROR((TableTEVORP[[#This Row],[FPS]]-INDEX(TableTEVORP[FPS],MATCH(TEVORPCalc,TableTEVORP[RK],0)))/INDEX(TableTEVORP[FPS],MATCH(TEVORPCalc,TableTEVORP[RK],0)),"")</f>
        <v>-0.33913052786106718</v>
      </c>
      <c r="AF26" t="s">
        <v>9</v>
      </c>
      <c r="AG26">
        <v>25</v>
      </c>
      <c r="AH26" s="83">
        <f>RANK(TableOverallMaster[[#This Row],[VORP]],TableOverallMaster[VORP])+COUNTIF($AM$2:AM26,AM26)-1</f>
        <v>131</v>
      </c>
      <c r="AI26" s="115" t="str">
        <f>IFERROR(INDEX(TableQBVORP[QUARTERBACK],MATCH(TableOverallMaster[[#This Row],[RK]],TableQBVORP[RK],0)),"")</f>
        <v>Bryce Young</v>
      </c>
      <c r="AJ26" s="115" t="str">
        <f t="shared" si="0"/>
        <v>QB25</v>
      </c>
      <c r="AK26" s="115">
        <f>IFERROR(INDEX(TableQBVORP[BYE],MATCH(TableOverallMaster[[#This Row],[RK]],TableQBVORP[RK],0)),"")</f>
        <v>7</v>
      </c>
      <c r="AL26" s="116">
        <f>IFERROR(INDEX(TableQBVORP[FPS],MATCH(TableOverallMaster[[#This Row],[RK]],TableQBVORP[RK],0)),"")</f>
        <v>277.64474536199998</v>
      </c>
      <c r="AM26" s="117">
        <f>IFERROR(INDEX(TableQBVORP[VORP],MATCH(TableOverallMaster[[#This Row],[RK]],TableQBVORP[RK],0)),"")</f>
        <v>6.7562817808376474E-3</v>
      </c>
      <c r="AO26">
        <v>25</v>
      </c>
      <c r="AP26" s="118" t="str">
        <f>IFERROR(INDEX(TableOverallMaster[OVERALL PLAYER],MATCH(TableOverallRank[[#This Row],[RK]],TableOverallMaster[OVR RK],0)),"")</f>
        <v>Nick Chubb</v>
      </c>
      <c r="AQ26" s="119" t="str">
        <f>IFERROR(INDEX(TableOverallMaster[POS RK],MATCH(TableOverallRank[[#This Row],[OVERALL PLAYER]],TableOverallMaster[OVERALL PLAYER],0)),"")</f>
        <v>RB19</v>
      </c>
      <c r="AR26" s="120">
        <f>IFERROR(INDEX(TableOverallMaster[BYE],MATCH(TableOverallRank[[#This Row],[OVERALL PLAYER]],TableOverallMaster[OVERALL PLAYER],0)),"")</f>
        <v>5</v>
      </c>
      <c r="AS26" s="119">
        <f>IFERROR(INDEX(TableOverallMaster[Custom],MATCH(TableOverallRank[[#This Row],[OVERALL PLAYER]],TableOverallMaster[OVERALL PLAYER],0)),"")</f>
        <v>186.48854343350001</v>
      </c>
      <c r="AT26" s="121">
        <f>IFERROR(INDEX(TableOverallMaster[VORP],MATCH(TableOverallRank[[#This Row],[OVERALL PLAYER]],TableOverallMaster[OVERALL PLAYER],0)),"")</f>
        <v>0.65446879358200349</v>
      </c>
      <c r="AV26">
        <v>25</v>
      </c>
      <c r="AW26" s="122" t="str">
        <f>IFERROR(INDEX(TableWRTECalcPts[PLAYER],MATCH(TableWRTERank[[#This Row],[RK]],TableWRTECalcPts[RK],0)),"")</f>
        <v>Sam LaPorta</v>
      </c>
      <c r="AX26" s="122" t="str">
        <f>IFERROR(INDEX(TableWRTECalcPts[POS RK],MATCH(TableWRTERank[[#This Row],[WR and TE COMBINED]],TableWRTECalcPts[PLAYER],0)),"")</f>
        <v>TE2</v>
      </c>
      <c r="AY26" s="122">
        <f>IFERROR(INDEX(TableWRTECalcPts[BYE],MATCH(TableWRTERank[[#This Row],[RK]],TableWRTECalcPts[RK],0)),"")</f>
        <v>9</v>
      </c>
      <c r="AZ26" s="123">
        <f>IFERROR(INDEX(TableWRTECalcPts[Custom],MATCH(TableWRTERank[[#This Row],[RK]],TableWRTECalcPts[RK],0)),"")</f>
        <v>183.65560471586994</v>
      </c>
      <c r="BA26" s="174">
        <f>IFERROR((TableWRTERank[[#This Row],[FPS]]-INDEX(TableWRTERank[FPS],MATCH(WRTEVORPCalc,TableWRTERank[RK],0)))/INDEX(TableWRTERank[FPS],MATCH(WRTEVORPCalc,TableWRTERank[RK],0)),"")</f>
        <v>0.23023072414085913</v>
      </c>
      <c r="BC26" t="s">
        <v>223</v>
      </c>
      <c r="BD26">
        <v>25</v>
      </c>
      <c r="BE26" s="83">
        <f>RANK(TableWRTEMaster[[#This Row],[VORP]],TableWRTEMaster[VORP])+COUNTIF($BJ$2:BJ26,BJ26)-1</f>
        <v>29</v>
      </c>
      <c r="BF26" s="115" t="str">
        <f>IFERROR(INDEX(TableWRVORP[WIDE RECEIVER],MATCH(TableWRTEMaster[[#This Row],[RK]],TableWRVORP[RK],0)),"")</f>
        <v>Stefon Diggs</v>
      </c>
      <c r="BG26" s="115" t="str">
        <f>_xlfn.CONCAT(TableWRTEMaster[[#This Row],[POS]],TableWRTEMaster[[#This Row],[RK]])</f>
        <v>WR25</v>
      </c>
      <c r="BH26" s="115">
        <f>IFERROR(INDEX(TableWRVORP[BYE],MATCH(TableWRTEMaster[[#This Row],[RK]],TableWRVORP[RK],0)),"")</f>
        <v>7</v>
      </c>
      <c r="BI26" s="116">
        <f>IFERROR(INDEX(TableWRVORP[FPS],MATCH(TableWRTEMaster[[#This Row],[RK]],TableWRVORP[RK],0)),"")</f>
        <v>181.51740331712003</v>
      </c>
      <c r="BJ26" s="117">
        <f>IFERROR(INDEX(TableWRVORP[VORP],MATCH(TableWRTEMaster[[#This Row],[RK]],TableWRVORP[RK],0)),"")</f>
        <v>0.25702249958368417</v>
      </c>
    </row>
    <row r="27" spans="1:62" x14ac:dyDescent="0.2">
      <c r="A27">
        <v>26</v>
      </c>
      <c r="B27" s="112" t="str">
        <f>IFERROR(INDEX(TableQBCalcPts[PLAYER],MATCH(TableQBVORP[[#This Row],[RK]],TableQBCalcPts[RK],0)),"")</f>
        <v>Will Levis</v>
      </c>
      <c r="C27" s="112" t="str">
        <f>IFERROR(INDEX(TableQBCalcPts[TM],MATCH(TableQBVORP[[#This Row],[RK]],TableQBCalcPts[RK],0)),"")</f>
        <v>TEN</v>
      </c>
      <c r="D27" s="112">
        <f>IFERROR(INDEX(TableQBCalcPts[BYE],MATCH(TableQBVORP[[#This Row],[RK]],TableQBCalcPts[RK],0)),"")</f>
        <v>7</v>
      </c>
      <c r="E27" s="113">
        <f>IFERROR(INDEX(TableQBCalcPts[Custom],MATCH(TableQBVORP[[#This Row],[RK]],TableQBCalcPts[RK],0)),"")</f>
        <v>272.57225312459991</v>
      </c>
      <c r="F27" s="114">
        <f>(IFERROR((TableQBVORP[[#This Row],[FPS]]-INDEX(TableQBVORP[FPS],MATCH(QBVORPCalc,TableQBVORP[RK],0)))/INDEX(TableQBVORP[FPS],MATCH(QBVORPCalc,TableQBVORP[RK],0)),""))+(TableRBVORP[[#This Row],[VORP]]*0.45)</f>
        <v>-4.8997504188368124E-2</v>
      </c>
      <c r="H27">
        <v>26</v>
      </c>
      <c r="I27" s="112" t="str">
        <f>IFERROR(INDEX(TableRBCalcPts[PLAYER],MATCH(TableRBVORP[[#This Row],[RK]],TableRBCalcPts[RK],0)),"")</f>
        <v>David Montgomery</v>
      </c>
      <c r="J27" s="112" t="str">
        <f>IFERROR(INDEX(TableRBCalcPts[TM],MATCH(TableRBVORP[[#This Row],[RK]],TableRBCalcPts[RK],0)),"")</f>
        <v>DET</v>
      </c>
      <c r="K27" s="112">
        <f>IFERROR(INDEX(TableRBCalcPts[BYE],MATCH(TableRBVORP[[#This Row],[RK]],TableRBCalcPts[RK],0)),"")</f>
        <v>9</v>
      </c>
      <c r="L27" s="113">
        <f>IFERROR(INDEX(TableRBCalcPts[Custom],MATCH(TableRBVORP[[#This Row],[RK]],TableRBCalcPts[RK],0)),"")</f>
        <v>169.16697923389603</v>
      </c>
      <c r="M27" s="114">
        <f>IFERROR((TableRBVORP[[#This Row],[FPS]]-INDEX(TableRBVORP[FPS],MATCH(RBVORPCalc,TableRBVORP[RK],0)))/INDEX(TableRBVORP[FPS],MATCH(RBVORPCalc,TableRBVORP[RK],0)),"")</f>
        <v>0.50079722268203997</v>
      </c>
      <c r="O27">
        <v>26</v>
      </c>
      <c r="P27" s="112" t="str">
        <f>IFERROR(INDEX(TableWRCalcPts[PLAYER],MATCH(TableWRVORP[[#This Row],[RK]],TableWRCalcPts[RK],0)),"")</f>
        <v>Davante Adams</v>
      </c>
      <c r="Q27" s="112" t="str">
        <f>IFERROR(INDEX(TableWRCalcPts[TM],MATCH(TableWRVORP[[#This Row],[RK]],TableWRCalcPts[RK],0)),"")</f>
        <v>LV</v>
      </c>
      <c r="R27" s="112">
        <f>IFERROR(INDEX(TableWRCalcPts[BYE],MATCH(TableWRVORP[[#This Row],[RK]],TableWRCalcPts[RK],0)),"")</f>
        <v>13</v>
      </c>
      <c r="S27" s="113">
        <f>IFERROR(INDEX(TableWRCalcPts[Custom],MATCH(TableWRVORP[[#This Row],[RK]],TableWRCalcPts[RK],0)),"")</f>
        <v>181.43058009999996</v>
      </c>
      <c r="T27" s="114">
        <f>IFERROR((TableWRVORP[[#This Row],[FPS]]-INDEX(TableWRVORP[FPS],MATCH(WRVORPCalc,TableWRVORP[RK],0)))/INDEX(TableWRVORP[FPS],MATCH(WRVORPCalc,TableWRVORP[RK],0)),"")</f>
        <v>0.25642124187829768</v>
      </c>
      <c r="V27">
        <v>26</v>
      </c>
      <c r="W27" s="112" t="str">
        <f>IFERROR(INDEX(TableTECalcPts[PLAYER],MATCH(TableTEVORP[[#This Row],[RK]],TableTECalcPts[RK],0)),"")</f>
        <v>Tyler Conklin</v>
      </c>
      <c r="X27" s="112" t="str">
        <f>IFERROR(INDEX(TableTECalcPts[TM],MATCH(TableTEVORP[[#This Row],[RK]],TableTECalcPts[RK],0)),"")</f>
        <v>NYJ</v>
      </c>
      <c r="Y27" s="112">
        <f>IFERROR(INDEX(TableTECalcPts[BYE],MATCH(TableTEVORP[[#This Row],[RK]],TableTECalcPts[RK],0)),"")</f>
        <v>7</v>
      </c>
      <c r="Z27" s="113">
        <f>IFERROR(INDEX(TableTECalcPts[Custom],MATCH(TableTEVORP[[#This Row],[RK]],TableTECalcPts[RK],0)),"")</f>
        <v>82.599242709983983</v>
      </c>
      <c r="AA27" s="114">
        <f>IFERROR((TableTEVORP[[#This Row],[FPS]]-INDEX(TableTEVORP[FPS],MATCH(TEVORPCalc,TableTEVORP[RK],0)))/INDEX(TableTEVORP[FPS],MATCH(TEVORPCalc,TableTEVORP[RK],0)),"")</f>
        <v>-0.37111599979117865</v>
      </c>
      <c r="AF27" t="s">
        <v>9</v>
      </c>
      <c r="AG27">
        <v>26</v>
      </c>
      <c r="AH27" s="83">
        <f>RANK(TableOverallMaster[[#This Row],[VORP]],TableOverallMaster[VORP])+COUNTIF($AM$2:AM27,AM27)-1</f>
        <v>147</v>
      </c>
      <c r="AI27" s="115" t="str">
        <f>IFERROR(INDEX(TableQBVORP[QUARTERBACK],MATCH(TableOverallMaster[[#This Row],[RK]],TableQBVORP[RK],0)),"")</f>
        <v>Will Levis</v>
      </c>
      <c r="AJ27" s="115" t="str">
        <f t="shared" si="0"/>
        <v>QB26</v>
      </c>
      <c r="AK27" s="115">
        <f>IFERROR(INDEX(TableQBVORP[BYE],MATCH(TableOverallMaster[[#This Row],[RK]],TableQBVORP[RK],0)),"")</f>
        <v>7</v>
      </c>
      <c r="AL27" s="116">
        <f>IFERROR(INDEX(TableQBVORP[FPS],MATCH(TableOverallMaster[[#This Row],[RK]],TableQBVORP[RK],0)),"")</f>
        <v>272.57225312459991</v>
      </c>
      <c r="AM27" s="117">
        <f>IFERROR(INDEX(TableQBVORP[VORP],MATCH(TableOverallMaster[[#This Row],[RK]],TableQBVORP[RK],0)),"")</f>
        <v>-4.8997504188368124E-2</v>
      </c>
      <c r="AO27">
        <v>26</v>
      </c>
      <c r="AP27" s="118" t="str">
        <f>IFERROR(INDEX(TableOverallMaster[OVERALL PLAYER],MATCH(TableOverallRank[[#This Row],[RK]],TableOverallMaster[OVR RK],0)),"")</f>
        <v>Alvin Kamara</v>
      </c>
      <c r="AQ27" s="119" t="str">
        <f>IFERROR(INDEX(TableOverallMaster[POS RK],MATCH(TableOverallRank[[#This Row],[OVERALL PLAYER]],TableOverallMaster[OVERALL PLAYER],0)),"")</f>
        <v>RB20</v>
      </c>
      <c r="AR27" s="120">
        <f>IFERROR(INDEX(TableOverallMaster[BYE],MATCH(TableOverallRank[[#This Row],[OVERALL PLAYER]],TableOverallMaster[OVERALL PLAYER],0)),"")</f>
        <v>11</v>
      </c>
      <c r="AS27" s="119">
        <f>IFERROR(INDEX(TableOverallMaster[Custom],MATCH(TableOverallRank[[#This Row],[OVERALL PLAYER]],TableOverallMaster[OVERALL PLAYER],0)),"")</f>
        <v>186.30770878732321</v>
      </c>
      <c r="AT27" s="121">
        <f>IFERROR(INDEX(TableOverallMaster[VORP],MATCH(TableOverallRank[[#This Row],[OVERALL PLAYER]],TableOverallMaster[OVERALL PLAYER],0)),"")</f>
        <v>0.65286448441968414</v>
      </c>
      <c r="AV27">
        <v>26</v>
      </c>
      <c r="AW27" s="122" t="str">
        <f>IFERROR(INDEX(TableWRTECalcPts[PLAYER],MATCH(TableWRTERank[[#This Row],[RK]],TableWRTECalcPts[RK],0)),"")</f>
        <v>Malik Nabers</v>
      </c>
      <c r="AX27" s="122" t="str">
        <f>IFERROR(INDEX(TableWRTECalcPts[POS RK],MATCH(TableWRTERank[[#This Row],[WR and TE COMBINED]],TableWRTECalcPts[PLAYER],0)),"")</f>
        <v>WR24</v>
      </c>
      <c r="AY27" s="122">
        <f>IFERROR(INDEX(TableWRTECalcPts[BYE],MATCH(TableWRTERank[[#This Row],[RK]],TableWRTECalcPts[RK],0)),"")</f>
        <v>13</v>
      </c>
      <c r="AZ27" s="123">
        <f>IFERROR(INDEX(TableWRTECalcPts[Custom],MATCH(TableWRTERank[[#This Row],[RK]],TableWRTECalcPts[RK],0)),"")</f>
        <v>183.31286653088634</v>
      </c>
      <c r="BA27" s="174">
        <f>IFERROR((TableWRTERank[[#This Row],[FPS]]-INDEX(TableWRTERank[FPS],MATCH(WRTEVORPCalc,TableWRTERank[RK],0)))/INDEX(TableWRTERank[FPS],MATCH(WRTEVORPCalc,TableWRTERank[RK],0)),"")</f>
        <v>0.22793486692400247</v>
      </c>
      <c r="BC27" t="s">
        <v>223</v>
      </c>
      <c r="BD27">
        <v>26</v>
      </c>
      <c r="BE27" s="83">
        <f>RANK(TableWRTEMaster[[#This Row],[VORP]],TableWRTEMaster[VORP])+COUNTIF($BJ$2:BJ27,BJ27)-1</f>
        <v>30</v>
      </c>
      <c r="BF27" s="115" t="str">
        <f>IFERROR(INDEX(TableWRVORP[WIDE RECEIVER],MATCH(TableWRTEMaster[[#This Row],[RK]],TableWRVORP[RK],0)),"")</f>
        <v>Davante Adams</v>
      </c>
      <c r="BG27" s="115" t="str">
        <f>_xlfn.CONCAT(TableWRTEMaster[[#This Row],[POS]],TableWRTEMaster[[#This Row],[RK]])</f>
        <v>WR26</v>
      </c>
      <c r="BH27" s="115">
        <f>IFERROR(INDEX(TableWRVORP[BYE],MATCH(TableWRTEMaster[[#This Row],[RK]],TableWRVORP[RK],0)),"")</f>
        <v>13</v>
      </c>
      <c r="BI27" s="116">
        <f>IFERROR(INDEX(TableWRVORP[FPS],MATCH(TableWRTEMaster[[#This Row],[RK]],TableWRVORP[RK],0)),"")</f>
        <v>181.43058009999996</v>
      </c>
      <c r="BJ27" s="117">
        <f>IFERROR(INDEX(TableWRVORP[VORP],MATCH(TableWRTEMaster[[#This Row],[RK]],TableWRVORP[RK],0)),"")</f>
        <v>0.25642124187829768</v>
      </c>
    </row>
    <row r="28" spans="1:62" x14ac:dyDescent="0.2">
      <c r="A28">
        <v>27</v>
      </c>
      <c r="B28" s="112" t="str">
        <f>IFERROR(INDEX(TableQBCalcPts[PLAYER],MATCH(TableQBVORP[[#This Row],[RK]],TableQBCalcPts[RK],0)),"")</f>
        <v>Derek Carr</v>
      </c>
      <c r="C28" s="112" t="str">
        <f>IFERROR(INDEX(TableQBCalcPts[TM],MATCH(TableQBVORP[[#This Row],[RK]],TableQBCalcPts[RK],0)),"")</f>
        <v>NO</v>
      </c>
      <c r="D28" s="112">
        <f>IFERROR(INDEX(TableQBCalcPts[BYE],MATCH(TableQBVORP[[#This Row],[RK]],TableQBCalcPts[RK],0)),"")</f>
        <v>11</v>
      </c>
      <c r="E28" s="113">
        <f>IFERROR(INDEX(TableQBCalcPts[Custom],MATCH(TableQBVORP[[#This Row],[RK]],TableQBCalcPts[RK],0)),"")</f>
        <v>257.64070224111998</v>
      </c>
      <c r="F28" s="114">
        <f>(IFERROR((TableQBVORP[[#This Row],[FPS]]-INDEX(TableQBVORP[FPS],MATCH(QBVORPCalc,TableQBVORP[RK],0)))/INDEX(TableQBVORP[FPS],MATCH(QBVORPCalc,TableQBVORP[RK],0)),""))+(TableRBVORP[[#This Row],[VORP]]*0.45)</f>
        <v>-0.10398417891918801</v>
      </c>
      <c r="H28">
        <v>27</v>
      </c>
      <c r="I28" s="112" t="str">
        <f>IFERROR(INDEX(TableRBCalcPts[PLAYER],MATCH(TableRBVORP[[#This Row],[RK]],TableRBCalcPts[RK],0)),"")</f>
        <v>Brian Robinson</v>
      </c>
      <c r="J28" s="112" t="str">
        <f>IFERROR(INDEX(TableRBCalcPts[TM],MATCH(TableRBVORP[[#This Row],[RK]],TableRBCalcPts[RK],0)),"")</f>
        <v>WSH</v>
      </c>
      <c r="K28" s="112">
        <f>IFERROR(INDEX(TableRBCalcPts[BYE],MATCH(TableRBVORP[[#This Row],[RK]],TableRBCalcPts[RK],0)),"")</f>
        <v>14</v>
      </c>
      <c r="L28" s="113">
        <f>IFERROR(INDEX(TableRBCalcPts[Custom],MATCH(TableRBVORP[[#This Row],[RK]],TableRBCalcPts[RK],0)),"")</f>
        <v>165.35064661466396</v>
      </c>
      <c r="M28" s="114">
        <f>IFERROR((TableRBVORP[[#This Row],[FPS]]-INDEX(TableRBVORP[FPS],MATCH(RBVORPCalc,TableRBVORP[RK],0)))/INDEX(TableRBVORP[FPS],MATCH(RBVORPCalc,TableRBVORP[RK],0)),"")</f>
        <v>0.46693989767858723</v>
      </c>
      <c r="O28">
        <v>27</v>
      </c>
      <c r="P28" s="112" t="str">
        <f>IFERROR(INDEX(TableWRCalcPts[PLAYER],MATCH(TableWRVORP[[#This Row],[RK]],TableWRCalcPts[RK],0)),"")</f>
        <v>DeAndre Hopkins</v>
      </c>
      <c r="Q28" s="112" t="str">
        <f>IFERROR(INDEX(TableWRCalcPts[TM],MATCH(TableWRVORP[[#This Row],[RK]],TableWRCalcPts[RK],0)),"")</f>
        <v>TEN</v>
      </c>
      <c r="R28" s="112">
        <f>IFERROR(INDEX(TableWRCalcPts[BYE],MATCH(TableWRVORP[[#This Row],[RK]],TableWRCalcPts[RK],0)),"")</f>
        <v>7</v>
      </c>
      <c r="S28" s="113">
        <f>IFERROR(INDEX(TableWRCalcPts[Custom],MATCH(TableWRVORP[[#This Row],[RK]],TableWRCalcPts[RK],0)),"")</f>
        <v>180.79272407195992</v>
      </c>
      <c r="T28" s="114">
        <f>IFERROR((TableWRVORP[[#This Row],[FPS]]-INDEX(TableWRVORP[FPS],MATCH(WRVORPCalc,TableWRVORP[RK],0)))/INDEX(TableWRVORP[FPS],MATCH(WRVORPCalc,TableWRVORP[RK],0)),"")</f>
        <v>0.2520040379954247</v>
      </c>
      <c r="V28">
        <v>27</v>
      </c>
      <c r="W28" s="112" t="str">
        <f>IFERROR(INDEX(TableTECalcPts[PLAYER],MATCH(TableTEVORP[[#This Row],[RK]],TableTECalcPts[RK],0)),"")</f>
        <v>Noah Fant</v>
      </c>
      <c r="X28" s="112" t="str">
        <f>IFERROR(INDEX(TableTECalcPts[TM],MATCH(TableTEVORP[[#This Row],[RK]],TableTECalcPts[RK],0)),"")</f>
        <v>SEA</v>
      </c>
      <c r="Y28" s="112">
        <f>IFERROR(INDEX(TableTECalcPts[BYE],MATCH(TableTEVORP[[#This Row],[RK]],TableTECalcPts[RK],0)),"")</f>
        <v>5</v>
      </c>
      <c r="Z28" s="113">
        <f>IFERROR(INDEX(TableTECalcPts[Custom],MATCH(TableTEVORP[[#This Row],[RK]],TableTECalcPts[RK],0)),"")</f>
        <v>77.518260897461985</v>
      </c>
      <c r="AA28" s="114">
        <f>IFERROR((TableTEVORP[[#This Row],[FPS]]-INDEX(TableTEVORP[FPS],MATCH(TEVORPCalc,TableTEVORP[RK],0)))/INDEX(TableTEVORP[FPS],MATCH(TEVORPCalc,TableTEVORP[RK],0)),"")</f>
        <v>-0.40980095697010049</v>
      </c>
      <c r="AF28" t="s">
        <v>9</v>
      </c>
      <c r="AG28">
        <v>27</v>
      </c>
      <c r="AH28" s="83">
        <f>RANK(TableOverallMaster[[#This Row],[VORP]],TableOverallMaster[VORP])+COUNTIF($AM$2:AM28,AM28)-1</f>
        <v>154</v>
      </c>
      <c r="AI28" s="115" t="str">
        <f>IFERROR(INDEX(TableQBVORP[QUARTERBACK],MATCH(TableOverallMaster[[#This Row],[RK]],TableQBVORP[RK],0)),"")</f>
        <v>Derek Carr</v>
      </c>
      <c r="AJ28" s="115" t="str">
        <f t="shared" si="0"/>
        <v>QB27</v>
      </c>
      <c r="AK28" s="115">
        <f>IFERROR(INDEX(TableQBVORP[BYE],MATCH(TableOverallMaster[[#This Row],[RK]],TableQBVORP[RK],0)),"")</f>
        <v>11</v>
      </c>
      <c r="AL28" s="116">
        <f>IFERROR(INDEX(TableQBVORP[FPS],MATCH(TableOverallMaster[[#This Row],[RK]],TableQBVORP[RK],0)),"")</f>
        <v>257.64070224111998</v>
      </c>
      <c r="AM28" s="117">
        <f>IFERROR(INDEX(TableQBVORP[VORP],MATCH(TableOverallMaster[[#This Row],[RK]],TableQBVORP[RK],0)),"")</f>
        <v>-0.10398417891918801</v>
      </c>
      <c r="AO28">
        <v>27</v>
      </c>
      <c r="AP28" s="118" t="str">
        <f>IFERROR(INDEX(TableOverallMaster[OVERALL PLAYER],MATCH(TableOverallRank[[#This Row],[RK]],TableOverallMaster[OVR RK],0)),"")</f>
        <v>James Conner</v>
      </c>
      <c r="AQ28" s="119" t="str">
        <f>IFERROR(INDEX(TableOverallMaster[POS RK],MATCH(TableOverallRank[[#This Row],[OVERALL PLAYER]],TableOverallMaster[OVERALL PLAYER],0)),"")</f>
        <v>RB21</v>
      </c>
      <c r="AR28" s="120">
        <f>IFERROR(INDEX(TableOverallMaster[BYE],MATCH(TableOverallRank[[#This Row],[OVERALL PLAYER]],TableOverallMaster[OVERALL PLAYER],0)),"")</f>
        <v>14</v>
      </c>
      <c r="AS28" s="119">
        <f>IFERROR(INDEX(TableOverallMaster[Custom],MATCH(TableOverallRank[[#This Row],[OVERALL PLAYER]],TableOverallMaster[OVERALL PLAYER],0)),"")</f>
        <v>183.41902516644001</v>
      </c>
      <c r="AT28" s="121">
        <f>IFERROR(INDEX(TableOverallMaster[VORP],MATCH(TableOverallRank[[#This Row],[OVERALL PLAYER]],TableOverallMaster[OVERALL PLAYER],0)),"")</f>
        <v>0.62723697499046838</v>
      </c>
      <c r="AV28">
        <v>27</v>
      </c>
      <c r="AW28" s="122" t="str">
        <f>IFERROR(INDEX(TableWRTECalcPts[PLAYER],MATCH(TableWRTERank[[#This Row],[RK]],TableWRTECalcPts[RK],0)),"")</f>
        <v>Mark Andrews</v>
      </c>
      <c r="AX28" s="122" t="str">
        <f>IFERROR(INDEX(TableWRTECalcPts[POS RK],MATCH(TableWRTERank[[#This Row],[WR and TE COMBINED]],TableWRTECalcPts[PLAYER],0)),"")</f>
        <v>TE3</v>
      </c>
      <c r="AY28" s="122">
        <f>IFERROR(INDEX(TableWRTECalcPts[BYE],MATCH(TableWRTERank[[#This Row],[RK]],TableWRTECalcPts[RK],0)),"")</f>
        <v>13</v>
      </c>
      <c r="AZ28" s="123">
        <f>IFERROR(INDEX(TableWRTECalcPts[Custom],MATCH(TableWRTERank[[#This Row],[RK]],TableWRTECalcPts[RK],0)),"")</f>
        <v>181.76200187228162</v>
      </c>
      <c r="BA28" s="174">
        <f>IFERROR((TableWRTERank[[#This Row],[FPS]]-INDEX(TableWRTERank[FPS],MATCH(WRTEVORPCalc,TableWRTERank[RK],0)))/INDEX(TableWRTERank[FPS],MATCH(WRTEVORPCalc,TableWRTERank[RK],0)),"")</f>
        <v>0.21754628469177786</v>
      </c>
      <c r="BC28" t="s">
        <v>223</v>
      </c>
      <c r="BD28">
        <v>27</v>
      </c>
      <c r="BE28" s="83">
        <f>RANK(TableWRTEMaster[[#This Row],[VORP]],TableWRTEMaster[VORP])+COUNTIF($BJ$2:BJ28,BJ28)-1</f>
        <v>31</v>
      </c>
      <c r="BF28" s="115" t="str">
        <f>IFERROR(INDEX(TableWRVORP[WIDE RECEIVER],MATCH(TableWRTEMaster[[#This Row],[RK]],TableWRVORP[RK],0)),"")</f>
        <v>DeAndre Hopkins</v>
      </c>
      <c r="BG28" s="115" t="str">
        <f>_xlfn.CONCAT(TableWRTEMaster[[#This Row],[POS]],TableWRTEMaster[[#This Row],[RK]])</f>
        <v>WR27</v>
      </c>
      <c r="BH28" s="115">
        <f>IFERROR(INDEX(TableWRVORP[BYE],MATCH(TableWRTEMaster[[#This Row],[RK]],TableWRVORP[RK],0)),"")</f>
        <v>7</v>
      </c>
      <c r="BI28" s="116">
        <f>IFERROR(INDEX(TableWRVORP[FPS],MATCH(TableWRTEMaster[[#This Row],[RK]],TableWRVORP[RK],0)),"")</f>
        <v>180.79272407195992</v>
      </c>
      <c r="BJ28" s="117">
        <f>IFERROR(INDEX(TableWRVORP[VORP],MATCH(TableWRTEMaster[[#This Row],[RK]],TableWRVORP[RK],0)),"")</f>
        <v>0.2520040379954247</v>
      </c>
    </row>
    <row r="29" spans="1:62" x14ac:dyDescent="0.2">
      <c r="A29">
        <v>28</v>
      </c>
      <c r="B29" s="112" t="str">
        <f>IFERROR(INDEX(TableQBCalcPts[PLAYER],MATCH(TableQBVORP[[#This Row],[RK]],TableQBCalcPts[RK],0)),"")</f>
        <v>Drake Maye</v>
      </c>
      <c r="C29" s="112" t="str">
        <f>IFERROR(INDEX(TableQBCalcPts[TM],MATCH(TableQBVORP[[#This Row],[RK]],TableQBCalcPts[RK],0)),"")</f>
        <v>NE</v>
      </c>
      <c r="D29" s="112">
        <f>IFERROR(INDEX(TableQBCalcPts[BYE],MATCH(TableQBVORP[[#This Row],[RK]],TableQBCalcPts[RK],0)),"")</f>
        <v>11</v>
      </c>
      <c r="E29" s="113">
        <f>IFERROR(INDEX(TableQBCalcPts[Custom],MATCH(TableQBVORP[[#This Row],[RK]],TableQBCalcPts[RK],0)),"")</f>
        <v>239.09473180042801</v>
      </c>
      <c r="F29" s="114">
        <f>(IFERROR((TableQBVORP[[#This Row],[FPS]]-INDEX(TableQBVORP[FPS],MATCH(QBVORPCalc,TableQBVORP[RK],0)))/INDEX(TableQBVORP[FPS],MATCH(QBVORPCalc,TableQBVORP[RK],0)),""))+(TableRBVORP[[#This Row],[VORP]]*0.45)</f>
        <v>-0.15708868450737629</v>
      </c>
      <c r="H29">
        <v>28</v>
      </c>
      <c r="I29" s="112" t="str">
        <f>IFERROR(INDEX(TableRBCalcPts[PLAYER],MATCH(TableRBVORP[[#This Row],[RK]],TableRBCalcPts[RK],0)),"")</f>
        <v>Gus Edwards</v>
      </c>
      <c r="J29" s="112" t="str">
        <f>IFERROR(INDEX(TableRBCalcPts[TM],MATCH(TableRBVORP[[#This Row],[RK]],TableRBCalcPts[RK],0)),"")</f>
        <v>LAC</v>
      </c>
      <c r="K29" s="112">
        <f>IFERROR(INDEX(TableRBCalcPts[BYE],MATCH(TableRBVORP[[#This Row],[RK]],TableRBCalcPts[RK],0)),"")</f>
        <v>5</v>
      </c>
      <c r="L29" s="113">
        <f>IFERROR(INDEX(TableRBCalcPts[Custom],MATCH(TableRBVORP[[#This Row],[RK]],TableRBCalcPts[RK],0)),"")</f>
        <v>164.41601479424801</v>
      </c>
      <c r="M29" s="114">
        <f>IFERROR((TableRBVORP[[#This Row],[FPS]]-INDEX(TableRBVORP[FPS],MATCH(RBVORPCalc,TableRBVORP[RK],0)))/INDEX(TableRBVORP[FPS],MATCH(RBVORPCalc,TableRBVORP[RK],0)),"")</f>
        <v>0.45864813266237148</v>
      </c>
      <c r="O29">
        <v>28</v>
      </c>
      <c r="P29" s="112" t="str">
        <f>IFERROR(INDEX(TableWRCalcPts[PLAYER],MATCH(TableWRVORP[[#This Row],[RK]],TableWRCalcPts[RK],0)),"")</f>
        <v>Jordan Addison</v>
      </c>
      <c r="Q29" s="112" t="str">
        <f>IFERROR(INDEX(TableWRCalcPts[TM],MATCH(TableWRVORP[[#This Row],[RK]],TableWRCalcPts[RK],0)),"")</f>
        <v>MIN</v>
      </c>
      <c r="R29" s="112">
        <f>IFERROR(INDEX(TableWRCalcPts[BYE],MATCH(TableWRVORP[[#This Row],[RK]],TableWRCalcPts[RK],0)),"")</f>
        <v>13</v>
      </c>
      <c r="S29" s="113">
        <f>IFERROR(INDEX(TableWRCalcPts[Custom],MATCH(TableWRVORP[[#This Row],[RK]],TableWRCalcPts[RK],0)),"")</f>
        <v>179.59176974591995</v>
      </c>
      <c r="T29" s="114">
        <f>IFERROR((TableWRVORP[[#This Row],[FPS]]-INDEX(TableWRVORP[FPS],MATCH(WRVORPCalc,TableWRVORP[RK],0)))/INDEX(TableWRVORP[FPS],MATCH(WRVORPCalc,TableWRVORP[RK],0)),"")</f>
        <v>0.24368733347444158</v>
      </c>
      <c r="V29">
        <v>28</v>
      </c>
      <c r="W29" s="112" t="str">
        <f>IFERROR(INDEX(TableTECalcPts[PLAYER],MATCH(TableTEVORP[[#This Row],[RK]],TableTECalcPts[RK],0)),"")</f>
        <v>Jonnu Smith</v>
      </c>
      <c r="X29" s="112" t="str">
        <f>IFERROR(INDEX(TableTECalcPts[TM],MATCH(TableTEVORP[[#This Row],[RK]],TableTECalcPts[RK],0)),"")</f>
        <v>MIA</v>
      </c>
      <c r="Y29" s="112">
        <f>IFERROR(INDEX(TableTECalcPts[BYE],MATCH(TableTEVORP[[#This Row],[RK]],TableTECalcPts[RK],0)),"")</f>
        <v>10</v>
      </c>
      <c r="Z29" s="113">
        <f>IFERROR(INDEX(TableTECalcPts[Custom],MATCH(TableTEVORP[[#This Row],[RK]],TableTECalcPts[RK],0)),"")</f>
        <v>69.270961745512807</v>
      </c>
      <c r="AA29" s="114">
        <f>IFERROR((TableTEVORP[[#This Row],[FPS]]-INDEX(TableTEVORP[FPS],MATCH(TEVORPCalc,TableTEVORP[RK],0)))/INDEX(TableTEVORP[FPS],MATCH(TEVORPCalc,TableTEVORP[RK],0)),"")</f>
        <v>-0.47259323340545939</v>
      </c>
      <c r="AF29" t="s">
        <v>9</v>
      </c>
      <c r="AG29">
        <v>28</v>
      </c>
      <c r="AH29" s="83">
        <f>RANK(TableOverallMaster[[#This Row],[VORP]],TableOverallMaster[VORP])+COUNTIF($AM$2:AM29,AM29)-1</f>
        <v>163</v>
      </c>
      <c r="AI29" s="115" t="str">
        <f>IFERROR(INDEX(TableQBVORP[QUARTERBACK],MATCH(TableOverallMaster[[#This Row],[RK]],TableQBVORP[RK],0)),"")</f>
        <v>Drake Maye</v>
      </c>
      <c r="AJ29" s="115" t="str">
        <f t="shared" si="0"/>
        <v>QB28</v>
      </c>
      <c r="AK29" s="115">
        <f>IFERROR(INDEX(TableQBVORP[BYE],MATCH(TableOverallMaster[[#This Row],[RK]],TableQBVORP[RK],0)),"")</f>
        <v>11</v>
      </c>
      <c r="AL29" s="116">
        <f>IFERROR(INDEX(TableQBVORP[FPS],MATCH(TableOverallMaster[[#This Row],[RK]],TableQBVORP[RK],0)),"")</f>
        <v>239.09473180042801</v>
      </c>
      <c r="AM29" s="117">
        <f>IFERROR(INDEX(TableQBVORP[VORP],MATCH(TableOverallMaster[[#This Row],[RK]],TableQBVORP[RK],0)),"")</f>
        <v>-0.15708868450737629</v>
      </c>
      <c r="AO29">
        <v>28</v>
      </c>
      <c r="AP29" s="118" t="str">
        <f>IFERROR(INDEX(TableOverallMaster[OVERALL PLAYER],MATCH(TableOverallRank[[#This Row],[RK]],TableOverallMaster[OVR RK],0)),"")</f>
        <v>Ezekiel Elliott</v>
      </c>
      <c r="AQ29" s="119" t="str">
        <f>IFERROR(INDEX(TableOverallMaster[POS RK],MATCH(TableOverallRank[[#This Row],[OVERALL PLAYER]],TableOverallMaster[OVERALL PLAYER],0)),"")</f>
        <v>RB22</v>
      </c>
      <c r="AR29" s="120">
        <f>IFERROR(INDEX(TableOverallMaster[BYE],MATCH(TableOverallRank[[#This Row],[OVERALL PLAYER]],TableOverallMaster[OVERALL PLAYER],0)),"")</f>
        <v>7</v>
      </c>
      <c r="AS29" s="119">
        <f>IFERROR(INDEX(TableOverallMaster[Custom],MATCH(TableOverallRank[[#This Row],[OVERALL PLAYER]],TableOverallMaster[OVERALL PLAYER],0)),"")</f>
        <v>182.70860020896004</v>
      </c>
      <c r="AT29" s="121">
        <f>IFERROR(INDEX(TableOverallMaster[VORP],MATCH(TableOverallRank[[#This Row],[OVERALL PLAYER]],TableOverallMaster[OVERALL PLAYER],0)),"")</f>
        <v>0.62093430405587791</v>
      </c>
      <c r="AV29">
        <v>28</v>
      </c>
      <c r="AW29" s="122" t="str">
        <f>IFERROR(INDEX(TableWRTECalcPts[PLAYER],MATCH(TableWRTERank[[#This Row],[RK]],TableWRTECalcPts[RK],0)),"")</f>
        <v>Stefon Diggs</v>
      </c>
      <c r="AX29" s="122" t="str">
        <f>IFERROR(INDEX(TableWRTECalcPts[POS RK],MATCH(TableWRTERank[[#This Row],[WR and TE COMBINED]],TableWRTECalcPts[PLAYER],0)),"")</f>
        <v>WR25</v>
      </c>
      <c r="AY29" s="122">
        <f>IFERROR(INDEX(TableWRTECalcPts[BYE],MATCH(TableWRTERank[[#This Row],[RK]],TableWRTECalcPts[RK],0)),"")</f>
        <v>7</v>
      </c>
      <c r="AZ29" s="123">
        <f>IFERROR(INDEX(TableWRTECalcPts[Custom],MATCH(TableWRTERank[[#This Row],[RK]],TableWRTECalcPts[RK],0)),"")</f>
        <v>181.51740331712003</v>
      </c>
      <c r="BA29" s="174">
        <f>IFERROR((TableWRTERank[[#This Row],[FPS]]-INDEX(TableWRTERank[FPS],MATCH(WRTEVORPCalc,TableWRTERank[RK],0)))/INDEX(TableWRTERank[FPS],MATCH(WRTEVORPCalc,TableWRTERank[RK],0)),"")</f>
        <v>0.21590782308258394</v>
      </c>
      <c r="BC29" t="s">
        <v>223</v>
      </c>
      <c r="BD29">
        <v>28</v>
      </c>
      <c r="BE29" s="83">
        <f>RANK(TableWRTEMaster[[#This Row],[VORP]],TableWRTEMaster[VORP])+COUNTIF($BJ$2:BJ29,BJ29)-1</f>
        <v>32</v>
      </c>
      <c r="BF29" s="115" t="str">
        <f>IFERROR(INDEX(TableWRVORP[WIDE RECEIVER],MATCH(TableWRTEMaster[[#This Row],[RK]],TableWRVORP[RK],0)),"")</f>
        <v>Jordan Addison</v>
      </c>
      <c r="BG29" s="115" t="str">
        <f>_xlfn.CONCAT(TableWRTEMaster[[#This Row],[POS]],TableWRTEMaster[[#This Row],[RK]])</f>
        <v>WR28</v>
      </c>
      <c r="BH29" s="115">
        <f>IFERROR(INDEX(TableWRVORP[BYE],MATCH(TableWRTEMaster[[#This Row],[RK]],TableWRVORP[RK],0)),"")</f>
        <v>13</v>
      </c>
      <c r="BI29" s="116">
        <f>IFERROR(INDEX(TableWRVORP[FPS],MATCH(TableWRTEMaster[[#This Row],[RK]],TableWRVORP[RK],0)),"")</f>
        <v>179.59176974591995</v>
      </c>
      <c r="BJ29" s="117">
        <f>IFERROR(INDEX(TableWRVORP[VORP],MATCH(TableWRTEMaster[[#This Row],[RK]],TableWRVORP[RK],0)),"")</f>
        <v>0.24368733347444158</v>
      </c>
    </row>
    <row r="30" spans="1:62" x14ac:dyDescent="0.2">
      <c r="A30">
        <v>29</v>
      </c>
      <c r="B30" s="112" t="str">
        <f>IFERROR(INDEX(TableQBCalcPts[PLAYER],MATCH(TableQBVORP[[#This Row],[RK]],TableQBCalcPts[RK],0)),"")</f>
        <v>Daniel Jones</v>
      </c>
      <c r="C30" s="112" t="str">
        <f>IFERROR(INDEX(TableQBCalcPts[TM],MATCH(TableQBVORP[[#This Row],[RK]],TableQBCalcPts[RK],0)),"")</f>
        <v>NYG</v>
      </c>
      <c r="D30" s="112">
        <f>IFERROR(INDEX(TableQBCalcPts[BYE],MATCH(TableQBVORP[[#This Row],[RK]],TableQBCalcPts[RK],0)),"")</f>
        <v>13</v>
      </c>
      <c r="E30" s="113">
        <f>IFERROR(INDEX(TableQBCalcPts[Custom],MATCH(TableQBVORP[[#This Row],[RK]],TableQBCalcPts[RK],0)),"")</f>
        <v>222.10489002455995</v>
      </c>
      <c r="F30" s="114">
        <f>(IFERROR((TableQBVORP[[#This Row],[FPS]]-INDEX(TableQBVORP[FPS],MATCH(QBVORPCalc,TableQBVORP[RK],0)))/INDEX(TableQBVORP[FPS],MATCH(QBVORPCalc,TableQBVORP[RK],0)),""))+(TableRBVORP[[#This Row],[VORP]]*0.45)</f>
        <v>-0.21203716611578771</v>
      </c>
      <c r="H30">
        <v>29</v>
      </c>
      <c r="I30" s="112" t="str">
        <f>IFERROR(INDEX(TableRBCalcPts[PLAYER],MATCH(TableRBVORP[[#This Row],[RK]],TableRBCalcPts[RK],0)),"")</f>
        <v>Raheem Mostert</v>
      </c>
      <c r="J30" s="112" t="str">
        <f>IFERROR(INDEX(TableRBCalcPts[TM],MATCH(TableRBVORP[[#This Row],[RK]],TableRBCalcPts[RK],0)),"")</f>
        <v>MIA</v>
      </c>
      <c r="K30" s="112">
        <f>IFERROR(INDEX(TableRBCalcPts[BYE],MATCH(TableRBVORP[[#This Row],[RK]],TableRBCalcPts[RK],0)),"")</f>
        <v>10</v>
      </c>
      <c r="L30" s="113">
        <f>IFERROR(INDEX(TableRBCalcPts[Custom],MATCH(TableRBVORP[[#This Row],[RK]],TableRBCalcPts[RK],0)),"")</f>
        <v>161.98180355896005</v>
      </c>
      <c r="M30" s="114">
        <f>IFERROR((TableRBVORP[[#This Row],[FPS]]-INDEX(TableRBVORP[FPS],MATCH(RBVORPCalc,TableRBVORP[RK],0)))/INDEX(TableRBVORP[FPS],MATCH(RBVORPCalc,TableRBVORP[RK],0)),"")</f>
        <v>0.43705256195533376</v>
      </c>
      <c r="O30">
        <v>29</v>
      </c>
      <c r="P30" s="112" t="str">
        <f>IFERROR(INDEX(TableWRCalcPts[PLAYER],MATCH(TableWRVORP[[#This Row],[RK]],TableWRCalcPts[RK],0)),"")</f>
        <v>Cooper Kupp</v>
      </c>
      <c r="Q30" s="112" t="str">
        <f>IFERROR(INDEX(TableWRCalcPts[TM],MATCH(TableWRVORP[[#This Row],[RK]],TableWRCalcPts[RK],0)),"")</f>
        <v>LAR</v>
      </c>
      <c r="R30" s="112">
        <f>IFERROR(INDEX(TableWRCalcPts[BYE],MATCH(TableWRVORP[[#This Row],[RK]],TableWRCalcPts[RK],0)),"")</f>
        <v>10</v>
      </c>
      <c r="S30" s="113">
        <f>IFERROR(INDEX(TableWRCalcPts[Custom],MATCH(TableWRVORP[[#This Row],[RK]],TableWRCalcPts[RK],0)),"")</f>
        <v>178.52334044159994</v>
      </c>
      <c r="T30" s="114">
        <f>IFERROR((TableWRVORP[[#This Row],[FPS]]-INDEX(TableWRVORP[FPS],MATCH(WRVORPCalc,TableWRVORP[RK],0)))/INDEX(TableWRVORP[FPS],MATCH(WRVORPCalc,TableWRVORP[RK],0)),"")</f>
        <v>0.23628837530182806</v>
      </c>
      <c r="V30">
        <v>29</v>
      </c>
      <c r="W30" s="112" t="str">
        <f>IFERROR(INDEX(TableTECalcPts[PLAYER],MATCH(TableTEVORP[[#This Row],[RK]],TableTECalcPts[RK],0)),"")</f>
        <v>Zach Ertz</v>
      </c>
      <c r="X30" s="112" t="str">
        <f>IFERROR(INDEX(TableTECalcPts[TM],MATCH(TableTEVORP[[#This Row],[RK]],TableTECalcPts[RK],0)),"")</f>
        <v>WSH</v>
      </c>
      <c r="Y30" s="112">
        <f>IFERROR(INDEX(TableTECalcPts[BYE],MATCH(TableTEVORP[[#This Row],[RK]],TableTECalcPts[RK],0)),"")</f>
        <v>14</v>
      </c>
      <c r="Z30" s="113">
        <f>IFERROR(INDEX(TableTECalcPts[Custom],MATCH(TableTEVORP[[#This Row],[RK]],TableTECalcPts[RK],0)),"")</f>
        <v>68.546385770939992</v>
      </c>
      <c r="AA30" s="114">
        <f>IFERROR((TableTEVORP[[#This Row],[FPS]]-INDEX(TableTEVORP[FPS],MATCH(TEVORPCalc,TableTEVORP[RK],0)))/INDEX(TableTEVORP[FPS],MATCH(TEVORPCalc,TableTEVORP[RK],0)),"")</f>
        <v>-0.4781099212393235</v>
      </c>
      <c r="AF30" t="s">
        <v>9</v>
      </c>
      <c r="AG30">
        <v>29</v>
      </c>
      <c r="AH30" s="83">
        <f>RANK(TableOverallMaster[[#This Row],[VORP]],TableOverallMaster[VORP])+COUNTIF($AM$2:AM30,AM30)-1</f>
        <v>173</v>
      </c>
      <c r="AI30" s="115" t="str">
        <f>IFERROR(INDEX(TableQBVORP[QUARTERBACK],MATCH(TableOverallMaster[[#This Row],[RK]],TableQBVORP[RK],0)),"")</f>
        <v>Daniel Jones</v>
      </c>
      <c r="AJ30" s="115" t="str">
        <f t="shared" si="0"/>
        <v>QB29</v>
      </c>
      <c r="AK30" s="115">
        <f>IFERROR(INDEX(TableQBVORP[BYE],MATCH(TableOverallMaster[[#This Row],[RK]],TableQBVORP[RK],0)),"")</f>
        <v>13</v>
      </c>
      <c r="AL30" s="116">
        <f>IFERROR(INDEX(TableQBVORP[FPS],MATCH(TableOverallMaster[[#This Row],[RK]],TableQBVORP[RK],0)),"")</f>
        <v>222.10489002455995</v>
      </c>
      <c r="AM30" s="117">
        <f>IFERROR(INDEX(TableQBVORP[VORP],MATCH(TableOverallMaster[[#This Row],[RK]],TableQBVORP[RK],0)),"")</f>
        <v>-0.21203716611578771</v>
      </c>
      <c r="AO30">
        <v>29</v>
      </c>
      <c r="AP30" s="118" t="str">
        <f>IFERROR(INDEX(TableOverallMaster[OVERALL PLAYER],MATCH(TableOverallRank[[#This Row],[RK]],TableOverallMaster[OVR RK],0)),"")</f>
        <v>D'Andre Swift</v>
      </c>
      <c r="AQ30" s="119" t="str">
        <f>IFERROR(INDEX(TableOverallMaster[POS RK],MATCH(TableOverallRank[[#This Row],[OVERALL PLAYER]],TableOverallMaster[OVERALL PLAYER],0)),"")</f>
        <v>RB23</v>
      </c>
      <c r="AR30" s="120">
        <f>IFERROR(INDEX(TableOverallMaster[BYE],MATCH(TableOverallRank[[#This Row],[OVERALL PLAYER]],TableOverallMaster[OVERALL PLAYER],0)),"")</f>
        <v>13</v>
      </c>
      <c r="AS30" s="119">
        <f>IFERROR(INDEX(TableOverallMaster[Custom],MATCH(TableOverallRank[[#This Row],[OVERALL PLAYER]],TableOverallMaster[OVERALL PLAYER],0)),"")</f>
        <v>181.93578197759999</v>
      </c>
      <c r="AT30" s="121">
        <f>IFERROR(INDEX(TableOverallMaster[VORP],MATCH(TableOverallRank[[#This Row],[OVERALL PLAYER]],TableOverallMaster[OVERALL PLAYER],0)),"")</f>
        <v>0.61407809925446943</v>
      </c>
      <c r="AV30">
        <v>29</v>
      </c>
      <c r="AW30" s="122" t="str">
        <f>IFERROR(INDEX(TableWRTECalcPts[PLAYER],MATCH(TableWRTERank[[#This Row],[RK]],TableWRTECalcPts[RK],0)),"")</f>
        <v>Davante Adams</v>
      </c>
      <c r="AX30" s="122" t="str">
        <f>IFERROR(INDEX(TableWRTECalcPts[POS RK],MATCH(TableWRTERank[[#This Row],[WR and TE COMBINED]],TableWRTECalcPts[PLAYER],0)),"")</f>
        <v>WR26</v>
      </c>
      <c r="AY30" s="122">
        <f>IFERROR(INDEX(TableWRTECalcPts[BYE],MATCH(TableWRTERank[[#This Row],[RK]],TableWRTECalcPts[RK],0)),"")</f>
        <v>13</v>
      </c>
      <c r="AZ30" s="123">
        <f>IFERROR(INDEX(TableWRTECalcPts[Custom],MATCH(TableWRTERank[[#This Row],[RK]],TableWRTECalcPts[RK],0)),"")</f>
        <v>181.43058009999996</v>
      </c>
      <c r="BA30" s="174">
        <f>IFERROR((TableWRTERank[[#This Row],[FPS]]-INDEX(TableWRTERank[FPS],MATCH(WRTEVORPCalc,TableWRTERank[RK],0)))/INDEX(TableWRTERank[FPS],MATCH(WRTEVORPCalc,TableWRTERank[RK],0)),"")</f>
        <v>0.2153262313068518</v>
      </c>
      <c r="BC30" t="s">
        <v>223</v>
      </c>
      <c r="BD30">
        <v>29</v>
      </c>
      <c r="BE30" s="83">
        <f>RANK(TableWRTEMaster[[#This Row],[VORP]],TableWRTEMaster[VORP])+COUNTIF($BJ$2:BJ30,BJ30)-1</f>
        <v>33</v>
      </c>
      <c r="BF30" s="115" t="str">
        <f>IFERROR(INDEX(TableWRVORP[WIDE RECEIVER],MATCH(TableWRTEMaster[[#This Row],[RK]],TableWRVORP[RK],0)),"")</f>
        <v>Cooper Kupp</v>
      </c>
      <c r="BG30" s="115" t="str">
        <f>_xlfn.CONCAT(TableWRTEMaster[[#This Row],[POS]],TableWRTEMaster[[#This Row],[RK]])</f>
        <v>WR29</v>
      </c>
      <c r="BH30" s="115">
        <f>IFERROR(INDEX(TableWRVORP[BYE],MATCH(TableWRTEMaster[[#This Row],[RK]],TableWRVORP[RK],0)),"")</f>
        <v>10</v>
      </c>
      <c r="BI30" s="116">
        <f>IFERROR(INDEX(TableWRVORP[FPS],MATCH(TableWRTEMaster[[#This Row],[RK]],TableWRVORP[RK],0)),"")</f>
        <v>178.52334044159994</v>
      </c>
      <c r="BJ30" s="117">
        <f>IFERROR(INDEX(TableWRVORP[VORP],MATCH(TableWRTEMaster[[#This Row],[RK]],TableWRVORP[RK],0)),"")</f>
        <v>0.23628837530182806</v>
      </c>
    </row>
    <row r="31" spans="1:62" x14ac:dyDescent="0.2">
      <c r="A31">
        <v>30</v>
      </c>
      <c r="B31" s="112" t="str">
        <f>IFERROR(INDEX(TableQBCalcPts[PLAYER],MATCH(TableQBVORP[[#This Row],[RK]],TableQBCalcPts[RK],0)),"")</f>
        <v>Russell Wilson</v>
      </c>
      <c r="C31" s="112" t="str">
        <f>IFERROR(INDEX(TableQBCalcPts[TM],MATCH(TableQBVORP[[#This Row],[RK]],TableQBCalcPts[RK],0)),"")</f>
        <v>PIT</v>
      </c>
      <c r="D31" s="112">
        <f>IFERROR(INDEX(TableQBCalcPts[BYE],MATCH(TableQBVORP[[#This Row],[RK]],TableQBCalcPts[RK],0)),"")</f>
        <v>6</v>
      </c>
      <c r="E31" s="113">
        <f>IFERROR(INDEX(TableQBCalcPts[Custom],MATCH(TableQBVORP[[#This Row],[RK]],TableQBCalcPts[RK],0)),"")</f>
        <v>201.532956324</v>
      </c>
      <c r="F31" s="114">
        <f>(IFERROR((TableQBVORP[[#This Row],[FPS]]-INDEX(TableQBVORP[FPS],MATCH(QBVORPCalc,TableQBVORP[RK],0)))/INDEX(TableQBVORP[FPS],MATCH(QBVORPCalc,TableQBVORP[RK],0)),""))+(TableRBVORP[[#This Row],[VORP]]*0.45)</f>
        <v>-0.26900133123962133</v>
      </c>
      <c r="H31">
        <v>30</v>
      </c>
      <c r="I31" s="112" t="str">
        <f>IFERROR(INDEX(TableRBCalcPts[PLAYER],MATCH(TableRBVORP[[#This Row],[RK]],TableRBCalcPts[RK],0)),"")</f>
        <v>Zack Moss</v>
      </c>
      <c r="J31" s="112" t="str">
        <f>IFERROR(INDEX(TableRBCalcPts[TM],MATCH(TableRBVORP[[#This Row],[RK]],TableRBCalcPts[RK],0)),"")</f>
        <v>CIN</v>
      </c>
      <c r="K31" s="112">
        <f>IFERROR(INDEX(TableRBCalcPts[BYE],MATCH(TableRBVORP[[#This Row],[RK]],TableRBCalcPts[RK],0)),"")</f>
        <v>7</v>
      </c>
      <c r="L31" s="113">
        <f>IFERROR(INDEX(TableRBCalcPts[Custom],MATCH(TableRBVORP[[#This Row],[RK]],TableRBCalcPts[RK],0)),"")</f>
        <v>161.43138356486401</v>
      </c>
      <c r="M31" s="114">
        <f>IFERROR((TableRBVORP[[#This Row],[FPS]]-INDEX(TableRBVORP[FPS],MATCH(RBVORPCalc,TableRBVORP[RK],0)))/INDEX(TableRBVORP[FPS],MATCH(RBVORPCalc,TableRBVORP[RK],0)),"")</f>
        <v>0.43216940566686057</v>
      </c>
      <c r="O31">
        <v>30</v>
      </c>
      <c r="P31" s="112" t="str">
        <f>IFERROR(INDEX(TableWRCalcPts[PLAYER],MATCH(TableWRVORP[[#This Row],[RK]],TableWRCalcPts[RK],0)),"")</f>
        <v>Christian Kirk</v>
      </c>
      <c r="Q31" s="112" t="str">
        <f>IFERROR(INDEX(TableWRCalcPts[TM],MATCH(TableWRVORP[[#This Row],[RK]],TableWRCalcPts[RK],0)),"")</f>
        <v>JAX</v>
      </c>
      <c r="R31" s="112">
        <f>IFERROR(INDEX(TableWRCalcPts[BYE],MATCH(TableWRVORP[[#This Row],[RK]],TableWRCalcPts[RK],0)),"")</f>
        <v>9</v>
      </c>
      <c r="S31" s="113">
        <f>IFERROR(INDEX(TableWRCalcPts[Custom],MATCH(TableWRVORP[[#This Row],[RK]],TableWRCalcPts[RK],0)),"")</f>
        <v>178.08309643672794</v>
      </c>
      <c r="T31" s="114">
        <f>IFERROR((TableWRVORP[[#This Row],[FPS]]-INDEX(TableWRVORP[FPS],MATCH(WRVORPCalc,TableWRVORP[RK],0)))/INDEX(TableWRVORP[FPS],MATCH(WRVORPCalc,TableWRVORP[RK],0)),"")</f>
        <v>0.2332396504450488</v>
      </c>
      <c r="V31">
        <v>30</v>
      </c>
      <c r="W31" s="112" t="str">
        <f>IFERROR(INDEX(TableTECalcPts[PLAYER],MATCH(TableTEVORP[[#This Row],[RK]],TableTECalcPts[RK],0)),"")</f>
        <v>Mike Gesicki</v>
      </c>
      <c r="X31" s="112" t="str">
        <f>IFERROR(INDEX(TableTECalcPts[TM],MATCH(TableTEVORP[[#This Row],[RK]],TableTECalcPts[RK],0)),"")</f>
        <v>CIN</v>
      </c>
      <c r="Y31" s="112">
        <f>IFERROR(INDEX(TableTECalcPts[BYE],MATCH(TableTEVORP[[#This Row],[RK]],TableTECalcPts[RK],0)),"")</f>
        <v>7</v>
      </c>
      <c r="Z31" s="113">
        <f>IFERROR(INDEX(TableTECalcPts[Custom],MATCH(TableTEVORP[[#This Row],[RK]],TableTECalcPts[RK],0)),"")</f>
        <v>67.972915915967988</v>
      </c>
      <c r="AA31" s="114">
        <f>IFERROR((TableTEVORP[[#This Row],[FPS]]-INDEX(TableTEVORP[FPS],MATCH(TEVORPCalc,TableTEVORP[RK],0)))/INDEX(TableTEVORP[FPS],MATCH(TEVORPCalc,TableTEVORP[RK],0)),"")</f>
        <v>-0.48247613580209181</v>
      </c>
      <c r="AF31" t="s">
        <v>9</v>
      </c>
      <c r="AG31">
        <v>30</v>
      </c>
      <c r="AH31" s="83">
        <f>RANK(TableOverallMaster[[#This Row],[VORP]],TableOverallMaster[VORP])+COUNTIF($AM$2:AM31,AM31)-1</f>
        <v>177</v>
      </c>
      <c r="AI31" s="115" t="str">
        <f>IFERROR(INDEX(TableQBVORP[QUARTERBACK],MATCH(TableOverallMaster[[#This Row],[RK]],TableQBVORP[RK],0)),"")</f>
        <v>Russell Wilson</v>
      </c>
      <c r="AJ31" s="115" t="str">
        <f t="shared" si="0"/>
        <v>QB30</v>
      </c>
      <c r="AK31" s="115">
        <f>IFERROR(INDEX(TableQBVORP[BYE],MATCH(TableOverallMaster[[#This Row],[RK]],TableQBVORP[RK],0)),"")</f>
        <v>6</v>
      </c>
      <c r="AL31" s="116">
        <f>IFERROR(INDEX(TableQBVORP[FPS],MATCH(TableOverallMaster[[#This Row],[RK]],TableQBVORP[RK],0)),"")</f>
        <v>201.532956324</v>
      </c>
      <c r="AM31" s="117">
        <f>IFERROR(INDEX(TableQBVORP[VORP],MATCH(TableOverallMaster[[#This Row],[RK]],TableQBVORP[RK],0)),"")</f>
        <v>-0.26900133123962133</v>
      </c>
      <c r="AO31">
        <v>30</v>
      </c>
      <c r="AP31" s="118" t="str">
        <f>IFERROR(INDEX(TableOverallMaster[OVERALL PLAYER],MATCH(TableOverallRank[[#This Row],[RK]],TableOverallMaster[OVR RK],0)),"")</f>
        <v>James Cook</v>
      </c>
      <c r="AQ31" s="119" t="str">
        <f>IFERROR(INDEX(TableOverallMaster[POS RK],MATCH(TableOverallRank[[#This Row],[OVERALL PLAYER]],TableOverallMaster[OVERALL PLAYER],0)),"")</f>
        <v>RB24</v>
      </c>
      <c r="AR31" s="120">
        <f>IFERROR(INDEX(TableOverallMaster[BYE],MATCH(TableOverallRank[[#This Row],[OVERALL PLAYER]],TableOverallMaster[OVERALL PLAYER],0)),"")</f>
        <v>13</v>
      </c>
      <c r="AS31" s="119">
        <f>IFERROR(INDEX(TableOverallMaster[Custom],MATCH(TableOverallRank[[#This Row],[OVERALL PLAYER]],TableOverallMaster[OVERALL PLAYER],0)),"")</f>
        <v>179.83295741859843</v>
      </c>
      <c r="AT31" s="121">
        <f>IFERROR(INDEX(TableOverallMaster[VORP],MATCH(TableOverallRank[[#This Row],[OVERALL PLAYER]],TableOverallMaster[OVERALL PLAYER],0)),"")</f>
        <v>0.59542248884971283</v>
      </c>
      <c r="AV31">
        <v>30</v>
      </c>
      <c r="AW31" s="122" t="str">
        <f>IFERROR(INDEX(TableWRTECalcPts[PLAYER],MATCH(TableWRTERank[[#This Row],[RK]],TableWRTECalcPts[RK],0)),"")</f>
        <v>DeAndre Hopkins</v>
      </c>
      <c r="AX31" s="122" t="str">
        <f>IFERROR(INDEX(TableWRTECalcPts[POS RK],MATCH(TableWRTERank[[#This Row],[WR and TE COMBINED]],TableWRTECalcPts[PLAYER],0)),"")</f>
        <v>WR27</v>
      </c>
      <c r="AY31" s="122">
        <f>IFERROR(INDEX(TableWRTECalcPts[BYE],MATCH(TableWRTERank[[#This Row],[RK]],TableWRTECalcPts[RK],0)),"")</f>
        <v>7</v>
      </c>
      <c r="AZ31" s="123">
        <f>IFERROR(INDEX(TableWRTECalcPts[Custom],MATCH(TableWRTERank[[#This Row],[RK]],TableWRTECalcPts[RK],0)),"")</f>
        <v>180.79272407195992</v>
      </c>
      <c r="BA31" s="174">
        <f>IFERROR((TableWRTERank[[#This Row],[FPS]]-INDEX(TableWRTERank[FPS],MATCH(WRTEVORPCalc,TableWRTERank[RK],0)))/INDEX(TableWRTERank[FPS],MATCH(WRTEVORPCalc,TableWRTERank[RK],0)),"")</f>
        <v>0.21105350527441019</v>
      </c>
      <c r="BC31" t="s">
        <v>223</v>
      </c>
      <c r="BD31">
        <v>30</v>
      </c>
      <c r="BE31" s="83">
        <f>RANK(TableWRTEMaster[[#This Row],[VORP]],TableWRTEMaster[VORP])+COUNTIF($BJ$2:BJ31,BJ31)-1</f>
        <v>34</v>
      </c>
      <c r="BF31" s="115" t="str">
        <f>IFERROR(INDEX(TableWRVORP[WIDE RECEIVER],MATCH(TableWRTEMaster[[#This Row],[RK]],TableWRVORP[RK],0)),"")</f>
        <v>Christian Kirk</v>
      </c>
      <c r="BG31" s="115" t="str">
        <f>_xlfn.CONCAT(TableWRTEMaster[[#This Row],[POS]],TableWRTEMaster[[#This Row],[RK]])</f>
        <v>WR30</v>
      </c>
      <c r="BH31" s="115">
        <f>IFERROR(INDEX(TableWRVORP[BYE],MATCH(TableWRTEMaster[[#This Row],[RK]],TableWRVORP[RK],0)),"")</f>
        <v>9</v>
      </c>
      <c r="BI31" s="116">
        <f>IFERROR(INDEX(TableWRVORP[FPS],MATCH(TableWRTEMaster[[#This Row],[RK]],TableWRVORP[RK],0)),"")</f>
        <v>178.08309643672794</v>
      </c>
      <c r="BJ31" s="117">
        <f>IFERROR(INDEX(TableWRVORP[VORP],MATCH(TableWRTEMaster[[#This Row],[RK]],TableWRVORP[RK],0)),"")</f>
        <v>0.2332396504450488</v>
      </c>
    </row>
    <row r="32" spans="1:62" x14ac:dyDescent="0.2">
      <c r="A32">
        <v>31</v>
      </c>
      <c r="B32" s="112" t="str">
        <f>IFERROR(INDEX(TableQBCalcPts[PLAYER],MATCH(TableQBVORP[[#This Row],[RK]],TableQBCalcPts[RK],0)),"")</f>
        <v>Bo Nix</v>
      </c>
      <c r="C32" s="112" t="str">
        <f>IFERROR(INDEX(TableQBCalcPts[TM],MATCH(TableQBVORP[[#This Row],[RK]],TableQBCalcPts[RK],0)),"")</f>
        <v>DEN</v>
      </c>
      <c r="D32" s="112">
        <f>IFERROR(INDEX(TableQBCalcPts[BYE],MATCH(TableQBVORP[[#This Row],[RK]],TableQBCalcPts[RK],0)),"")</f>
        <v>9</v>
      </c>
      <c r="E32" s="113">
        <f>IFERROR(INDEX(TableQBCalcPts[Custom],MATCH(TableQBVORP[[#This Row],[RK]],TableQBCalcPts[RK],0)),"")</f>
        <v>201.03964756350001</v>
      </c>
      <c r="F32" s="114">
        <f>(IFERROR((TableQBVORP[[#This Row],[FPS]]-INDEX(TableQBVORP[FPS],MATCH(QBVORPCalc,TableQBVORP[RK],0)))/INDEX(TableQBVORP[FPS],MATCH(QBVORPCalc,TableQBVORP[RK],0)),""))+(TableRBVORP[[#This Row],[VORP]]*0.45)</f>
        <v>-0.27348945321670859</v>
      </c>
      <c r="H32">
        <v>31</v>
      </c>
      <c r="I32" s="112" t="str">
        <f>IFERROR(INDEX(TableRBCalcPts[PLAYER],MATCH(TableRBVORP[[#This Row],[RK]],TableRBCalcPts[RK],0)),"")</f>
        <v>Devin Singletary</v>
      </c>
      <c r="J32" s="112" t="str">
        <f>IFERROR(INDEX(TableRBCalcPts[TM],MATCH(TableRBVORP[[#This Row],[RK]],TableRBCalcPts[RK],0)),"")</f>
        <v>NYG</v>
      </c>
      <c r="K32" s="112">
        <f>IFERROR(INDEX(TableRBCalcPts[BYE],MATCH(TableRBVORP[[#This Row],[RK]],TableRBCalcPts[RK],0)),"")</f>
        <v>13</v>
      </c>
      <c r="L32" s="113">
        <f>IFERROR(INDEX(TableRBCalcPts[Custom],MATCH(TableRBVORP[[#This Row],[RK]],TableRBCalcPts[RK],0)),"")</f>
        <v>160.63613698890239</v>
      </c>
      <c r="M32" s="114">
        <f>IFERROR((TableRBVORP[[#This Row],[FPS]]-INDEX(TableRBVORP[FPS],MATCH(RBVORPCalc,TableRBVORP[RK],0)))/INDEX(TableRBVORP[FPS],MATCH(RBVORPCalc,TableRBVORP[RK],0)),"")</f>
        <v>0.42511422351514516</v>
      </c>
      <c r="O32">
        <v>31</v>
      </c>
      <c r="P32" s="112" t="str">
        <f>IFERROR(INDEX(TableWRCalcPts[PLAYER],MATCH(TableWRVORP[[#This Row],[RK]],TableWRCalcPts[RK],0)),"")</f>
        <v>Tank Dell</v>
      </c>
      <c r="Q32" s="112" t="str">
        <f>IFERROR(INDEX(TableWRCalcPts[TM],MATCH(TableWRVORP[[#This Row],[RK]],TableWRCalcPts[RK],0)),"")</f>
        <v>HOU</v>
      </c>
      <c r="R32" s="112">
        <f>IFERROR(INDEX(TableWRCalcPts[BYE],MATCH(TableWRVORP[[#This Row],[RK]],TableWRCalcPts[RK],0)),"")</f>
        <v>7</v>
      </c>
      <c r="S32" s="113">
        <f>IFERROR(INDEX(TableWRCalcPts[Custom],MATCH(TableWRVORP[[#This Row],[RK]],TableWRCalcPts[RK],0)),"")</f>
        <v>177.76265426399999</v>
      </c>
      <c r="T32" s="114">
        <f>IFERROR((TableWRVORP[[#This Row],[FPS]]-INDEX(TableWRVORP[FPS],MATCH(WRVORPCalc,TableWRVORP[RK],0)))/INDEX(TableWRVORP[FPS],MATCH(WRVORPCalc,TableWRVORP[RK],0)),"")</f>
        <v>0.23102056283375899</v>
      </c>
      <c r="V32">
        <v>31</v>
      </c>
      <c r="W32" s="112" t="str">
        <f>IFERROR(INDEX(TableTECalcPts[PLAYER],MATCH(TableTEVORP[[#This Row],[RK]],TableTECalcPts[RK],0)),"")</f>
        <v>Tucker Kraft</v>
      </c>
      <c r="X32" s="112" t="str">
        <f>IFERROR(INDEX(TableTECalcPts[TM],MATCH(TableTEVORP[[#This Row],[RK]],TableTECalcPts[RK],0)),"")</f>
        <v>GB</v>
      </c>
      <c r="Y32" s="112">
        <f>IFERROR(INDEX(TableTECalcPts[BYE],MATCH(TableTEVORP[[#This Row],[RK]],TableTECalcPts[RK],0)),"")</f>
        <v>6</v>
      </c>
      <c r="Z32" s="113">
        <f>IFERROR(INDEX(TableTECalcPts[Custom],MATCH(TableTEVORP[[#This Row],[RK]],TableTECalcPts[RK],0)),"")</f>
        <v>67.057766586496001</v>
      </c>
      <c r="AA32" s="114">
        <f>IFERROR((TableTEVORP[[#This Row],[FPS]]-INDEX(TableTEVORP[FPS],MATCH(TEVORPCalc,TableTEVORP[RK],0)))/INDEX(TableTEVORP[FPS],MATCH(TEVORPCalc,TableTEVORP[RK],0)),"")</f>
        <v>-0.48944378771056629</v>
      </c>
      <c r="AF32" t="s">
        <v>9</v>
      </c>
      <c r="AG32">
        <v>31</v>
      </c>
      <c r="AH32" s="83">
        <f>RANK(TableOverallMaster[[#This Row],[VORP]],TableOverallMaster[VORP])+COUNTIF($AM$2:AM32,AM32)-1</f>
        <v>179</v>
      </c>
      <c r="AI32" s="115" t="str">
        <f>IFERROR(INDEX(TableQBVORP[QUARTERBACK],MATCH(TableOverallMaster[[#This Row],[RK]],TableQBVORP[RK],0)),"")</f>
        <v>Bo Nix</v>
      </c>
      <c r="AJ32" s="115" t="str">
        <f t="shared" si="0"/>
        <v>QB31</v>
      </c>
      <c r="AK32" s="115">
        <f>IFERROR(INDEX(TableQBVORP[BYE],MATCH(TableOverallMaster[[#This Row],[RK]],TableQBVORP[RK],0)),"")</f>
        <v>9</v>
      </c>
      <c r="AL32" s="116">
        <f>IFERROR(INDEX(TableQBVORP[FPS],MATCH(TableOverallMaster[[#This Row],[RK]],TableQBVORP[RK],0)),"")</f>
        <v>201.03964756350001</v>
      </c>
      <c r="AM32" s="117">
        <f>IFERROR(INDEX(TableQBVORP[VORP],MATCH(TableOverallMaster[[#This Row],[RK]],TableQBVORP[RK],0)),"")</f>
        <v>-0.27348945321670859</v>
      </c>
      <c r="AO32">
        <v>31</v>
      </c>
      <c r="AP32" s="118" t="str">
        <f>IFERROR(INDEX(TableOverallMaster[OVERALL PLAYER],MATCH(TableOverallRank[[#This Row],[RK]],TableOverallMaster[OVR RK],0)),"")</f>
        <v>Tyjae Spears</v>
      </c>
      <c r="AQ32" s="119" t="str">
        <f>IFERROR(INDEX(TableOverallMaster[POS RK],MATCH(TableOverallRank[[#This Row],[OVERALL PLAYER]],TableOverallMaster[OVERALL PLAYER],0)),"")</f>
        <v>RB25</v>
      </c>
      <c r="AR32" s="120">
        <f>IFERROR(INDEX(TableOverallMaster[BYE],MATCH(TableOverallRank[[#This Row],[OVERALL PLAYER]],TableOverallMaster[OVERALL PLAYER],0)),"")</f>
        <v>7</v>
      </c>
      <c r="AS32" s="119">
        <f>IFERROR(INDEX(TableOverallMaster[Custom],MATCH(TableOverallRank[[#This Row],[OVERALL PLAYER]],TableOverallMaster[OVERALL PLAYER],0)),"")</f>
        <v>179.74989474634501</v>
      </c>
      <c r="AT32" s="121">
        <f>IFERROR(INDEX(TableOverallMaster[VORP],MATCH(TableOverallRank[[#This Row],[OVERALL PLAYER]],TableOverallMaster[OVERALL PLAYER],0)),"")</f>
        <v>0.59468558246058745</v>
      </c>
      <c r="AV32">
        <v>31</v>
      </c>
      <c r="AW32" s="122" t="str">
        <f>IFERROR(INDEX(TableWRTECalcPts[PLAYER],MATCH(TableWRTERank[[#This Row],[RK]],TableWRTECalcPts[RK],0)),"")</f>
        <v>Jordan Addison</v>
      </c>
      <c r="AX32" s="122" t="str">
        <f>IFERROR(INDEX(TableWRTECalcPts[POS RK],MATCH(TableWRTERank[[#This Row],[WR and TE COMBINED]],TableWRTECalcPts[PLAYER],0)),"")</f>
        <v>WR28</v>
      </c>
      <c r="AY32" s="122">
        <f>IFERROR(INDEX(TableWRTECalcPts[BYE],MATCH(TableWRTERank[[#This Row],[RK]],TableWRTECalcPts[RK],0)),"")</f>
        <v>13</v>
      </c>
      <c r="AZ32" s="123">
        <f>IFERROR(INDEX(TableWRTECalcPts[Custom],MATCH(TableWRTERank[[#This Row],[RK]],TableWRTECalcPts[RK],0)),"")</f>
        <v>179.59176974591995</v>
      </c>
      <c r="BA32" s="174">
        <f>IFERROR((TableWRTERank[[#This Row],[FPS]]-INDEX(TableWRTERank[FPS],MATCH(WRTEVORPCalc,TableWRTERank[RK],0)))/INDEX(TableWRTERank[FPS],MATCH(WRTEVORPCalc,TableWRTERank[RK],0)),"")</f>
        <v>0.20300882342290888</v>
      </c>
      <c r="BC32" t="s">
        <v>223</v>
      </c>
      <c r="BD32">
        <v>31</v>
      </c>
      <c r="BE32" s="83">
        <f>RANK(TableWRTEMaster[[#This Row],[VORP]],TableWRTEMaster[VORP])+COUNTIF($BJ$2:BJ32,BJ32)-1</f>
        <v>36</v>
      </c>
      <c r="BF32" s="115" t="str">
        <f>IFERROR(INDEX(TableWRVORP[WIDE RECEIVER],MATCH(TableWRTEMaster[[#This Row],[RK]],TableWRVORP[RK],0)),"")</f>
        <v>Tank Dell</v>
      </c>
      <c r="BG32" s="115" t="str">
        <f>_xlfn.CONCAT(TableWRTEMaster[[#This Row],[POS]],TableWRTEMaster[[#This Row],[RK]])</f>
        <v>WR31</v>
      </c>
      <c r="BH32" s="115">
        <f>IFERROR(INDEX(TableWRVORP[BYE],MATCH(TableWRTEMaster[[#This Row],[RK]],TableWRVORP[RK],0)),"")</f>
        <v>7</v>
      </c>
      <c r="BI32" s="116">
        <f>IFERROR(INDEX(TableWRVORP[FPS],MATCH(TableWRTEMaster[[#This Row],[RK]],TableWRVORP[RK],0)),"")</f>
        <v>177.76265426399999</v>
      </c>
      <c r="BJ32" s="117">
        <f>IFERROR(INDEX(TableWRVORP[VORP],MATCH(TableWRTEMaster[[#This Row],[RK]],TableWRVORP[RK],0)),"")</f>
        <v>0.23102056283375899</v>
      </c>
    </row>
    <row r="33" spans="1:62" x14ac:dyDescent="0.2">
      <c r="A33">
        <v>32</v>
      </c>
      <c r="B33" s="112" t="str">
        <f>IFERROR(INDEX(TableQBCalcPts[PLAYER],MATCH(TableQBVORP[[#This Row],[RK]],TableQBCalcPts[RK],0)),"")</f>
        <v>Gardner Minshew</v>
      </c>
      <c r="C33" s="112" t="str">
        <f>IFERROR(INDEX(TableQBCalcPts[TM],MATCH(TableQBVORP[[#This Row],[RK]],TableQBCalcPts[RK],0)),"")</f>
        <v>LV</v>
      </c>
      <c r="D33" s="112">
        <f>IFERROR(INDEX(TableQBCalcPts[BYE],MATCH(TableQBVORP[[#This Row],[RK]],TableQBCalcPts[RK],0)),"")</f>
        <v>13</v>
      </c>
      <c r="E33" s="113">
        <f>IFERROR(INDEX(TableQBCalcPts[Custom],MATCH(TableQBVORP[[#This Row],[RK]],TableQBCalcPts[RK],0)),"")</f>
        <v>162.41279159999999</v>
      </c>
      <c r="F33" s="114">
        <f>(IFERROR((TableQBVORP[[#This Row],[FPS]]-INDEX(TableQBVORP[FPS],MATCH(QBVORPCalc,TableQBVORP[RK],0)))/INDEX(TableQBVORP[FPS],MATCH(QBVORPCalc,TableQBVORP[RK],0)),""))+(TableRBVORP[[#This Row],[VORP]]*0.45)</f>
        <v>-0.38637207877814961</v>
      </c>
      <c r="H33">
        <v>32</v>
      </c>
      <c r="I33" s="112" t="str">
        <f>IFERROR(INDEX(TableRBCalcPts[PLAYER],MATCH(TableRBVORP[[#This Row],[RK]],TableRBCalcPts[RK],0)),"")</f>
        <v>Tony Pollard</v>
      </c>
      <c r="J33" s="112" t="str">
        <f>IFERROR(INDEX(TableRBCalcPts[TM],MATCH(TableRBVORP[[#This Row],[RK]],TableRBCalcPts[RK],0)),"")</f>
        <v>TEN</v>
      </c>
      <c r="K33" s="112">
        <f>IFERROR(INDEX(TableRBCalcPts[BYE],MATCH(TableRBVORP[[#This Row],[RK]],TableRBCalcPts[RK],0)),"")</f>
        <v>7</v>
      </c>
      <c r="L33" s="113">
        <f>IFERROR(INDEX(TableRBCalcPts[Custom],MATCH(TableRBVORP[[#This Row],[RK]],TableRBCalcPts[RK],0)),"")</f>
        <v>158.11878126983396</v>
      </c>
      <c r="M33" s="114">
        <f>IFERROR((TableRBVORP[[#This Row],[FPS]]-INDEX(TableRBVORP[FPS],MATCH(RBVORPCalc,TableRBVORP[RK],0)))/INDEX(TableRBVORP[FPS],MATCH(RBVORPCalc,TableRBVORP[RK],0)),"")</f>
        <v>0.40278102061236704</v>
      </c>
      <c r="O33">
        <v>32</v>
      </c>
      <c r="P33" s="112" t="str">
        <f>IFERROR(INDEX(TableWRCalcPts[PLAYER],MATCH(TableWRVORP[[#This Row],[RK]],TableWRCalcPts[RK],0)),"")</f>
        <v>Brian Thomas</v>
      </c>
      <c r="Q33" s="112" t="str">
        <f>IFERROR(INDEX(TableWRCalcPts[TM],MATCH(TableWRVORP[[#This Row],[RK]],TableWRCalcPts[RK],0)),"")</f>
        <v>JAX</v>
      </c>
      <c r="R33" s="112">
        <f>IFERROR(INDEX(TableWRCalcPts[BYE],MATCH(TableWRVORP[[#This Row],[RK]],TableWRCalcPts[RK],0)),"")</f>
        <v>9</v>
      </c>
      <c r="S33" s="113">
        <f>IFERROR(INDEX(TableWRCalcPts[Custom],MATCH(TableWRVORP[[#This Row],[RK]],TableWRCalcPts[RK],0)),"")</f>
        <v>177.04765259999994</v>
      </c>
      <c r="T33" s="114">
        <f>IFERROR((TableWRVORP[[#This Row],[FPS]]-INDEX(TableWRVORP[FPS],MATCH(WRVORPCalc,TableWRVORP[RK],0)))/INDEX(TableWRVORP[FPS],MATCH(WRVORPCalc,TableWRVORP[RK],0)),"")</f>
        <v>0.22606911926711848</v>
      </c>
      <c r="V33">
        <v>32</v>
      </c>
      <c r="W33" s="112" t="str">
        <f>IFERROR(INDEX(TableTECalcPts[PLAYER],MATCH(TableTEVORP[[#This Row],[RK]],TableTECalcPts[RK],0)),"")</f>
        <v>Michael Mayer</v>
      </c>
      <c r="X33" s="112" t="str">
        <f>IFERROR(INDEX(TableTECalcPts[TM],MATCH(TableTEVORP[[#This Row],[RK]],TableTECalcPts[RK],0)),"")</f>
        <v>LV</v>
      </c>
      <c r="Y33" s="112">
        <f>IFERROR(INDEX(TableTECalcPts[BYE],MATCH(TableTEVORP[[#This Row],[RK]],TableTECalcPts[RK],0)),"")</f>
        <v>13</v>
      </c>
      <c r="Z33" s="113">
        <f>IFERROR(INDEX(TableTECalcPts[Custom],MATCH(TableTEVORP[[#This Row],[RK]],TableTECalcPts[RK],0)),"")</f>
        <v>61.206676159999986</v>
      </c>
      <c r="AA33" s="114">
        <f>IFERROR((TableTEVORP[[#This Row],[FPS]]-INDEX(TableTEVORP[FPS],MATCH(TEVORPCalc,TableTEVORP[RK],0)))/INDEX(TableTEVORP[FPS],MATCH(TEVORPCalc,TableTEVORP[RK],0)),"")</f>
        <v>-0.53399210355794124</v>
      </c>
      <c r="AF33" t="s">
        <v>9</v>
      </c>
      <c r="AG33">
        <v>32</v>
      </c>
      <c r="AH33" s="83">
        <f>RANK(TableOverallMaster[[#This Row],[VORP]],TableOverallMaster[VORP])+COUNTIF($AM$2:AM33,AM33)-1</f>
        <v>203</v>
      </c>
      <c r="AI33" s="115" t="str">
        <f>IFERROR(INDEX(TableQBVORP[QUARTERBACK],MATCH(TableOverallMaster[[#This Row],[RK]],TableQBVORP[RK],0)),"")</f>
        <v>Gardner Minshew</v>
      </c>
      <c r="AJ33" s="115" t="str">
        <f t="shared" si="0"/>
        <v>QB32</v>
      </c>
      <c r="AK33" s="115">
        <f>IFERROR(INDEX(TableQBVORP[BYE],MATCH(TableOverallMaster[[#This Row],[RK]],TableQBVORP[RK],0)),"")</f>
        <v>13</v>
      </c>
      <c r="AL33" s="116">
        <f>IFERROR(INDEX(TableQBVORP[FPS],MATCH(TableOverallMaster[[#This Row],[RK]],TableQBVORP[RK],0)),"")</f>
        <v>162.41279159999999</v>
      </c>
      <c r="AM33" s="117">
        <f>IFERROR(INDEX(TableQBVORP[VORP],MATCH(TableOverallMaster[[#This Row],[RK]],TableQBVORP[RK],0)),"")</f>
        <v>-0.38637207877814961</v>
      </c>
      <c r="AO33">
        <v>32</v>
      </c>
      <c r="AP33" s="118" t="str">
        <f>IFERROR(INDEX(TableOverallMaster[OVERALL PLAYER],MATCH(TableOverallRank[[#This Row],[RK]],TableOverallMaster[OVR RK],0)),"")</f>
        <v>Puka Nacua</v>
      </c>
      <c r="AQ33" s="119" t="str">
        <f>IFERROR(INDEX(TableOverallMaster[POS RK],MATCH(TableOverallRank[[#This Row],[OVERALL PLAYER]],TableOverallMaster[OVERALL PLAYER],0)),"")</f>
        <v>WR6</v>
      </c>
      <c r="AR33" s="120">
        <f>IFERROR(INDEX(TableOverallMaster[BYE],MATCH(TableOverallRank[[#This Row],[OVERALL PLAYER]],TableOverallMaster[OVERALL PLAYER],0)),"")</f>
        <v>10</v>
      </c>
      <c r="AS33" s="119">
        <f>IFERROR(INDEX(TableOverallMaster[Custom],MATCH(TableOverallRank[[#This Row],[OVERALL PLAYER]],TableOverallMaster[OVERALL PLAYER],0)),"")</f>
        <v>229.36045052313952</v>
      </c>
      <c r="AT33" s="121">
        <f>IFERROR(INDEX(TableOverallMaster[VORP],MATCH(TableOverallRank[[#This Row],[OVERALL PLAYER]],TableOverallMaster[OVERALL PLAYER],0)),"")</f>
        <v>0.58833941844431592</v>
      </c>
      <c r="AV33">
        <v>32</v>
      </c>
      <c r="AW33" s="122" t="str">
        <f>IFERROR(INDEX(TableWRTECalcPts[PLAYER],MATCH(TableWRTERank[[#This Row],[RK]],TableWRTECalcPts[RK],0)),"")</f>
        <v>Cooper Kupp</v>
      </c>
      <c r="AX33" s="122" t="str">
        <f>IFERROR(INDEX(TableWRTECalcPts[POS RK],MATCH(TableWRTERank[[#This Row],[WR and TE COMBINED]],TableWRTECalcPts[PLAYER],0)),"")</f>
        <v>WR29</v>
      </c>
      <c r="AY33" s="122">
        <f>IFERROR(INDEX(TableWRTECalcPts[BYE],MATCH(TableWRTERank[[#This Row],[RK]],TableWRTECalcPts[RK],0)),"")</f>
        <v>10</v>
      </c>
      <c r="AZ33" s="123">
        <f>IFERROR(INDEX(TableWRTECalcPts[Custom],MATCH(TableWRTERank[[#This Row],[RK]],TableWRTECalcPts[RK],0)),"")</f>
        <v>178.52334044159994</v>
      </c>
      <c r="BA33" s="174">
        <f>IFERROR((TableWRTERank[[#This Row],[FPS]]-INDEX(TableWRTERank[FPS],MATCH(WRTEVORPCalc,TableWRTERank[RK],0)))/INDEX(TableWRTERank[FPS],MATCH(WRTEVORPCalc,TableWRTERank[RK],0)),"")</f>
        <v>0.19585187028346931</v>
      </c>
      <c r="BC33" t="s">
        <v>223</v>
      </c>
      <c r="BD33">
        <v>32</v>
      </c>
      <c r="BE33" s="83">
        <f>RANK(TableWRTEMaster[[#This Row],[VORP]],TableWRTEMaster[VORP])+COUNTIF($BJ$2:BJ33,BJ33)-1</f>
        <v>37</v>
      </c>
      <c r="BF33" s="115" t="str">
        <f>IFERROR(INDEX(TableWRVORP[WIDE RECEIVER],MATCH(TableWRTEMaster[[#This Row],[RK]],TableWRVORP[RK],0)),"")</f>
        <v>Brian Thomas</v>
      </c>
      <c r="BG33" s="115" t="str">
        <f>_xlfn.CONCAT(TableWRTEMaster[[#This Row],[POS]],TableWRTEMaster[[#This Row],[RK]])</f>
        <v>WR32</v>
      </c>
      <c r="BH33" s="115">
        <f>IFERROR(INDEX(TableWRVORP[BYE],MATCH(TableWRTEMaster[[#This Row],[RK]],TableWRVORP[RK],0)),"")</f>
        <v>9</v>
      </c>
      <c r="BI33" s="116">
        <f>IFERROR(INDEX(TableWRVORP[FPS],MATCH(TableWRTEMaster[[#This Row],[RK]],TableWRVORP[RK],0)),"")</f>
        <v>177.04765259999994</v>
      </c>
      <c r="BJ33" s="117">
        <f>IFERROR(INDEX(TableWRVORP[VORP],MATCH(TableWRTEMaster[[#This Row],[RK]],TableWRVORP[RK],0)),"")</f>
        <v>0.22606911926711848</v>
      </c>
    </row>
    <row r="34" spans="1:62" x14ac:dyDescent="0.2">
      <c r="A34">
        <v>33</v>
      </c>
      <c r="B34" s="112" t="str">
        <f>IFERROR(INDEX(TableQBCalcPts[PLAYER],MATCH(TableQBVORP[[#This Row],[RK]],TableQBCalcPts[RK],0)),"")</f>
        <v>Justin Fields</v>
      </c>
      <c r="C34" s="112" t="str">
        <f>IFERROR(INDEX(TableQBCalcPts[TM],MATCH(TableQBVORP[[#This Row],[RK]],TableQBCalcPts[RK],0)),"")</f>
        <v>PIT</v>
      </c>
      <c r="D34" s="112">
        <f>IFERROR(INDEX(TableQBCalcPts[BYE],MATCH(TableQBVORP[[#This Row],[RK]],TableQBCalcPts[RK],0)),"")</f>
        <v>6</v>
      </c>
      <c r="E34" s="113">
        <f>IFERROR(INDEX(TableQBCalcPts[Custom],MATCH(TableQBVORP[[#This Row],[RK]],TableQBCalcPts[RK],0)),"")</f>
        <v>100.70848563300001</v>
      </c>
      <c r="F34" s="114">
        <f>(IFERROR((TableQBVORP[[#This Row],[FPS]]-INDEX(TableQBVORP[FPS],MATCH(QBVORPCalc,TableQBVORP[RK],0)))/INDEX(TableQBVORP[FPS],MATCH(QBVORPCalc,TableQBVORP[RK],0)),""))+(TableRBVORP[[#This Row],[VORP]]*0.45)</f>
        <v>-0.56138634889518879</v>
      </c>
      <c r="H34">
        <v>33</v>
      </c>
      <c r="I34" s="112" t="str">
        <f>IFERROR(INDEX(TableRBCalcPts[PLAYER],MATCH(TableRBVORP[[#This Row],[RK]],TableRBCalcPts[RK],0)),"")</f>
        <v>Chuba Hubbard</v>
      </c>
      <c r="J34" s="112" t="str">
        <f>IFERROR(INDEX(TableRBCalcPts[TM],MATCH(TableRBVORP[[#This Row],[RK]],TableRBCalcPts[RK],0)),"")</f>
        <v>CAR</v>
      </c>
      <c r="K34" s="112">
        <f>IFERROR(INDEX(TableRBCalcPts[BYE],MATCH(TableRBVORP[[#This Row],[RK]],TableRBCalcPts[RK],0)),"")</f>
        <v>7</v>
      </c>
      <c r="L34" s="113">
        <f>IFERROR(INDEX(TableRBCalcPts[Custom],MATCH(TableRBVORP[[#This Row],[RK]],TableRBCalcPts[RK],0)),"")</f>
        <v>155.42741467344004</v>
      </c>
      <c r="M34" s="114">
        <f>IFERROR((TableRBVORP[[#This Row],[FPS]]-INDEX(TableRBVORP[FPS],MATCH(RBVORPCalc,TableRBVORP[RK],0)))/INDEX(TableRBVORP[FPS],MATCH(RBVORPCalc,TableRBVORP[RK],0)),"")</f>
        <v>0.37890404691821317</v>
      </c>
      <c r="O34">
        <v>33</v>
      </c>
      <c r="P34" s="112" t="str">
        <f>IFERROR(INDEX(TableWRCalcPts[PLAYER],MATCH(TableWRVORP[[#This Row],[RK]],TableWRCalcPts[RK],0)),"")</f>
        <v>Courtland Sutton</v>
      </c>
      <c r="Q34" s="112" t="str">
        <f>IFERROR(INDEX(TableWRCalcPts[TM],MATCH(TableWRVORP[[#This Row],[RK]],TableWRCalcPts[RK],0)),"")</f>
        <v>DEN</v>
      </c>
      <c r="R34" s="112">
        <f>IFERROR(INDEX(TableWRCalcPts[BYE],MATCH(TableWRVORP[[#This Row],[RK]],TableWRCalcPts[RK],0)),"")</f>
        <v>9</v>
      </c>
      <c r="S34" s="113">
        <f>IFERROR(INDEX(TableWRCalcPts[Custom],MATCH(TableWRVORP[[#This Row],[RK]],TableWRCalcPts[RK],0)),"")</f>
        <v>176.02978377907999</v>
      </c>
      <c r="T34" s="114">
        <f>IFERROR((TableWRVORP[[#This Row],[FPS]]-INDEX(TableWRVORP[FPS],MATCH(WRVORPCalc,TableWRVORP[RK],0)))/INDEX(TableWRVORP[FPS],MATCH(WRVORPCalc,TableWRVORP[RK],0)),"")</f>
        <v>0.2190202964758087</v>
      </c>
      <c r="V34">
        <v>33</v>
      </c>
      <c r="W34" s="112" t="str">
        <f>IFERROR(INDEX(TableTECalcPts[PLAYER],MATCH(TableTEVORP[[#This Row],[RK]],TableTECalcPts[RK],0)),"")</f>
        <v>Will Dissly</v>
      </c>
      <c r="X34" s="112" t="str">
        <f>IFERROR(INDEX(TableTECalcPts[TM],MATCH(TableTEVORP[[#This Row],[RK]],TableTECalcPts[RK],0)),"")</f>
        <v>LAC</v>
      </c>
      <c r="Y34" s="112">
        <f>IFERROR(INDEX(TableTECalcPts[BYE],MATCH(TableTEVORP[[#This Row],[RK]],TableTECalcPts[RK],0)),"")</f>
        <v>5</v>
      </c>
      <c r="Z34" s="113">
        <f>IFERROR(INDEX(TableTECalcPts[Custom],MATCH(TableTEVORP[[#This Row],[RK]],TableTECalcPts[RK],0)),"")</f>
        <v>59.707462324891488</v>
      </c>
      <c r="AA34" s="114">
        <f>IFERROR((TableTEVORP[[#This Row],[FPS]]-INDEX(TableTEVORP[FPS],MATCH(TEVORPCalc,TableTEVORP[RK],0)))/INDEX(TableTEVORP[FPS],MATCH(TEVORPCalc,TableTEVORP[RK],0)),"")</f>
        <v>-0.54540663428314229</v>
      </c>
      <c r="AF34" t="s">
        <v>9</v>
      </c>
      <c r="AG34">
        <v>33</v>
      </c>
      <c r="AH34" s="83">
        <f>RANK(TableOverallMaster[[#This Row],[VORP]],TableOverallMaster[VORP])+COUNTIF($AM$2:AM34,AM34)-1</f>
        <v>236</v>
      </c>
      <c r="AI34" s="115" t="str">
        <f>IFERROR(INDEX(TableQBVORP[QUARTERBACK],MATCH(TableOverallMaster[[#This Row],[RK]],TableQBVORP[RK],0)),"")</f>
        <v>Justin Fields</v>
      </c>
      <c r="AJ34" s="115" t="str">
        <f t="shared" si="0"/>
        <v>QB33</v>
      </c>
      <c r="AK34" s="115">
        <f>IFERROR(INDEX(TableQBVORP[BYE],MATCH(TableOverallMaster[[#This Row],[RK]],TableQBVORP[RK],0)),"")</f>
        <v>6</v>
      </c>
      <c r="AL34" s="116">
        <f>IFERROR(INDEX(TableQBVORP[FPS],MATCH(TableOverallMaster[[#This Row],[RK]],TableQBVORP[RK],0)),"")</f>
        <v>100.70848563300001</v>
      </c>
      <c r="AM34" s="117">
        <f>IFERROR(INDEX(TableQBVORP[VORP],MATCH(TableOverallMaster[[#This Row],[RK]],TableQBVORP[RK],0)),"")</f>
        <v>-0.56138634889518879</v>
      </c>
      <c r="AO34">
        <v>33</v>
      </c>
      <c r="AP34" s="118" t="str">
        <f>IFERROR(INDEX(TableOverallMaster[OVERALL PLAYER],MATCH(TableOverallRank[[#This Row],[RK]],TableOverallMaster[OVR RK],0)),"")</f>
        <v>Lamar Jackson</v>
      </c>
      <c r="AQ34" s="119" t="str">
        <f>IFERROR(INDEX(TableOverallMaster[POS RK],MATCH(TableOverallRank[[#This Row],[OVERALL PLAYER]],TableOverallMaster[OVERALL PLAYER],0)),"")</f>
        <v>QB2</v>
      </c>
      <c r="AR34" s="120">
        <f>IFERROR(INDEX(TableOverallMaster[BYE],MATCH(TableOverallRank[[#This Row],[OVERALL PLAYER]],TableOverallMaster[OVERALL PLAYER],0)),"")</f>
        <v>13</v>
      </c>
      <c r="AS34" s="119">
        <f>IFERROR(INDEX(TableOverallMaster[Custom],MATCH(TableOverallRank[[#This Row],[OVERALL PLAYER]],TableOverallMaster[OVERALL PLAYER],0)),"")</f>
        <v>375.62819878982395</v>
      </c>
      <c r="AT34" s="121">
        <f>IFERROR(INDEX(TableOverallMaster[VORP],MATCH(TableOverallRank[[#This Row],[OVERALL PLAYER]],TableOverallMaster[OVERALL PLAYER],0)),"")</f>
        <v>0.58006903634653906</v>
      </c>
      <c r="AV34">
        <v>33</v>
      </c>
      <c r="AW34" s="122" t="str">
        <f>IFERROR(INDEX(TableWRTECalcPts[PLAYER],MATCH(TableWRTERank[[#This Row],[RK]],TableWRTECalcPts[RK],0)),"")</f>
        <v>Christian Kirk</v>
      </c>
      <c r="AX34" s="122" t="str">
        <f>IFERROR(INDEX(TableWRTECalcPts[POS RK],MATCH(TableWRTERank[[#This Row],[WR and TE COMBINED]],TableWRTECalcPts[PLAYER],0)),"")</f>
        <v>WR30</v>
      </c>
      <c r="AY34" s="122">
        <f>IFERROR(INDEX(TableWRTECalcPts[BYE],MATCH(TableWRTERank[[#This Row],[RK]],TableWRTECalcPts[RK],0)),"")</f>
        <v>9</v>
      </c>
      <c r="AZ34" s="123">
        <f>IFERROR(INDEX(TableWRTECalcPts[Custom],MATCH(TableWRTERank[[#This Row],[RK]],TableWRTECalcPts[RK],0)),"")</f>
        <v>178.08309643672794</v>
      </c>
      <c r="BA34" s="174">
        <f>IFERROR((TableWRTERank[[#This Row],[FPS]]-INDEX(TableWRTERank[FPS],MATCH(WRTEVORPCalc,TableWRTERank[RK],0)))/INDEX(TableWRTERank[FPS],MATCH(WRTEVORPCalc,TableWRTERank[RK],0)),"")</f>
        <v>0.19290286308191806</v>
      </c>
      <c r="BC34" t="s">
        <v>223</v>
      </c>
      <c r="BD34">
        <v>33</v>
      </c>
      <c r="BE34" s="83">
        <f>RANK(TableWRTEMaster[[#This Row],[VORP]],TableWRTEMaster[VORP])+COUNTIF($BJ$2:BJ34,BJ34)-1</f>
        <v>38</v>
      </c>
      <c r="BF34" s="115" t="str">
        <f>IFERROR(INDEX(TableWRVORP[WIDE RECEIVER],MATCH(TableWRTEMaster[[#This Row],[RK]],TableWRVORP[RK],0)),"")</f>
        <v>Courtland Sutton</v>
      </c>
      <c r="BG34" s="115" t="str">
        <f>_xlfn.CONCAT(TableWRTEMaster[[#This Row],[POS]],TableWRTEMaster[[#This Row],[RK]])</f>
        <v>WR33</v>
      </c>
      <c r="BH34" s="115">
        <f>IFERROR(INDEX(TableWRVORP[BYE],MATCH(TableWRTEMaster[[#This Row],[RK]],TableWRVORP[RK],0)),"")</f>
        <v>9</v>
      </c>
      <c r="BI34" s="116">
        <f>IFERROR(INDEX(TableWRVORP[FPS],MATCH(TableWRTEMaster[[#This Row],[RK]],TableWRVORP[RK],0)),"")</f>
        <v>176.02978377907999</v>
      </c>
      <c r="BJ34" s="117">
        <f>IFERROR(INDEX(TableWRVORP[VORP],MATCH(TableWRTEMaster[[#This Row],[RK]],TableWRVORP[RK],0)),"")</f>
        <v>0.2190202964758087</v>
      </c>
    </row>
    <row r="35" spans="1:62" x14ac:dyDescent="0.2">
      <c r="A35">
        <v>34</v>
      </c>
      <c r="B35" s="112" t="str">
        <f>IFERROR(INDEX(TableQBCalcPts[PLAYER],MATCH(TableQBVORP[[#This Row],[RK]],TableQBCalcPts[RK],0)),"")</f>
        <v>Aidan O'Connell</v>
      </c>
      <c r="C35" s="112" t="str">
        <f>IFERROR(INDEX(TableQBCalcPts[TM],MATCH(TableQBVORP[[#This Row],[RK]],TableQBCalcPts[RK],0)),"")</f>
        <v>LV</v>
      </c>
      <c r="D35" s="112">
        <f>IFERROR(INDEX(TableQBCalcPts[BYE],MATCH(TableQBVORP[[#This Row],[RK]],TableQBCalcPts[RK],0)),"")</f>
        <v>13</v>
      </c>
      <c r="E35" s="113">
        <f>IFERROR(INDEX(TableQBCalcPts[Custom],MATCH(TableQBVORP[[#This Row],[RK]],TableQBCalcPts[RK],0)),"")</f>
        <v>98.655392280000015</v>
      </c>
      <c r="F35" s="114">
        <f>(IFERROR((TableQBVORP[[#This Row],[FPS]]-INDEX(TableQBVORP[FPS],MATCH(QBVORPCalc,TableQBVORP[RK],0)))/INDEX(TableQBVORP[FPS],MATCH(QBVORPCalc,TableQBVORP[RK],0)),""))+(TableRBVORP[[#This Row],[VORP]]*0.45)</f>
        <v>-0.57958203125501739</v>
      </c>
      <c r="H35">
        <v>34</v>
      </c>
      <c r="I35" s="112" t="str">
        <f>IFERROR(INDEX(TableRBCalcPts[PLAYER],MATCH(TableRBVORP[[#This Row],[RK]],TableRBCalcPts[RK],0)),"")</f>
        <v>Najee Harris</v>
      </c>
      <c r="J35" s="112" t="str">
        <f>IFERROR(INDEX(TableRBCalcPts[TM],MATCH(TableRBVORP[[#This Row],[RK]],TableRBCalcPts[RK],0)),"")</f>
        <v>PIT</v>
      </c>
      <c r="K35" s="112">
        <f>IFERROR(INDEX(TableRBCalcPts[BYE],MATCH(TableRBVORP[[#This Row],[RK]],TableRBCalcPts[RK],0)),"")</f>
        <v>6</v>
      </c>
      <c r="L35" s="113">
        <f>IFERROR(INDEX(TableRBCalcPts[Custom],MATCH(TableRBVORP[[#This Row],[RK]],TableRBCalcPts[RK],0)),"")</f>
        <v>152.23876476732002</v>
      </c>
      <c r="M35" s="114">
        <f>IFERROR((TableRBVORP[[#This Row],[FPS]]-INDEX(TableRBVORP[FPS],MATCH(RBVORPCalc,TableRBVORP[RK],0)))/INDEX(TableRBVORP[FPS],MATCH(RBVORPCalc,TableRBVORP[RK],0)),"")</f>
        <v>0.3506153291975187</v>
      </c>
      <c r="O35">
        <v>34</v>
      </c>
      <c r="P35" s="112" t="str">
        <f>IFERROR(INDEX(TableWRCalcPts[PLAYER],MATCH(TableWRVORP[[#This Row],[RK]],TableWRCalcPts[RK],0)),"")</f>
        <v>Rashee Rice</v>
      </c>
      <c r="Q35" s="112" t="str">
        <f>IFERROR(INDEX(TableWRCalcPts[TM],MATCH(TableWRVORP[[#This Row],[RK]],TableWRCalcPts[RK],0)),"")</f>
        <v>KC</v>
      </c>
      <c r="R35" s="112">
        <f>IFERROR(INDEX(TableWRCalcPts[BYE],MATCH(TableWRVORP[[#This Row],[RK]],TableWRCalcPts[RK],0)),"")</f>
        <v>10</v>
      </c>
      <c r="S35" s="113">
        <f>IFERROR(INDEX(TableWRCalcPts[Custom],MATCH(TableWRVORP[[#This Row],[RK]],TableWRCalcPts[RK],0)),"")</f>
        <v>174.33131313919995</v>
      </c>
      <c r="T35" s="114">
        <f>IFERROR((TableWRVORP[[#This Row],[FPS]]-INDEX(TableWRVORP[FPS],MATCH(WRVORPCalc,TableWRVORP[RK],0)))/INDEX(TableWRVORP[FPS],MATCH(WRVORPCalc,TableWRVORP[RK],0)),"")</f>
        <v>0.20725825178920898</v>
      </c>
      <c r="V35">
        <v>34</v>
      </c>
      <c r="W35" s="112" t="str">
        <f>IFERROR(INDEX(TableTECalcPts[PLAYER],MATCH(TableTEVORP[[#This Row],[RK]],TableTECalcPts[RK],0)),"")</f>
        <v>Ja'Tavion Sanders</v>
      </c>
      <c r="X35" s="112" t="str">
        <f>IFERROR(INDEX(TableTECalcPts[TM],MATCH(TableTEVORP[[#This Row],[RK]],TableTECalcPts[RK],0)),"")</f>
        <v>CAR</v>
      </c>
      <c r="Y35" s="112">
        <f>IFERROR(INDEX(TableTECalcPts[BYE],MATCH(TableTEVORP[[#This Row],[RK]],TableTECalcPts[RK],0)),"")</f>
        <v>7</v>
      </c>
      <c r="Z35" s="113">
        <f>IFERROR(INDEX(TableTECalcPts[Custom],MATCH(TableTEVORP[[#This Row],[RK]],TableTECalcPts[RK],0)),"")</f>
        <v>59.068966360991993</v>
      </c>
      <c r="AA35" s="114">
        <f>IFERROR((TableTEVORP[[#This Row],[FPS]]-INDEX(TableTEVORP[FPS],MATCH(TEVORPCalc,TableTEVORP[RK],0)))/INDEX(TableTEVORP[FPS],MATCH(TEVORPCalc,TableTEVORP[RK],0)),"")</f>
        <v>-0.55026793667188389</v>
      </c>
      <c r="AF35" t="s">
        <v>9</v>
      </c>
      <c r="AG35">
        <v>34</v>
      </c>
      <c r="AH35" s="83">
        <f>RANK(TableOverallMaster[[#This Row],[VORP]],TableOverallMaster[VORP])+COUNTIF($AM$2:AM35,AM35)-1</f>
        <v>240</v>
      </c>
      <c r="AI35" s="115" t="str">
        <f>IFERROR(INDEX(TableQBVORP[QUARTERBACK],MATCH(TableOverallMaster[[#This Row],[RK]],TableQBVORP[RK],0)),"")</f>
        <v>Aidan O'Connell</v>
      </c>
      <c r="AJ35" s="115" t="str">
        <f t="shared" si="0"/>
        <v>QB34</v>
      </c>
      <c r="AK35" s="115">
        <f>IFERROR(INDEX(TableQBVORP[BYE],MATCH(TableOverallMaster[[#This Row],[RK]],TableQBVORP[RK],0)),"")</f>
        <v>13</v>
      </c>
      <c r="AL35" s="116">
        <f>IFERROR(INDEX(TableQBVORP[FPS],MATCH(TableOverallMaster[[#This Row],[RK]],TableQBVORP[RK],0)),"")</f>
        <v>98.655392280000015</v>
      </c>
      <c r="AM35" s="117">
        <f>IFERROR(INDEX(TableQBVORP[VORP],MATCH(TableOverallMaster[[#This Row],[RK]],TableQBVORP[RK],0)),"")</f>
        <v>-0.57958203125501739</v>
      </c>
      <c r="AO35">
        <v>34</v>
      </c>
      <c r="AP35" s="118" t="str">
        <f>IFERROR(INDEX(TableOverallMaster[OVERALL PLAYER],MATCH(TableOverallRank[[#This Row],[RK]],TableOverallMaster[OVR RK],0)),"")</f>
        <v>Deebo Samuel</v>
      </c>
      <c r="AQ35" s="119" t="str">
        <f>IFERROR(INDEX(TableOverallMaster[POS RK],MATCH(TableOverallRank[[#This Row],[OVERALL PLAYER]],TableOverallMaster[OVERALL PLAYER],0)),"")</f>
        <v>WR7</v>
      </c>
      <c r="AR35" s="120">
        <f>IFERROR(INDEX(TableOverallMaster[BYE],MATCH(TableOverallRank[[#This Row],[OVERALL PLAYER]],TableOverallMaster[OVERALL PLAYER],0)),"")</f>
        <v>9</v>
      </c>
      <c r="AS35" s="119">
        <f>IFERROR(INDEX(TableOverallMaster[Custom],MATCH(TableOverallRank[[#This Row],[OVERALL PLAYER]],TableOverallMaster[OVERALL PLAYER],0)),"")</f>
        <v>227.35073229258597</v>
      </c>
      <c r="AT35" s="121">
        <f>IFERROR(INDEX(TableOverallMaster[VORP],MATCH(TableOverallRank[[#This Row],[OVERALL PLAYER]],TableOverallMaster[OVERALL PLAYER],0)),"")</f>
        <v>0.57442195936070506</v>
      </c>
      <c r="AV35">
        <v>34</v>
      </c>
      <c r="AW35" s="122" t="str">
        <f>IFERROR(INDEX(TableWRTECalcPts[PLAYER],MATCH(TableWRTERank[[#This Row],[RK]],TableWRTECalcPts[RK],0)),"")</f>
        <v>Tank Dell</v>
      </c>
      <c r="AX35" s="122" t="str">
        <f>IFERROR(INDEX(TableWRTECalcPts[POS RK],MATCH(TableWRTERank[[#This Row],[WR and TE COMBINED]],TableWRTECalcPts[PLAYER],0)),"")</f>
        <v>WR31</v>
      </c>
      <c r="AY35" s="122">
        <f>IFERROR(INDEX(TableWRTECalcPts[BYE],MATCH(TableWRTERank[[#This Row],[RK]],TableWRTECalcPts[RK],0)),"")</f>
        <v>7</v>
      </c>
      <c r="AZ35" s="123">
        <f>IFERROR(INDEX(TableWRTECalcPts[Custom],MATCH(TableWRTERank[[#This Row],[RK]],TableWRTECalcPts[RK],0)),"")</f>
        <v>177.76265426399999</v>
      </c>
      <c r="BA35" s="174">
        <f>IFERROR((TableWRTERank[[#This Row],[FPS]]-INDEX(TableWRTERank[FPS],MATCH(WRTEVORPCalc,TableWRTERank[RK],0)))/INDEX(TableWRTERank[FPS],MATCH(WRTEVORPCalc,TableWRTERank[RK],0)),"")</f>
        <v>0.19075635736100491</v>
      </c>
      <c r="BC35" t="s">
        <v>223</v>
      </c>
      <c r="BD35">
        <v>34</v>
      </c>
      <c r="BE35" s="83">
        <f>RANK(TableWRTEMaster[[#This Row],[VORP]],TableWRTEMaster[VORP])+COUNTIF($BJ$2:BJ35,BJ35)-1</f>
        <v>39</v>
      </c>
      <c r="BF35" s="115" t="str">
        <f>IFERROR(INDEX(TableWRVORP[WIDE RECEIVER],MATCH(TableWRTEMaster[[#This Row],[RK]],TableWRVORP[RK],0)),"")</f>
        <v>Rashee Rice</v>
      </c>
      <c r="BG35" s="115" t="str">
        <f>_xlfn.CONCAT(TableWRTEMaster[[#This Row],[POS]],TableWRTEMaster[[#This Row],[RK]])</f>
        <v>WR34</v>
      </c>
      <c r="BH35" s="115">
        <f>IFERROR(INDEX(TableWRVORP[BYE],MATCH(TableWRTEMaster[[#This Row],[RK]],TableWRVORP[RK],0)),"")</f>
        <v>10</v>
      </c>
      <c r="BI35" s="116">
        <f>IFERROR(INDEX(TableWRVORP[FPS],MATCH(TableWRTEMaster[[#This Row],[RK]],TableWRVORP[RK],0)),"")</f>
        <v>174.33131313919995</v>
      </c>
      <c r="BJ35" s="117">
        <f>IFERROR(INDEX(TableWRVORP[VORP],MATCH(TableWRTEMaster[[#This Row],[RK]],TableWRVORP[RK],0)),"")</f>
        <v>0.20725825178920898</v>
      </c>
    </row>
    <row r="36" spans="1:62" x14ac:dyDescent="0.2">
      <c r="A36">
        <v>35</v>
      </c>
      <c r="B36" s="112" t="str">
        <f>IFERROR(INDEX(TableQBCalcPts[PLAYER],MATCH(TableQBVORP[[#This Row],[RK]],TableQBCalcPts[RK],0)),"")</f>
        <v>Drew Lock</v>
      </c>
      <c r="C36" s="112" t="str">
        <f>IFERROR(INDEX(TableQBCalcPts[TM],MATCH(TableQBVORP[[#This Row],[RK]],TableQBCalcPts[RK],0)),"")</f>
        <v>NYG</v>
      </c>
      <c r="D36" s="112">
        <f>IFERROR(INDEX(TableQBCalcPts[BYE],MATCH(TableQBVORP[[#This Row],[RK]],TableQBCalcPts[RK],0)),"")</f>
        <v>13</v>
      </c>
      <c r="E36" s="113">
        <f>IFERROR(INDEX(TableQBCalcPts[Custom],MATCH(TableQBVORP[[#This Row],[RK]],TableQBCalcPts[RK],0)),"")</f>
        <v>64.911786210399995</v>
      </c>
      <c r="F36" s="114">
        <f>(IFERROR((TableQBVORP[[#This Row],[FPS]]-INDEX(TableQBVORP[FPS],MATCH(QBVORPCalc,TableQBVORP[RK],0)))/INDEX(TableQBVORP[FPS],MATCH(QBVORPCalc,TableQBVORP[RK],0)),""))+(TableRBVORP[[#This Row],[VORP]]*0.45)</f>
        <v>-0.69138021435393215</v>
      </c>
      <c r="H36">
        <v>35</v>
      </c>
      <c r="I36" s="112" t="str">
        <f>IFERROR(INDEX(TableRBCalcPts[PLAYER],MATCH(TableRBVORP[[#This Row],[RK]],TableRBCalcPts[RK],0)),"")</f>
        <v>Javonte Williams</v>
      </c>
      <c r="J36" s="112" t="str">
        <f>IFERROR(INDEX(TableRBCalcPts[TM],MATCH(TableRBVORP[[#This Row],[RK]],TableRBCalcPts[RK],0)),"")</f>
        <v>DEN</v>
      </c>
      <c r="K36" s="112">
        <f>IFERROR(INDEX(TableRBCalcPts[BYE],MATCH(TableRBVORP[[#This Row],[RK]],TableRBCalcPts[RK],0)),"")</f>
        <v>9</v>
      </c>
      <c r="L36" s="113">
        <f>IFERROR(INDEX(TableRBCalcPts[Custom],MATCH(TableRBVORP[[#This Row],[RK]],TableRBCalcPts[RK],0)),"")</f>
        <v>146.73668960395202</v>
      </c>
      <c r="M36" s="114">
        <f>IFERROR((TableRBVORP[[#This Row],[FPS]]-INDEX(TableRBVORP[FPS],MATCH(RBVORPCalc,TableRBVORP[RK],0)))/INDEX(TableRBVORP[FPS],MATCH(RBVORPCalc,TableRBVORP[RK],0)),"")</f>
        <v>0.30180261668372821</v>
      </c>
      <c r="O36">
        <v>35</v>
      </c>
      <c r="P36" s="112" t="str">
        <f>IFERROR(INDEX(TableWRCalcPts[PLAYER],MATCH(TableWRVORP[[#This Row],[RK]],TableWRCalcPts[RK],0)),"")</f>
        <v>Terry McLaurin</v>
      </c>
      <c r="Q36" s="112" t="str">
        <f>IFERROR(INDEX(TableWRCalcPts[TM],MATCH(TableWRVORP[[#This Row],[RK]],TableWRCalcPts[RK],0)),"")</f>
        <v>WSH</v>
      </c>
      <c r="R36" s="112">
        <f>IFERROR(INDEX(TableWRCalcPts[BYE],MATCH(TableWRVORP[[#This Row],[RK]],TableWRCalcPts[RK],0)),"")</f>
        <v>14</v>
      </c>
      <c r="S36" s="113">
        <f>IFERROR(INDEX(TableWRCalcPts[Custom],MATCH(TableWRVORP[[#This Row],[RK]],TableWRCalcPts[RK],0)),"")</f>
        <v>172.97674860746699</v>
      </c>
      <c r="T36" s="114">
        <f>IFERROR((TableWRVORP[[#This Row],[FPS]]-INDEX(TableWRVORP[FPS],MATCH(WRVORPCalc,TableWRVORP[RK],0)))/INDEX(TableWRVORP[FPS],MATCH(WRVORPCalc,TableWRVORP[RK],0)),"")</f>
        <v>0.19787778433864922</v>
      </c>
      <c r="V36">
        <v>35</v>
      </c>
      <c r="W36" s="112" t="str">
        <f>IFERROR(INDEX(TableTECalcPts[PLAYER],MATCH(TableTEVORP[[#This Row],[RK]],TableTECalcPts[RK],0)),"")</f>
        <v>Dawson Knox</v>
      </c>
      <c r="X36" s="112" t="str">
        <f>IFERROR(INDEX(TableTECalcPts[TM],MATCH(TableTEVORP[[#This Row],[RK]],TableTECalcPts[RK],0)),"")</f>
        <v>BUF</v>
      </c>
      <c r="Y36" s="112">
        <f>IFERROR(INDEX(TableTECalcPts[BYE],MATCH(TableTEVORP[[#This Row],[RK]],TableTECalcPts[RK],0)),"")</f>
        <v>13</v>
      </c>
      <c r="Z36" s="113">
        <f>IFERROR(INDEX(TableTECalcPts[Custom],MATCH(TableTEVORP[[#This Row],[RK]],TableTECalcPts[RK],0)),"")</f>
        <v>58.365559107071988</v>
      </c>
      <c r="AA36" s="114">
        <f>IFERROR((TableTEVORP[[#This Row],[FPS]]-INDEX(TableTEVORP[FPS],MATCH(TEVORPCalc,TableTEVORP[RK],0)))/INDEX(TableTEVORP[FPS],MATCH(TEVORPCalc,TableTEVORP[RK],0)),"")</f>
        <v>-0.55562345269246416</v>
      </c>
      <c r="AF36" t="s">
        <v>9</v>
      </c>
      <c r="AG36">
        <v>35</v>
      </c>
      <c r="AH36" s="83">
        <f>RANK(TableOverallMaster[[#This Row],[VORP]],TableOverallMaster[VORP])+COUNTIF($AM$2:AM36,AM36)-1</f>
        <v>267</v>
      </c>
      <c r="AI36" s="115" t="str">
        <f>IFERROR(INDEX(TableQBVORP[QUARTERBACK],MATCH(TableOverallMaster[[#This Row],[RK]],TableQBVORP[RK],0)),"")</f>
        <v>Drew Lock</v>
      </c>
      <c r="AJ36" s="115" t="str">
        <f t="shared" si="0"/>
        <v>QB35</v>
      </c>
      <c r="AK36" s="115">
        <f>IFERROR(INDEX(TableQBVORP[BYE],MATCH(TableOverallMaster[[#This Row],[RK]],TableQBVORP[RK],0)),"")</f>
        <v>13</v>
      </c>
      <c r="AL36" s="116">
        <f>IFERROR(INDEX(TableQBVORP[FPS],MATCH(TableOverallMaster[[#This Row],[RK]],TableQBVORP[RK],0)),"")</f>
        <v>64.911786210399995</v>
      </c>
      <c r="AM36" s="117">
        <f>IFERROR(INDEX(TableQBVORP[VORP],MATCH(TableOverallMaster[[#This Row],[RK]],TableQBVORP[RK],0)),"")</f>
        <v>-0.69138021435393215</v>
      </c>
      <c r="AO36">
        <v>35</v>
      </c>
      <c r="AP36" s="118" t="str">
        <f>IFERROR(INDEX(TableOverallMaster[OVERALL PLAYER],MATCH(TableOverallRank[[#This Row],[RK]],TableOverallMaster[OVR RK],0)),"")</f>
        <v>Jalen Hurts</v>
      </c>
      <c r="AQ36" s="119" t="str">
        <f>IFERROR(INDEX(TableOverallMaster[POS RK],MATCH(TableOverallRank[[#This Row],[OVERALL PLAYER]],TableOverallMaster[OVERALL PLAYER],0)),"")</f>
        <v>QB3</v>
      </c>
      <c r="AR36" s="120">
        <f>IFERROR(INDEX(TableOverallMaster[BYE],MATCH(TableOverallRank[[#This Row],[OVERALL PLAYER]],TableOverallMaster[OVERALL PLAYER],0)),"")</f>
        <v>10</v>
      </c>
      <c r="AS36" s="119">
        <f>IFERROR(INDEX(TableOverallMaster[Custom],MATCH(TableOverallRank[[#This Row],[OVERALL PLAYER]],TableOverallMaster[OVERALL PLAYER],0)),"")</f>
        <v>373.54217098705925</v>
      </c>
      <c r="AT36" s="121">
        <f>IFERROR(INDEX(TableOverallMaster[VORP],MATCH(TableOverallRank[[#This Row],[OVERALL PLAYER]],TableOverallMaster[OVERALL PLAYER],0)),"")</f>
        <v>0.5707451197349569</v>
      </c>
      <c r="AV36">
        <v>35</v>
      </c>
      <c r="AW36" s="122" t="str">
        <f>IFERROR(INDEX(TableWRTECalcPts[PLAYER],MATCH(TableWRTERank[[#This Row],[RK]],TableWRTECalcPts[RK],0)),"")</f>
        <v>Brian Thomas</v>
      </c>
      <c r="AX36" s="122" t="str">
        <f>IFERROR(INDEX(TableWRTECalcPts[POS RK],MATCH(TableWRTERank[[#This Row],[WR and TE COMBINED]],TableWRTECalcPts[PLAYER],0)),"")</f>
        <v>WR32</v>
      </c>
      <c r="AY36" s="122">
        <f>IFERROR(INDEX(TableWRTECalcPts[BYE],MATCH(TableWRTERank[[#This Row],[RK]],TableWRTECalcPts[RK],0)),"")</f>
        <v>9</v>
      </c>
      <c r="AZ36" s="123">
        <f>IFERROR(INDEX(TableWRTECalcPts[Custom],MATCH(TableWRTERank[[#This Row],[RK]],TableWRTECalcPts[RK],0)),"")</f>
        <v>177.04765259999994</v>
      </c>
      <c r="BA36" s="174">
        <f>IFERROR((TableWRTERank[[#This Row],[FPS]]-INDEX(TableWRTERank[FPS],MATCH(WRTEVORPCalc,TableWRTERank[RK],0)))/INDEX(TableWRTERank[FPS],MATCH(WRTEVORPCalc,TableWRTERank[RK],0)),"")</f>
        <v>0.18596686554982089</v>
      </c>
      <c r="BC36" t="s">
        <v>223</v>
      </c>
      <c r="BD36">
        <v>35</v>
      </c>
      <c r="BE36" s="83">
        <f>RANK(TableWRTEMaster[[#This Row],[VORP]],TableWRTEMaster[VORP])+COUNTIF($BJ$2:BJ36,BJ36)-1</f>
        <v>40</v>
      </c>
      <c r="BF36" s="115" t="str">
        <f>IFERROR(INDEX(TableWRVORP[WIDE RECEIVER],MATCH(TableWRTEMaster[[#This Row],[RK]],TableWRVORP[RK],0)),"")</f>
        <v>Terry McLaurin</v>
      </c>
      <c r="BG36" s="115" t="str">
        <f>_xlfn.CONCAT(TableWRTEMaster[[#This Row],[POS]],TableWRTEMaster[[#This Row],[RK]])</f>
        <v>WR35</v>
      </c>
      <c r="BH36" s="115">
        <f>IFERROR(INDEX(TableWRVORP[BYE],MATCH(TableWRTEMaster[[#This Row],[RK]],TableWRVORP[RK],0)),"")</f>
        <v>14</v>
      </c>
      <c r="BI36" s="116">
        <f>IFERROR(INDEX(TableWRVORP[FPS],MATCH(TableWRTEMaster[[#This Row],[RK]],TableWRVORP[RK],0)),"")</f>
        <v>172.97674860746699</v>
      </c>
      <c r="BJ36" s="117">
        <f>IFERROR(INDEX(TableWRVORP[VORP],MATCH(TableWRTEMaster[[#This Row],[RK]],TableWRVORP[RK],0)),"")</f>
        <v>0.19787778433864922</v>
      </c>
    </row>
    <row r="37" spans="1:62" x14ac:dyDescent="0.2">
      <c r="A37">
        <v>36</v>
      </c>
      <c r="B37" s="112" t="str">
        <f>IFERROR(INDEX(TableQBCalcPts[PLAYER],MATCH(TableQBVORP[[#This Row],[RK]],TableQBCalcPts[RK],0)),"")</f>
        <v>Jacoby Brissett</v>
      </c>
      <c r="C37" s="112" t="str">
        <f>IFERROR(INDEX(TableQBCalcPts[TM],MATCH(TableQBVORP[[#This Row],[RK]],TableQBCalcPts[RK],0)),"")</f>
        <v>NE</v>
      </c>
      <c r="D37" s="112">
        <f>IFERROR(INDEX(TableQBCalcPts[BYE],MATCH(TableQBVORP[[#This Row],[RK]],TableQBCalcPts[RK],0)),"")</f>
        <v>11</v>
      </c>
      <c r="E37" s="113">
        <f>IFERROR(INDEX(TableQBCalcPts[Custom],MATCH(TableQBVORP[[#This Row],[RK]],TableQBCalcPts[RK],0)),"")</f>
        <v>38.742384955344001</v>
      </c>
      <c r="F37" s="114">
        <f>(IFERROR((TableQBVORP[[#This Row],[FPS]]-INDEX(TableQBVORP[FPS],MATCH(QBVORPCalc,TableQBVORP[RK],0)))/INDEX(TableQBVORP[FPS],MATCH(QBVORPCalc,TableQBVORP[RK],0)),""))+(TableRBVORP[[#This Row],[VORP]]*0.45)</f>
        <v>-0.77787068412799931</v>
      </c>
      <c r="H37">
        <v>36</v>
      </c>
      <c r="I37" s="112" t="str">
        <f>IFERROR(INDEX(TableRBCalcPts[PLAYER],MATCH(TableRBVORP[[#This Row],[RK]],TableRBCalcPts[RK],0)),"")</f>
        <v>Austin Ekeler</v>
      </c>
      <c r="J37" s="112" t="str">
        <f>IFERROR(INDEX(TableRBCalcPts[TM],MATCH(TableRBVORP[[#This Row],[RK]],TableRBCalcPts[RK],0)),"")</f>
        <v>WSH</v>
      </c>
      <c r="K37" s="112">
        <f>IFERROR(INDEX(TableRBCalcPts[BYE],MATCH(TableRBVORP[[#This Row],[RK]],TableRBCalcPts[RK],0)),"")</f>
        <v>14</v>
      </c>
      <c r="L37" s="113">
        <f>IFERROR(INDEX(TableRBCalcPts[Custom],MATCH(TableRBVORP[[#This Row],[RK]],TableRBCalcPts[RK],0)),"")</f>
        <v>142.52301029694701</v>
      </c>
      <c r="M37" s="114">
        <f>IFERROR((TableRBVORP[[#This Row],[FPS]]-INDEX(TableRBVORP[FPS],MATCH(RBVORPCalc,TableRBVORP[RK],0)))/INDEX(TableRBVORP[FPS],MATCH(RBVORPCalc,TableRBVORP[RK],0)),"")</f>
        <v>0.26442015451608319</v>
      </c>
      <c r="O37">
        <v>36</v>
      </c>
      <c r="P37" s="112" t="str">
        <f>IFERROR(INDEX(TableWRCalcPts[PLAYER],MATCH(TableWRVORP[[#This Row],[RK]],TableWRCalcPts[RK],0)),"")</f>
        <v>Chris Godwin</v>
      </c>
      <c r="Q37" s="112" t="str">
        <f>IFERROR(INDEX(TableWRCalcPts[TM],MATCH(TableWRVORP[[#This Row],[RK]],TableWRCalcPts[RK],0)),"")</f>
        <v>TB</v>
      </c>
      <c r="R37" s="112">
        <f>IFERROR(INDEX(TableWRCalcPts[BYE],MATCH(TableWRVORP[[#This Row],[RK]],TableWRCalcPts[RK],0)),"")</f>
        <v>5</v>
      </c>
      <c r="S37" s="113">
        <f>IFERROR(INDEX(TableWRCalcPts[Custom],MATCH(TableWRVORP[[#This Row],[RK]],TableWRCalcPts[RK],0)),"")</f>
        <v>172.82871671083197</v>
      </c>
      <c r="T37" s="114">
        <f>IFERROR((TableWRVORP[[#This Row],[FPS]]-INDEX(TableWRVORP[FPS],MATCH(WRVORPCalc,TableWRVORP[RK],0)))/INDEX(TableWRVORP[FPS],MATCH(WRVORPCalc,TableWRVORP[RK],0)),"")</f>
        <v>0.19685265164434126</v>
      </c>
      <c r="V37">
        <v>36</v>
      </c>
      <c r="W37" s="112" t="str">
        <f>IFERROR(INDEX(TableTECalcPts[PLAYER],MATCH(TableTEVORP[[#This Row],[RK]],TableTECalcPts[RK],0)),"")</f>
        <v>Colby Parkinson</v>
      </c>
      <c r="X37" s="112" t="str">
        <f>IFERROR(INDEX(TableTECalcPts[TM],MATCH(TableTEVORP[[#This Row],[RK]],TableTECalcPts[RK],0)),"")</f>
        <v>LAR</v>
      </c>
      <c r="Y37" s="112">
        <f>IFERROR(INDEX(TableTECalcPts[BYE],MATCH(TableTEVORP[[#This Row],[RK]],TableTECalcPts[RK],0)),"")</f>
        <v>10</v>
      </c>
      <c r="Z37" s="113">
        <f>IFERROR(INDEX(TableTECalcPts[Custom],MATCH(TableTEVORP[[#This Row],[RK]],TableTECalcPts[RK],0)),"")</f>
        <v>55.509939280947187</v>
      </c>
      <c r="AA37" s="114">
        <f>IFERROR((TableTEVORP[[#This Row],[FPS]]-INDEX(TableTEVORP[FPS],MATCH(TEVORPCalc,TableTEVORP[RK],0)))/INDEX(TableTEVORP[FPS],MATCH(TEVORPCalc,TableTEVORP[RK],0)),"")</f>
        <v>-0.57736522126574819</v>
      </c>
      <c r="AF37" t="s">
        <v>9</v>
      </c>
      <c r="AG37">
        <v>36</v>
      </c>
      <c r="AH37" s="83">
        <f>RANK(TableOverallMaster[[#This Row],[VORP]],TableOverallMaster[VORP])+COUNTIF($AM$2:AM37,AM37)-1</f>
        <v>281</v>
      </c>
      <c r="AI37" s="115" t="str">
        <f>IFERROR(INDEX(TableQBVORP[QUARTERBACK],MATCH(TableOverallMaster[[#This Row],[RK]],TableQBVORP[RK],0)),"")</f>
        <v>Jacoby Brissett</v>
      </c>
      <c r="AJ37" s="115" t="str">
        <f t="shared" si="0"/>
        <v>QB36</v>
      </c>
      <c r="AK37" s="115">
        <f>IFERROR(INDEX(TableQBVORP[BYE],MATCH(TableOverallMaster[[#This Row],[RK]],TableQBVORP[RK],0)),"")</f>
        <v>11</v>
      </c>
      <c r="AL37" s="116">
        <f>IFERROR(INDEX(TableQBVORP[FPS],MATCH(TableOverallMaster[[#This Row],[RK]],TableQBVORP[RK],0)),"")</f>
        <v>38.742384955344001</v>
      </c>
      <c r="AM37" s="117">
        <f>IFERROR(INDEX(TableQBVORP[VORP],MATCH(TableOverallMaster[[#This Row],[RK]],TableQBVORP[RK],0)),"")</f>
        <v>-0.77787068412799931</v>
      </c>
      <c r="AO37">
        <v>36</v>
      </c>
      <c r="AP37" s="118" t="str">
        <f>IFERROR(INDEX(TableOverallMaster[OVERALL PLAYER],MATCH(TableOverallRank[[#This Row],[RK]],TableOverallMaster[OVR RK],0)),"")</f>
        <v>Patrick Mahomes</v>
      </c>
      <c r="AQ37" s="119" t="str">
        <f>IFERROR(INDEX(TableOverallMaster[POS RK],MATCH(TableOverallRank[[#This Row],[OVERALL PLAYER]],TableOverallMaster[OVERALL PLAYER],0)),"")</f>
        <v>QB4</v>
      </c>
      <c r="AR37" s="120">
        <f>IFERROR(INDEX(TableOverallMaster[BYE],MATCH(TableOverallRank[[#This Row],[OVERALL PLAYER]],TableOverallMaster[OVERALL PLAYER],0)),"")</f>
        <v>10</v>
      </c>
      <c r="AS37" s="119">
        <f>IFERROR(INDEX(TableOverallMaster[Custom],MATCH(TableOverallRank[[#This Row],[OVERALL PLAYER]],TableOverallMaster[OVERALL PLAYER],0)),"")</f>
        <v>366.75681728383995</v>
      </c>
      <c r="AT37" s="121">
        <f>IFERROR(INDEX(TableOverallMaster[VORP],MATCH(TableOverallRank[[#This Row],[OVERALL PLAYER]],TableOverallMaster[OVERALL PLAYER],0)),"")</f>
        <v>0.50524971502601279</v>
      </c>
      <c r="AV37">
        <v>36</v>
      </c>
      <c r="AW37" s="122" t="str">
        <f>IFERROR(INDEX(TableWRTECalcPts[PLAYER],MATCH(TableWRTERank[[#This Row],[RK]],TableWRTECalcPts[RK],0)),"")</f>
        <v>Courtland Sutton</v>
      </c>
      <c r="AX37" s="122" t="str">
        <f>IFERROR(INDEX(TableWRTECalcPts[POS RK],MATCH(TableWRTERank[[#This Row],[WR and TE COMBINED]],TableWRTECalcPts[PLAYER],0)),"")</f>
        <v>WR33</v>
      </c>
      <c r="AY37" s="122">
        <f>IFERROR(INDEX(TableWRTECalcPts[BYE],MATCH(TableWRTERank[[#This Row],[RK]],TableWRTECalcPts[RK],0)),"")</f>
        <v>9</v>
      </c>
      <c r="AZ37" s="123">
        <f>IFERROR(INDEX(TableWRTECalcPts[Custom],MATCH(TableWRTERank[[#This Row],[RK]],TableWRTECalcPts[RK],0)),"")</f>
        <v>176.02978377907999</v>
      </c>
      <c r="BA37" s="174">
        <f>IFERROR((TableWRTERank[[#This Row],[FPS]]-INDEX(TableWRTERank[FPS],MATCH(WRTEVORPCalc,TableWRTERank[RK],0)))/INDEX(TableWRTERank[FPS],MATCH(WRTEVORPCalc,TableWRTERank[RK],0)),"")</f>
        <v>0.17914859556792723</v>
      </c>
      <c r="BC37" t="s">
        <v>223</v>
      </c>
      <c r="BD37">
        <v>36</v>
      </c>
      <c r="BE37" s="83">
        <f>RANK(TableWRTEMaster[[#This Row],[VORP]],TableWRTEMaster[VORP])+COUNTIF($BJ$2:BJ37,BJ37)-1</f>
        <v>41</v>
      </c>
      <c r="BF37" s="115" t="str">
        <f>IFERROR(INDEX(TableWRVORP[WIDE RECEIVER],MATCH(TableWRTEMaster[[#This Row],[RK]],TableWRVORP[RK],0)),"")</f>
        <v>Chris Godwin</v>
      </c>
      <c r="BG37" s="115" t="str">
        <f>_xlfn.CONCAT(TableWRTEMaster[[#This Row],[POS]],TableWRTEMaster[[#This Row],[RK]])</f>
        <v>WR36</v>
      </c>
      <c r="BH37" s="115">
        <f>IFERROR(INDEX(TableWRVORP[BYE],MATCH(TableWRTEMaster[[#This Row],[RK]],TableWRVORP[RK],0)),"")</f>
        <v>5</v>
      </c>
      <c r="BI37" s="116">
        <f>IFERROR(INDEX(TableWRVORP[FPS],MATCH(TableWRTEMaster[[#This Row],[RK]],TableWRVORP[RK],0)),"")</f>
        <v>172.82871671083197</v>
      </c>
      <c r="BJ37" s="117">
        <f>IFERROR(INDEX(TableWRVORP[VORP],MATCH(TableWRTEMaster[[#This Row],[RK]],TableWRVORP[RK],0)),"")</f>
        <v>0.19685265164434126</v>
      </c>
    </row>
    <row r="38" spans="1:62" x14ac:dyDescent="0.2">
      <c r="A38">
        <v>37</v>
      </c>
      <c r="B38" s="112" t="str">
        <f>IFERROR(INDEX(TableQBCalcPts[PLAYER],MATCH(TableQBVORP[[#This Row],[RK]],TableQBCalcPts[RK],0)),"")</f>
        <v>Zach Wilson</v>
      </c>
      <c r="C38" s="112" t="str">
        <f>IFERROR(INDEX(TableQBCalcPts[TM],MATCH(TableQBVORP[[#This Row],[RK]],TableQBCalcPts[RK],0)),"")</f>
        <v>DEN</v>
      </c>
      <c r="D38" s="112">
        <f>IFERROR(INDEX(TableQBCalcPts[BYE],MATCH(TableQBVORP[[#This Row],[RK]],TableQBCalcPts[RK],0)),"")</f>
        <v>9</v>
      </c>
      <c r="E38" s="113">
        <f>IFERROR(INDEX(TableQBCalcPts[Custom],MATCH(TableQBVORP[[#This Row],[RK]],TableQBCalcPts[RK],0)),"")</f>
        <v>36.205431316199991</v>
      </c>
      <c r="F38" s="114">
        <f>(IFERROR((TableQBVORP[[#This Row],[FPS]]-INDEX(TableQBVORP[FPS],MATCH(QBVORPCalc,TableQBVORP[RK],0)))/INDEX(TableQBVORP[FPS],MATCH(QBVORPCalc,TableQBVORP[RK],0)),""))+(TableRBVORP[[#This Row],[VORP]]*0.45)</f>
        <v>-0.79019226594048542</v>
      </c>
      <c r="H38">
        <v>37</v>
      </c>
      <c r="I38" s="112" t="str">
        <f>IFERROR(INDEX(TableRBCalcPts[PLAYER],MATCH(TableRBVORP[[#This Row],[RK]],TableRBCalcPts[RK],0)),"")</f>
        <v>Zach Charbonnet</v>
      </c>
      <c r="J38" s="112" t="str">
        <f>IFERROR(INDEX(TableRBCalcPts[TM],MATCH(TableRBVORP[[#This Row],[RK]],TableRBCalcPts[RK],0)),"")</f>
        <v>SEA</v>
      </c>
      <c r="K38" s="112">
        <f>IFERROR(INDEX(TableRBCalcPts[BYE],MATCH(TableRBVORP[[#This Row],[RK]],TableRBCalcPts[RK],0)),"")</f>
        <v>5</v>
      </c>
      <c r="L38" s="113">
        <f>IFERROR(INDEX(TableRBCalcPts[Custom],MATCH(TableRBVORP[[#This Row],[RK]],TableRBCalcPts[RK],0)),"")</f>
        <v>141.12839053736855</v>
      </c>
      <c r="M38" s="114">
        <f>IFERROR((TableRBVORP[[#This Row],[FPS]]-INDEX(TableRBVORP[FPS],MATCH(RBVORPCalc,TableRBVORP[RK],0)))/INDEX(TableRBVORP[FPS],MATCH(RBVORPCalc,TableRBVORP[RK],0)),"")</f>
        <v>0.25204751848893669</v>
      </c>
      <c r="O38">
        <v>37</v>
      </c>
      <c r="P38" s="112" t="str">
        <f>IFERROR(INDEX(TableWRCalcPts[PLAYER],MATCH(TableWRVORP[[#This Row],[RK]],TableWRCalcPts[RK],0)),"")</f>
        <v>Zay Flowers</v>
      </c>
      <c r="Q38" s="112" t="str">
        <f>IFERROR(INDEX(TableWRCalcPts[TM],MATCH(TableWRVORP[[#This Row],[RK]],TableWRCalcPts[RK],0)),"")</f>
        <v>BAL</v>
      </c>
      <c r="R38" s="112">
        <f>IFERROR(INDEX(TableWRCalcPts[BYE],MATCH(TableWRVORP[[#This Row],[RK]],TableWRCalcPts[RK],0)),"")</f>
        <v>13</v>
      </c>
      <c r="S38" s="113">
        <f>IFERROR(INDEX(TableWRCalcPts[Custom],MATCH(TableWRVORP[[#This Row],[RK]],TableWRCalcPts[RK],0)),"")</f>
        <v>171.6694996834272</v>
      </c>
      <c r="T38" s="114">
        <f>IFERROR((TableWRVORP[[#This Row],[FPS]]-INDEX(TableWRVORP[FPS],MATCH(WRVORPCalc,TableWRVORP[RK],0)))/INDEX(TableWRVORP[FPS],MATCH(WRVORPCalc,TableWRVORP[RK],0)),"")</f>
        <v>0.18882498124624411</v>
      </c>
      <c r="V38">
        <v>37</v>
      </c>
      <c r="W38" s="112" t="str">
        <f>IFERROR(INDEX(TableTECalcPts[PLAYER],MATCH(TableTEVORP[[#This Row],[RK]],TableTECalcPts[RK],0)),"")</f>
        <v>Isaiah Likely</v>
      </c>
      <c r="X38" s="112" t="str">
        <f>IFERROR(INDEX(TableTECalcPts[TM],MATCH(TableTEVORP[[#This Row],[RK]],TableTECalcPts[RK],0)),"")</f>
        <v>BAL</v>
      </c>
      <c r="Y38" s="112">
        <f>IFERROR(INDEX(TableTECalcPts[BYE],MATCH(TableTEVORP[[#This Row],[RK]],TableTECalcPts[RK],0)),"")</f>
        <v>13</v>
      </c>
      <c r="Z38" s="113">
        <f>IFERROR(INDEX(TableTECalcPts[Custom],MATCH(TableTEVORP[[#This Row],[RK]],TableTECalcPts[RK],0)),"")</f>
        <v>55.486040377824011</v>
      </c>
      <c r="AA38" s="114">
        <f>IFERROR((TableTEVORP[[#This Row],[FPS]]-INDEX(TableTEVORP[FPS],MATCH(TEVORPCalc,TableTEVORP[RK],0)))/INDEX(TableTEVORP[FPS],MATCH(TEVORPCalc,TableTEVORP[RK],0)),"")</f>
        <v>-0.57754717980802528</v>
      </c>
      <c r="AF38" t="s">
        <v>9</v>
      </c>
      <c r="AG38">
        <v>37</v>
      </c>
      <c r="AH38" s="83">
        <f>RANK(TableOverallMaster[[#This Row],[VORP]],TableOverallMaster[VORP])+COUNTIF($AM$2:AM38,AM38)-1</f>
        <v>284</v>
      </c>
      <c r="AI38" s="115" t="str">
        <f>IFERROR(INDEX(TableQBVORP[QUARTERBACK],MATCH(TableOverallMaster[[#This Row],[RK]],TableQBVORP[RK],0)),"")</f>
        <v>Zach Wilson</v>
      </c>
      <c r="AJ38" s="115" t="str">
        <f t="shared" si="0"/>
        <v>QB37</v>
      </c>
      <c r="AK38" s="115">
        <f>IFERROR(INDEX(TableQBVORP[BYE],MATCH(TableOverallMaster[[#This Row],[RK]],TableQBVORP[RK],0)),"")</f>
        <v>9</v>
      </c>
      <c r="AL38" s="116">
        <f>IFERROR(INDEX(TableQBVORP[FPS],MATCH(TableOverallMaster[[#This Row],[RK]],TableQBVORP[RK],0)),"")</f>
        <v>36.205431316199991</v>
      </c>
      <c r="AM38" s="117">
        <f>IFERROR(INDEX(TableQBVORP[VORP],MATCH(TableOverallMaster[[#This Row],[RK]],TableQBVORP[RK],0)),"")</f>
        <v>-0.79019226594048542</v>
      </c>
      <c r="AO38">
        <v>37</v>
      </c>
      <c r="AP38" s="118" t="str">
        <f>IFERROR(INDEX(TableOverallMaster[OVERALL PLAYER],MATCH(TableOverallRank[[#This Row],[RK]],TableOverallMaster[OVR RK],0)),"")</f>
        <v>David Montgomery</v>
      </c>
      <c r="AQ38" s="119" t="str">
        <f>IFERROR(INDEX(TableOverallMaster[POS RK],MATCH(TableOverallRank[[#This Row],[OVERALL PLAYER]],TableOverallMaster[OVERALL PLAYER],0)),"")</f>
        <v>RB26</v>
      </c>
      <c r="AR38" s="120">
        <f>IFERROR(INDEX(TableOverallMaster[BYE],MATCH(TableOverallRank[[#This Row],[OVERALL PLAYER]],TableOverallMaster[OVERALL PLAYER],0)),"")</f>
        <v>9</v>
      </c>
      <c r="AS38" s="119">
        <f>IFERROR(INDEX(TableOverallMaster[Custom],MATCH(TableOverallRank[[#This Row],[OVERALL PLAYER]],TableOverallMaster[OVERALL PLAYER],0)),"")</f>
        <v>169.16697923389603</v>
      </c>
      <c r="AT38" s="121">
        <f>IFERROR(INDEX(TableOverallMaster[VORP],MATCH(TableOverallRank[[#This Row],[OVERALL PLAYER]],TableOverallMaster[OVERALL PLAYER],0)),"")</f>
        <v>0.50079722268203997</v>
      </c>
      <c r="AV38">
        <v>37</v>
      </c>
      <c r="AW38" s="122" t="str">
        <f>IFERROR(INDEX(TableWRTECalcPts[PLAYER],MATCH(TableWRTERank[[#This Row],[RK]],TableWRTECalcPts[RK],0)),"")</f>
        <v>Rashee Rice</v>
      </c>
      <c r="AX38" s="122" t="str">
        <f>IFERROR(INDEX(TableWRTECalcPts[POS RK],MATCH(TableWRTERank[[#This Row],[WR and TE COMBINED]],TableWRTECalcPts[PLAYER],0)),"")</f>
        <v>WR34</v>
      </c>
      <c r="AY38" s="122">
        <f>IFERROR(INDEX(TableWRTECalcPts[BYE],MATCH(TableWRTERank[[#This Row],[RK]],TableWRTECalcPts[RK],0)),"")</f>
        <v>10</v>
      </c>
      <c r="AZ38" s="123">
        <f>IFERROR(INDEX(TableWRTECalcPts[Custom],MATCH(TableWRTERank[[#This Row],[RK]],TableWRTECalcPts[RK],0)),"")</f>
        <v>174.33131313919995</v>
      </c>
      <c r="BA38" s="174">
        <f>IFERROR((TableWRTERank[[#This Row],[FPS]]-INDEX(TableWRTERank[FPS],MATCH(WRTEVORPCalc,TableWRTERank[RK],0)))/INDEX(TableWRTERank[FPS],MATCH(WRTEVORPCalc,TableWRTERank[RK],0)),"")</f>
        <v>0.16777126369469497</v>
      </c>
      <c r="BC38" t="s">
        <v>223</v>
      </c>
      <c r="BD38">
        <v>37</v>
      </c>
      <c r="BE38" s="83">
        <f>RANK(TableWRTEMaster[[#This Row],[VORP]],TableWRTEMaster[VORP])+COUNTIF($BJ$2:BJ38,BJ38)-1</f>
        <v>42</v>
      </c>
      <c r="BF38" s="115" t="str">
        <f>IFERROR(INDEX(TableWRVORP[WIDE RECEIVER],MATCH(TableWRTEMaster[[#This Row],[RK]],TableWRVORP[RK],0)),"")</f>
        <v>Zay Flowers</v>
      </c>
      <c r="BG38" s="115" t="str">
        <f>_xlfn.CONCAT(TableWRTEMaster[[#This Row],[POS]],TableWRTEMaster[[#This Row],[RK]])</f>
        <v>WR37</v>
      </c>
      <c r="BH38" s="115">
        <f>IFERROR(INDEX(TableWRVORP[BYE],MATCH(TableWRTEMaster[[#This Row],[RK]],TableWRVORP[RK],0)),"")</f>
        <v>13</v>
      </c>
      <c r="BI38" s="116">
        <f>IFERROR(INDEX(TableWRVORP[FPS],MATCH(TableWRTEMaster[[#This Row],[RK]],TableWRVORP[RK],0)),"")</f>
        <v>171.6694996834272</v>
      </c>
      <c r="BJ38" s="117">
        <f>IFERROR(INDEX(TableWRVORP[VORP],MATCH(TableWRTEMaster[[#This Row],[RK]],TableWRVORP[RK],0)),"")</f>
        <v>0.18882498124624411</v>
      </c>
    </row>
    <row r="39" spans="1:62" x14ac:dyDescent="0.2">
      <c r="A39">
        <v>38</v>
      </c>
      <c r="B39" s="112" t="str">
        <f>IFERROR(INDEX(TableQBCalcPts[PLAYER],MATCH(TableQBVORP[[#This Row],[RK]],TableQBCalcPts[RK],0)),"")</f>
        <v>Sam Howell</v>
      </c>
      <c r="C39" s="112" t="str">
        <f>IFERROR(INDEX(TableQBCalcPts[TM],MATCH(TableQBVORP[[#This Row],[RK]],TableQBCalcPts[RK],0)),"")</f>
        <v>SEA</v>
      </c>
      <c r="D39" s="112">
        <f>IFERROR(INDEX(TableQBCalcPts[BYE],MATCH(TableQBVORP[[#This Row],[RK]],TableQBCalcPts[RK],0)),"")</f>
        <v>5</v>
      </c>
      <c r="E39" s="113">
        <f>IFERROR(INDEX(TableQBCalcPts[Custom],MATCH(TableQBVORP[[#This Row],[RK]],TableQBCalcPts[RK],0)),"")</f>
        <v>27.710476903968001</v>
      </c>
      <c r="F39" s="114">
        <f>(IFERROR((TableQBVORP[[#This Row],[FPS]]-INDEX(TableQBVORP[FPS],MATCH(QBVORPCalc,TableQBVORP[RK],0)))/INDEX(TableQBVORP[FPS],MATCH(QBVORPCalc,TableQBVORP[RK],0)),""))+(TableRBVORP[[#This Row],[VORP]]*0.45)</f>
        <v>-0.81900994086445589</v>
      </c>
      <c r="H39">
        <v>38</v>
      </c>
      <c r="I39" s="112" t="str">
        <f>IFERROR(INDEX(TableRBCalcPts[PLAYER],MATCH(TableRBVORP[[#This Row],[RK]],TableRBCalcPts[RK],0)),"")</f>
        <v>Jaylen Warren</v>
      </c>
      <c r="J39" s="112" t="str">
        <f>IFERROR(INDEX(TableRBCalcPts[TM],MATCH(TableRBVORP[[#This Row],[RK]],TableRBCalcPts[RK],0)),"")</f>
        <v>PIT</v>
      </c>
      <c r="K39" s="112">
        <f>IFERROR(INDEX(TableRBCalcPts[BYE],MATCH(TableRBVORP[[#This Row],[RK]],TableRBCalcPts[RK],0)),"")</f>
        <v>6</v>
      </c>
      <c r="L39" s="113">
        <f>IFERROR(INDEX(TableRBCalcPts[Custom],MATCH(TableRBVORP[[#This Row],[RK]],TableRBCalcPts[RK],0)),"")</f>
        <v>139.57479769148998</v>
      </c>
      <c r="M39" s="114">
        <f>IFERROR((TableRBVORP[[#This Row],[FPS]]-INDEX(TableRBVORP[FPS],MATCH(RBVORPCalc,TableRBVORP[RK],0)))/INDEX(TableRBVORP[FPS],MATCH(RBVORPCalc,TableRBVORP[RK],0)),"")</f>
        <v>0.23826452231064912</v>
      </c>
      <c r="O39">
        <v>38</v>
      </c>
      <c r="P39" s="112" t="str">
        <f>IFERROR(INDEX(TableWRCalcPts[PLAYER],MATCH(TableWRVORP[[#This Row],[RK]],TableWRCalcPts[RK],0)),"")</f>
        <v>Jameson Williams</v>
      </c>
      <c r="Q39" s="112" t="str">
        <f>IFERROR(INDEX(TableWRCalcPts[TM],MATCH(TableWRVORP[[#This Row],[RK]],TableWRCalcPts[RK],0)),"")</f>
        <v>DET</v>
      </c>
      <c r="R39" s="112">
        <f>IFERROR(INDEX(TableWRCalcPts[BYE],MATCH(TableWRVORP[[#This Row],[RK]],TableWRCalcPts[RK],0)),"")</f>
        <v>9</v>
      </c>
      <c r="S39" s="113">
        <f>IFERROR(INDEX(TableWRCalcPts[Custom],MATCH(TableWRVORP[[#This Row],[RK]],TableWRCalcPts[RK],0)),"")</f>
        <v>170.67243936779397</v>
      </c>
      <c r="T39" s="114">
        <f>IFERROR((TableWRVORP[[#This Row],[FPS]]-INDEX(TableWRVORP[FPS],MATCH(WRVORPCalc,TableWRVORP[RK],0)))/INDEX(TableWRVORP[FPS],MATCH(WRVORPCalc,TableWRVORP[RK],0)),"")</f>
        <v>0.18192025901416503</v>
      </c>
      <c r="V39">
        <v>38</v>
      </c>
      <c r="W39" s="112" t="str">
        <f>IFERROR(INDEX(TableTECalcPts[PLAYER],MATCH(TableTEVORP[[#This Row],[RK]],TableTECalcPts[RK],0)),"")</f>
        <v>Austin Hooper</v>
      </c>
      <c r="X39" s="112" t="str">
        <f>IFERROR(INDEX(TableTECalcPts[TM],MATCH(TableTEVORP[[#This Row],[RK]],TableTECalcPts[RK],0)),"")</f>
        <v>NE</v>
      </c>
      <c r="Y39" s="112">
        <f>IFERROR(INDEX(TableTECalcPts[BYE],MATCH(TableTEVORP[[#This Row],[RK]],TableTECalcPts[RK],0)),"")</f>
        <v>11</v>
      </c>
      <c r="Z39" s="113">
        <f>IFERROR(INDEX(TableTECalcPts[Custom],MATCH(TableTEVORP[[#This Row],[RK]],TableTECalcPts[RK],0)),"")</f>
        <v>55.186056155999992</v>
      </c>
      <c r="AA39" s="114">
        <f>IFERROR((TableTEVORP[[#This Row],[FPS]]-INDEX(TableTEVORP[FPS],MATCH(TEVORPCalc,TableTEVORP[RK],0)))/INDEX(TableTEVORP[FPS],MATCH(TEVORPCalc,TableTEVORP[RK],0)),"")</f>
        <v>-0.5798311629443188</v>
      </c>
      <c r="AF39" t="s">
        <v>9</v>
      </c>
      <c r="AG39">
        <v>38</v>
      </c>
      <c r="AH39" s="83">
        <f>RANK(TableOverallMaster[[#This Row],[VORP]],TableOverallMaster[VORP])+COUNTIF($AM$2:AM39,AM39)-1</f>
        <v>293</v>
      </c>
      <c r="AI39" s="115" t="str">
        <f>IFERROR(INDEX(TableQBVORP[QUARTERBACK],MATCH(TableOverallMaster[[#This Row],[RK]],TableQBVORP[RK],0)),"")</f>
        <v>Sam Howell</v>
      </c>
      <c r="AJ39" s="115" t="str">
        <f t="shared" si="0"/>
        <v>QB38</v>
      </c>
      <c r="AK39" s="115">
        <f>IFERROR(INDEX(TableQBVORP[BYE],MATCH(TableOverallMaster[[#This Row],[RK]],TableQBVORP[RK],0)),"")</f>
        <v>5</v>
      </c>
      <c r="AL39" s="116">
        <f>IFERROR(INDEX(TableQBVORP[FPS],MATCH(TableOverallMaster[[#This Row],[RK]],TableQBVORP[RK],0)),"")</f>
        <v>27.710476903968001</v>
      </c>
      <c r="AM39" s="117">
        <f>IFERROR(INDEX(TableQBVORP[VORP],MATCH(TableOverallMaster[[#This Row],[RK]],TableQBVORP[RK],0)),"")</f>
        <v>-0.81900994086445589</v>
      </c>
      <c r="AO39">
        <v>38</v>
      </c>
      <c r="AP39" s="118" t="str">
        <f>IFERROR(INDEX(TableOverallMaster[OVERALL PLAYER],MATCH(TableOverallRank[[#This Row],[RK]],TableOverallMaster[OVR RK],0)),"")</f>
        <v>A.J. Brown</v>
      </c>
      <c r="AQ39" s="119" t="str">
        <f>IFERROR(INDEX(TableOverallMaster[POS RK],MATCH(TableOverallRank[[#This Row],[OVERALL PLAYER]],TableOverallMaster[OVERALL PLAYER],0)),"")</f>
        <v>WR8</v>
      </c>
      <c r="AR39" s="120">
        <f>IFERROR(INDEX(TableOverallMaster[BYE],MATCH(TableOverallRank[[#This Row],[OVERALL PLAYER]],TableOverallMaster[OVERALL PLAYER],0)),"")</f>
        <v>10</v>
      </c>
      <c r="AS39" s="119">
        <f>IFERROR(INDEX(TableOverallMaster[Custom],MATCH(TableOverallRank[[#This Row],[OVERALL PLAYER]],TableOverallMaster[OVERALL PLAYER],0)),"")</f>
        <v>216.54967608681122</v>
      </c>
      <c r="AT39" s="121">
        <f>IFERROR(INDEX(TableOverallMaster[VORP],MATCH(TableOverallRank[[#This Row],[OVERALL PLAYER]],TableOverallMaster[OVERALL PLAYER],0)),"")</f>
        <v>0.49962378341827568</v>
      </c>
      <c r="AV39">
        <v>38</v>
      </c>
      <c r="AW39" s="122" t="str">
        <f>IFERROR(INDEX(TableWRTECalcPts[PLAYER],MATCH(TableWRTERank[[#This Row],[RK]],TableWRTECalcPts[RK],0)),"")</f>
        <v>Terry McLaurin</v>
      </c>
      <c r="AX39" s="122" t="str">
        <f>IFERROR(INDEX(TableWRTECalcPts[POS RK],MATCH(TableWRTERank[[#This Row],[WR and TE COMBINED]],TableWRTECalcPts[PLAYER],0)),"")</f>
        <v>WR35</v>
      </c>
      <c r="AY39" s="122">
        <f>IFERROR(INDEX(TableWRTECalcPts[BYE],MATCH(TableWRTERank[[#This Row],[RK]],TableWRTECalcPts[RK],0)),"")</f>
        <v>14</v>
      </c>
      <c r="AZ39" s="123">
        <f>IFERROR(INDEX(TableWRTECalcPts[Custom],MATCH(TableWRTERank[[#This Row],[RK]],TableWRTECalcPts[RK],0)),"")</f>
        <v>172.97674860746699</v>
      </c>
      <c r="BA39" s="174">
        <f>IFERROR((TableWRTERank[[#This Row],[FPS]]-INDEX(TableWRTERank[FPS],MATCH(WRTEVORPCalc,TableWRTERank[RK],0)))/INDEX(TableWRTERank[FPS],MATCH(WRTEVORPCalc,TableWRTERank[RK],0)),"")</f>
        <v>0.15869761245847236</v>
      </c>
      <c r="BC39" t="s">
        <v>223</v>
      </c>
      <c r="BD39">
        <v>38</v>
      </c>
      <c r="BE39" s="83">
        <f>RANK(TableWRTEMaster[[#This Row],[VORP]],TableWRTEMaster[VORP])+COUNTIF($BJ$2:BJ39,BJ39)-1</f>
        <v>43</v>
      </c>
      <c r="BF39" s="115" t="str">
        <f>IFERROR(INDEX(TableWRVORP[WIDE RECEIVER],MATCH(TableWRTEMaster[[#This Row],[RK]],TableWRVORP[RK],0)),"")</f>
        <v>Jameson Williams</v>
      </c>
      <c r="BG39" s="115" t="str">
        <f>_xlfn.CONCAT(TableWRTEMaster[[#This Row],[POS]],TableWRTEMaster[[#This Row],[RK]])</f>
        <v>WR38</v>
      </c>
      <c r="BH39" s="115">
        <f>IFERROR(INDEX(TableWRVORP[BYE],MATCH(TableWRTEMaster[[#This Row],[RK]],TableWRVORP[RK],0)),"")</f>
        <v>9</v>
      </c>
      <c r="BI39" s="116">
        <f>IFERROR(INDEX(TableWRVORP[FPS],MATCH(TableWRTEMaster[[#This Row],[RK]],TableWRVORP[RK],0)),"")</f>
        <v>170.67243936779397</v>
      </c>
      <c r="BJ39" s="117">
        <f>IFERROR(INDEX(TableWRVORP[VORP],MATCH(TableWRTEMaster[[#This Row],[RK]],TableWRVORP[RK],0)),"")</f>
        <v>0.18192025901416503</v>
      </c>
    </row>
    <row r="40" spans="1:62" x14ac:dyDescent="0.2">
      <c r="A40">
        <v>39</v>
      </c>
      <c r="B40" s="112" t="str">
        <f>IFERROR(INDEX(TableQBCalcPts[PLAYER],MATCH(TableQBVORP[[#This Row],[RK]],TableQBCalcPts[RK],0)),"")</f>
        <v>Desmond Ridder</v>
      </c>
      <c r="C40" s="112" t="str">
        <f>IFERROR(INDEX(TableQBCalcPts[TM],MATCH(TableQBVORP[[#This Row],[RK]],TableQBCalcPts[RK],0)),"")</f>
        <v>ARI</v>
      </c>
      <c r="D40" s="112">
        <f>IFERROR(INDEX(TableQBCalcPts[BYE],MATCH(TableQBVORP[[#This Row],[RK]],TableQBCalcPts[RK],0)),"")</f>
        <v>14</v>
      </c>
      <c r="E40" s="113">
        <f>IFERROR(INDEX(TableQBCalcPts[Custom],MATCH(TableQBVORP[[#This Row],[RK]],TableQBCalcPts[RK],0)),"")</f>
        <v>18.56071909125</v>
      </c>
      <c r="F40" s="114">
        <f>(IFERROR((TableQBVORP[[#This Row],[FPS]]-INDEX(TableQBVORP[FPS],MATCH(QBVORPCalc,TableQBVORP[RK],0)))/INDEX(TableQBVORP[FPS],MATCH(QBVORPCalc,TableQBVORP[RK],0)),""))+(TableRBVORP[[#This Row],[VORP]]*0.45)</f>
        <v>-0.91111433453345736</v>
      </c>
      <c r="H40">
        <v>39</v>
      </c>
      <c r="I40" s="112" t="str">
        <f>IFERROR(INDEX(TableRBCalcPts[PLAYER],MATCH(TableRBVORP[[#This Row],[RK]],TableRBCalcPts[RK],0)),"")</f>
        <v>Rico Dowdle</v>
      </c>
      <c r="J40" s="112" t="str">
        <f>IFERROR(INDEX(TableRBCalcPts[TM],MATCH(TableRBVORP[[#This Row],[RK]],TableRBCalcPts[RK],0)),"")</f>
        <v>DAL</v>
      </c>
      <c r="K40" s="112">
        <f>IFERROR(INDEX(TableRBCalcPts[BYE],MATCH(TableRBVORP[[#This Row],[RK]],TableRBCalcPts[RK],0)),"")</f>
        <v>7</v>
      </c>
      <c r="L40" s="113">
        <f>IFERROR(INDEX(TableRBCalcPts[Custom],MATCH(TableRBVORP[[#This Row],[RK]],TableRBCalcPts[RK],0)),"")</f>
        <v>122.60550555187201</v>
      </c>
      <c r="M40" s="114">
        <f>IFERROR((TableRBVORP[[#This Row],[FPS]]-INDEX(TableRBVORP[FPS],MATCH(RBVORPCalc,TableRBVORP[RK],0)))/INDEX(TableRBVORP[FPS],MATCH(RBVORPCalc,TableRBVORP[RK],0)),"")</f>
        <v>8.7718200390420095E-2</v>
      </c>
      <c r="O40">
        <v>39</v>
      </c>
      <c r="P40" s="112" t="str">
        <f>IFERROR(INDEX(TableWRCalcPts[PLAYER],MATCH(TableWRVORP[[#This Row],[RK]],TableWRCalcPts[RK],0)),"")</f>
        <v>Curtis Samuel</v>
      </c>
      <c r="Q40" s="112" t="str">
        <f>IFERROR(INDEX(TableWRCalcPts[TM],MATCH(TableWRVORP[[#This Row],[RK]],TableWRCalcPts[RK],0)),"")</f>
        <v>BUF</v>
      </c>
      <c r="R40" s="112">
        <f>IFERROR(INDEX(TableWRCalcPts[BYE],MATCH(TableWRVORP[[#This Row],[RK]],TableWRCalcPts[RK],0)),"")</f>
        <v>13</v>
      </c>
      <c r="S40" s="113">
        <f>IFERROR(INDEX(TableWRCalcPts[Custom],MATCH(TableWRVORP[[#This Row],[RK]],TableWRCalcPts[RK],0)),"")</f>
        <v>167.65626644121596</v>
      </c>
      <c r="T40" s="114">
        <f>IFERROR((TableWRVORP[[#This Row],[FPS]]-INDEX(TableWRVORP[FPS],MATCH(WRVORPCalc,TableWRVORP[RK],0)))/INDEX(TableWRVORP[FPS],MATCH(WRVORPCalc,TableWRVORP[RK],0)),"")</f>
        <v>0.16103302086477414</v>
      </c>
      <c r="V40">
        <v>39</v>
      </c>
      <c r="W40" s="112" t="str">
        <f>IFERROR(INDEX(TableTECalcPts[PLAYER],MATCH(TableTEVORP[[#This Row],[RK]],TableTECalcPts[RK],0)),"")</f>
        <v>Tommy Tremble</v>
      </c>
      <c r="X40" s="112" t="str">
        <f>IFERROR(INDEX(TableTECalcPts[TM],MATCH(TableTEVORP[[#This Row],[RK]],TableTECalcPts[RK],0)),"")</f>
        <v>CAR</v>
      </c>
      <c r="Y40" s="112">
        <f>IFERROR(INDEX(TableTECalcPts[BYE],MATCH(TableTEVORP[[#This Row],[RK]],TableTECalcPts[RK],0)),"")</f>
        <v>7</v>
      </c>
      <c r="Z40" s="113">
        <f>IFERROR(INDEX(TableTECalcPts[Custom],MATCH(TableTEVORP[[#This Row],[RK]],TableTECalcPts[RK],0)),"")</f>
        <v>54.994295502719993</v>
      </c>
      <c r="AA40" s="114">
        <f>IFERROR((TableTEVORP[[#This Row],[FPS]]-INDEX(TableTEVORP[FPS],MATCH(TEVORPCalc,TableTEVORP[RK],0)))/INDEX(TableTEVORP[FPS],MATCH(TEVORPCalc,TableTEVORP[RK],0)),"")</f>
        <v>-0.58129116672596126</v>
      </c>
      <c r="AF40" t="s">
        <v>9</v>
      </c>
      <c r="AG40">
        <v>39</v>
      </c>
      <c r="AH40" s="83">
        <f>RANK(TableOverallMaster[[#This Row],[VORP]],TableOverallMaster[VORP])+COUNTIF($AM$2:AM40,AM40)-1</f>
        <v>299</v>
      </c>
      <c r="AI40" s="115" t="str">
        <f>IFERROR(INDEX(TableQBVORP[QUARTERBACK],MATCH(TableOverallMaster[[#This Row],[RK]],TableQBVORP[RK],0)),"")</f>
        <v>Desmond Ridder</v>
      </c>
      <c r="AJ40" s="115" t="str">
        <f t="shared" si="0"/>
        <v>QB39</v>
      </c>
      <c r="AK40" s="115">
        <f>IFERROR(INDEX(TableQBVORP[BYE],MATCH(TableOverallMaster[[#This Row],[RK]],TableQBVORP[RK],0)),"")</f>
        <v>14</v>
      </c>
      <c r="AL40" s="116">
        <f>IFERROR(INDEX(TableQBVORP[FPS],MATCH(TableOverallMaster[[#This Row],[RK]],TableQBVORP[RK],0)),"")</f>
        <v>18.56071909125</v>
      </c>
      <c r="AM40" s="117">
        <f>IFERROR(INDEX(TableQBVORP[VORP],MATCH(TableOverallMaster[[#This Row],[RK]],TableQBVORP[RK],0)),"")</f>
        <v>-0.91111433453345736</v>
      </c>
      <c r="AO40">
        <v>39</v>
      </c>
      <c r="AP40" s="118" t="str">
        <f>IFERROR(INDEX(TableOverallMaster[OVERALL PLAYER],MATCH(TableOverallRank[[#This Row],[RK]],TableOverallMaster[OVR RK],0)),"")</f>
        <v>Brian Robinson</v>
      </c>
      <c r="AQ40" s="119" t="str">
        <f>IFERROR(INDEX(TableOverallMaster[POS RK],MATCH(TableOverallRank[[#This Row],[OVERALL PLAYER]],TableOverallMaster[OVERALL PLAYER],0)),"")</f>
        <v>RB27</v>
      </c>
      <c r="AR40" s="120">
        <f>IFERROR(INDEX(TableOverallMaster[BYE],MATCH(TableOverallRank[[#This Row],[OVERALL PLAYER]],TableOverallMaster[OVERALL PLAYER],0)),"")</f>
        <v>14</v>
      </c>
      <c r="AS40" s="119">
        <f>IFERROR(INDEX(TableOverallMaster[Custom],MATCH(TableOverallRank[[#This Row],[OVERALL PLAYER]],TableOverallMaster[OVERALL PLAYER],0)),"")</f>
        <v>165.35064661466396</v>
      </c>
      <c r="AT40" s="121">
        <f>IFERROR(INDEX(TableOverallMaster[VORP],MATCH(TableOverallRank[[#This Row],[OVERALL PLAYER]],TableOverallMaster[OVERALL PLAYER],0)),"")</f>
        <v>0.46693989767858723</v>
      </c>
      <c r="AV40">
        <v>39</v>
      </c>
      <c r="AW40" s="122" t="str">
        <f>IFERROR(INDEX(TableWRTECalcPts[PLAYER],MATCH(TableWRTERank[[#This Row],[RK]],TableWRTECalcPts[RK],0)),"")</f>
        <v>Chris Godwin</v>
      </c>
      <c r="AX40" s="122" t="str">
        <f>IFERROR(INDEX(TableWRTECalcPts[POS RK],MATCH(TableWRTERank[[#This Row],[WR and TE COMBINED]],TableWRTECalcPts[PLAYER],0)),"")</f>
        <v>WR36</v>
      </c>
      <c r="AY40" s="122">
        <f>IFERROR(INDEX(TableWRTECalcPts[BYE],MATCH(TableWRTERank[[#This Row],[RK]],TableWRTECalcPts[RK],0)),"")</f>
        <v>5</v>
      </c>
      <c r="AZ40" s="123">
        <f>IFERROR(INDEX(TableWRTECalcPts[Custom],MATCH(TableWRTERank[[#This Row],[RK]],TableWRTECalcPts[RK],0)),"")</f>
        <v>172.82871671083197</v>
      </c>
      <c r="BA40" s="174">
        <f>IFERROR((TableWRTERank[[#This Row],[FPS]]-INDEX(TableWRTERank[FPS],MATCH(WRTEVORPCalc,TableWRTERank[RK],0)))/INDEX(TableWRTERank[FPS],MATCH(WRTEVORPCalc,TableWRTERank[RK],0)),"")</f>
        <v>0.15770600979175828</v>
      </c>
      <c r="BC40" t="s">
        <v>223</v>
      </c>
      <c r="BD40">
        <v>39</v>
      </c>
      <c r="BE40" s="83">
        <f>RANK(TableWRTEMaster[[#This Row],[VORP]],TableWRTEMaster[VORP])+COUNTIF($BJ$2:BJ40,BJ40)-1</f>
        <v>46</v>
      </c>
      <c r="BF40" s="115" t="str">
        <f>IFERROR(INDEX(TableWRVORP[WIDE RECEIVER],MATCH(TableWRTEMaster[[#This Row],[RK]],TableWRVORP[RK],0)),"")</f>
        <v>Curtis Samuel</v>
      </c>
      <c r="BG40" s="115" t="str">
        <f>_xlfn.CONCAT(TableWRTEMaster[[#This Row],[POS]],TableWRTEMaster[[#This Row],[RK]])</f>
        <v>WR39</v>
      </c>
      <c r="BH40" s="115">
        <f>IFERROR(INDEX(TableWRVORP[BYE],MATCH(TableWRTEMaster[[#This Row],[RK]],TableWRVORP[RK],0)),"")</f>
        <v>13</v>
      </c>
      <c r="BI40" s="116">
        <f>IFERROR(INDEX(TableWRVORP[FPS],MATCH(TableWRTEMaster[[#This Row],[RK]],TableWRVORP[RK],0)),"")</f>
        <v>167.65626644121596</v>
      </c>
      <c r="BJ40" s="117">
        <f>IFERROR(INDEX(TableWRVORP[VORP],MATCH(TableWRTEMaster[[#This Row],[RK]],TableWRVORP[RK],0)),"")</f>
        <v>0.16103302086477414</v>
      </c>
    </row>
    <row r="41" spans="1:62" x14ac:dyDescent="0.2">
      <c r="A41">
        <v>40</v>
      </c>
      <c r="B41" s="112" t="str">
        <f>IFERROR(INDEX(TableQBCalcPts[PLAYER],MATCH(TableQBVORP[[#This Row],[RK]],TableQBCalcPts[RK],0)),"")</f>
        <v>Sam Darnold</v>
      </c>
      <c r="C41" s="112" t="str">
        <f>IFERROR(INDEX(TableQBCalcPts[TM],MATCH(TableQBVORP[[#This Row],[RK]],TableQBCalcPts[RK],0)),"")</f>
        <v>MIN</v>
      </c>
      <c r="D41" s="112">
        <f>IFERROR(INDEX(TableQBCalcPts[BYE],MATCH(TableQBVORP[[#This Row],[RK]],TableQBCalcPts[RK],0)),"")</f>
        <v>13</v>
      </c>
      <c r="E41" s="113">
        <f>IFERROR(INDEX(TableQBCalcPts[Custom],MATCH(TableQBVORP[[#This Row],[RK]],TableQBCalcPts[RK],0)),"")</f>
        <v>17.303615899839997</v>
      </c>
      <c r="F41" s="114">
        <f>(IFERROR((TableQBVORP[[#This Row],[FPS]]-INDEX(TableQBVORP[FPS],MATCH(QBVORPCalc,TableQBVORP[RK],0)))/INDEX(TableQBVORP[FPS],MATCH(QBVORPCalc,TableQBVORP[RK],0)),""))+(TableRBVORP[[#This Row],[VORP]]*0.45)</f>
        <v>-0.93579472375374373</v>
      </c>
      <c r="H41">
        <v>40</v>
      </c>
      <c r="I41" s="112" t="str">
        <f>IFERROR(INDEX(TableRBCalcPts[PLAYER],MATCH(TableRBVORP[[#This Row],[RK]],TableRBCalcPts[RK],0)),"")</f>
        <v>Tyler Allgeier</v>
      </c>
      <c r="J41" s="112" t="str">
        <f>IFERROR(INDEX(TableRBCalcPts[TM],MATCH(TableRBVORP[[#This Row],[RK]],TableRBCalcPts[RK],0)),"")</f>
        <v>ATL</v>
      </c>
      <c r="K41" s="112">
        <f>IFERROR(INDEX(TableRBCalcPts[BYE],MATCH(TableRBVORP[[#This Row],[RK]],TableRBCalcPts[RK],0)),"")</f>
        <v>11</v>
      </c>
      <c r="L41" s="113">
        <f>IFERROR(INDEX(TableRBCalcPts[Custom],MATCH(TableRBVORP[[#This Row],[RK]],TableRBCalcPts[RK],0)),"")</f>
        <v>117.2617367326272</v>
      </c>
      <c r="M41" s="114">
        <f>IFERROR((TableRBVORP[[#This Row],[FPS]]-INDEX(TableRBVORP[FPS],MATCH(RBVORPCalc,TableRBVORP[RK],0)))/INDEX(TableRBVORP[FPS],MATCH(RBVORPCalc,TableRBVORP[RK],0)),"")</f>
        <v>4.0309932896981572E-2</v>
      </c>
      <c r="O41">
        <v>40</v>
      </c>
      <c r="P41" s="112" t="str">
        <f>IFERROR(INDEX(TableWRCalcPts[PLAYER],MATCH(TableWRVORP[[#This Row],[RK]],TableWRCalcPts[RK],0)),"")</f>
        <v>Keon Coleman</v>
      </c>
      <c r="Q41" s="112" t="str">
        <f>IFERROR(INDEX(TableWRCalcPts[TM],MATCH(TableWRVORP[[#This Row],[RK]],TableWRCalcPts[RK],0)),"")</f>
        <v>BUF</v>
      </c>
      <c r="R41" s="112">
        <f>IFERROR(INDEX(TableWRCalcPts[BYE],MATCH(TableWRVORP[[#This Row],[RK]],TableWRCalcPts[RK],0)),"")</f>
        <v>13</v>
      </c>
      <c r="S41" s="113">
        <f>IFERROR(INDEX(TableWRCalcPts[Custom],MATCH(TableWRVORP[[#This Row],[RK]],TableWRCalcPts[RK],0)),"")</f>
        <v>166.64394539519995</v>
      </c>
      <c r="T41" s="114">
        <f>IFERROR((TableWRVORP[[#This Row],[FPS]]-INDEX(TableWRVORP[FPS],MATCH(WRVORPCalc,TableWRVORP[RK],0)))/INDEX(TableWRVORP[FPS],MATCH(WRVORPCalc,TableWRVORP[RK],0)),"")</f>
        <v>0.15402261685728028</v>
      </c>
      <c r="V41">
        <v>40</v>
      </c>
      <c r="W41" s="112" t="str">
        <f>IFERROR(INDEX(TableTECalcPts[PLAYER],MATCH(TableTEVORP[[#This Row],[RK]],TableTECalcPts[RK],0)),"")</f>
        <v>Greg Dulcich</v>
      </c>
      <c r="X41" s="112" t="str">
        <f>IFERROR(INDEX(TableTECalcPts[TM],MATCH(TableTEVORP[[#This Row],[RK]],TableTECalcPts[RK],0)),"")</f>
        <v>DEN</v>
      </c>
      <c r="Y41" s="112">
        <f>IFERROR(INDEX(TableTECalcPts[BYE],MATCH(TableTEVORP[[#This Row],[RK]],TableTECalcPts[RK],0)),"")</f>
        <v>9</v>
      </c>
      <c r="Z41" s="113">
        <f>IFERROR(INDEX(TableTECalcPts[Custom],MATCH(TableTEVORP[[#This Row],[RK]],TableTECalcPts[RK],0)),"")</f>
        <v>52.664460695448014</v>
      </c>
      <c r="AA41" s="114">
        <f>IFERROR((TableTEVORP[[#This Row],[FPS]]-INDEX(TableTEVORP[FPS],MATCH(TEVORPCalc,TableTEVORP[RK],0)))/INDEX(TableTEVORP[FPS],MATCH(TEVORPCalc,TableTEVORP[RK],0)),"")</f>
        <v>-0.59902977770290966</v>
      </c>
      <c r="AF41" t="s">
        <v>9</v>
      </c>
      <c r="AG41">
        <v>40</v>
      </c>
      <c r="AH41" s="83">
        <f>RANK(TableOverallMaster[[#This Row],[VORP]],TableOverallMaster[VORP])+COUNTIF($AM$2:AM41,AM41)-1</f>
        <v>300</v>
      </c>
      <c r="AI41" s="115" t="str">
        <f>IFERROR(INDEX(TableQBVORP[QUARTERBACK],MATCH(TableOverallMaster[[#This Row],[RK]],TableQBVORP[RK],0)),"")</f>
        <v>Sam Darnold</v>
      </c>
      <c r="AJ41" s="115" t="str">
        <f t="shared" si="0"/>
        <v>QB40</v>
      </c>
      <c r="AK41" s="115">
        <f>IFERROR(INDEX(TableQBVORP[BYE],MATCH(TableOverallMaster[[#This Row],[RK]],TableQBVORP[RK],0)),"")</f>
        <v>13</v>
      </c>
      <c r="AL41" s="116">
        <f>IFERROR(INDEX(TableQBVORP[FPS],MATCH(TableOverallMaster[[#This Row],[RK]],TableQBVORP[RK],0)),"")</f>
        <v>17.303615899839997</v>
      </c>
      <c r="AM41" s="117">
        <f>IFERROR(INDEX(TableQBVORP[VORP],MATCH(TableOverallMaster[[#This Row],[RK]],TableQBVORP[RK],0)),"")</f>
        <v>-0.93579472375374373</v>
      </c>
      <c r="AO41">
        <v>40</v>
      </c>
      <c r="AP41" s="118" t="str">
        <f>IFERROR(INDEX(TableOverallMaster[OVERALL PLAYER],MATCH(TableOverallRank[[#This Row],[RK]],TableOverallMaster[OVR RK],0)),"")</f>
        <v>Mike Evans</v>
      </c>
      <c r="AQ41" s="119" t="str">
        <f>IFERROR(INDEX(TableOverallMaster[POS RK],MATCH(TableOverallRank[[#This Row],[OVERALL PLAYER]],TableOverallMaster[OVERALL PLAYER],0)),"")</f>
        <v>WR9</v>
      </c>
      <c r="AR41" s="120">
        <f>IFERROR(INDEX(TableOverallMaster[BYE],MATCH(TableOverallRank[[#This Row],[OVERALL PLAYER]],TableOverallMaster[OVERALL PLAYER],0)),"")</f>
        <v>5</v>
      </c>
      <c r="AS41" s="119">
        <f>IFERROR(INDEX(TableOverallMaster[Custom],MATCH(TableOverallRank[[#This Row],[OVERALL PLAYER]],TableOverallMaster[OVERALL PLAYER],0)),"")</f>
        <v>210.90826433402879</v>
      </c>
      <c r="AT41" s="121">
        <f>IFERROR(INDEX(TableOverallMaster[VORP],MATCH(TableOverallRank[[#This Row],[OVERALL PLAYER]],TableOverallMaster[OVERALL PLAYER],0)),"")</f>
        <v>0.46055655695363557</v>
      </c>
      <c r="AV41">
        <v>40</v>
      </c>
      <c r="AW41" s="122" t="str">
        <f>IFERROR(INDEX(TableWRTECalcPts[PLAYER],MATCH(TableWRTERank[[#This Row],[RK]],TableWRTECalcPts[RK],0)),"")</f>
        <v>Zay Flowers</v>
      </c>
      <c r="AX41" s="122" t="str">
        <f>IFERROR(INDEX(TableWRTECalcPts[POS RK],MATCH(TableWRTERank[[#This Row],[WR and TE COMBINED]],TableWRTECalcPts[PLAYER],0)),"")</f>
        <v>WR37</v>
      </c>
      <c r="AY41" s="122">
        <f>IFERROR(INDEX(TableWRTECalcPts[BYE],MATCH(TableWRTERank[[#This Row],[RK]],TableWRTECalcPts[RK],0)),"")</f>
        <v>13</v>
      </c>
      <c r="AZ41" s="123">
        <f>IFERROR(INDEX(TableWRTECalcPts[Custom],MATCH(TableWRTERank[[#This Row],[RK]],TableWRTECalcPts[RK],0)),"")</f>
        <v>171.6694996834272</v>
      </c>
      <c r="BA41" s="174">
        <f>IFERROR((TableWRTERank[[#This Row],[FPS]]-INDEX(TableWRTERank[FPS],MATCH(WRTEVORPCalc,TableWRTERank[RK],0)))/INDEX(TableWRTERank[FPS],MATCH(WRTEVORPCalc,TableWRTERank[RK],0)),"")</f>
        <v>0.14994090833859611</v>
      </c>
      <c r="BC41" t="s">
        <v>223</v>
      </c>
      <c r="BD41">
        <v>40</v>
      </c>
      <c r="BE41" s="83">
        <f>RANK(TableWRTEMaster[[#This Row],[VORP]],TableWRTEMaster[VORP])+COUNTIF($BJ$2:BJ41,BJ41)-1</f>
        <v>47</v>
      </c>
      <c r="BF41" s="115" t="str">
        <f>IFERROR(INDEX(TableWRVORP[WIDE RECEIVER],MATCH(TableWRTEMaster[[#This Row],[RK]],TableWRVORP[RK],0)),"")</f>
        <v>Keon Coleman</v>
      </c>
      <c r="BG41" s="115" t="str">
        <f>_xlfn.CONCAT(TableWRTEMaster[[#This Row],[POS]],TableWRTEMaster[[#This Row],[RK]])</f>
        <v>WR40</v>
      </c>
      <c r="BH41" s="115">
        <f>IFERROR(INDEX(TableWRVORP[BYE],MATCH(TableWRTEMaster[[#This Row],[RK]],TableWRVORP[RK],0)),"")</f>
        <v>13</v>
      </c>
      <c r="BI41" s="116">
        <f>IFERROR(INDEX(TableWRVORP[FPS],MATCH(TableWRTEMaster[[#This Row],[RK]],TableWRVORP[RK],0)),"")</f>
        <v>166.64394539519995</v>
      </c>
      <c r="BJ41" s="117">
        <f>IFERROR(INDEX(TableWRVORP[VORP],MATCH(TableWRTEMaster[[#This Row],[RK]],TableWRVORP[RK],0)),"")</f>
        <v>0.15402261685728028</v>
      </c>
    </row>
    <row r="42" spans="1:62" x14ac:dyDescent="0.2">
      <c r="A42">
        <v>41</v>
      </c>
      <c r="B42" s="112" t="str">
        <f>IFERROR(INDEX(TableQBCalcPts[PLAYER],MATCH(TableQBVORP[[#This Row],[RK]],TableQBCalcPts[RK],0)),"")</f>
        <v>Marcus Mariota</v>
      </c>
      <c r="C42" s="112" t="str">
        <f>IFERROR(INDEX(TableQBCalcPts[TM],MATCH(TableQBVORP[[#This Row],[RK]],TableQBCalcPts[RK],0)),"")</f>
        <v>WSH</v>
      </c>
      <c r="D42" s="112">
        <f>IFERROR(INDEX(TableQBCalcPts[BYE],MATCH(TableQBVORP[[#This Row],[RK]],TableQBCalcPts[RK],0)),"")</f>
        <v>14</v>
      </c>
      <c r="E42" s="113">
        <f>IFERROR(INDEX(TableQBCalcPts[Custom],MATCH(TableQBVORP[[#This Row],[RK]],TableQBCalcPts[RK],0)),"")</f>
        <v>13.192682096700002</v>
      </c>
      <c r="F42" s="114">
        <f>(IFERROR((TableQBVORP[[#This Row],[FPS]]-INDEX(TableQBVORP[FPS],MATCH(QBVORPCalc,TableQBVORP[RK],0)))/INDEX(TableQBVORP[FPS],MATCH(QBVORPCalc,TableQBVORP[RK],0)),""))+(TableRBVORP[[#This Row],[VORP]]*0.45)</f>
        <v>-0.94845161197601724</v>
      </c>
      <c r="H42">
        <v>41</v>
      </c>
      <c r="I42" s="112" t="str">
        <f>IFERROR(INDEX(TableRBCalcPts[PLAYER],MATCH(TableRBVORP[[#This Row],[RK]],TableRBCalcPts[RK],0)),"")</f>
        <v>Ty Chandler</v>
      </c>
      <c r="J42" s="112" t="str">
        <f>IFERROR(INDEX(TableRBCalcPts[TM],MATCH(TableRBVORP[[#This Row],[RK]],TableRBCalcPts[RK],0)),"")</f>
        <v>MIN</v>
      </c>
      <c r="K42" s="112">
        <f>IFERROR(INDEX(TableRBCalcPts[BYE],MATCH(TableRBVORP[[#This Row],[RK]],TableRBCalcPts[RK],0)),"")</f>
        <v>13</v>
      </c>
      <c r="L42" s="113">
        <f>IFERROR(INDEX(TableRBCalcPts[Custom],MATCH(TableRBVORP[[#This Row],[RK]],TableRBCalcPts[RK],0)),"")</f>
        <v>116.83272378624001</v>
      </c>
      <c r="M42" s="114">
        <f>IFERROR((TableRBVORP[[#This Row],[FPS]]-INDEX(TableRBVORP[FPS],MATCH(RBVORPCalc,TableRBVORP[RK],0)))/INDEX(TableRBVORP[FPS],MATCH(RBVORPCalc,TableRBVORP[RK],0)),"")</f>
        <v>3.6503862460845755E-2</v>
      </c>
      <c r="O42">
        <v>41</v>
      </c>
      <c r="P42" s="112" t="str">
        <f>IFERROR(INDEX(TableWRCalcPts[PLAYER],MATCH(TableWRVORP[[#This Row],[RK]],TableWRCalcPts[RK],0)),"")</f>
        <v>Ladd McConkey</v>
      </c>
      <c r="Q42" s="112" t="str">
        <f>IFERROR(INDEX(TableWRCalcPts[TM],MATCH(TableWRVORP[[#This Row],[RK]],TableWRCalcPts[RK],0)),"")</f>
        <v>LAC</v>
      </c>
      <c r="R42" s="112">
        <f>IFERROR(INDEX(TableWRCalcPts[BYE],MATCH(TableWRVORP[[#This Row],[RK]],TableWRCalcPts[RK],0)),"")</f>
        <v>5</v>
      </c>
      <c r="S42" s="113">
        <f>IFERROR(INDEX(TableWRCalcPts[Custom],MATCH(TableWRVORP[[#This Row],[RK]],TableWRCalcPts[RK],0)),"")</f>
        <v>166.25112709127995</v>
      </c>
      <c r="T42" s="114">
        <f>IFERROR((TableWRVORP[[#This Row],[FPS]]-INDEX(TableWRVORP[FPS],MATCH(WRVORPCalc,TableWRVORP[RK],0)))/INDEX(TableWRVORP[FPS],MATCH(WRVORPCalc,TableWRVORP[RK],0)),"")</f>
        <v>0.15130231876325634</v>
      </c>
      <c r="V42">
        <v>41</v>
      </c>
      <c r="W42" s="112" t="str">
        <f>IFERROR(INDEX(TableTECalcPts[PLAYER],MATCH(TableTEVORP[[#This Row],[RK]],TableTECalcPts[RK],0)),"")</f>
        <v>Ben Sinnott</v>
      </c>
      <c r="X42" s="112" t="str">
        <f>IFERROR(INDEX(TableTECalcPts[TM],MATCH(TableTEVORP[[#This Row],[RK]],TableTECalcPts[RK],0)),"")</f>
        <v>WSH</v>
      </c>
      <c r="Y42" s="112">
        <f>IFERROR(INDEX(TableTECalcPts[BYE],MATCH(TableTEVORP[[#This Row],[RK]],TableTECalcPts[RK],0)),"")</f>
        <v>14</v>
      </c>
      <c r="Z42" s="113">
        <f>IFERROR(INDEX(TableTECalcPts[Custom],MATCH(TableTEVORP[[#This Row],[RK]],TableTECalcPts[RK],0)),"")</f>
        <v>48.575699465383998</v>
      </c>
      <c r="AA42" s="114">
        <f>IFERROR((TableTEVORP[[#This Row],[FPS]]-INDEX(TableTEVORP[FPS],MATCH(TEVORPCalc,TableTEVORP[RK],0)))/INDEX(TableTEVORP[FPS],MATCH(TEVORPCalc,TableTEVORP[RK],0)),"")</f>
        <v>-0.6301602873044293</v>
      </c>
      <c r="AF42" t="s">
        <v>222</v>
      </c>
      <c r="AG42">
        <v>1</v>
      </c>
      <c r="AH42" s="83">
        <f>RANK(TableOverallMaster[[#This Row],[VORP]],TableOverallMaster[VORP])+COUNTIF($AM$2:AM42,AM42)-1</f>
        <v>1</v>
      </c>
      <c r="AI42" s="115" t="str">
        <f>IFERROR(INDEX(TableRBVORP[RUNNING BACK],MATCH(TableOverallMaster[[#This Row],[RK]],TableRBVORP[RK],0)),"")</f>
        <v>Christian McCaffrey</v>
      </c>
      <c r="AJ42" s="115" t="str">
        <f t="shared" si="0"/>
        <v>RB1</v>
      </c>
      <c r="AK42" s="115">
        <f>IFERROR(INDEX(TableRBVORP[BYE],MATCH(TableOverallMaster[[#This Row],[RK]],TableRBVORP[RK],0)),"")</f>
        <v>9</v>
      </c>
      <c r="AL42" s="116">
        <f>IFERROR(INDEX(TableRBVORP[FPS],MATCH(TableOverallMaster[[#This Row],[RK]],TableRBVORP[RK],0)),"")</f>
        <v>302.45567415335995</v>
      </c>
      <c r="AM42" s="117">
        <f>IFERROR(INDEX(TableRBVORP[VORP],MATCH(TableOverallMaster[[#This Row],[RK]],TableRBVORP[RK],0)),"")</f>
        <v>1.6832933815421214</v>
      </c>
      <c r="AO42">
        <v>41</v>
      </c>
      <c r="AP42" s="118" t="str">
        <f>IFERROR(INDEX(TableOverallMaster[OVERALL PLAYER],MATCH(TableOverallRank[[#This Row],[RK]],TableOverallMaster[OVR RK],0)),"")</f>
        <v>Gus Edwards</v>
      </c>
      <c r="AQ42" s="119" t="str">
        <f>IFERROR(INDEX(TableOverallMaster[POS RK],MATCH(TableOverallRank[[#This Row],[OVERALL PLAYER]],TableOverallMaster[OVERALL PLAYER],0)),"")</f>
        <v>RB28</v>
      </c>
      <c r="AR42" s="120">
        <f>IFERROR(INDEX(TableOverallMaster[BYE],MATCH(TableOverallRank[[#This Row],[OVERALL PLAYER]],TableOverallMaster[OVERALL PLAYER],0)),"")</f>
        <v>5</v>
      </c>
      <c r="AS42" s="119">
        <f>IFERROR(INDEX(TableOverallMaster[Custom],MATCH(TableOverallRank[[#This Row],[OVERALL PLAYER]],TableOverallMaster[OVERALL PLAYER],0)),"")</f>
        <v>164.41601479424801</v>
      </c>
      <c r="AT42" s="121">
        <f>IFERROR(INDEX(TableOverallMaster[VORP],MATCH(TableOverallRank[[#This Row],[OVERALL PLAYER]],TableOverallMaster[OVERALL PLAYER],0)),"")</f>
        <v>0.45864813266237148</v>
      </c>
      <c r="AV42">
        <v>41</v>
      </c>
      <c r="AW42" s="122" t="str">
        <f>IFERROR(INDEX(TableWRTECalcPts[PLAYER],MATCH(TableWRTERank[[#This Row],[RK]],TableWRTECalcPts[RK],0)),"")</f>
        <v>Jameson Williams</v>
      </c>
      <c r="AX42" s="122" t="str">
        <f>IFERROR(INDEX(TableWRTECalcPts[POS RK],MATCH(TableWRTERank[[#This Row],[WR and TE COMBINED]],TableWRTECalcPts[PLAYER],0)),"")</f>
        <v>WR38</v>
      </c>
      <c r="AY42" s="122">
        <f>IFERROR(INDEX(TableWRTECalcPts[BYE],MATCH(TableWRTERank[[#This Row],[RK]],TableWRTECalcPts[RK],0)),"")</f>
        <v>9</v>
      </c>
      <c r="AZ42" s="123">
        <f>IFERROR(INDEX(TableWRTECalcPts[Custom],MATCH(TableWRTERank[[#This Row],[RK]],TableWRTECalcPts[RK],0)),"")</f>
        <v>170.67243936779397</v>
      </c>
      <c r="BA42" s="174">
        <f>IFERROR((TableWRTERank[[#This Row],[FPS]]-INDEX(TableWRTERank[FPS],MATCH(WRTEVORPCalc,TableWRTERank[RK],0)))/INDEX(TableWRTERank[FPS],MATCH(WRTEVORPCalc,TableWRTERank[RK],0)),"")</f>
        <v>0.14326202567660898</v>
      </c>
      <c r="BC42" t="s">
        <v>223</v>
      </c>
      <c r="BD42">
        <v>41</v>
      </c>
      <c r="BE42" s="83">
        <f>RANK(TableWRTEMaster[[#This Row],[VORP]],TableWRTEMaster[VORP])+COUNTIF($BJ$2:BJ42,BJ42)-1</f>
        <v>48</v>
      </c>
      <c r="BF42" s="115" t="str">
        <f>IFERROR(INDEX(TableWRVORP[WIDE RECEIVER],MATCH(TableWRTEMaster[[#This Row],[RK]],TableWRVORP[RK],0)),"")</f>
        <v>Ladd McConkey</v>
      </c>
      <c r="BG42" s="115" t="str">
        <f>_xlfn.CONCAT(TableWRTEMaster[[#This Row],[POS]],TableWRTEMaster[[#This Row],[RK]])</f>
        <v>WR41</v>
      </c>
      <c r="BH42" s="115">
        <f>IFERROR(INDEX(TableWRVORP[BYE],MATCH(TableWRTEMaster[[#This Row],[RK]],TableWRVORP[RK],0)),"")</f>
        <v>5</v>
      </c>
      <c r="BI42" s="116">
        <f>IFERROR(INDEX(TableWRVORP[FPS],MATCH(TableWRTEMaster[[#This Row],[RK]],TableWRVORP[RK],0)),"")</f>
        <v>166.25112709127995</v>
      </c>
      <c r="BJ42" s="117">
        <f>IFERROR(INDEX(TableWRVORP[VORP],MATCH(TableWRTEMaster[[#This Row],[RK]],TableWRVORP[RK],0)),"")</f>
        <v>0.15130231876325634</v>
      </c>
    </row>
    <row r="43" spans="1:62" x14ac:dyDescent="0.2">
      <c r="A43">
        <v>42</v>
      </c>
      <c r="B43" s="112" t="str">
        <f>IFERROR(INDEX(TableQBCalcPts[PLAYER],MATCH(TableQBVORP[[#This Row],[RK]],TableQBCalcPts[RK],0)),"")</f>
        <v>Jake Browning</v>
      </c>
      <c r="C43" s="112" t="str">
        <f>IFERROR(INDEX(TableQBCalcPts[TM],MATCH(TableQBVORP[[#This Row],[RK]],TableQBCalcPts[RK],0)),"")</f>
        <v>CIN</v>
      </c>
      <c r="D43" s="112">
        <f>IFERROR(INDEX(TableQBCalcPts[BYE],MATCH(TableQBVORP[[#This Row],[RK]],TableQBCalcPts[RK],0)),"")</f>
        <v>7</v>
      </c>
      <c r="E43" s="113">
        <f>IFERROR(INDEX(TableQBCalcPts[Custom],MATCH(TableQBVORP[[#This Row],[RK]],TableQBCalcPts[RK],0)),"")</f>
        <v>12.32176968060001</v>
      </c>
      <c r="F43" s="114">
        <f>(IFERROR((TableQBVORP[[#This Row],[FPS]]-INDEX(TableQBVORP[FPS],MATCH(QBVORPCalc,TableQBVORP[RK],0)))/INDEX(TableQBVORP[FPS],MATCH(QBVORPCalc,TableQBVORP[RK],0)),""))+(TableRBVORP[[#This Row],[VORP]]*0.45)</f>
        <v>-0.9628324988142335</v>
      </c>
      <c r="H43">
        <v>42</v>
      </c>
      <c r="I43" s="112" t="str">
        <f>IFERROR(INDEX(TableRBCalcPts[PLAYER],MATCH(TableRBVORP[[#This Row],[RK]],TableRBCalcPts[RK],0)),"")</f>
        <v>Trey Benson</v>
      </c>
      <c r="J43" s="112" t="str">
        <f>IFERROR(INDEX(TableRBCalcPts[TM],MATCH(TableRBVORP[[#This Row],[RK]],TableRBCalcPts[RK],0)),"")</f>
        <v>ARI</v>
      </c>
      <c r="K43" s="112">
        <f>IFERROR(INDEX(TableRBCalcPts[BYE],MATCH(TableRBVORP[[#This Row],[RK]],TableRBCalcPts[RK],0)),"")</f>
        <v>14</v>
      </c>
      <c r="L43" s="113">
        <f>IFERROR(INDEX(TableRBCalcPts[Custom],MATCH(TableRBVORP[[#This Row],[RK]],TableRBCalcPts[RK],0)),"")</f>
        <v>113.81129370954001</v>
      </c>
      <c r="M43" s="114">
        <f>IFERROR((TableRBVORP[[#This Row],[FPS]]-INDEX(TableRBVORP[FPS],MATCH(RBVORPCalc,TableRBVORP[RK],0)))/INDEX(TableRBVORP[FPS],MATCH(RBVORPCalc,TableRBVORP[RK],0)),"")</f>
        <v>9.6986674507148849E-3</v>
      </c>
      <c r="O43">
        <v>42</v>
      </c>
      <c r="P43" s="112" t="str">
        <f>IFERROR(INDEX(TableWRCalcPts[PLAYER],MATCH(TableWRVORP[[#This Row],[RK]],TableWRCalcPts[RK],0)),"")</f>
        <v>Christian Watson</v>
      </c>
      <c r="Q43" s="112" t="str">
        <f>IFERROR(INDEX(TableWRCalcPts[TM],MATCH(TableWRVORP[[#This Row],[RK]],TableWRCalcPts[RK],0)),"")</f>
        <v>GB</v>
      </c>
      <c r="R43" s="112">
        <f>IFERROR(INDEX(TableWRCalcPts[BYE],MATCH(TableWRVORP[[#This Row],[RK]],TableWRCalcPts[RK],0)),"")</f>
        <v>6</v>
      </c>
      <c r="S43" s="113">
        <f>IFERROR(INDEX(TableWRCalcPts[Custom],MATCH(TableWRVORP[[#This Row],[RK]],TableWRCalcPts[RK],0)),"")</f>
        <v>165.95201752729599</v>
      </c>
      <c r="T43" s="114">
        <f>IFERROR((TableWRVORP[[#This Row],[FPS]]-INDEX(TableWRVORP[FPS],MATCH(WRVORPCalc,TableWRVORP[RK],0)))/INDEX(TableWRVORP[FPS],MATCH(WRVORPCalc,TableWRVORP[RK],0)),"")</f>
        <v>0.14923096116945231</v>
      </c>
      <c r="V43">
        <v>42</v>
      </c>
      <c r="W43" s="112" t="str">
        <f>IFERROR(INDEX(TableTECalcPts[PLAYER],MATCH(TableTEVORP[[#This Row],[RK]],TableTECalcPts[RK],0)),"")</f>
        <v>Jeremy Ruckert</v>
      </c>
      <c r="X43" s="112" t="str">
        <f>IFERROR(INDEX(TableTECalcPts[TM],MATCH(TableTEVORP[[#This Row],[RK]],TableTECalcPts[RK],0)),"")</f>
        <v>NYJ</v>
      </c>
      <c r="Y43" s="112">
        <f>IFERROR(INDEX(TableTECalcPts[BYE],MATCH(TableTEVORP[[#This Row],[RK]],TableTECalcPts[RK],0)),"")</f>
        <v>7</v>
      </c>
      <c r="Z43" s="113">
        <f>IFERROR(INDEX(TableTECalcPts[Custom],MATCH(TableTEVORP[[#This Row],[RK]],TableTECalcPts[RK],0)),"")</f>
        <v>47.942912402985584</v>
      </c>
      <c r="AA43" s="114">
        <f>IFERROR((TableTEVORP[[#This Row],[FPS]]-INDEX(TableTEVORP[FPS],MATCH(TEVORPCalc,TableTEVORP[RK],0)))/INDEX(TableTEVORP[FPS],MATCH(TEVORPCalc,TableTEVORP[RK],0)),"")</f>
        <v>-0.6349781239579535</v>
      </c>
      <c r="AF43" t="s">
        <v>222</v>
      </c>
      <c r="AG43">
        <v>2</v>
      </c>
      <c r="AH43" s="83">
        <f>RANK(TableOverallMaster[[#This Row],[VORP]],TableOverallMaster[VORP])+COUNTIF($AM$2:AM43,AM43)-1</f>
        <v>2</v>
      </c>
      <c r="AI43" s="115" t="str">
        <f>IFERROR(INDEX(TableRBVORP[RUNNING BACK],MATCH(TableOverallMaster[[#This Row],[RK]],TableRBVORP[RK],0)),"")</f>
        <v>Jonathan Taylor</v>
      </c>
      <c r="AJ43" s="115" t="str">
        <f t="shared" si="0"/>
        <v>RB2</v>
      </c>
      <c r="AK43" s="115">
        <f>IFERROR(INDEX(TableRBVORP[BYE],MATCH(TableOverallMaster[[#This Row],[RK]],TableRBVORP[RK],0)),"")</f>
        <v>11</v>
      </c>
      <c r="AL43" s="116">
        <f>IFERROR(INDEX(TableRBVORP[FPS],MATCH(TableOverallMaster[[#This Row],[RK]],TableRBVORP[RK],0)),"")</f>
        <v>258.01645011296</v>
      </c>
      <c r="AM43" s="117">
        <f>IFERROR(INDEX(TableRBVORP[VORP],MATCH(TableOverallMaster[[#This Row],[RK]],TableRBVORP[RK],0)),"")</f>
        <v>1.289042302992309</v>
      </c>
      <c r="AO43">
        <v>42</v>
      </c>
      <c r="AP43" s="118" t="str">
        <f>IFERROR(INDEX(TableOverallMaster[OVERALL PLAYER],MATCH(TableOverallRank[[#This Row],[RK]],TableOverallMaster[OVR RK],0)),"")</f>
        <v>Brandon Aiyuk</v>
      </c>
      <c r="AQ43" s="119" t="str">
        <f>IFERROR(INDEX(TableOverallMaster[POS RK],MATCH(TableOverallRank[[#This Row],[OVERALL PLAYER]],TableOverallMaster[OVERALL PLAYER],0)),"")</f>
        <v>WR10</v>
      </c>
      <c r="AR43" s="120">
        <f>IFERROR(INDEX(TableOverallMaster[BYE],MATCH(TableOverallRank[[#This Row],[OVERALL PLAYER]],TableOverallMaster[OVERALL PLAYER],0)),"")</f>
        <v>9</v>
      </c>
      <c r="AS43" s="119">
        <f>IFERROR(INDEX(TableOverallMaster[Custom],MATCH(TableOverallRank[[#This Row],[OVERALL PLAYER]],TableOverallMaster[OVERALL PLAYER],0)),"")</f>
        <v>209.84308981574395</v>
      </c>
      <c r="AT43" s="121">
        <f>IFERROR(INDEX(TableOverallMaster[VORP],MATCH(TableOverallRank[[#This Row],[OVERALL PLAYER]],TableOverallMaster[OVERALL PLAYER],0)),"")</f>
        <v>0.45318013843398519</v>
      </c>
      <c r="AV43">
        <v>42</v>
      </c>
      <c r="AW43" s="122" t="str">
        <f>IFERROR(INDEX(TableWRTECalcPts[PLAYER],MATCH(TableWRTERank[[#This Row],[RK]],TableWRTECalcPts[RK],0)),"")</f>
        <v>Trey McBride</v>
      </c>
      <c r="AX43" s="122" t="str">
        <f>IFERROR(INDEX(TableWRTECalcPts[POS RK],MATCH(TableWRTERank[[#This Row],[WR and TE COMBINED]],TableWRTECalcPts[PLAYER],0)),"")</f>
        <v>TE4</v>
      </c>
      <c r="AY43" s="122">
        <f>IFERROR(INDEX(TableWRTECalcPts[BYE],MATCH(TableWRTERank[[#This Row],[RK]],TableWRTECalcPts[RK],0)),"")</f>
        <v>14</v>
      </c>
      <c r="AZ43" s="123">
        <f>IFERROR(INDEX(TableWRTECalcPts[Custom],MATCH(TableWRTERank[[#This Row],[RK]],TableWRTECalcPts[RK],0)),"")</f>
        <v>168.4093531322475</v>
      </c>
      <c r="BA43" s="174">
        <f>IFERROR((TableWRTERank[[#This Row],[FPS]]-INDEX(TableWRTERank[FPS],MATCH(WRTEVORPCalc,TableWRTERank[RK],0)))/INDEX(TableWRTERank[FPS],MATCH(WRTEVORPCalc,TableWRTERank[RK],0)),"")</f>
        <v>0.12810257425307742</v>
      </c>
      <c r="BC43" t="s">
        <v>223</v>
      </c>
      <c r="BD43">
        <v>42</v>
      </c>
      <c r="BE43" s="83">
        <f>RANK(TableWRTEMaster[[#This Row],[VORP]],TableWRTEMaster[VORP])+COUNTIF($BJ$2:BJ43,BJ43)-1</f>
        <v>49</v>
      </c>
      <c r="BF43" s="115" t="str">
        <f>IFERROR(INDEX(TableWRVORP[WIDE RECEIVER],MATCH(TableWRTEMaster[[#This Row],[RK]],TableWRVORP[RK],0)),"")</f>
        <v>Christian Watson</v>
      </c>
      <c r="BG43" s="115" t="str">
        <f>_xlfn.CONCAT(TableWRTEMaster[[#This Row],[POS]],TableWRTEMaster[[#This Row],[RK]])</f>
        <v>WR42</v>
      </c>
      <c r="BH43" s="115">
        <f>IFERROR(INDEX(TableWRVORP[BYE],MATCH(TableWRTEMaster[[#This Row],[RK]],TableWRVORP[RK],0)),"")</f>
        <v>6</v>
      </c>
      <c r="BI43" s="116">
        <f>IFERROR(INDEX(TableWRVORP[FPS],MATCH(TableWRTEMaster[[#This Row],[RK]],TableWRVORP[RK],0)),"")</f>
        <v>165.95201752729599</v>
      </c>
      <c r="BJ43" s="117">
        <f>IFERROR(INDEX(TableWRVORP[VORP],MATCH(TableWRTEMaster[[#This Row],[RK]],TableWRVORP[RK],0)),"")</f>
        <v>0.14923096116945231</v>
      </c>
    </row>
    <row r="44" spans="1:62" x14ac:dyDescent="0.2">
      <c r="A44">
        <v>43</v>
      </c>
      <c r="B44" s="112" t="str">
        <f>IFERROR(INDEX(TableQBCalcPts[PLAYER],MATCH(TableQBVORP[[#This Row],[RK]],TableQBCalcPts[RK],0)),"")</f>
        <v>Joe Flacco</v>
      </c>
      <c r="C44" s="112" t="str">
        <f>IFERROR(INDEX(TableQBCalcPts[TM],MATCH(TableQBVORP[[#This Row],[RK]],TableQBCalcPts[RK],0)),"")</f>
        <v>IND</v>
      </c>
      <c r="D44" s="112">
        <f>IFERROR(INDEX(TableQBCalcPts[BYE],MATCH(TableQBVORP[[#This Row],[RK]],TableQBCalcPts[RK],0)),"")</f>
        <v>11</v>
      </c>
      <c r="E44" s="113">
        <f>IFERROR(INDEX(TableQBCalcPts[Custom],MATCH(TableQBVORP[[#This Row],[RK]],TableQBCalcPts[RK],0)),"")</f>
        <v>11.991640597200011</v>
      </c>
      <c r="F44" s="114">
        <f>(IFERROR((TableQBVORP[[#This Row],[FPS]]-INDEX(TableQBVORP[FPS],MATCH(QBVORPCalc,TableQBVORP[RK],0)))/INDEX(TableQBVORP[FPS],MATCH(QBVORPCalc,TableQBVORP[RK],0)),""))+(TableRBVORP[[#This Row],[VORP]]*0.45)</f>
        <v>-0.96733693616634597</v>
      </c>
      <c r="H44">
        <v>43</v>
      </c>
      <c r="I44" s="112" t="str">
        <f>IFERROR(INDEX(TableRBCalcPts[PLAYER],MATCH(TableRBVORP[[#This Row],[RK]],TableRBCalcPts[RK],0)),"")</f>
        <v>Chase Brown</v>
      </c>
      <c r="J44" s="112" t="str">
        <f>IFERROR(INDEX(TableRBCalcPts[TM],MATCH(TableRBVORP[[#This Row],[RK]],TableRBCalcPts[RK],0)),"")</f>
        <v>CIN</v>
      </c>
      <c r="K44" s="112">
        <f>IFERROR(INDEX(TableRBCalcPts[BYE],MATCH(TableRBVORP[[#This Row],[RK]],TableRBCalcPts[RK],0)),"")</f>
        <v>7</v>
      </c>
      <c r="L44" s="113">
        <f>IFERROR(INDEX(TableRBCalcPts[Custom],MATCH(TableRBVORP[[#This Row],[RK]],TableRBCalcPts[RK],0)),"")</f>
        <v>112.90314533836799</v>
      </c>
      <c r="M44" s="114">
        <f>IFERROR((TableRBVORP[[#This Row],[FPS]]-INDEX(TableRBVORP[FPS],MATCH(RBVORPCalc,TableRBVORP[RK],0)))/INDEX(TableRBVORP[FPS],MATCH(RBVORPCalc,TableRBVORP[RK],0)),"")</f>
        <v>1.6418554214965404E-3</v>
      </c>
      <c r="O44">
        <v>43</v>
      </c>
      <c r="P44" s="112" t="str">
        <f>IFERROR(INDEX(TableWRCalcPts[PLAYER],MATCH(TableWRVORP[[#This Row],[RK]],TableWRCalcPts[RK],0)),"")</f>
        <v>Xavier Legette</v>
      </c>
      <c r="Q44" s="112" t="str">
        <f>IFERROR(INDEX(TableWRCalcPts[TM],MATCH(TableWRVORP[[#This Row],[RK]],TableWRCalcPts[RK],0)),"")</f>
        <v>CAR</v>
      </c>
      <c r="R44" s="112">
        <f>IFERROR(INDEX(TableWRCalcPts[BYE],MATCH(TableWRVORP[[#This Row],[RK]],TableWRCalcPts[RK],0)),"")</f>
        <v>7</v>
      </c>
      <c r="S44" s="113">
        <f>IFERROR(INDEX(TableWRCalcPts[Custom],MATCH(TableWRVORP[[#This Row],[RK]],TableWRCalcPts[RK],0)),"")</f>
        <v>163.16862053171394</v>
      </c>
      <c r="T44" s="114">
        <f>IFERROR((TableWRVORP[[#This Row],[FPS]]-INDEX(TableWRVORP[FPS],MATCH(WRVORPCalc,TableWRVORP[RK],0)))/INDEX(TableWRVORP[FPS],MATCH(WRVORPCalc,TableWRVORP[RK],0)),"")</f>
        <v>0.1299557149132699</v>
      </c>
      <c r="V44">
        <v>43</v>
      </c>
      <c r="W44" s="112" t="str">
        <f>IFERROR(INDEX(TableTECalcPts[PLAYER],MATCH(TableTEVORP[[#This Row],[RK]],TableTECalcPts[RK],0)),"")</f>
        <v>Donald Parham</v>
      </c>
      <c r="X44" s="112" t="str">
        <f>IFERROR(INDEX(TableTECalcPts[TM],MATCH(TableTEVORP[[#This Row],[RK]],TableTECalcPts[RK],0)),"")</f>
        <v>LAC</v>
      </c>
      <c r="Y44" s="112">
        <f>IFERROR(INDEX(TableTECalcPts[BYE],MATCH(TableTEVORP[[#This Row],[RK]],TableTECalcPts[RK],0)),"")</f>
        <v>5</v>
      </c>
      <c r="Z44" s="113">
        <f>IFERROR(INDEX(TableTECalcPts[Custom],MATCH(TableTEVORP[[#This Row],[RK]],TableTECalcPts[RK],0)),"")</f>
        <v>47.064153670841982</v>
      </c>
      <c r="AA44" s="114">
        <f>IFERROR((TableTEVORP[[#This Row],[FPS]]-INDEX(TableTEVORP[FPS],MATCH(TEVORPCalc,TableTEVORP[RK],0)))/INDEX(TableTEVORP[FPS],MATCH(TEVORPCalc,TableTEVORP[RK],0)),"")</f>
        <v>-0.64166870959236744</v>
      </c>
      <c r="AF44" t="s">
        <v>222</v>
      </c>
      <c r="AG44">
        <v>3</v>
      </c>
      <c r="AH44" s="83">
        <f>RANK(TableOverallMaster[[#This Row],[VORP]],TableOverallMaster[VORP])+COUNTIF($AM$2:AM44,AM44)-1</f>
        <v>3</v>
      </c>
      <c r="AI44" s="115" t="str">
        <f>IFERROR(INDEX(TableRBVORP[RUNNING BACK],MATCH(TableOverallMaster[[#This Row],[RK]],TableRBVORP[RK],0)),"")</f>
        <v>Breece Hall</v>
      </c>
      <c r="AJ44" s="115" t="str">
        <f t="shared" si="0"/>
        <v>RB3</v>
      </c>
      <c r="AK44" s="115">
        <f>IFERROR(INDEX(TableRBVORP[BYE],MATCH(TableOverallMaster[[#This Row],[RK]],TableRBVORP[RK],0)),"")</f>
        <v>7</v>
      </c>
      <c r="AL44" s="116">
        <f>IFERROR(INDEX(TableRBVORP[FPS],MATCH(TableOverallMaster[[#This Row],[RK]],TableRBVORP[RK],0)),"")</f>
        <v>257.07200314096002</v>
      </c>
      <c r="AM44" s="117">
        <f>IFERROR(INDEX(TableRBVORP[VORP],MATCH(TableOverallMaster[[#This Row],[RK]],TableRBVORP[RK],0)),"")</f>
        <v>1.2806634609809007</v>
      </c>
      <c r="AO44">
        <v>43</v>
      </c>
      <c r="AP44" s="118" t="str">
        <f>IFERROR(INDEX(TableOverallMaster[OVERALL PLAYER],MATCH(TableOverallRank[[#This Row],[RK]],TableOverallMaster[OVR RK],0)),"")</f>
        <v>Travis Kelce</v>
      </c>
      <c r="AQ44" s="119" t="str">
        <f>IFERROR(INDEX(TableOverallMaster[POS RK],MATCH(TableOverallRank[[#This Row],[OVERALL PLAYER]],TableOverallMaster[OVERALL PLAYER],0)),"")</f>
        <v>TE1</v>
      </c>
      <c r="AR44" s="120">
        <f>IFERROR(INDEX(TableOverallMaster[BYE],MATCH(TableOverallRank[[#This Row],[OVERALL PLAYER]],TableOverallMaster[OVERALL PLAYER],0)),"")</f>
        <v>10</v>
      </c>
      <c r="AS44" s="119">
        <f>IFERROR(INDEX(TableOverallMaster[Custom],MATCH(TableOverallRank[[#This Row],[OVERALL PLAYER]],TableOverallMaster[OVERALL PLAYER],0)),"")</f>
        <v>190.78049731103991</v>
      </c>
      <c r="AT44" s="121">
        <f>IFERROR(INDEX(TableOverallMaster[VORP],MATCH(TableOverallRank[[#This Row],[OVERALL PLAYER]],TableOverallMaster[OVERALL PLAYER],0)),"")</f>
        <v>0.45254119014208488</v>
      </c>
      <c r="AV44">
        <v>43</v>
      </c>
      <c r="AW44" s="122" t="str">
        <f>IFERROR(INDEX(TableWRTECalcPts[PLAYER],MATCH(TableWRTERank[[#This Row],[RK]],TableWRTECalcPts[RK],0)),"")</f>
        <v>Curtis Samuel</v>
      </c>
      <c r="AX44" s="122" t="str">
        <f>IFERROR(INDEX(TableWRTECalcPts[POS RK],MATCH(TableWRTERank[[#This Row],[WR and TE COMBINED]],TableWRTECalcPts[PLAYER],0)),"")</f>
        <v>WR39</v>
      </c>
      <c r="AY44" s="122">
        <f>IFERROR(INDEX(TableWRTECalcPts[BYE],MATCH(TableWRTERank[[#This Row],[RK]],TableWRTECalcPts[RK],0)),"")</f>
        <v>13</v>
      </c>
      <c r="AZ44" s="123">
        <f>IFERROR(INDEX(TableWRTECalcPts[Custom],MATCH(TableWRTERank[[#This Row],[RK]],TableWRTECalcPts[RK],0)),"")</f>
        <v>167.65626644121596</v>
      </c>
      <c r="BA44" s="174">
        <f>IFERROR((TableWRTERank[[#This Row],[FPS]]-INDEX(TableWRTERank[FPS],MATCH(WRTEVORPCalc,TableWRTERank[RK],0)))/INDEX(TableWRTERank[FPS],MATCH(WRTEVORPCalc,TableWRTERank[RK],0)),"")</f>
        <v>0.12305796705646124</v>
      </c>
      <c r="BC44" t="s">
        <v>223</v>
      </c>
      <c r="BD44">
        <v>43</v>
      </c>
      <c r="BE44" s="83">
        <f>RANK(TableWRTEMaster[[#This Row],[VORP]],TableWRTEMaster[VORP])+COUNTIF($BJ$2:BJ44,BJ44)-1</f>
        <v>50</v>
      </c>
      <c r="BF44" s="115" t="str">
        <f>IFERROR(INDEX(TableWRVORP[WIDE RECEIVER],MATCH(TableWRTEMaster[[#This Row],[RK]],TableWRVORP[RK],0)),"")</f>
        <v>Xavier Legette</v>
      </c>
      <c r="BG44" s="115" t="str">
        <f>_xlfn.CONCAT(TableWRTEMaster[[#This Row],[POS]],TableWRTEMaster[[#This Row],[RK]])</f>
        <v>WR43</v>
      </c>
      <c r="BH44" s="115">
        <f>IFERROR(INDEX(TableWRVORP[BYE],MATCH(TableWRTEMaster[[#This Row],[RK]],TableWRVORP[RK],0)),"")</f>
        <v>7</v>
      </c>
      <c r="BI44" s="116">
        <f>IFERROR(INDEX(TableWRVORP[FPS],MATCH(TableWRTEMaster[[#This Row],[RK]],TableWRVORP[RK],0)),"")</f>
        <v>163.16862053171394</v>
      </c>
      <c r="BJ44" s="117">
        <f>IFERROR(INDEX(TableWRVORP[VORP],MATCH(TableWRTEMaster[[#This Row],[RK]],TableWRVORP[RK],0)),"")</f>
        <v>0.1299557149132699</v>
      </c>
    </row>
    <row r="45" spans="1:62" x14ac:dyDescent="0.2">
      <c r="A45">
        <v>44</v>
      </c>
      <c r="B45" s="112" t="str">
        <f>IFERROR(INDEX(TableQBCalcPts[PLAYER],MATCH(TableQBVORP[[#This Row],[RK]],TableQBCalcPts[RK],0)),"")</f>
        <v>Andy Dalton</v>
      </c>
      <c r="C45" s="112" t="str">
        <f>IFERROR(INDEX(TableQBCalcPts[TM],MATCH(TableQBVORP[[#This Row],[RK]],TableQBCalcPts[RK],0)),"")</f>
        <v>CAR</v>
      </c>
      <c r="D45" s="112">
        <f>IFERROR(INDEX(TableQBCalcPts[BYE],MATCH(TableQBVORP[[#This Row],[RK]],TableQBCalcPts[RK],0)),"")</f>
        <v>7</v>
      </c>
      <c r="E45" s="113">
        <f>IFERROR(INDEX(TableQBCalcPts[Custom],MATCH(TableQBVORP[[#This Row],[RK]],TableQBCalcPts[RK],0)),"")</f>
        <v>11.884636309999998</v>
      </c>
      <c r="F45" s="114">
        <f>(IFERROR((TableQBVORP[[#This Row],[FPS]]-INDEX(TableQBVORP[FPS],MATCH(QBVORPCalc,TableQBVORP[RK],0)))/INDEX(TableQBVORP[FPS],MATCH(QBVORPCalc,TableQBVORP[RK],0)),""))+(TableRBVORP[[#This Row],[VORP]]*0.45)</f>
        <v>-0.96836063866267441</v>
      </c>
      <c r="H45">
        <v>44</v>
      </c>
      <c r="I45" s="112" t="str">
        <f>IFERROR(INDEX(TableRBCalcPts[PLAYER],MATCH(TableRBVORP[[#This Row],[RK]],TableRBCalcPts[RK],0)),"")</f>
        <v>Jerome Ford</v>
      </c>
      <c r="J45" s="112" t="str">
        <f>IFERROR(INDEX(TableRBCalcPts[TM],MATCH(TableRBVORP[[#This Row],[RK]],TableRBCalcPts[RK],0)),"")</f>
        <v>CLE</v>
      </c>
      <c r="K45" s="112">
        <f>IFERROR(INDEX(TableRBCalcPts[BYE],MATCH(TableRBVORP[[#This Row],[RK]],TableRBCalcPts[RK],0)),"")</f>
        <v>5</v>
      </c>
      <c r="L45" s="113">
        <f>IFERROR(INDEX(TableRBCalcPts[Custom],MATCH(TableRBVORP[[#This Row],[RK]],TableRBCalcPts[RK],0)),"")</f>
        <v>112.71807855</v>
      </c>
      <c r="M45" s="114">
        <f>IFERROR((TableRBVORP[[#This Row],[FPS]]-INDEX(TableRBVORP[FPS],MATCH(RBVORPCalc,TableRBVORP[RK],0)))/INDEX(TableRBVORP[FPS],MATCH(RBVORPCalc,TableRBVORP[RK],0)),"")</f>
        <v>0</v>
      </c>
      <c r="O45">
        <v>44</v>
      </c>
      <c r="P45" s="112" t="str">
        <f>IFERROR(INDEX(TableWRCalcPts[PLAYER],MATCH(TableWRVORP[[#This Row],[RK]],TableWRCalcPts[RK],0)),"")</f>
        <v>Michael Pittman</v>
      </c>
      <c r="Q45" s="112" t="str">
        <f>IFERROR(INDEX(TableWRCalcPts[TM],MATCH(TableWRVORP[[#This Row],[RK]],TableWRCalcPts[RK],0)),"")</f>
        <v>IND</v>
      </c>
      <c r="R45" s="112">
        <f>IFERROR(INDEX(TableWRCalcPts[BYE],MATCH(TableWRVORP[[#This Row],[RK]],TableWRCalcPts[RK],0)),"")</f>
        <v>11</v>
      </c>
      <c r="S45" s="113">
        <f>IFERROR(INDEX(TableWRCalcPts[Custom],MATCH(TableWRVORP[[#This Row],[RK]],TableWRCalcPts[RK],0)),"")</f>
        <v>161.37858230487842</v>
      </c>
      <c r="T45" s="114">
        <f>IFERROR((TableWRVORP[[#This Row],[FPS]]-INDEX(TableWRVORP[FPS],MATCH(WRVORPCalc,TableWRVORP[RK],0)))/INDEX(TableWRVORP[FPS],MATCH(WRVORPCalc,TableWRVORP[RK],0)),"")</f>
        <v>0.11755955738166363</v>
      </c>
      <c r="V45">
        <v>44</v>
      </c>
      <c r="W45" s="112" t="str">
        <f>IFERROR(INDEX(TableTECalcPts[PLAYER],MATCH(TableTEVORP[[#This Row],[RK]],TableTECalcPts[RK],0)),"")</f>
        <v>Josh Oliver</v>
      </c>
      <c r="X45" s="112" t="str">
        <f>IFERROR(INDEX(TableTECalcPts[TM],MATCH(TableTEVORP[[#This Row],[RK]],TableTECalcPts[RK],0)),"")</f>
        <v>MIN</v>
      </c>
      <c r="Y45" s="112">
        <f>IFERROR(INDEX(TableTECalcPts[BYE],MATCH(TableTEVORP[[#This Row],[RK]],TableTECalcPts[RK],0)),"")</f>
        <v>13</v>
      </c>
      <c r="Z45" s="113">
        <f>IFERROR(INDEX(TableTECalcPts[Custom],MATCH(TableTEVORP[[#This Row],[RK]],TableTECalcPts[RK],0)),"")</f>
        <v>46.24948826064</v>
      </c>
      <c r="AA45" s="114">
        <f>IFERROR((TableTEVORP[[#This Row],[FPS]]-INDEX(TableTEVORP[FPS],MATCH(TEVORPCalc,TableTEVORP[RK],0)))/INDEX(TableTEVORP[FPS],MATCH(TEVORPCalc,TableTEVORP[RK],0)),"")</f>
        <v>-0.64787130934014536</v>
      </c>
      <c r="AF45" t="s">
        <v>222</v>
      </c>
      <c r="AG45">
        <v>4</v>
      </c>
      <c r="AH45" s="83">
        <f>RANK(TableOverallMaster[[#This Row],[VORP]],TableOverallMaster[VORP])+COUNTIF($AM$2:AM45,AM45)-1</f>
        <v>4</v>
      </c>
      <c r="AI45" s="115" t="str">
        <f>IFERROR(INDEX(TableRBVORP[RUNNING BACK],MATCH(TableOverallMaster[[#This Row],[RK]],TableRBVORP[RK],0)),"")</f>
        <v>Bijan Robinson</v>
      </c>
      <c r="AJ45" s="115" t="str">
        <f t="shared" si="0"/>
        <v>RB4</v>
      </c>
      <c r="AK45" s="115">
        <f>IFERROR(INDEX(TableRBVORP[BYE],MATCH(TableOverallMaster[[#This Row],[RK]],TableRBVORP[RK],0)),"")</f>
        <v>11</v>
      </c>
      <c r="AL45" s="116">
        <f>IFERROR(INDEX(TableRBVORP[FPS],MATCH(TableOverallMaster[[#This Row],[RK]],TableRBVORP[RK],0)),"")</f>
        <v>245.19116975169601</v>
      </c>
      <c r="AM45" s="117">
        <f>IFERROR(INDEX(TableRBVORP[VORP],MATCH(TableOverallMaster[[#This Row],[RK]],TableRBVORP[RK],0)),"")</f>
        <v>1.1752603744299366</v>
      </c>
      <c r="AO45">
        <v>44</v>
      </c>
      <c r="AP45" s="118" t="str">
        <f>IFERROR(INDEX(TableOverallMaster[OVERALL PLAYER],MATCH(TableOverallRank[[#This Row],[RK]],TableOverallMaster[OVR RK],0)),"")</f>
        <v>Raheem Mostert</v>
      </c>
      <c r="AQ45" s="119" t="str">
        <f>IFERROR(INDEX(TableOverallMaster[POS RK],MATCH(TableOverallRank[[#This Row],[OVERALL PLAYER]],TableOverallMaster[OVERALL PLAYER],0)),"")</f>
        <v>RB29</v>
      </c>
      <c r="AR45" s="120">
        <f>IFERROR(INDEX(TableOverallMaster[BYE],MATCH(TableOverallRank[[#This Row],[OVERALL PLAYER]],TableOverallMaster[OVERALL PLAYER],0)),"")</f>
        <v>10</v>
      </c>
      <c r="AS45" s="119">
        <f>IFERROR(INDEX(TableOverallMaster[Custom],MATCH(TableOverallRank[[#This Row],[OVERALL PLAYER]],TableOverallMaster[OVERALL PLAYER],0)),"")</f>
        <v>161.98180355896005</v>
      </c>
      <c r="AT45" s="121">
        <f>IFERROR(INDEX(TableOverallMaster[VORP],MATCH(TableOverallRank[[#This Row],[OVERALL PLAYER]],TableOverallMaster[OVERALL PLAYER],0)),"")</f>
        <v>0.43705256195533376</v>
      </c>
      <c r="AV45">
        <v>44</v>
      </c>
      <c r="AW45" s="122" t="str">
        <f>IFERROR(INDEX(TableWRTECalcPts[PLAYER],MATCH(TableWRTERank[[#This Row],[RK]],TableWRTECalcPts[RK],0)),"")</f>
        <v>Keon Coleman</v>
      </c>
      <c r="AX45" s="122" t="str">
        <f>IFERROR(INDEX(TableWRTECalcPts[POS RK],MATCH(TableWRTERank[[#This Row],[WR and TE COMBINED]],TableWRTECalcPts[PLAYER],0)),"")</f>
        <v>WR40</v>
      </c>
      <c r="AY45" s="122">
        <f>IFERROR(INDEX(TableWRTECalcPts[BYE],MATCH(TableWRTERank[[#This Row],[RK]],TableWRTECalcPts[RK],0)),"")</f>
        <v>13</v>
      </c>
      <c r="AZ45" s="123">
        <f>IFERROR(INDEX(TableWRTECalcPts[Custom],MATCH(TableWRTERank[[#This Row],[RK]],TableWRTECalcPts[RK],0)),"")</f>
        <v>166.64394539519995</v>
      </c>
      <c r="BA45" s="174">
        <f>IFERROR((TableWRTERank[[#This Row],[FPS]]-INDEX(TableWRTERank[FPS],MATCH(WRTEVORPCalc,TableWRTERank[RK],0)))/INDEX(TableWRTERank[FPS],MATCH(WRTEVORPCalc,TableWRTERank[RK],0)),"")</f>
        <v>0.11627685925727359</v>
      </c>
      <c r="BC45" t="s">
        <v>223</v>
      </c>
      <c r="BD45">
        <v>44</v>
      </c>
      <c r="BE45" s="83">
        <f>RANK(TableWRTEMaster[[#This Row],[VORP]],TableWRTEMaster[VORP])+COUNTIF($BJ$2:BJ45,BJ45)-1</f>
        <v>51</v>
      </c>
      <c r="BF45" s="115" t="str">
        <f>IFERROR(INDEX(TableWRVORP[WIDE RECEIVER],MATCH(TableWRTEMaster[[#This Row],[RK]],TableWRVORP[RK],0)),"")</f>
        <v>Michael Pittman</v>
      </c>
      <c r="BG45" s="115" t="str">
        <f>_xlfn.CONCAT(TableWRTEMaster[[#This Row],[POS]],TableWRTEMaster[[#This Row],[RK]])</f>
        <v>WR44</v>
      </c>
      <c r="BH45" s="115">
        <f>IFERROR(INDEX(TableWRVORP[BYE],MATCH(TableWRTEMaster[[#This Row],[RK]],TableWRVORP[RK],0)),"")</f>
        <v>11</v>
      </c>
      <c r="BI45" s="116">
        <f>IFERROR(INDEX(TableWRVORP[FPS],MATCH(TableWRTEMaster[[#This Row],[RK]],TableWRVORP[RK],0)),"")</f>
        <v>161.37858230487842</v>
      </c>
      <c r="BJ45" s="117">
        <f>IFERROR(INDEX(TableWRVORP[VORP],MATCH(TableWRTEMaster[[#This Row],[RK]],TableWRVORP[RK],0)),"")</f>
        <v>0.11755955738166363</v>
      </c>
    </row>
    <row r="46" spans="1:62" x14ac:dyDescent="0.2">
      <c r="A46">
        <v>45</v>
      </c>
      <c r="B46" s="112" t="str">
        <f>IFERROR(INDEX(TableQBCalcPts[PLAYER],MATCH(TableQBVORP[[#This Row],[RK]],TableQBCalcPts[RK],0)),"")</f>
        <v>Kyle Trask</v>
      </c>
      <c r="C46" s="112" t="str">
        <f>IFERROR(INDEX(TableQBCalcPts[TM],MATCH(TableQBVORP[[#This Row],[RK]],TableQBCalcPts[RK],0)),"")</f>
        <v>TB</v>
      </c>
      <c r="D46" s="112">
        <f>IFERROR(INDEX(TableQBCalcPts[BYE],MATCH(TableQBVORP[[#This Row],[RK]],TableQBCalcPts[RK],0)),"")</f>
        <v>5</v>
      </c>
      <c r="E46" s="113">
        <f>IFERROR(INDEX(TableQBCalcPts[Custom],MATCH(TableQBVORP[[#This Row],[RK]],TableQBCalcPts[RK],0)),"")</f>
        <v>11.746668500160002</v>
      </c>
      <c r="F46" s="114">
        <f>(IFERROR((TableQBVORP[[#This Row],[FPS]]-INDEX(TableQBVORP[FPS],MATCH(QBVORPCalc,TableQBVORP[RK],0)))/INDEX(TableQBVORP[FPS],MATCH(QBVORPCalc,TableQBVORP[RK],0)),""))+(TableRBVORP[[#This Row],[VORP]]*0.45)</f>
        <v>-0.97016528009570957</v>
      </c>
      <c r="H46">
        <v>45</v>
      </c>
      <c r="I46" s="112" t="str">
        <f>IFERROR(INDEX(TableRBCalcPts[PLAYER],MATCH(TableRBVORP[[#This Row],[RK]],TableRBCalcPts[RK],0)),"")</f>
        <v>Antonio Gibson</v>
      </c>
      <c r="J46" s="112" t="str">
        <f>IFERROR(INDEX(TableRBCalcPts[TM],MATCH(TableRBVORP[[#This Row],[RK]],TableRBCalcPts[RK],0)),"")</f>
        <v>NE</v>
      </c>
      <c r="K46" s="112">
        <f>IFERROR(INDEX(TableRBCalcPts[BYE],MATCH(TableRBVORP[[#This Row],[RK]],TableRBCalcPts[RK],0)),"")</f>
        <v>11</v>
      </c>
      <c r="L46" s="113">
        <f>IFERROR(INDEX(TableRBCalcPts[Custom],MATCH(TableRBVORP[[#This Row],[RK]],TableRBCalcPts[RK],0)),"")</f>
        <v>112.358046343648</v>
      </c>
      <c r="M46" s="114">
        <f>IFERROR((TableRBVORP[[#This Row],[FPS]]-INDEX(TableRBVORP[FPS],MATCH(RBVORPCalc,TableRBVORP[RK],0)))/INDEX(TableRBVORP[FPS],MATCH(RBVORPCalc,TableRBVORP[RK],0)),"")</f>
        <v>-3.1940946029549088E-3</v>
      </c>
      <c r="O46">
        <v>45</v>
      </c>
      <c r="P46" s="112" t="str">
        <f>IFERROR(INDEX(TableWRCalcPts[PLAYER],MATCH(TableWRVORP[[#This Row],[RK]],TableWRCalcPts[RK],0)),"")</f>
        <v>Brandin Cooks</v>
      </c>
      <c r="Q46" s="112" t="str">
        <f>IFERROR(INDEX(TableWRCalcPts[TM],MATCH(TableWRVORP[[#This Row],[RK]],TableWRCalcPts[RK],0)),"")</f>
        <v>DAL</v>
      </c>
      <c r="R46" s="112">
        <f>IFERROR(INDEX(TableWRCalcPts[BYE],MATCH(TableWRVORP[[#This Row],[RK]],TableWRCalcPts[RK],0)),"")</f>
        <v>7</v>
      </c>
      <c r="S46" s="113">
        <f>IFERROR(INDEX(TableWRCalcPts[Custom],MATCH(TableWRVORP[[#This Row],[RK]],TableWRCalcPts[RK],0)),"")</f>
        <v>159.86001222374398</v>
      </c>
      <c r="T46" s="114">
        <f>IFERROR((TableWRVORP[[#This Row],[FPS]]-INDEX(TableWRVORP[FPS],MATCH(WRVORPCalc,TableWRVORP[RK],0)))/INDEX(TableWRVORP[FPS],MATCH(WRVORPCalc,TableWRVORP[RK],0)),"")</f>
        <v>0.10704333841699659</v>
      </c>
      <c r="V46">
        <v>45</v>
      </c>
      <c r="W46" s="112" t="str">
        <f>IFERROR(INDEX(TableTECalcPts[PLAYER],MATCH(TableTEVORP[[#This Row],[RK]],TableTECalcPts[RK],0)),"")</f>
        <v>Theo Johnson</v>
      </c>
      <c r="X46" s="112" t="str">
        <f>IFERROR(INDEX(TableTECalcPts[TM],MATCH(TableTEVORP[[#This Row],[RK]],TableTECalcPts[RK],0)),"")</f>
        <v>NYG</v>
      </c>
      <c r="Y46" s="112">
        <f>IFERROR(INDEX(TableTECalcPts[BYE],MATCH(TableTEVORP[[#This Row],[RK]],TableTECalcPts[RK],0)),"")</f>
        <v>13</v>
      </c>
      <c r="Z46" s="113">
        <f>IFERROR(INDEX(TableTECalcPts[Custom],MATCH(TableTEVORP[[#This Row],[RK]],TableTECalcPts[RK],0)),"")</f>
        <v>43.712904661977589</v>
      </c>
      <c r="AA46" s="114">
        <f>IFERROR((TableTEVORP[[#This Row],[FPS]]-INDEX(TableTEVORP[FPS],MATCH(TEVORPCalc,TableTEVORP[RK],0)))/INDEX(TableTEVORP[FPS],MATCH(TEVORPCalc,TableTEVORP[RK],0)),"")</f>
        <v>-0.66718403894944578</v>
      </c>
      <c r="AF46" t="s">
        <v>222</v>
      </c>
      <c r="AG46">
        <v>5</v>
      </c>
      <c r="AH46" s="83">
        <f>RANK(TableOverallMaster[[#This Row],[VORP]],TableOverallMaster[VORP])+COUNTIF($AM$2:AM46,AM46)-1</f>
        <v>5</v>
      </c>
      <c r="AI46" s="115" t="str">
        <f>IFERROR(INDEX(TableRBVORP[RUNNING BACK],MATCH(TableOverallMaster[[#This Row],[RK]],TableRBVORP[RK],0)),"")</f>
        <v>Saquon Barkley</v>
      </c>
      <c r="AJ46" s="115" t="str">
        <f t="shared" si="0"/>
        <v>RB5</v>
      </c>
      <c r="AK46" s="115">
        <f>IFERROR(INDEX(TableRBVORP[BYE],MATCH(TableOverallMaster[[#This Row],[RK]],TableRBVORP[RK],0)),"")</f>
        <v>10</v>
      </c>
      <c r="AL46" s="116">
        <f>IFERROR(INDEX(TableRBVORP[FPS],MATCH(TableOverallMaster[[#This Row],[RK]],TableRBVORP[RK],0)),"")</f>
        <v>236.38640270031365</v>
      </c>
      <c r="AM46" s="117">
        <f>IFERROR(INDEX(TableRBVORP[VORP],MATCH(TableOverallMaster[[#This Row],[RK]],TableRBVORP[RK],0)),"")</f>
        <v>1.0971471989336323</v>
      </c>
      <c r="AO46">
        <v>45</v>
      </c>
      <c r="AP46" s="118" t="str">
        <f>IFERROR(INDEX(TableOverallMaster[OVERALL PLAYER],MATCH(TableOverallRank[[#This Row],[RK]],TableOverallMaster[OVR RK],0)),"")</f>
        <v>Zack Moss</v>
      </c>
      <c r="AQ46" s="119" t="str">
        <f>IFERROR(INDEX(TableOverallMaster[POS RK],MATCH(TableOverallRank[[#This Row],[OVERALL PLAYER]],TableOverallMaster[OVERALL PLAYER],0)),"")</f>
        <v>RB30</v>
      </c>
      <c r="AR46" s="120">
        <f>IFERROR(INDEX(TableOverallMaster[BYE],MATCH(TableOverallRank[[#This Row],[OVERALL PLAYER]],TableOverallMaster[OVERALL PLAYER],0)),"")</f>
        <v>7</v>
      </c>
      <c r="AS46" s="119">
        <f>IFERROR(INDEX(TableOverallMaster[Custom],MATCH(TableOverallRank[[#This Row],[OVERALL PLAYER]],TableOverallMaster[OVERALL PLAYER],0)),"")</f>
        <v>161.43138356486401</v>
      </c>
      <c r="AT46" s="121">
        <f>IFERROR(INDEX(TableOverallMaster[VORP],MATCH(TableOverallRank[[#This Row],[OVERALL PLAYER]],TableOverallMaster[OVERALL PLAYER],0)),"")</f>
        <v>0.43216940566686057</v>
      </c>
      <c r="AV46">
        <v>45</v>
      </c>
      <c r="AW46" s="122" t="str">
        <f>IFERROR(INDEX(TableWRTECalcPts[PLAYER],MATCH(TableWRTERank[[#This Row],[RK]],TableWRTECalcPts[RK],0)),"")</f>
        <v>Ladd McConkey</v>
      </c>
      <c r="AX46" s="122" t="str">
        <f>IFERROR(INDEX(TableWRTECalcPts[POS RK],MATCH(TableWRTERank[[#This Row],[WR and TE COMBINED]],TableWRTECalcPts[PLAYER],0)),"")</f>
        <v>WR41</v>
      </c>
      <c r="AY46" s="122">
        <f>IFERROR(INDEX(TableWRTECalcPts[BYE],MATCH(TableWRTERank[[#This Row],[RK]],TableWRTECalcPts[RK],0)),"")</f>
        <v>5</v>
      </c>
      <c r="AZ46" s="123">
        <f>IFERROR(INDEX(TableWRTECalcPts[Custom],MATCH(TableWRTERank[[#This Row],[RK]],TableWRTECalcPts[RK],0)),"")</f>
        <v>166.25112709127995</v>
      </c>
      <c r="BA46" s="174">
        <f>IFERROR((TableWRTERank[[#This Row],[FPS]]-INDEX(TableWRTERank[FPS],MATCH(WRTEVORPCalc,TableWRTERank[RK],0)))/INDEX(TableWRTERank[FPS],MATCH(WRTEVORPCalc,TableWRTERank[RK],0)),"")</f>
        <v>0.11364553663994907</v>
      </c>
      <c r="BC46" t="s">
        <v>223</v>
      </c>
      <c r="BD46">
        <v>45</v>
      </c>
      <c r="BE46" s="83">
        <f>RANK(TableWRTEMaster[[#This Row],[VORP]],TableWRTEMaster[VORP])+COUNTIF($BJ$2:BJ46,BJ46)-1</f>
        <v>54</v>
      </c>
      <c r="BF46" s="115" t="str">
        <f>IFERROR(INDEX(TableWRVORP[WIDE RECEIVER],MATCH(TableWRTEMaster[[#This Row],[RK]],TableWRVORP[RK],0)),"")</f>
        <v>Brandin Cooks</v>
      </c>
      <c r="BG46" s="115" t="str">
        <f>_xlfn.CONCAT(TableWRTEMaster[[#This Row],[POS]],TableWRTEMaster[[#This Row],[RK]])</f>
        <v>WR45</v>
      </c>
      <c r="BH46" s="115">
        <f>IFERROR(INDEX(TableWRVORP[BYE],MATCH(TableWRTEMaster[[#This Row],[RK]],TableWRVORP[RK],0)),"")</f>
        <v>7</v>
      </c>
      <c r="BI46" s="116">
        <f>IFERROR(INDEX(TableWRVORP[FPS],MATCH(TableWRTEMaster[[#This Row],[RK]],TableWRVORP[RK],0)),"")</f>
        <v>159.86001222374398</v>
      </c>
      <c r="BJ46" s="117">
        <f>IFERROR(INDEX(TableWRVORP[VORP],MATCH(TableWRTEMaster[[#This Row],[RK]],TableWRVORP[RK],0)),"")</f>
        <v>0.10704333841699659</v>
      </c>
    </row>
    <row r="47" spans="1:62" x14ac:dyDescent="0.2">
      <c r="A47">
        <v>46</v>
      </c>
      <c r="B47" s="112" t="str">
        <f>IFERROR(INDEX(TableQBCalcPts[PLAYER],MATCH(TableQBVORP[[#This Row],[RK]],TableQBCalcPts[RK],0)),"")</f>
        <v>Jimmy Garoppolo</v>
      </c>
      <c r="C47" s="112" t="str">
        <f>IFERROR(INDEX(TableQBCalcPts[TM],MATCH(TableQBVORP[[#This Row],[RK]],TableQBCalcPts[RK],0)),"")</f>
        <v>LAR</v>
      </c>
      <c r="D47" s="112">
        <f>IFERROR(INDEX(TableQBCalcPts[BYE],MATCH(TableQBVORP[[#This Row],[RK]],TableQBCalcPts[RK],0)),"")</f>
        <v>10</v>
      </c>
      <c r="E47" s="113">
        <f>IFERROR(INDEX(TableQBCalcPts[Custom],MATCH(TableQBVORP[[#This Row],[RK]],TableQBCalcPts[RK],0)),"")</f>
        <v>11.27498843144001</v>
      </c>
      <c r="F47" s="114">
        <f>(IFERROR((TableQBVORP[[#This Row],[FPS]]-INDEX(TableQBVORP[FPS],MATCH(QBVORPCalc,TableQBVORP[RK],0)))/INDEX(TableQBVORP[FPS],MATCH(QBVORPCalc,TableQBVORP[RK],0)),""))+(TableRBVORP[[#This Row],[VORP]]*0.45)</f>
        <v>-0.97621018098338164</v>
      </c>
      <c r="H47">
        <v>46</v>
      </c>
      <c r="I47" s="112" t="str">
        <f>IFERROR(INDEX(TableRBCalcPts[PLAYER],MATCH(TableRBVORP[[#This Row],[RK]],TableRBCalcPts[RK],0)),"")</f>
        <v>Jonathon Brooks</v>
      </c>
      <c r="J47" s="112" t="str">
        <f>IFERROR(INDEX(TableRBCalcPts[TM],MATCH(TableRBVORP[[#This Row],[RK]],TableRBCalcPts[RK],0)),"")</f>
        <v>CAR</v>
      </c>
      <c r="K47" s="112">
        <f>IFERROR(INDEX(TableRBCalcPts[BYE],MATCH(TableRBVORP[[#This Row],[RK]],TableRBCalcPts[RK],0)),"")</f>
        <v>7</v>
      </c>
      <c r="L47" s="113">
        <f>IFERROR(INDEX(TableRBCalcPts[Custom],MATCH(TableRBVORP[[#This Row],[RK]],TableRBCalcPts[RK],0)),"")</f>
        <v>111.15842767764001</v>
      </c>
      <c r="M47" s="114">
        <f>IFERROR((TableRBVORP[[#This Row],[FPS]]-INDEX(TableRBVORP[FPS],MATCH(RBVORPCalc,TableRBVORP[RK],0)))/INDEX(TableRBVORP[FPS],MATCH(RBVORPCalc,TableRBVORP[RK],0)),"")</f>
        <v>-1.3836741119288671E-2</v>
      </c>
      <c r="O47">
        <v>46</v>
      </c>
      <c r="P47" s="112" t="str">
        <f>IFERROR(INDEX(TableWRCalcPts[PLAYER],MATCH(TableWRVORP[[#This Row],[RK]],TableWRCalcPts[RK],0)),"")</f>
        <v>Jaxon Smith-Njigba</v>
      </c>
      <c r="Q47" s="112" t="str">
        <f>IFERROR(INDEX(TableWRCalcPts[TM],MATCH(TableWRVORP[[#This Row],[RK]],TableWRCalcPts[RK],0)),"")</f>
        <v>SEA</v>
      </c>
      <c r="R47" s="112">
        <f>IFERROR(INDEX(TableWRCalcPts[BYE],MATCH(TableWRVORP[[#This Row],[RK]],TableWRCalcPts[RK],0)),"")</f>
        <v>5</v>
      </c>
      <c r="S47" s="113">
        <f>IFERROR(INDEX(TableWRCalcPts[Custom],MATCH(TableWRVORP[[#This Row],[RK]],TableWRCalcPts[RK],0)),"")</f>
        <v>159.726471459072</v>
      </c>
      <c r="T47" s="114">
        <f>IFERROR((TableWRVORP[[#This Row],[FPS]]-INDEX(TableWRVORP[FPS],MATCH(WRVORPCalc,TableWRVORP[RK],0)))/INDEX(TableWRVORP[FPS],MATCH(WRVORPCalc,TableWRVORP[RK],0)),"")</f>
        <v>0.10611855796764751</v>
      </c>
      <c r="V47">
        <v>46</v>
      </c>
      <c r="W47" s="112" t="str">
        <f>IFERROR(INDEX(TableTECalcPts[PLAYER],MATCH(TableTEVORP[[#This Row],[RK]],TableTECalcPts[RK],0)),"")</f>
        <v>Mo Alie-Cox</v>
      </c>
      <c r="X47" s="112" t="str">
        <f>IFERROR(INDEX(TableTECalcPts[TM],MATCH(TableTEVORP[[#This Row],[RK]],TableTECalcPts[RK],0)),"")</f>
        <v>IND</v>
      </c>
      <c r="Y47" s="112">
        <f>IFERROR(INDEX(TableTECalcPts[BYE],MATCH(TableTEVORP[[#This Row],[RK]],TableTECalcPts[RK],0)),"")</f>
        <v>11</v>
      </c>
      <c r="Z47" s="113">
        <f>IFERROR(INDEX(TableTECalcPts[Custom],MATCH(TableTEVORP[[#This Row],[RK]],TableTECalcPts[RK],0)),"")</f>
        <v>36.596044523500012</v>
      </c>
      <c r="AA47" s="114">
        <f>IFERROR((TableTEVORP[[#This Row],[FPS]]-INDEX(TableTEVORP[FPS],MATCH(TEVORPCalc,TableTEVORP[RK],0)))/INDEX(TableTEVORP[FPS],MATCH(TEVORPCalc,TableTEVORP[RK],0)),"")</f>
        <v>-0.72136951724162746</v>
      </c>
      <c r="AF47" t="s">
        <v>222</v>
      </c>
      <c r="AG47">
        <v>6</v>
      </c>
      <c r="AH47" s="83">
        <f>RANK(TableOverallMaster[[#This Row],[VORP]],TableOverallMaster[VORP])+COUNTIF($AM$2:AM47,AM47)-1</f>
        <v>6</v>
      </c>
      <c r="AI47" s="115" t="str">
        <f>IFERROR(INDEX(TableRBVORP[RUNNING BACK],MATCH(TableOverallMaster[[#This Row],[RK]],TableRBVORP[RK],0)),"")</f>
        <v>Derrick Henry</v>
      </c>
      <c r="AJ47" s="115" t="str">
        <f t="shared" si="0"/>
        <v>RB6</v>
      </c>
      <c r="AK47" s="115">
        <f>IFERROR(INDEX(TableRBVORP[BYE],MATCH(TableOverallMaster[[#This Row],[RK]],TableRBVORP[RK],0)),"")</f>
        <v>13</v>
      </c>
      <c r="AL47" s="116">
        <f>IFERROR(INDEX(TableRBVORP[FPS],MATCH(TableOverallMaster[[#This Row],[RK]],TableRBVORP[RK],0)),"")</f>
        <v>231.37918964159999</v>
      </c>
      <c r="AM47" s="117">
        <f>IFERROR(INDEX(TableRBVORP[VORP],MATCH(TableOverallMaster[[#This Row],[RK]],TableRBVORP[RK],0)),"")</f>
        <v>1.0527247502623438</v>
      </c>
      <c r="AO47">
        <v>46</v>
      </c>
      <c r="AP47" s="118" t="str">
        <f>IFERROR(INDEX(TableOverallMaster[OVERALL PLAYER],MATCH(TableOverallRank[[#This Row],[RK]],TableOverallMaster[OVR RK],0)),"")</f>
        <v>Devin Singletary</v>
      </c>
      <c r="AQ47" s="119" t="str">
        <f>IFERROR(INDEX(TableOverallMaster[POS RK],MATCH(TableOverallRank[[#This Row],[OVERALL PLAYER]],TableOverallMaster[OVERALL PLAYER],0)),"")</f>
        <v>RB31</v>
      </c>
      <c r="AR47" s="120">
        <f>IFERROR(INDEX(TableOverallMaster[BYE],MATCH(TableOverallRank[[#This Row],[OVERALL PLAYER]],TableOverallMaster[OVERALL PLAYER],0)),"")</f>
        <v>13</v>
      </c>
      <c r="AS47" s="119">
        <f>IFERROR(INDEX(TableOverallMaster[Custom],MATCH(TableOverallRank[[#This Row],[OVERALL PLAYER]],TableOverallMaster[OVERALL PLAYER],0)),"")</f>
        <v>160.63613698890239</v>
      </c>
      <c r="AT47" s="121">
        <f>IFERROR(INDEX(TableOverallMaster[VORP],MATCH(TableOverallRank[[#This Row],[OVERALL PLAYER]],TableOverallMaster[OVERALL PLAYER],0)),"")</f>
        <v>0.42511422351514516</v>
      </c>
      <c r="AV47">
        <v>46</v>
      </c>
      <c r="AW47" s="122" t="str">
        <f>IFERROR(INDEX(TableWRTECalcPts[PLAYER],MATCH(TableWRTERank[[#This Row],[RK]],TableWRTECalcPts[RK],0)),"")</f>
        <v>Christian Watson</v>
      </c>
      <c r="AX47" s="122" t="str">
        <f>IFERROR(INDEX(TableWRTECalcPts[POS RK],MATCH(TableWRTERank[[#This Row],[WR and TE COMBINED]],TableWRTECalcPts[PLAYER],0)),"")</f>
        <v>WR42</v>
      </c>
      <c r="AY47" s="122">
        <f>IFERROR(INDEX(TableWRTECalcPts[BYE],MATCH(TableWRTERank[[#This Row],[RK]],TableWRTECalcPts[RK],0)),"")</f>
        <v>6</v>
      </c>
      <c r="AZ47" s="123">
        <f>IFERROR(INDEX(TableWRTECalcPts[Custom],MATCH(TableWRTERank[[#This Row],[RK]],TableWRTECalcPts[RK],0)),"")</f>
        <v>165.95201752729599</v>
      </c>
      <c r="BA47" s="174">
        <f>IFERROR((TableWRTERank[[#This Row],[FPS]]-INDEX(TableWRTERank[FPS],MATCH(WRTEVORPCalc,TableWRTERank[RK],0)))/INDEX(TableWRTERank[FPS],MATCH(WRTEVORPCalc,TableWRTERank[RK],0)),"")</f>
        <v>0.11164192898492144</v>
      </c>
      <c r="BC47" t="s">
        <v>223</v>
      </c>
      <c r="BD47">
        <v>46</v>
      </c>
      <c r="BE47" s="83">
        <f>RANK(TableWRTEMaster[[#This Row],[VORP]],TableWRTEMaster[VORP])+COUNTIF($BJ$2:BJ47,BJ47)-1</f>
        <v>55</v>
      </c>
      <c r="BF47" s="115" t="str">
        <f>IFERROR(INDEX(TableWRVORP[WIDE RECEIVER],MATCH(TableWRTEMaster[[#This Row],[RK]],TableWRVORP[RK],0)),"")</f>
        <v>Jaxon Smith-Njigba</v>
      </c>
      <c r="BG47" s="115" t="str">
        <f>_xlfn.CONCAT(TableWRTEMaster[[#This Row],[POS]],TableWRTEMaster[[#This Row],[RK]])</f>
        <v>WR46</v>
      </c>
      <c r="BH47" s="115">
        <f>IFERROR(INDEX(TableWRVORP[BYE],MATCH(TableWRTEMaster[[#This Row],[RK]],TableWRVORP[RK],0)),"")</f>
        <v>5</v>
      </c>
      <c r="BI47" s="116">
        <f>IFERROR(INDEX(TableWRVORP[FPS],MATCH(TableWRTEMaster[[#This Row],[RK]],TableWRVORP[RK],0)),"")</f>
        <v>159.726471459072</v>
      </c>
      <c r="BJ47" s="117">
        <f>IFERROR(INDEX(TableWRVORP[VORP],MATCH(TableWRTEMaster[[#This Row],[RK]],TableWRVORP[RK],0)),"")</f>
        <v>0.10611855796764751</v>
      </c>
    </row>
    <row r="48" spans="1:62" x14ac:dyDescent="0.2">
      <c r="A48">
        <v>47</v>
      </c>
      <c r="B48" s="112" t="str">
        <f>IFERROR(INDEX(TableQBCalcPts[PLAYER],MATCH(TableQBVORP[[#This Row],[RK]],TableQBCalcPts[RK],0)),"")</f>
        <v>Jameis Winston</v>
      </c>
      <c r="C48" s="112" t="str">
        <f>IFERROR(INDEX(TableQBCalcPts[TM],MATCH(TableQBVORP[[#This Row],[RK]],TableQBCalcPts[RK],0)),"")</f>
        <v>CLE</v>
      </c>
      <c r="D48" s="112">
        <f>IFERROR(INDEX(TableQBCalcPts[BYE],MATCH(TableQBVORP[[#This Row],[RK]],TableQBCalcPts[RK],0)),"")</f>
        <v>5</v>
      </c>
      <c r="E48" s="113">
        <f>IFERROR(INDEX(TableQBCalcPts[Custom],MATCH(TableQBVORP[[#This Row],[RK]],TableQBCalcPts[RK],0)),"")</f>
        <v>7.1280318186000038</v>
      </c>
      <c r="F48" s="114">
        <f>(IFERROR((TableQBVORP[[#This Row],[FPS]]-INDEX(TableQBVORP[FPS],MATCH(QBVORPCalc,TableQBVORP[RK],0)))/INDEX(TableQBVORP[FPS],MATCH(QBVORPCalc,TableQBVORP[RK],0)),""))+(TableRBVORP[[#This Row],[VORP]]*0.45)</f>
        <v>-0.99091483298623473</v>
      </c>
      <c r="H48">
        <v>47</v>
      </c>
      <c r="I48" s="112" t="str">
        <f>IFERROR(INDEX(TableRBCalcPts[PLAYER],MATCH(TableRBVORP[[#This Row],[RK]],TableRBCalcPts[RK],0)),"")</f>
        <v>J.K. Dobbins</v>
      </c>
      <c r="J48" s="112" t="str">
        <f>IFERROR(INDEX(TableRBCalcPts[TM],MATCH(TableRBVORP[[#This Row],[RK]],TableRBCalcPts[RK],0)),"")</f>
        <v>LAC</v>
      </c>
      <c r="K48" s="112">
        <f>IFERROR(INDEX(TableRBCalcPts[BYE],MATCH(TableRBVORP[[#This Row],[RK]],TableRBCalcPts[RK],0)),"")</f>
        <v>5</v>
      </c>
      <c r="L48" s="113">
        <f>IFERROR(INDEX(TableRBCalcPts[Custom],MATCH(TableRBVORP[[#This Row],[RK]],TableRBCalcPts[RK],0)),"")</f>
        <v>110.24050291947</v>
      </c>
      <c r="M48" s="114">
        <f>IFERROR((TableRBVORP[[#This Row],[FPS]]-INDEX(TableRBVORP[FPS],MATCH(RBVORPCalc,TableRBVORP[RK],0)))/INDEX(TableRBVORP[FPS],MATCH(RBVORPCalc,TableRBVORP[RK],0)),"")</f>
        <v>-2.1980286236257866E-2</v>
      </c>
      <c r="O48">
        <v>47</v>
      </c>
      <c r="P48" s="112" t="str">
        <f>IFERROR(INDEX(TableWRCalcPts[PLAYER],MATCH(TableWRVORP[[#This Row],[RK]],TableWRCalcPts[RK],0)),"")</f>
        <v>Xavier Worthy</v>
      </c>
      <c r="Q48" s="112" t="str">
        <f>IFERROR(INDEX(TableWRCalcPts[TM],MATCH(TableWRVORP[[#This Row],[RK]],TableWRCalcPts[RK],0)),"")</f>
        <v>KC</v>
      </c>
      <c r="R48" s="112">
        <f>IFERROR(INDEX(TableWRCalcPts[BYE],MATCH(TableWRVORP[[#This Row],[RK]],TableWRCalcPts[RK],0)),"")</f>
        <v>10</v>
      </c>
      <c r="S48" s="113">
        <f>IFERROR(INDEX(TableWRCalcPts[Custom],MATCH(TableWRVORP[[#This Row],[RK]],TableWRCalcPts[RK],0)),"")</f>
        <v>159.24169963519995</v>
      </c>
      <c r="T48" s="114">
        <f>IFERROR((TableWRVORP[[#This Row],[FPS]]-INDEX(TableWRVORP[FPS],MATCH(WRVORPCalc,TableWRVORP[RK],0)))/INDEX(TableWRVORP[FPS],MATCH(WRVORPCalc,TableWRVORP[RK],0)),"")</f>
        <v>0.10276147441182565</v>
      </c>
      <c r="V48">
        <v>47</v>
      </c>
      <c r="W48" s="112" t="str">
        <f>IFERROR(INDEX(TableTECalcPts[PLAYER],MATCH(TableTEVORP[[#This Row],[RK]],TableTECalcPts[RK],0)),"")</f>
        <v>Adam Trautman</v>
      </c>
      <c r="X48" s="112" t="str">
        <f>IFERROR(INDEX(TableTECalcPts[TM],MATCH(TableTEVORP[[#This Row],[RK]],TableTECalcPts[RK],0)),"")</f>
        <v>DEN</v>
      </c>
      <c r="Y48" s="112">
        <f>IFERROR(INDEX(TableTECalcPts[BYE],MATCH(TableTEVORP[[#This Row],[RK]],TableTECalcPts[RK],0)),"")</f>
        <v>9</v>
      </c>
      <c r="Z48" s="113">
        <f>IFERROR(INDEX(TableTECalcPts[Custom],MATCH(TableTEVORP[[#This Row],[RK]],TableTECalcPts[RK],0)),"")</f>
        <v>31.824565295600003</v>
      </c>
      <c r="AA48" s="114">
        <f>IFERROR((TableTEVORP[[#This Row],[FPS]]-INDEX(TableTEVORP[FPS],MATCH(TEVORPCalc,TableTEVORP[RK],0)))/INDEX(TableTEVORP[FPS],MATCH(TEVORPCalc,TableTEVORP[RK],0)),"")</f>
        <v>-0.75769802153906896</v>
      </c>
      <c r="AF48" t="s">
        <v>222</v>
      </c>
      <c r="AG48">
        <v>7</v>
      </c>
      <c r="AH48" s="83">
        <f>RANK(TableOverallMaster[[#This Row],[VORP]],TableOverallMaster[VORP])+COUNTIF($AM$2:AM48,AM48)-1</f>
        <v>7</v>
      </c>
      <c r="AI48" s="115" t="str">
        <f>IFERROR(INDEX(TableRBVORP[RUNNING BACK],MATCH(TableOverallMaster[[#This Row],[RK]],TableRBVORP[RK],0)),"")</f>
        <v>Kyren Williams</v>
      </c>
      <c r="AJ48" s="115" t="str">
        <f t="shared" si="0"/>
        <v>RB7</v>
      </c>
      <c r="AK48" s="115">
        <f>IFERROR(INDEX(TableRBVORP[BYE],MATCH(TableOverallMaster[[#This Row],[RK]],TableRBVORP[RK],0)),"")</f>
        <v>10</v>
      </c>
      <c r="AL48" s="116">
        <f>IFERROR(INDEX(TableRBVORP[FPS],MATCH(TableOverallMaster[[#This Row],[RK]],TableRBVORP[RK],0)),"")</f>
        <v>228.99287845407679</v>
      </c>
      <c r="AM48" s="117">
        <f>IFERROR(INDEX(TableRBVORP[VORP],MATCH(TableOverallMaster[[#This Row],[RK]],TableRBVORP[RK],0)),"")</f>
        <v>1.0315541339936793</v>
      </c>
      <c r="AO48">
        <v>47</v>
      </c>
      <c r="AP48" s="118" t="str">
        <f>IFERROR(INDEX(TableOverallMaster[OVERALL PLAYER],MATCH(TableOverallRank[[#This Row],[RK]],TableOverallMaster[OVR RK],0)),"")</f>
        <v>Nico Collins</v>
      </c>
      <c r="AQ48" s="119" t="str">
        <f>IFERROR(INDEX(TableOverallMaster[POS RK],MATCH(TableOverallRank[[#This Row],[OVERALL PLAYER]],TableOverallMaster[OVERALL PLAYER],0)),"")</f>
        <v>WR11</v>
      </c>
      <c r="AR48" s="120">
        <f>IFERROR(INDEX(TableOverallMaster[BYE],MATCH(TableOverallRank[[#This Row],[OVERALL PLAYER]],TableOverallMaster[OVERALL PLAYER],0)),"")</f>
        <v>7</v>
      </c>
      <c r="AS48" s="119">
        <f>IFERROR(INDEX(TableOverallMaster[Custom],MATCH(TableOverallRank[[#This Row],[OVERALL PLAYER]],TableOverallMaster[OVERALL PLAYER],0)),"")</f>
        <v>205.18742284185601</v>
      </c>
      <c r="AT48" s="121">
        <f>IFERROR(INDEX(TableOverallMaster[VORP],MATCH(TableOverallRank[[#This Row],[OVERALL PLAYER]],TableOverallMaster[OVERALL PLAYER],0)),"")</f>
        <v>0.42093927320674518</v>
      </c>
      <c r="AV48">
        <v>47</v>
      </c>
      <c r="AW48" s="122" t="str">
        <f>IFERROR(INDEX(TableWRTECalcPts[PLAYER],MATCH(TableWRTERank[[#This Row],[RK]],TableWRTECalcPts[RK],0)),"")</f>
        <v>Xavier Legette</v>
      </c>
      <c r="AX48" s="122" t="str">
        <f>IFERROR(INDEX(TableWRTECalcPts[POS RK],MATCH(TableWRTERank[[#This Row],[WR and TE COMBINED]],TableWRTECalcPts[PLAYER],0)),"")</f>
        <v>WR43</v>
      </c>
      <c r="AY48" s="122">
        <f>IFERROR(INDEX(TableWRTECalcPts[BYE],MATCH(TableWRTERank[[#This Row],[RK]],TableWRTECalcPts[RK],0)),"")</f>
        <v>7</v>
      </c>
      <c r="AZ48" s="123">
        <f>IFERROR(INDEX(TableWRTECalcPts[Custom],MATCH(TableWRTERank[[#This Row],[RK]],TableWRTECalcPts[RK],0)),"")</f>
        <v>163.16862053171394</v>
      </c>
      <c r="BA48" s="174">
        <f>IFERROR((TableWRTERank[[#This Row],[FPS]]-INDEX(TableWRTERank[FPS],MATCH(WRTEVORPCalc,TableWRTERank[RK],0)))/INDEX(TableWRTERank[FPS],MATCH(WRTEVORPCalc,TableWRTERank[RK],0)),"")</f>
        <v>9.299713724690753E-2</v>
      </c>
      <c r="BC48" t="s">
        <v>223</v>
      </c>
      <c r="BD48">
        <v>47</v>
      </c>
      <c r="BE48" s="83">
        <f>RANK(TableWRTEMaster[[#This Row],[VORP]],TableWRTEMaster[VORP])+COUNTIF($BJ$2:BJ48,BJ48)-1</f>
        <v>56</v>
      </c>
      <c r="BF48" s="115" t="str">
        <f>IFERROR(INDEX(TableWRVORP[WIDE RECEIVER],MATCH(TableWRTEMaster[[#This Row],[RK]],TableWRVORP[RK],0)),"")</f>
        <v>Xavier Worthy</v>
      </c>
      <c r="BG48" s="115" t="str">
        <f>_xlfn.CONCAT(TableWRTEMaster[[#This Row],[POS]],TableWRTEMaster[[#This Row],[RK]])</f>
        <v>WR47</v>
      </c>
      <c r="BH48" s="115">
        <f>IFERROR(INDEX(TableWRVORP[BYE],MATCH(TableWRTEMaster[[#This Row],[RK]],TableWRVORP[RK],0)),"")</f>
        <v>10</v>
      </c>
      <c r="BI48" s="116">
        <f>IFERROR(INDEX(TableWRVORP[FPS],MATCH(TableWRTEMaster[[#This Row],[RK]],TableWRVORP[RK],0)),"")</f>
        <v>159.24169963519995</v>
      </c>
      <c r="BJ48" s="117">
        <f>IFERROR(INDEX(TableWRVORP[VORP],MATCH(TableWRTEMaster[[#This Row],[RK]],TableWRVORP[RK],0)),"")</f>
        <v>0.10276147441182565</v>
      </c>
    </row>
    <row r="49" spans="1:62" x14ac:dyDescent="0.2">
      <c r="A49">
        <v>48</v>
      </c>
      <c r="B49" s="112" t="str">
        <f>IFERROR(INDEX(TableQBCalcPts[PLAYER],MATCH(TableQBVORP[[#This Row],[RK]],TableQBCalcPts[RK],0)),"")</f>
        <v>Mike White</v>
      </c>
      <c r="C49" s="112" t="str">
        <f>IFERROR(INDEX(TableQBCalcPts[TM],MATCH(TableQBVORP[[#This Row],[RK]],TableQBCalcPts[RK],0)),"")</f>
        <v>MIA</v>
      </c>
      <c r="D49" s="112">
        <f>IFERROR(INDEX(TableQBCalcPts[BYE],MATCH(TableQBVORP[[#This Row],[RK]],TableQBCalcPts[RK],0)),"")</f>
        <v>10</v>
      </c>
      <c r="E49" s="113">
        <f>IFERROR(INDEX(TableQBCalcPts[Custom],MATCH(TableQBVORP[[#This Row],[RK]],TableQBCalcPts[RK],0)),"")</f>
        <v>6.8469736127040051</v>
      </c>
      <c r="F49" s="114">
        <f>(IFERROR((TableQBVORP[[#This Row],[FPS]]-INDEX(TableQBVORP[FPS],MATCH(QBVORPCalc,TableQBVORP[RK],0)))/INDEX(TableQBVORP[FPS],MATCH(QBVORPCalc,TableQBVORP[RK],0)),""))+(TableRBVORP[[#This Row],[VORP]]*0.45)</f>
        <v>-1.0010572474797723</v>
      </c>
      <c r="H49">
        <v>48</v>
      </c>
      <c r="I49" s="112" t="str">
        <f>IFERROR(INDEX(TableRBCalcPts[PLAYER],MATCH(TableRBVORP[[#This Row],[RK]],TableRBCalcPts[RK],0)),"")</f>
        <v>Blake Corum</v>
      </c>
      <c r="J49" s="112" t="str">
        <f>IFERROR(INDEX(TableRBCalcPts[TM],MATCH(TableRBVORP[[#This Row],[RK]],TableRBCalcPts[RK],0)),"")</f>
        <v>LAR</v>
      </c>
      <c r="K49" s="112">
        <f>IFERROR(INDEX(TableRBCalcPts[BYE],MATCH(TableRBVORP[[#This Row],[RK]],TableRBCalcPts[RK],0)),"")</f>
        <v>10</v>
      </c>
      <c r="L49" s="113">
        <f>IFERROR(INDEX(TableRBCalcPts[Custom],MATCH(TableRBVORP[[#This Row],[RK]],TableRBCalcPts[RK],0)),"")</f>
        <v>107.8874054752704</v>
      </c>
      <c r="M49" s="114">
        <f>IFERROR((TableRBVORP[[#This Row],[FPS]]-INDEX(TableRBVORP[FPS],MATCH(RBVORPCalc,TableRBVORP[RK],0)))/INDEX(TableRBVORP[FPS],MATCH(RBVORPCalc,TableRBVORP[RK],0)),"")</f>
        <v>-4.2856240426302074E-2</v>
      </c>
      <c r="O49">
        <v>48</v>
      </c>
      <c r="P49" s="112" t="str">
        <f>IFERROR(INDEX(TableWRCalcPts[PLAYER],MATCH(TableWRVORP[[#This Row],[RK]],TableWRCalcPts[RK],0)),"")</f>
        <v>Diontae Johnson</v>
      </c>
      <c r="Q49" s="112" t="str">
        <f>IFERROR(INDEX(TableWRCalcPts[TM],MATCH(TableWRVORP[[#This Row],[RK]],TableWRCalcPts[RK],0)),"")</f>
        <v>CAR</v>
      </c>
      <c r="R49" s="112">
        <f>IFERROR(INDEX(TableWRCalcPts[BYE],MATCH(TableWRVORP[[#This Row],[RK]],TableWRCalcPts[RK],0)),"")</f>
        <v>7</v>
      </c>
      <c r="S49" s="113">
        <f>IFERROR(INDEX(TableWRCalcPts[Custom],MATCH(TableWRVORP[[#This Row],[RK]],TableWRCalcPts[RK],0)),"")</f>
        <v>157.09497063649198</v>
      </c>
      <c r="T49" s="114">
        <f>IFERROR((TableWRVORP[[#This Row],[FPS]]-INDEX(TableWRVORP[FPS],MATCH(WRVORPCalc,TableWRVORP[RK],0)))/INDEX(TableWRVORP[FPS],MATCH(WRVORPCalc,TableWRVORP[RK],0)),"")</f>
        <v>8.789520482790987E-2</v>
      </c>
      <c r="V49">
        <v>48</v>
      </c>
      <c r="W49" s="112" t="str">
        <f>IFERROR(INDEX(TableTECalcPts[PLAYER],MATCH(TableTEVORP[[#This Row],[RK]],TableTECalcPts[RK],0)),"")</f>
        <v>Gerald Everett</v>
      </c>
      <c r="X49" s="112" t="str">
        <f>IFERROR(INDEX(TableTECalcPts[TM],MATCH(TableTEVORP[[#This Row],[RK]],TableTECalcPts[RK],0)),"")</f>
        <v>CHI</v>
      </c>
      <c r="Y49" s="112">
        <f>IFERROR(INDEX(TableTECalcPts[BYE],MATCH(TableTEVORP[[#This Row],[RK]],TableTECalcPts[RK],0)),"")</f>
        <v>13</v>
      </c>
      <c r="Z49" s="113">
        <f>IFERROR(INDEX(TableTECalcPts[Custom],MATCH(TableTEVORP[[#This Row],[RK]],TableTECalcPts[RK],0)),"")</f>
        <v>31.095113212799991</v>
      </c>
      <c r="AA49" s="114">
        <f>IFERROR((TableTEVORP[[#This Row],[FPS]]-INDEX(TableTEVORP[FPS],MATCH(TEVORPCalc,TableTEVORP[RK],0)))/INDEX(TableTEVORP[FPS],MATCH(TEVORPCalc,TableTEVORP[RK],0)),"")</f>
        <v>-0.76325183448869394</v>
      </c>
      <c r="AF49" t="s">
        <v>222</v>
      </c>
      <c r="AG49">
        <v>8</v>
      </c>
      <c r="AH49" s="83">
        <f>RANK(TableOverallMaster[[#This Row],[VORP]],TableOverallMaster[VORP])+COUNTIF($AM$2:AM49,AM49)-1</f>
        <v>8</v>
      </c>
      <c r="AI49" s="115" t="str">
        <f>IFERROR(INDEX(TableRBVORP[RUNNING BACK],MATCH(TableOverallMaster[[#This Row],[RK]],TableRBVORP[RK],0)),"")</f>
        <v>Jahmyr Gibbs</v>
      </c>
      <c r="AJ49" s="115" t="str">
        <f t="shared" si="0"/>
        <v>RB8</v>
      </c>
      <c r="AK49" s="115">
        <f>IFERROR(INDEX(TableRBVORP[BYE],MATCH(TableOverallMaster[[#This Row],[RK]],TableRBVORP[RK],0)),"")</f>
        <v>9</v>
      </c>
      <c r="AL49" s="116">
        <f>IFERROR(INDEX(TableRBVORP[FPS],MATCH(TableOverallMaster[[#This Row],[RK]],TableRBVORP[RK],0)),"")</f>
        <v>220.63154206799999</v>
      </c>
      <c r="AM49" s="117">
        <f>IFERROR(INDEX(TableRBVORP[VORP],MATCH(TableOverallMaster[[#This Row],[RK]],TableRBVORP[RK],0)),"")</f>
        <v>0.95737493848541111</v>
      </c>
      <c r="AO49">
        <v>48</v>
      </c>
      <c r="AP49" s="118" t="str">
        <f>IFERROR(INDEX(TableOverallMaster[OVERALL PLAYER],MATCH(TableOverallRank[[#This Row],[RK]],TableOverallMaster[OVR RK],0)),"")</f>
        <v>Marvin Harrison</v>
      </c>
      <c r="AQ49" s="119" t="str">
        <f>IFERROR(INDEX(TableOverallMaster[POS RK],MATCH(TableOverallRank[[#This Row],[OVERALL PLAYER]],TableOverallMaster[OVERALL PLAYER],0)),"")</f>
        <v>WR12</v>
      </c>
      <c r="AR49" s="120">
        <f>IFERROR(INDEX(TableOverallMaster[BYE],MATCH(TableOverallRank[[#This Row],[OVERALL PLAYER]],TableOverallMaster[OVERALL PLAYER],0)),"")</f>
        <v>14</v>
      </c>
      <c r="AS49" s="119">
        <f>IFERROR(INDEX(TableOverallMaster[Custom],MATCH(TableOverallRank[[#This Row],[OVERALL PLAYER]],TableOverallMaster[OVERALL PLAYER],0)),"")</f>
        <v>204.83187286464002</v>
      </c>
      <c r="AT49" s="121">
        <f>IFERROR(INDEX(TableOverallMaster[VORP],MATCH(TableOverallRank[[#This Row],[OVERALL PLAYER]],TableOverallMaster[OVERALL PLAYER],0)),"")</f>
        <v>0.4184770612484453</v>
      </c>
      <c r="AV49">
        <v>48</v>
      </c>
      <c r="AW49" s="122" t="str">
        <f>IFERROR(INDEX(TableWRTECalcPts[PLAYER],MATCH(TableWRTERank[[#This Row],[RK]],TableWRTECalcPts[RK],0)),"")</f>
        <v>Kyle Pitts</v>
      </c>
      <c r="AX49" s="122" t="str">
        <f>IFERROR(INDEX(TableWRTECalcPts[POS RK],MATCH(TableWRTERank[[#This Row],[WR and TE COMBINED]],TableWRTECalcPts[PLAYER],0)),"")</f>
        <v>TE5</v>
      </c>
      <c r="AY49" s="122">
        <f>IFERROR(INDEX(TableWRTECalcPts[BYE],MATCH(TableWRTERank[[#This Row],[RK]],TableWRTECalcPts[RK],0)),"")</f>
        <v>11</v>
      </c>
      <c r="AZ49" s="123">
        <f>IFERROR(INDEX(TableWRTECalcPts[Custom],MATCH(TableWRTERank[[#This Row],[RK]],TableWRTECalcPts[RK],0)),"")</f>
        <v>161.83872421516796</v>
      </c>
      <c r="BA49" s="174">
        <f>IFERROR((TableWRTERank[[#This Row],[FPS]]-INDEX(TableWRTERank[FPS],MATCH(WRTEVORPCalc,TableWRTERank[RK],0)))/INDEX(TableWRTERank[FPS],MATCH(WRTEVORPCalc,TableWRTERank[RK],0)),"")</f>
        <v>8.4088727884352149E-2</v>
      </c>
      <c r="BC49" t="s">
        <v>223</v>
      </c>
      <c r="BD49">
        <v>48</v>
      </c>
      <c r="BE49" s="83">
        <f>RANK(TableWRTEMaster[[#This Row],[VORP]],TableWRTEMaster[VORP])+COUNTIF($BJ$2:BJ49,BJ49)-1</f>
        <v>58</v>
      </c>
      <c r="BF49" s="115" t="str">
        <f>IFERROR(INDEX(TableWRVORP[WIDE RECEIVER],MATCH(TableWRTEMaster[[#This Row],[RK]],TableWRVORP[RK],0)),"")</f>
        <v>Diontae Johnson</v>
      </c>
      <c r="BG49" s="115" t="str">
        <f>_xlfn.CONCAT(TableWRTEMaster[[#This Row],[POS]],TableWRTEMaster[[#This Row],[RK]])</f>
        <v>WR48</v>
      </c>
      <c r="BH49" s="115">
        <f>IFERROR(INDEX(TableWRVORP[BYE],MATCH(TableWRTEMaster[[#This Row],[RK]],TableWRVORP[RK],0)),"")</f>
        <v>7</v>
      </c>
      <c r="BI49" s="116">
        <f>IFERROR(INDEX(TableWRVORP[FPS],MATCH(TableWRTEMaster[[#This Row],[RK]],TableWRVORP[RK],0)),"")</f>
        <v>157.09497063649198</v>
      </c>
      <c r="BJ49" s="117">
        <f>IFERROR(INDEX(TableWRVORP[VORP],MATCH(TableWRTEMaster[[#This Row],[RK]],TableWRVORP[RK],0)),"")</f>
        <v>8.789520482790987E-2</v>
      </c>
    </row>
    <row r="50" spans="1:62" x14ac:dyDescent="0.2">
      <c r="A50">
        <v>49</v>
      </c>
      <c r="B50" s="112" t="str">
        <f>IFERROR(INDEX(TableQBCalcPts[PLAYER],MATCH(TableQBVORP[[#This Row],[RK]],TableQBCalcPts[RK],0)),"")</f>
        <v>Mason Rudolph</v>
      </c>
      <c r="C50" s="112" t="str">
        <f>IFERROR(INDEX(TableQBCalcPts[TM],MATCH(TableQBVORP[[#This Row],[RK]],TableQBCalcPts[RK],0)),"")</f>
        <v>TEN</v>
      </c>
      <c r="D50" s="112">
        <f>IFERROR(INDEX(TableQBCalcPts[BYE],MATCH(TableQBVORP[[#This Row],[RK]],TableQBCalcPts[RK],0)),"")</f>
        <v>7</v>
      </c>
      <c r="E50" s="113">
        <f>IFERROR(INDEX(TableQBCalcPts[Custom],MATCH(TableQBVORP[[#This Row],[RK]],TableQBCalcPts[RK],0)),"")</f>
        <v>6.6373866058499988</v>
      </c>
      <c r="F50" s="114">
        <f>(IFERROR((TableQBVORP[[#This Row],[FPS]]-INDEX(TableQBVORP[FPS],MATCH(QBVORPCalc,TableQBVORP[RK],0)))/INDEX(TableQBVORP[FPS],MATCH(QBVORPCalc,TableQBVORP[RK],0)),""))+(TableRBVORP[[#This Row],[VORP]]*0.45)</f>
        <v>-1.0079606339367568</v>
      </c>
      <c r="H50">
        <v>49</v>
      </c>
      <c r="I50" s="112" t="str">
        <f>IFERROR(INDEX(TableRBCalcPts[PLAYER],MATCH(TableRBVORP[[#This Row],[RK]],TableRBCalcPts[RK],0)),"")</f>
        <v>Kendre Miller</v>
      </c>
      <c r="J50" s="112" t="str">
        <f>IFERROR(INDEX(TableRBCalcPts[TM],MATCH(TableRBVORP[[#This Row],[RK]],TableRBCalcPts[RK],0)),"")</f>
        <v>NO</v>
      </c>
      <c r="K50" s="112">
        <f>IFERROR(INDEX(TableRBCalcPts[BYE],MATCH(TableRBVORP[[#This Row],[RK]],TableRBCalcPts[RK],0)),"")</f>
        <v>11</v>
      </c>
      <c r="L50" s="113">
        <f>IFERROR(INDEX(TableRBCalcPts[Custom],MATCH(TableRBVORP[[#This Row],[RK]],TableRBCalcPts[RK],0)),"")</f>
        <v>106.29797474510063</v>
      </c>
      <c r="M50" s="114">
        <f>IFERROR((TableRBVORP[[#This Row],[FPS]]-INDEX(TableRBVORP[FPS],MATCH(RBVORPCalc,TableRBVORP[RK],0)))/INDEX(TableRBVORP[FPS],MATCH(RBVORPCalc,TableRBVORP[RK],0)),"")</f>
        <v>-5.6957179251875822E-2</v>
      </c>
      <c r="O50">
        <v>49</v>
      </c>
      <c r="P50" s="112" t="str">
        <f>IFERROR(INDEX(TableWRCalcPts[PLAYER],MATCH(TableWRVORP[[#This Row],[RK]],TableWRCalcPts[RK],0)),"")</f>
        <v>Calvin Ridley</v>
      </c>
      <c r="Q50" s="112" t="str">
        <f>IFERROR(INDEX(TableWRCalcPts[TM],MATCH(TableWRVORP[[#This Row],[RK]],TableWRCalcPts[RK],0)),"")</f>
        <v>TEN</v>
      </c>
      <c r="R50" s="112">
        <f>IFERROR(INDEX(TableWRCalcPts[BYE],MATCH(TableWRVORP[[#This Row],[RK]],TableWRCalcPts[RK],0)),"")</f>
        <v>7</v>
      </c>
      <c r="S50" s="113">
        <f>IFERROR(INDEX(TableWRCalcPts[Custom],MATCH(TableWRVORP[[#This Row],[RK]],TableWRCalcPts[RK],0)),"")</f>
        <v>154.50712981703998</v>
      </c>
      <c r="T50" s="114">
        <f>IFERROR((TableWRVORP[[#This Row],[FPS]]-INDEX(TableWRVORP[FPS],MATCH(WRVORPCalc,TableWRVORP[RK],0)))/INDEX(TableWRVORP[FPS],MATCH(WRVORPCalc,TableWRVORP[RK],0)),"")</f>
        <v>6.9974200693065952E-2</v>
      </c>
      <c r="V50">
        <v>49</v>
      </c>
      <c r="W50" s="112" t="str">
        <f>IFERROR(INDEX(TableTECalcPts[PLAYER],MATCH(TableTEVORP[[#This Row],[RK]],TableTECalcPts[RK],0)),"")</f>
        <v>Charlie Woerner</v>
      </c>
      <c r="X50" s="112" t="str">
        <f>IFERROR(INDEX(TableTECalcPts[TM],MATCH(TableTEVORP[[#This Row],[RK]],TableTECalcPts[RK],0)),"")</f>
        <v>ATL</v>
      </c>
      <c r="Y50" s="112">
        <f>IFERROR(INDEX(TableTECalcPts[BYE],MATCH(TableTEVORP[[#This Row],[RK]],TableTECalcPts[RK],0)),"")</f>
        <v>11</v>
      </c>
      <c r="Z50" s="113">
        <f>IFERROR(INDEX(TableTECalcPts[Custom],MATCH(TableTEVORP[[#This Row],[RK]],TableTECalcPts[RK],0)),"")</f>
        <v>27.385607208959996</v>
      </c>
      <c r="AA50" s="114">
        <f>IFERROR((TableTEVORP[[#This Row],[FPS]]-INDEX(TableTEVORP[FPS],MATCH(TEVORPCalc,TableTEVORP[RK],0)))/INDEX(TableTEVORP[FPS],MATCH(TEVORPCalc,TableTEVORP[RK],0)),"")</f>
        <v>-0.79149481708702651</v>
      </c>
      <c r="AF50" t="s">
        <v>222</v>
      </c>
      <c r="AG50">
        <v>9</v>
      </c>
      <c r="AH50" s="83">
        <f>RANK(TableOverallMaster[[#This Row],[VORP]],TableOverallMaster[VORP])+COUNTIF($AM$2:AM50,AM50)-1</f>
        <v>9</v>
      </c>
      <c r="AI50" s="115" t="str">
        <f>IFERROR(INDEX(TableRBVORP[RUNNING BACK],MATCH(TableOverallMaster[[#This Row],[RK]],TableRBVORP[RK],0)),"")</f>
        <v>Joe Mixon</v>
      </c>
      <c r="AJ50" s="115" t="str">
        <f t="shared" si="0"/>
        <v>RB9</v>
      </c>
      <c r="AK50" s="115">
        <f>IFERROR(INDEX(TableRBVORP[BYE],MATCH(TableOverallMaster[[#This Row],[RK]],TableRBVORP[RK],0)),"")</f>
        <v>7</v>
      </c>
      <c r="AL50" s="116">
        <f>IFERROR(INDEX(TableRBVORP[FPS],MATCH(TableOverallMaster[[#This Row],[RK]],TableRBVORP[RK],0)),"")</f>
        <v>219.5935959949056</v>
      </c>
      <c r="AM50" s="117">
        <f>IFERROR(INDEX(TableRBVORP[VORP],MATCH(TableOverallMaster[[#This Row],[RK]],TableRBVORP[RK],0)),"")</f>
        <v>0.94816660130963171</v>
      </c>
      <c r="AO50">
        <v>49</v>
      </c>
      <c r="AP50" s="118" t="str">
        <f>IFERROR(INDEX(TableOverallMaster[OVERALL PLAYER],MATCH(TableOverallRank[[#This Row],[RK]],TableOverallMaster[OVR RK],0)),"")</f>
        <v>Tony Pollard</v>
      </c>
      <c r="AQ50" s="119" t="str">
        <f>IFERROR(INDEX(TableOverallMaster[POS RK],MATCH(TableOverallRank[[#This Row],[OVERALL PLAYER]],TableOverallMaster[OVERALL PLAYER],0)),"")</f>
        <v>RB32</v>
      </c>
      <c r="AR50" s="120">
        <f>IFERROR(INDEX(TableOverallMaster[BYE],MATCH(TableOverallRank[[#This Row],[OVERALL PLAYER]],TableOverallMaster[OVERALL PLAYER],0)),"")</f>
        <v>7</v>
      </c>
      <c r="AS50" s="119">
        <f>IFERROR(INDEX(TableOverallMaster[Custom],MATCH(TableOverallRank[[#This Row],[OVERALL PLAYER]],TableOverallMaster[OVERALL PLAYER],0)),"")</f>
        <v>158.11878126983396</v>
      </c>
      <c r="AT50" s="121">
        <f>IFERROR(INDEX(TableOverallMaster[VORP],MATCH(TableOverallRank[[#This Row],[OVERALL PLAYER]],TableOverallMaster[OVERALL PLAYER],0)),"")</f>
        <v>0.40278102061236704</v>
      </c>
      <c r="AV50">
        <v>49</v>
      </c>
      <c r="AW50" s="122" t="str">
        <f>IFERROR(INDEX(TableWRTECalcPts[PLAYER],MATCH(TableWRTERank[[#This Row],[RK]],TableWRTECalcPts[RK],0)),"")</f>
        <v>Michael Pittman</v>
      </c>
      <c r="AX50" s="122" t="str">
        <f>IFERROR(INDEX(TableWRTECalcPts[POS RK],MATCH(TableWRTERank[[#This Row],[WR and TE COMBINED]],TableWRTECalcPts[PLAYER],0)),"")</f>
        <v>WR44</v>
      </c>
      <c r="AY50" s="122">
        <f>IFERROR(INDEX(TableWRTECalcPts[BYE],MATCH(TableWRTERank[[#This Row],[RK]],TableWRTECalcPts[RK],0)),"")</f>
        <v>11</v>
      </c>
      <c r="AZ50" s="123">
        <f>IFERROR(INDEX(TableWRTECalcPts[Custom],MATCH(TableWRTERank[[#This Row],[RK]],TableWRTECalcPts[RK],0)),"")</f>
        <v>161.37858230487842</v>
      </c>
      <c r="BA50" s="174">
        <f>IFERROR((TableWRTERank[[#This Row],[FPS]]-INDEX(TableWRTERank[FPS],MATCH(WRTEVORPCalc,TableWRTERank[RK],0)))/INDEX(TableWRTERank[FPS],MATCH(WRTEVORPCalc,TableWRTERank[RK],0)),"")</f>
        <v>8.1006433083826851E-2</v>
      </c>
      <c r="BC50" t="s">
        <v>223</v>
      </c>
      <c r="BD50">
        <v>49</v>
      </c>
      <c r="BE50" s="83">
        <f>RANK(TableWRTEMaster[[#This Row],[VORP]],TableWRTEMaster[VORP])+COUNTIF($BJ$2:BJ50,BJ50)-1</f>
        <v>59</v>
      </c>
      <c r="BF50" s="115" t="str">
        <f>IFERROR(INDEX(TableWRVORP[WIDE RECEIVER],MATCH(TableWRTEMaster[[#This Row],[RK]],TableWRVORP[RK],0)),"")</f>
        <v>Calvin Ridley</v>
      </c>
      <c r="BG50" s="115" t="str">
        <f>_xlfn.CONCAT(TableWRTEMaster[[#This Row],[POS]],TableWRTEMaster[[#This Row],[RK]])</f>
        <v>WR49</v>
      </c>
      <c r="BH50" s="115">
        <f>IFERROR(INDEX(TableWRVORP[BYE],MATCH(TableWRTEMaster[[#This Row],[RK]],TableWRVORP[RK],0)),"")</f>
        <v>7</v>
      </c>
      <c r="BI50" s="116">
        <f>IFERROR(INDEX(TableWRVORP[FPS],MATCH(TableWRTEMaster[[#This Row],[RK]],TableWRVORP[RK],0)),"")</f>
        <v>154.50712981703998</v>
      </c>
      <c r="BJ50" s="117">
        <f>IFERROR(INDEX(TableWRVORP[VORP],MATCH(TableWRTEMaster[[#This Row],[RK]],TableWRVORP[RK],0)),"")</f>
        <v>6.9974200693065952E-2</v>
      </c>
    </row>
    <row r="51" spans="1:62" x14ac:dyDescent="0.2">
      <c r="A51">
        <v>50</v>
      </c>
      <c r="B51" s="112" t="str">
        <f>IFERROR(INDEX(TableQBCalcPts[PLAYER],MATCH(TableQBVORP[[#This Row],[RK]],TableQBCalcPts[RK],0)),"")</f>
        <v>Josh Johnson</v>
      </c>
      <c r="C51" s="112" t="str">
        <f>IFERROR(INDEX(TableQBCalcPts[TM],MATCH(TableQBVORP[[#This Row],[RK]],TableQBCalcPts[RK],0)),"")</f>
        <v>BAL</v>
      </c>
      <c r="D51" s="112">
        <f>IFERROR(INDEX(TableQBCalcPts[BYE],MATCH(TableQBVORP[[#This Row],[RK]],TableQBCalcPts[RK],0)),"")</f>
        <v>13</v>
      </c>
      <c r="E51" s="113">
        <f>IFERROR(INDEX(TableQBCalcPts[Custom],MATCH(TableQBVORP[[#This Row],[RK]],TableQBCalcPts[RK],0)),"")</f>
        <v>6.452833848480001</v>
      </c>
      <c r="F51" s="114">
        <f>(IFERROR((TableQBVORP[[#This Row],[FPS]]-INDEX(TableQBVORP[FPS],MATCH(QBVORPCalc,TableQBVORP[RK],0)))/INDEX(TableQBVORP[FPS],MATCH(QBVORPCalc,TableQBVORP[RK],0)),""))+(TableRBVORP[[#This Row],[VORP]]*0.45)</f>
        <v>-1.0518718517387131</v>
      </c>
      <c r="H51">
        <v>50</v>
      </c>
      <c r="I51" s="112" t="str">
        <f>IFERROR(INDEX(TableRBCalcPts[PLAYER],MATCH(TableRBVORP[[#This Row],[RK]],TableRBCalcPts[RK],0)),"")</f>
        <v>Ray Davis</v>
      </c>
      <c r="J51" s="112" t="str">
        <f>IFERROR(INDEX(TableRBCalcPts[TM],MATCH(TableRBVORP[[#This Row],[RK]],TableRBCalcPts[RK],0)),"")</f>
        <v>BUF</v>
      </c>
      <c r="K51" s="112">
        <f>IFERROR(INDEX(TableRBCalcPts[BYE],MATCH(TableRBVORP[[#This Row],[RK]],TableRBCalcPts[RK],0)),"")</f>
        <v>13</v>
      </c>
      <c r="L51" s="113">
        <f>IFERROR(INDEX(TableRBCalcPts[Custom],MATCH(TableRBVORP[[#This Row],[RK]],TableRBCalcPts[RK],0)),"")</f>
        <v>95.421957594163203</v>
      </c>
      <c r="M51" s="114">
        <f>IFERROR((TableRBVORP[[#This Row],[FPS]]-INDEX(TableRBVORP[FPS],MATCH(RBVORPCalc,TableRBVORP[RK],0)))/INDEX(TableRBVORP[FPS],MATCH(RBVORPCalc,TableRBVORP[RK],0)),"")</f>
        <v>-0.15344584629487368</v>
      </c>
      <c r="O51">
        <v>50</v>
      </c>
      <c r="P51" s="112" t="str">
        <f>IFERROR(INDEX(TableWRCalcPts[PLAYER],MATCH(TableWRVORP[[#This Row],[RK]],TableWRCalcPts[RK],0)),"")</f>
        <v>Mike Williams</v>
      </c>
      <c r="Q51" s="112" t="str">
        <f>IFERROR(INDEX(TableWRCalcPts[TM],MATCH(TableWRVORP[[#This Row],[RK]],TableWRCalcPts[RK],0)),"")</f>
        <v>NYJ</v>
      </c>
      <c r="R51" s="112">
        <f>IFERROR(INDEX(TableWRCalcPts[BYE],MATCH(TableWRVORP[[#This Row],[RK]],TableWRCalcPts[RK],0)),"")</f>
        <v>7</v>
      </c>
      <c r="S51" s="113">
        <f>IFERROR(INDEX(TableWRCalcPts[Custom],MATCH(TableWRVORP[[#This Row],[RK]],TableWRCalcPts[RK],0)),"")</f>
        <v>154.22685332053999</v>
      </c>
      <c r="T51" s="114">
        <f>IFERROR((TableWRVORP[[#This Row],[FPS]]-INDEX(TableWRVORP[FPS],MATCH(WRVORPCalc,TableWRVORP[RK],0)))/INDEX(TableWRVORP[FPS],MATCH(WRVORPCalc,TableWRVORP[RK],0)),"")</f>
        <v>6.8033263594106524E-2</v>
      </c>
      <c r="V51">
        <v>50</v>
      </c>
      <c r="W51" s="112" t="str">
        <f>IFERROR(INDEX(TableTECalcPts[PLAYER],MATCH(TableTEVORP[[#This Row],[RK]],TableTECalcPts[RK],0)),"")</f>
        <v>Pharoah Brown</v>
      </c>
      <c r="X51" s="112" t="str">
        <f>IFERROR(INDEX(TableTECalcPts[TM],MATCH(TableTEVORP[[#This Row],[RK]],TableTECalcPts[RK],0)),"")</f>
        <v>SEA</v>
      </c>
      <c r="Y51" s="112">
        <f>IFERROR(INDEX(TableTECalcPts[BYE],MATCH(TableTEVORP[[#This Row],[RK]],TableTECalcPts[RK],0)),"")</f>
        <v>5</v>
      </c>
      <c r="Z51" s="113">
        <f>IFERROR(INDEX(TableTECalcPts[Custom],MATCH(TableTEVORP[[#This Row],[RK]],TableTECalcPts[RK],0)),"")</f>
        <v>26.411950109999999</v>
      </c>
      <c r="AA51" s="114">
        <f>IFERROR((TableTEVORP[[#This Row],[FPS]]-INDEX(TableTEVORP[FPS],MATCH(TEVORPCalc,TableTEVORP[RK],0)))/INDEX(TableTEVORP[FPS],MATCH(TEVORPCalc,TableTEVORP[RK],0)),"")</f>
        <v>-0.79890792828679391</v>
      </c>
      <c r="AF51" t="s">
        <v>222</v>
      </c>
      <c r="AG51">
        <v>10</v>
      </c>
      <c r="AH51" s="83">
        <f>RANK(TableOverallMaster[[#This Row],[VORP]],TableOverallMaster[VORP])+COUNTIF($AM$2:AM51,AM51)-1</f>
        <v>10</v>
      </c>
      <c r="AI51" s="115" t="str">
        <f>IFERROR(INDEX(TableRBVORP[RUNNING BACK],MATCH(TableOverallMaster[[#This Row],[RK]],TableRBVORP[RK],0)),"")</f>
        <v>Isiah Pacheco</v>
      </c>
      <c r="AJ51" s="115" t="str">
        <f t="shared" si="0"/>
        <v>RB10</v>
      </c>
      <c r="AK51" s="115">
        <f>IFERROR(INDEX(TableRBVORP[BYE],MATCH(TableOverallMaster[[#This Row],[RK]],TableRBVORP[RK],0)),"")</f>
        <v>10</v>
      </c>
      <c r="AL51" s="116">
        <f>IFERROR(INDEX(TableRBVORP[FPS],MATCH(TableOverallMaster[[#This Row],[RK]],TableRBVORP[RK],0)),"")</f>
        <v>217.17277173760002</v>
      </c>
      <c r="AM51" s="117">
        <f>IFERROR(INDEX(TableRBVORP[VORP],MATCH(TableOverallMaster[[#This Row],[RK]],TableRBVORP[RK],0)),"")</f>
        <v>0.92668979573907062</v>
      </c>
      <c r="AO51">
        <v>50</v>
      </c>
      <c r="AP51" s="118" t="str">
        <f>IFERROR(INDEX(TableOverallMaster[OVERALL PLAYER],MATCH(TableOverallRank[[#This Row],[RK]],TableOverallMaster[OVR RK],0)),"")</f>
        <v>Sam LaPorta</v>
      </c>
      <c r="AQ51" s="119" t="str">
        <f>IFERROR(INDEX(TableOverallMaster[POS RK],MATCH(TableOverallRank[[#This Row],[OVERALL PLAYER]],TableOverallMaster[OVERALL PLAYER],0)),"")</f>
        <v>TE2</v>
      </c>
      <c r="AR51" s="120">
        <f>IFERROR(INDEX(TableOverallMaster[BYE],MATCH(TableOverallRank[[#This Row],[OVERALL PLAYER]],TableOverallMaster[OVERALL PLAYER],0)),"")</f>
        <v>9</v>
      </c>
      <c r="AS51" s="119">
        <f>IFERROR(INDEX(TableOverallMaster[Custom],MATCH(TableOverallRank[[#This Row],[OVERALL PLAYER]],TableOverallMaster[OVERALL PLAYER],0)),"")</f>
        <v>183.65560471586994</v>
      </c>
      <c r="AT51" s="121">
        <f>IFERROR(INDEX(TableOverallMaster[VORP],MATCH(TableOverallRank[[#This Row],[OVERALL PLAYER]],TableOverallMaster[OVERALL PLAYER],0)),"")</f>
        <v>0.39829455531467983</v>
      </c>
      <c r="AV51">
        <v>50</v>
      </c>
      <c r="AW51" s="122" t="str">
        <f>IFERROR(INDEX(TableWRTECalcPts[PLAYER],MATCH(TableWRTERank[[#This Row],[RK]],TableWRTECalcPts[RK],0)),"")</f>
        <v>Brandin Cooks</v>
      </c>
      <c r="AX51" s="122" t="str">
        <f>IFERROR(INDEX(TableWRTECalcPts[POS RK],MATCH(TableWRTERank[[#This Row],[WR and TE COMBINED]],TableWRTECalcPts[PLAYER],0)),"")</f>
        <v>WR45</v>
      </c>
      <c r="AY51" s="122">
        <f>IFERROR(INDEX(TableWRTECalcPts[BYE],MATCH(TableWRTERank[[#This Row],[RK]],TableWRTECalcPts[RK],0)),"")</f>
        <v>7</v>
      </c>
      <c r="AZ51" s="123">
        <f>IFERROR(INDEX(TableWRTECalcPts[Custom],MATCH(TableWRTERank[[#This Row],[RK]],TableWRTECalcPts[RK],0)),"")</f>
        <v>159.86001222374398</v>
      </c>
      <c r="BA51" s="174">
        <f>IFERROR((TableWRTERank[[#This Row],[FPS]]-INDEX(TableWRTERank[FPS],MATCH(WRTEVORPCalc,TableWRTERank[RK],0)))/INDEX(TableWRTERank[FPS],MATCH(WRTEVORPCalc,TableWRTERank[RK],0)),"")</f>
        <v>7.0834178480092269E-2</v>
      </c>
      <c r="BC51" t="s">
        <v>223</v>
      </c>
      <c r="BD51">
        <v>50</v>
      </c>
      <c r="BE51" s="83">
        <f>RANK(TableWRTEMaster[[#This Row],[VORP]],TableWRTEMaster[VORP])+COUNTIF($BJ$2:BJ51,BJ51)-1</f>
        <v>60</v>
      </c>
      <c r="BF51" s="115" t="str">
        <f>IFERROR(INDEX(TableWRVORP[WIDE RECEIVER],MATCH(TableWRTEMaster[[#This Row],[RK]],TableWRVORP[RK],0)),"")</f>
        <v>Mike Williams</v>
      </c>
      <c r="BG51" s="115" t="str">
        <f>_xlfn.CONCAT(TableWRTEMaster[[#This Row],[POS]],TableWRTEMaster[[#This Row],[RK]])</f>
        <v>WR50</v>
      </c>
      <c r="BH51" s="115">
        <f>IFERROR(INDEX(TableWRVORP[BYE],MATCH(TableWRTEMaster[[#This Row],[RK]],TableWRVORP[RK],0)),"")</f>
        <v>7</v>
      </c>
      <c r="BI51" s="116">
        <f>IFERROR(INDEX(TableWRVORP[FPS],MATCH(TableWRTEMaster[[#This Row],[RK]],TableWRVORP[RK],0)),"")</f>
        <v>154.22685332053999</v>
      </c>
      <c r="BJ51" s="117">
        <f>IFERROR(INDEX(TableWRVORP[VORP],MATCH(TableWRTEMaster[[#This Row],[RK]],TableWRVORP[RK],0)),"")</f>
        <v>6.8033263594106524E-2</v>
      </c>
    </row>
    <row r="52" spans="1:62" x14ac:dyDescent="0.2">
      <c r="A52">
        <v>51</v>
      </c>
      <c r="B52" s="112" t="str">
        <f>IFERROR(INDEX(TableQBCalcPts[PLAYER],MATCH(TableQBVORP[[#This Row],[RK]],TableQBCalcPts[RK],0)),"")</f>
        <v>Taylor Heinicke</v>
      </c>
      <c r="C52" s="112" t="str">
        <f>IFERROR(INDEX(TableQBCalcPts[TM],MATCH(TableQBVORP[[#This Row],[RK]],TableQBCalcPts[RK],0)),"")</f>
        <v>ATL</v>
      </c>
      <c r="D52" s="112">
        <f>IFERROR(INDEX(TableQBCalcPts[BYE],MATCH(TableQBVORP[[#This Row],[RK]],TableQBCalcPts[RK],0)),"")</f>
        <v>11</v>
      </c>
      <c r="E52" s="113">
        <f>IFERROR(INDEX(TableQBCalcPts[Custom],MATCH(TableQBVORP[[#This Row],[RK]],TableQBCalcPts[RK],0)),"")</f>
        <v>6.4204729228800002</v>
      </c>
      <c r="F52" s="114">
        <f>(IFERROR((TableQBVORP[[#This Row],[FPS]]-INDEX(TableQBVORP[FPS],MATCH(QBVORPCalc,TableQBVORP[RK],0)))/INDEX(TableQBVORP[FPS],MATCH(QBVORPCalc,TableQBVORP[RK],0)),""))+(TableRBVORP[[#This Row],[VORP]]*0.45)</f>
        <v>-1.0532503744587571</v>
      </c>
      <c r="H52">
        <v>51</v>
      </c>
      <c r="I52" s="112" t="str">
        <f>IFERROR(INDEX(TableRBCalcPts[PLAYER],MATCH(TableRBVORP[[#This Row],[RK]],TableRBCalcPts[RK],0)),"")</f>
        <v>Samaje Perine</v>
      </c>
      <c r="J52" s="112" t="str">
        <f>IFERROR(INDEX(TableRBCalcPts[TM],MATCH(TableRBVORP[[#This Row],[RK]],TableRBCalcPts[RK],0)),"")</f>
        <v>DEN</v>
      </c>
      <c r="K52" s="112">
        <f>IFERROR(INDEX(TableRBCalcPts[BYE],MATCH(TableRBVORP[[#This Row],[RK]],TableRBCalcPts[RK],0)),"")</f>
        <v>9</v>
      </c>
      <c r="L52" s="113">
        <f>IFERROR(INDEX(TableRBCalcPts[Custom],MATCH(TableRBVORP[[#This Row],[RK]],TableRBCalcPts[RK],0)),"")</f>
        <v>95.098238476724006</v>
      </c>
      <c r="M52" s="114">
        <f>IFERROR((TableRBVORP[[#This Row],[FPS]]-INDEX(TableRBVORP[FPS],MATCH(RBVORPCalc,TableRBVORP[RK],0)))/INDEX(TableRBVORP[FPS],MATCH(RBVORPCalc,TableRBVORP[RK],0)),"")</f>
        <v>-0.15631778238182178</v>
      </c>
      <c r="O52">
        <v>51</v>
      </c>
      <c r="P52" s="112" t="str">
        <f>IFERROR(INDEX(TableWRCalcPts[PLAYER],MATCH(TableWRVORP[[#This Row],[RK]],TableWRCalcPts[RK],0)),"")</f>
        <v>Jakobi Meyers</v>
      </c>
      <c r="Q52" s="112" t="str">
        <f>IFERROR(INDEX(TableWRCalcPts[TM],MATCH(TableWRVORP[[#This Row],[RK]],TableWRCalcPts[RK],0)),"")</f>
        <v>LV</v>
      </c>
      <c r="R52" s="112">
        <f>IFERROR(INDEX(TableWRCalcPts[BYE],MATCH(TableWRVORP[[#This Row],[RK]],TableWRCalcPts[RK],0)),"")</f>
        <v>13</v>
      </c>
      <c r="S52" s="113">
        <f>IFERROR(INDEX(TableWRCalcPts[Custom],MATCH(TableWRVORP[[#This Row],[RK]],TableWRCalcPts[RK],0)),"")</f>
        <v>152.92230757999994</v>
      </c>
      <c r="T52" s="114">
        <f>IFERROR((TableWRVORP[[#This Row],[FPS]]-INDEX(TableWRVORP[FPS],MATCH(WRVORPCalc,TableWRVORP[RK],0)))/INDEX(TableWRVORP[FPS],MATCH(WRVORPCalc,TableWRVORP[RK],0)),"")</f>
        <v>5.8999180263099339E-2</v>
      </c>
      <c r="V52">
        <v>51</v>
      </c>
      <c r="W52" s="112" t="str">
        <f>IFERROR(INDEX(TableTECalcPts[PLAYER],MATCH(TableTEVORP[[#This Row],[RK]],TableTECalcPts[RK],0)),"")</f>
        <v>Chris Manhertz</v>
      </c>
      <c r="X52" s="112" t="str">
        <f>IFERROR(INDEX(TableTECalcPts[TM],MATCH(TableTEVORP[[#This Row],[RK]],TableTECalcPts[RK],0)),"")</f>
        <v>NYG</v>
      </c>
      <c r="Y52" s="112">
        <f>IFERROR(INDEX(TableTECalcPts[BYE],MATCH(TableTEVORP[[#This Row],[RK]],TableTECalcPts[RK],0)),"")</f>
        <v>13</v>
      </c>
      <c r="Z52" s="113">
        <f>IFERROR(INDEX(TableTECalcPts[Custom],MATCH(TableTEVORP[[#This Row],[RK]],TableTECalcPts[RK],0)),"")</f>
        <v>26.011431263999992</v>
      </c>
      <c r="AA52" s="114">
        <f>IFERROR((TableTEVORP[[#This Row],[FPS]]-INDEX(TableTEVORP[FPS],MATCH(TEVORPCalc,TableTEVORP[RK],0)))/INDEX(TableTEVORP[FPS],MATCH(TEVORPCalc,TableTEVORP[RK],0)),"")</f>
        <v>-0.80195734963458865</v>
      </c>
      <c r="AF52" t="s">
        <v>222</v>
      </c>
      <c r="AG52">
        <v>11</v>
      </c>
      <c r="AH52" s="83">
        <f>RANK(TableOverallMaster[[#This Row],[VORP]],TableOverallMaster[VORP])+COUNTIF($AM$2:AM52,AM52)-1</f>
        <v>12</v>
      </c>
      <c r="AI52" s="115" t="str">
        <f>IFERROR(INDEX(TableRBVORP[RUNNING BACK],MATCH(TableOverallMaster[[#This Row],[RK]],TableRBVORP[RK],0)),"")</f>
        <v>De'Von Achane</v>
      </c>
      <c r="AJ52" s="115" t="str">
        <f t="shared" si="0"/>
        <v>RB11</v>
      </c>
      <c r="AK52" s="115">
        <f>IFERROR(INDEX(TableRBVORP[BYE],MATCH(TableOverallMaster[[#This Row],[RK]],TableRBVORP[RK],0)),"")</f>
        <v>10</v>
      </c>
      <c r="AL52" s="116">
        <f>IFERROR(INDEX(TableRBVORP[FPS],MATCH(TableOverallMaster[[#This Row],[RK]],TableRBVORP[RK],0)),"")</f>
        <v>209.1741526616</v>
      </c>
      <c r="AM52" s="117">
        <f>IFERROR(INDEX(TableRBVORP[VORP],MATCH(TableOverallMaster[[#This Row],[RK]],TableRBVORP[RK],0)),"")</f>
        <v>0.85572851624518753</v>
      </c>
      <c r="AO52">
        <v>51</v>
      </c>
      <c r="AP52" s="118" t="str">
        <f>IFERROR(INDEX(TableOverallMaster[OVERALL PLAYER],MATCH(TableOverallRank[[#This Row],[RK]],TableOverallMaster[OVR RK],0)),"")</f>
        <v>Jaylen Waddle</v>
      </c>
      <c r="AQ52" s="119" t="str">
        <f>IFERROR(INDEX(TableOverallMaster[POS RK],MATCH(TableOverallRank[[#This Row],[OVERALL PLAYER]],TableOverallMaster[OVERALL PLAYER],0)),"")</f>
        <v>WR13</v>
      </c>
      <c r="AR52" s="120">
        <f>IFERROR(INDEX(TableOverallMaster[BYE],MATCH(TableOverallRank[[#This Row],[OVERALL PLAYER]],TableOverallMaster[OVERALL PLAYER],0)),"")</f>
        <v>10</v>
      </c>
      <c r="AS52" s="119">
        <f>IFERROR(INDEX(TableOverallMaster[Custom],MATCH(TableOverallRank[[#This Row],[OVERALL PLAYER]],TableOverallMaster[OVERALL PLAYER],0)),"")</f>
        <v>201.51482224375039</v>
      </c>
      <c r="AT52" s="121">
        <f>IFERROR(INDEX(TableOverallMaster[VORP],MATCH(TableOverallRank[[#This Row],[OVERALL PLAYER]],TableOverallMaster[OVERALL PLAYER],0)),"")</f>
        <v>0.39550622106166838</v>
      </c>
      <c r="AV52">
        <v>51</v>
      </c>
      <c r="AW52" s="122" t="str">
        <f>IFERROR(INDEX(TableWRTECalcPts[PLAYER],MATCH(TableWRTERank[[#This Row],[RK]],TableWRTECalcPts[RK],0)),"")</f>
        <v>Jaxon Smith-Njigba</v>
      </c>
      <c r="AX52" s="122" t="str">
        <f>IFERROR(INDEX(TableWRTECalcPts[POS RK],MATCH(TableWRTERank[[#This Row],[WR and TE COMBINED]],TableWRTECalcPts[PLAYER],0)),"")</f>
        <v>WR46</v>
      </c>
      <c r="AY52" s="122">
        <f>IFERROR(INDEX(TableWRTECalcPts[BYE],MATCH(TableWRTERank[[#This Row],[RK]],TableWRTECalcPts[RK],0)),"")</f>
        <v>5</v>
      </c>
      <c r="AZ52" s="123">
        <f>IFERROR(INDEX(TableWRTECalcPts[Custom],MATCH(TableWRTERank[[#This Row],[RK]],TableWRTECalcPts[RK],0)),"")</f>
        <v>159.726471459072</v>
      </c>
      <c r="BA52" s="174">
        <f>IFERROR((TableWRTERank[[#This Row],[FPS]]-INDEX(TableWRTERank[FPS],MATCH(WRTEVORPCalc,TableWRTERank[RK],0)))/INDEX(TableWRTERank[FPS],MATCH(WRTEVORPCalc,TableWRTERank[RK],0)),"")</f>
        <v>6.9939645738339593E-2</v>
      </c>
      <c r="BC52" t="s">
        <v>223</v>
      </c>
      <c r="BD52">
        <v>51</v>
      </c>
      <c r="BE52" s="83">
        <f>RANK(TableWRTEMaster[[#This Row],[VORP]],TableWRTEMaster[VORP])+COUNTIF($BJ$2:BJ52,BJ52)-1</f>
        <v>61</v>
      </c>
      <c r="BF52" s="115" t="str">
        <f>IFERROR(INDEX(TableWRVORP[WIDE RECEIVER],MATCH(TableWRTEMaster[[#This Row],[RK]],TableWRVORP[RK],0)),"")</f>
        <v>Jakobi Meyers</v>
      </c>
      <c r="BG52" s="115" t="str">
        <f>_xlfn.CONCAT(TableWRTEMaster[[#This Row],[POS]],TableWRTEMaster[[#This Row],[RK]])</f>
        <v>WR51</v>
      </c>
      <c r="BH52" s="115">
        <f>IFERROR(INDEX(TableWRVORP[BYE],MATCH(TableWRTEMaster[[#This Row],[RK]],TableWRVORP[RK],0)),"")</f>
        <v>13</v>
      </c>
      <c r="BI52" s="116">
        <f>IFERROR(INDEX(TableWRVORP[FPS],MATCH(TableWRTEMaster[[#This Row],[RK]],TableWRVORP[RK],0)),"")</f>
        <v>152.92230757999994</v>
      </c>
      <c r="BJ52" s="117">
        <f>IFERROR(INDEX(TableWRVORP[VORP],MATCH(TableWRTEMaster[[#This Row],[RK]],TableWRVORP[RK],0)),"")</f>
        <v>5.8999180263099339E-2</v>
      </c>
    </row>
    <row r="53" spans="1:62" x14ac:dyDescent="0.2">
      <c r="A53">
        <v>52</v>
      </c>
      <c r="B53" s="112" t="str">
        <f>IFERROR(INDEX(TableQBCalcPts[PLAYER],MATCH(TableQBVORP[[#This Row],[RK]],TableQBCalcPts[RK],0)),"")</f>
        <v>Trey Lance</v>
      </c>
      <c r="C53" s="112" t="str">
        <f>IFERROR(INDEX(TableQBCalcPts[TM],MATCH(TableQBVORP[[#This Row],[RK]],TableQBCalcPts[RK],0)),"")</f>
        <v>DAL</v>
      </c>
      <c r="D53" s="112">
        <f>IFERROR(INDEX(TableQBCalcPts[BYE],MATCH(TableQBVORP[[#This Row],[RK]],TableQBCalcPts[RK],0)),"")</f>
        <v>7</v>
      </c>
      <c r="E53" s="113">
        <f>IFERROR(INDEX(TableQBCalcPts[Custom],MATCH(TableQBVORP[[#This Row],[RK]],TableQBCalcPts[RK],0)),"")</f>
        <v>5.697326827800004</v>
      </c>
      <c r="F53" s="114">
        <f>(IFERROR((TableQBVORP[[#This Row],[FPS]]-INDEX(TableQBVORP[FPS],MATCH(QBVORPCalc,TableQBVORP[RK],0)))/INDEX(TableQBVORP[FPS],MATCH(QBVORPCalc,TableQBVORP[RK],0)),""))+(TableRBVORP[[#This Row],[VORP]]*0.45)</f>
        <v>-1.0667766967540322</v>
      </c>
      <c r="H53">
        <v>52</v>
      </c>
      <c r="I53" s="112" t="str">
        <f>IFERROR(INDEX(TableRBCalcPts[PLAYER],MATCH(TableRBVORP[[#This Row],[RK]],TableRBCalcPts[RK],0)),"")</f>
        <v>MarShawn Lloyd</v>
      </c>
      <c r="J53" s="112" t="str">
        <f>IFERROR(INDEX(TableRBCalcPts[TM],MATCH(TableRBVORP[[#This Row],[RK]],TableRBCalcPts[RK],0)),"")</f>
        <v>GB</v>
      </c>
      <c r="K53" s="112">
        <f>IFERROR(INDEX(TableRBCalcPts[BYE],MATCH(TableRBVORP[[#This Row],[RK]],TableRBCalcPts[RK],0)),"")</f>
        <v>6</v>
      </c>
      <c r="L53" s="113">
        <f>IFERROR(INDEX(TableRBCalcPts[Custom],MATCH(TableRBVORP[[#This Row],[RK]],TableRBCalcPts[RK],0)),"")</f>
        <v>92.192326900800012</v>
      </c>
      <c r="M53" s="114">
        <f>IFERROR((TableRBVORP[[#This Row],[FPS]]-INDEX(TableRBVORP[FPS],MATCH(RBVORPCalc,TableRBVORP[RK],0)))/INDEX(TableRBVORP[FPS],MATCH(RBVORPCalc,TableRBVORP[RK],0)),"")</f>
        <v>-0.18209813291037499</v>
      </c>
      <c r="O53">
        <v>52</v>
      </c>
      <c r="P53" s="112" t="str">
        <f>IFERROR(INDEX(TableWRCalcPts[PLAYER],MATCH(TableWRVORP[[#This Row],[RK]],TableWRCalcPts[RK],0)),"")</f>
        <v>Keenan Allen</v>
      </c>
      <c r="Q53" s="112" t="str">
        <f>IFERROR(INDEX(TableWRCalcPts[TM],MATCH(TableWRVORP[[#This Row],[RK]],TableWRCalcPts[RK],0)),"")</f>
        <v>CHI</v>
      </c>
      <c r="R53" s="112">
        <f>IFERROR(INDEX(TableWRCalcPts[BYE],MATCH(TableWRVORP[[#This Row],[RK]],TableWRCalcPts[RK],0)),"")</f>
        <v>13</v>
      </c>
      <c r="S53" s="113">
        <f>IFERROR(INDEX(TableWRCalcPts[Custom],MATCH(TableWRVORP[[#This Row],[RK]],TableWRCalcPts[RK],0)),"")</f>
        <v>151.05445991999994</v>
      </c>
      <c r="T53" s="114">
        <f>IFERROR((TableWRVORP[[#This Row],[FPS]]-INDEX(TableWRVORP[FPS],MATCH(WRVORPCalc,TableWRVORP[RK],0)))/INDEX(TableWRVORP[FPS],MATCH(WRVORPCalc,TableWRVORP[RK],0)),"")</f>
        <v>4.6064186199126396E-2</v>
      </c>
      <c r="V53">
        <v>52</v>
      </c>
      <c r="W53" s="112" t="str">
        <f>IFERROR(INDEX(TableTECalcPts[PLAYER],MATCH(TableTEVORP[[#This Row],[RK]],TableTECalcPts[RK],0)),"")</f>
        <v>Harrison Bryant</v>
      </c>
      <c r="X53" s="112" t="str">
        <f>IFERROR(INDEX(TableTECalcPts[TM],MATCH(TableTEVORP[[#This Row],[RK]],TableTECalcPts[RK],0)),"")</f>
        <v>LV</v>
      </c>
      <c r="Y53" s="112">
        <f>IFERROR(INDEX(TableTECalcPts[BYE],MATCH(TableTEVORP[[#This Row],[RK]],TableTECalcPts[RK],0)),"")</f>
        <v>13</v>
      </c>
      <c r="Z53" s="113">
        <f>IFERROR(INDEX(TableTECalcPts[Custom],MATCH(TableTEVORP[[#This Row],[RK]],TableTECalcPts[RK],0)),"")</f>
        <v>25.738369796999997</v>
      </c>
      <c r="AA53" s="114">
        <f>IFERROR((TableTEVORP[[#This Row],[FPS]]-INDEX(TableTEVORP[FPS],MATCH(TEVORPCalc,TableTEVORP[RK],0)))/INDEX(TableTEVORP[FPS],MATCH(TEVORPCalc,TableTEVORP[RK],0)),"")</f>
        <v>-0.80403635159678333</v>
      </c>
      <c r="AF53" t="s">
        <v>222</v>
      </c>
      <c r="AG53">
        <v>12</v>
      </c>
      <c r="AH53" s="83">
        <f>RANK(TableOverallMaster[[#This Row],[VORP]],TableOverallMaster[VORP])+COUNTIF($AM$2:AM53,AM53)-1</f>
        <v>13</v>
      </c>
      <c r="AI53" s="115" t="str">
        <f>IFERROR(INDEX(TableRBVORP[RUNNING BACK],MATCH(TableOverallMaster[[#This Row],[RK]],TableRBVORP[RK],0)),"")</f>
        <v>Aaron Jones</v>
      </c>
      <c r="AJ53" s="115" t="str">
        <f t="shared" si="0"/>
        <v>RB12</v>
      </c>
      <c r="AK53" s="115">
        <f>IFERROR(INDEX(TableRBVORP[BYE],MATCH(TableOverallMaster[[#This Row],[RK]],TableRBVORP[RK],0)),"")</f>
        <v>13</v>
      </c>
      <c r="AL53" s="116">
        <f>IFERROR(INDEX(TableRBVORP[FPS],MATCH(TableOverallMaster[[#This Row],[RK]],TableRBVORP[RK],0)),"")</f>
        <v>209.09487775680006</v>
      </c>
      <c r="AM53" s="117">
        <f>IFERROR(INDEX(TableRBVORP[VORP],MATCH(TableOverallMaster[[#This Row],[RK]],TableRBVORP[RK],0)),"")</f>
        <v>0.85502521375973239</v>
      </c>
      <c r="AO53">
        <v>52</v>
      </c>
      <c r="AP53" s="118" t="str">
        <f>IFERROR(INDEX(TableOverallMaster[OVERALL PLAYER],MATCH(TableOverallRank[[#This Row],[RK]],TableOverallMaster[OVR RK],0)),"")</f>
        <v>Anthony Richardson</v>
      </c>
      <c r="AQ53" s="119" t="str">
        <f>IFERROR(INDEX(TableOverallMaster[POS RK],MATCH(TableOverallRank[[#This Row],[OVERALL PLAYER]],TableOverallMaster[OVERALL PLAYER],0)),"")</f>
        <v>QB5</v>
      </c>
      <c r="AR53" s="120">
        <f>IFERROR(INDEX(TableOverallMaster[BYE],MATCH(TableOverallRank[[#This Row],[OVERALL PLAYER]],TableOverallMaster[OVERALL PLAYER],0)),"")</f>
        <v>11</v>
      </c>
      <c r="AS53" s="119">
        <f>IFERROR(INDEX(TableOverallMaster[Custom],MATCH(TableOverallRank[[#This Row],[OVERALL PLAYER]],TableOverallMaster[OVERALL PLAYER],0)),"")</f>
        <v>337.949489218</v>
      </c>
      <c r="AT53" s="121">
        <f>IFERROR(INDEX(TableOverallMaster[VORP],MATCH(TableOverallRank[[#This Row],[OVERALL PLAYER]],TableOverallMaster[OVERALL PLAYER],0)),"")</f>
        <v>0.39340771717486089</v>
      </c>
      <c r="AV53">
        <v>52</v>
      </c>
      <c r="AW53" s="122" t="str">
        <f>IFERROR(INDEX(TableWRTECalcPts[PLAYER],MATCH(TableWRTERank[[#This Row],[RK]],TableWRTECalcPts[RK],0)),"")</f>
        <v>Xavier Worthy</v>
      </c>
      <c r="AX53" s="122" t="str">
        <f>IFERROR(INDEX(TableWRTECalcPts[POS RK],MATCH(TableWRTERank[[#This Row],[WR and TE COMBINED]],TableWRTECalcPts[PLAYER],0)),"")</f>
        <v>WR47</v>
      </c>
      <c r="AY53" s="122">
        <f>IFERROR(INDEX(TableWRTECalcPts[BYE],MATCH(TableWRTERank[[#This Row],[RK]],TableWRTECalcPts[RK],0)),"")</f>
        <v>10</v>
      </c>
      <c r="AZ53" s="123">
        <f>IFERROR(INDEX(TableWRTECalcPts[Custom],MATCH(TableWRTERank[[#This Row],[RK]],TableWRTECalcPts[RK],0)),"")</f>
        <v>159.24169963519995</v>
      </c>
      <c r="BA53" s="174">
        <f>IFERROR((TableWRTERank[[#This Row],[FPS]]-INDEX(TableWRTERank[FPS],MATCH(WRTEVORPCalc,TableWRTERank[RK],0)))/INDEX(TableWRTERank[FPS],MATCH(WRTEVORPCalc,TableWRTERank[RK],0)),"")</f>
        <v>6.669236563029253E-2</v>
      </c>
      <c r="BC53" t="s">
        <v>223</v>
      </c>
      <c r="BD53">
        <v>52</v>
      </c>
      <c r="BE53" s="83">
        <f>RANK(TableWRTEMaster[[#This Row],[VORP]],TableWRTEMaster[VORP])+COUNTIF($BJ$2:BJ53,BJ53)-1</f>
        <v>62</v>
      </c>
      <c r="BF53" s="115" t="str">
        <f>IFERROR(INDEX(TableWRVORP[WIDE RECEIVER],MATCH(TableWRTEMaster[[#This Row],[RK]],TableWRVORP[RK],0)),"")</f>
        <v>Keenan Allen</v>
      </c>
      <c r="BG53" s="115" t="str">
        <f>_xlfn.CONCAT(TableWRTEMaster[[#This Row],[POS]],TableWRTEMaster[[#This Row],[RK]])</f>
        <v>WR52</v>
      </c>
      <c r="BH53" s="115">
        <f>IFERROR(INDEX(TableWRVORP[BYE],MATCH(TableWRTEMaster[[#This Row],[RK]],TableWRVORP[RK],0)),"")</f>
        <v>13</v>
      </c>
      <c r="BI53" s="116">
        <f>IFERROR(INDEX(TableWRVORP[FPS],MATCH(TableWRTEMaster[[#This Row],[RK]],TableWRVORP[RK],0)),"")</f>
        <v>151.05445991999994</v>
      </c>
      <c r="BJ53" s="117">
        <f>IFERROR(INDEX(TableWRVORP[VORP],MATCH(TableWRTEMaster[[#This Row],[RK]],TableWRVORP[RK],0)),"")</f>
        <v>4.6064186199126396E-2</v>
      </c>
    </row>
    <row r="54" spans="1:62" x14ac:dyDescent="0.2">
      <c r="A54">
        <v>53</v>
      </c>
      <c r="B54" s="112" t="str">
        <f>IFERROR(INDEX(TableQBCalcPts[PLAYER],MATCH(TableQBVORP[[#This Row],[RK]],TableQBCalcPts[RK],0)),"")</f>
        <v>Kenny Pickett</v>
      </c>
      <c r="C54" s="112" t="str">
        <f>IFERROR(INDEX(TableQBCalcPts[TM],MATCH(TableQBVORP[[#This Row],[RK]],TableQBCalcPts[RK],0)),"")</f>
        <v>PHI</v>
      </c>
      <c r="D54" s="112">
        <f>IFERROR(INDEX(TableQBCalcPts[BYE],MATCH(TableQBVORP[[#This Row],[RK]],TableQBCalcPts[RK],0)),"")</f>
        <v>10</v>
      </c>
      <c r="E54" s="113">
        <f>IFERROR(INDEX(TableQBCalcPts[Custom],MATCH(TableQBVORP[[#This Row],[RK]],TableQBCalcPts[RK],0)),"")</f>
        <v>5.3997111671040043</v>
      </c>
      <c r="F54" s="114">
        <f>(IFERROR((TableQBVORP[[#This Row],[FPS]]-INDEX(TableQBVORP[FPS],MATCH(QBVORPCalc,TableQBVORP[RK],0)))/INDEX(TableQBVORP[FPS],MATCH(QBVORPCalc,TableQBVORP[RK],0)),""))+(TableRBVORP[[#This Row],[VORP]]*0.45)</f>
        <v>-1.0710407342623549</v>
      </c>
      <c r="H54">
        <v>53</v>
      </c>
      <c r="I54" s="112" t="str">
        <f>IFERROR(INDEX(TableRBCalcPts[PLAYER],MATCH(TableRBVORP[[#This Row],[RK]],TableRBCalcPts[RK],0)),"")</f>
        <v>Jaylen Wright</v>
      </c>
      <c r="J54" s="112" t="str">
        <f>IFERROR(INDEX(TableRBCalcPts[TM],MATCH(TableRBVORP[[#This Row],[RK]],TableRBCalcPts[RK],0)),"")</f>
        <v>MIA</v>
      </c>
      <c r="K54" s="112">
        <f>IFERROR(INDEX(TableRBCalcPts[BYE],MATCH(TableRBVORP[[#This Row],[RK]],TableRBCalcPts[RK],0)),"")</f>
        <v>10</v>
      </c>
      <c r="L54" s="113">
        <f>IFERROR(INDEX(TableRBCalcPts[Custom],MATCH(TableRBVORP[[#This Row],[RK]],TableRBCalcPts[RK],0)),"")</f>
        <v>91.322713680576001</v>
      </c>
      <c r="M54" s="114">
        <f>IFERROR((TableRBVORP[[#This Row],[FPS]]-INDEX(TableRBVORP[FPS],MATCH(RBVORPCalc,TableRBVORP[RK],0)))/INDEX(TableRBVORP[FPS],MATCH(RBVORPCalc,TableRBVORP[RK],0)),"")</f>
        <v>-0.1898130729750982</v>
      </c>
      <c r="O54">
        <v>53</v>
      </c>
      <c r="P54" s="112" t="str">
        <f>IFERROR(INDEX(TableWRCalcPts[PLAYER],MATCH(TableWRVORP[[#This Row],[RK]],TableWRCalcPts[RK],0)),"")</f>
        <v>Tyler Lockett</v>
      </c>
      <c r="Q54" s="112" t="str">
        <f>IFERROR(INDEX(TableWRCalcPts[TM],MATCH(TableWRVORP[[#This Row],[RK]],TableWRCalcPts[RK],0)),"")</f>
        <v>SEA</v>
      </c>
      <c r="R54" s="112">
        <f>IFERROR(INDEX(TableWRCalcPts[BYE],MATCH(TableWRVORP[[#This Row],[RK]],TableWRCalcPts[RK],0)),"")</f>
        <v>5</v>
      </c>
      <c r="S54" s="113">
        <f>IFERROR(INDEX(TableWRCalcPts[Custom],MATCH(TableWRVORP[[#This Row],[RK]],TableWRCalcPts[RK],0)),"")</f>
        <v>149.2854967056096</v>
      </c>
      <c r="T54" s="114">
        <f>IFERROR((TableWRVORP[[#This Row],[FPS]]-INDEX(TableWRVORP[FPS],MATCH(WRVORPCalc,TableWRVORP[RK],0)))/INDEX(TableWRVORP[FPS],MATCH(WRVORPCalc,TableWRVORP[RK],0)),"")</f>
        <v>3.3813974810085391E-2</v>
      </c>
      <c r="V54">
        <v>53</v>
      </c>
      <c r="W54" s="112" t="str">
        <f>IFERROR(INDEX(TableTECalcPts[PLAYER],MATCH(TableTEVORP[[#This Row],[RK]],TableTECalcPts[RK],0)),"")</f>
        <v>Irv Smith</v>
      </c>
      <c r="X54" s="112" t="str">
        <f>IFERROR(INDEX(TableTECalcPts[TM],MATCH(TableTEVORP[[#This Row],[RK]],TableTECalcPts[RK],0)),"")</f>
        <v>KC</v>
      </c>
      <c r="Y54" s="112">
        <f>IFERROR(INDEX(TableTECalcPts[BYE],MATCH(TableTEVORP[[#This Row],[RK]],TableTECalcPts[RK],0)),"")</f>
        <v>10</v>
      </c>
      <c r="Z54" s="113">
        <f>IFERROR(INDEX(TableTECalcPts[Custom],MATCH(TableTEVORP[[#This Row],[RK]],TableTECalcPts[RK],0)),"")</f>
        <v>25.696037848319992</v>
      </c>
      <c r="AA54" s="114">
        <f>IFERROR((TableTEVORP[[#This Row],[FPS]]-INDEX(TableTEVORP[FPS],MATCH(TEVORPCalc,TableTEVORP[RK],0)))/INDEX(TableTEVORP[FPS],MATCH(TEVORPCalc,TableTEVORP[RK],0)),"")</f>
        <v>-0.8043586534042706</v>
      </c>
      <c r="AF54" t="s">
        <v>222</v>
      </c>
      <c r="AG54">
        <v>13</v>
      </c>
      <c r="AH54" s="83">
        <f>RANK(TableOverallMaster[[#This Row],[VORP]],TableOverallMaster[VORP])+COUNTIF($AM$2:AM54,AM54)-1</f>
        <v>14</v>
      </c>
      <c r="AI54" s="115" t="str">
        <f>IFERROR(INDEX(TableRBVORP[RUNNING BACK],MATCH(TableOverallMaster[[#This Row],[RK]],TableRBVORP[RK],0)),"")</f>
        <v>Rachaad White</v>
      </c>
      <c r="AJ54" s="115" t="str">
        <f t="shared" si="0"/>
        <v>RB13</v>
      </c>
      <c r="AK54" s="115">
        <f>IFERROR(INDEX(TableRBVORP[BYE],MATCH(TableOverallMaster[[#This Row],[RK]],TableRBVORP[RK],0)),"")</f>
        <v>5</v>
      </c>
      <c r="AL54" s="116">
        <f>IFERROR(INDEX(TableRBVORP[FPS],MATCH(TableOverallMaster[[#This Row],[RK]],TableRBVORP[RK],0)),"")</f>
        <v>206.90615457993601</v>
      </c>
      <c r="AM54" s="117">
        <f>IFERROR(INDEX(TableRBVORP[VORP],MATCH(TableOverallMaster[[#This Row],[RK]],TableRBVORP[RK],0)),"")</f>
        <v>0.83560753733178339</v>
      </c>
      <c r="AO54">
        <v>53</v>
      </c>
      <c r="AP54" s="118" t="str">
        <f>IFERROR(INDEX(TableOverallMaster[OVERALL PLAYER],MATCH(TableOverallRank[[#This Row],[RK]],TableOverallMaster[OVR RK],0)),"")</f>
        <v>Tee Higgins</v>
      </c>
      <c r="AQ54" s="119" t="str">
        <f>IFERROR(INDEX(TableOverallMaster[POS RK],MATCH(TableOverallRank[[#This Row],[OVERALL PLAYER]],TableOverallMaster[OVERALL PLAYER],0)),"")</f>
        <v>WR14</v>
      </c>
      <c r="AR54" s="120">
        <f>IFERROR(INDEX(TableOverallMaster[BYE],MATCH(TableOverallRank[[#This Row],[OVERALL PLAYER]],TableOverallMaster[OVERALL PLAYER],0)),"")</f>
        <v>7</v>
      </c>
      <c r="AS54" s="119">
        <f>IFERROR(INDEX(TableOverallMaster[Custom],MATCH(TableOverallRank[[#This Row],[OVERALL PLAYER]],TableOverallMaster[OVERALL PLAYER],0)),"")</f>
        <v>200.92599491277602</v>
      </c>
      <c r="AT54" s="121">
        <f>IFERROR(INDEX(TableOverallMaster[VORP],MATCH(TableOverallRank[[#This Row],[OVERALL PLAYER]],TableOverallMaster[OVERALL PLAYER],0)),"")</f>
        <v>0.3914285448175262</v>
      </c>
      <c r="AV54">
        <v>53</v>
      </c>
      <c r="AW54" s="122" t="str">
        <f>IFERROR(INDEX(TableWRTECalcPts[PLAYER],MATCH(TableWRTERank[[#This Row],[RK]],TableWRTECalcPts[RK],0)),"")</f>
        <v>Diontae Johnson</v>
      </c>
      <c r="AX54" s="122" t="str">
        <f>IFERROR(INDEX(TableWRTECalcPts[POS RK],MATCH(TableWRTERank[[#This Row],[WR and TE COMBINED]],TableWRTECalcPts[PLAYER],0)),"")</f>
        <v>WR48</v>
      </c>
      <c r="AY54" s="122">
        <f>IFERROR(INDEX(TableWRTECalcPts[BYE],MATCH(TableWRTERank[[#This Row],[RK]],TableWRTECalcPts[RK],0)),"")</f>
        <v>7</v>
      </c>
      <c r="AZ54" s="123">
        <f>IFERROR(INDEX(TableWRTECalcPts[Custom],MATCH(TableWRTERank[[#This Row],[RK]],TableWRTECalcPts[RK],0)),"")</f>
        <v>157.09497063649198</v>
      </c>
      <c r="BA54" s="174">
        <f>IFERROR((TableWRTERank[[#This Row],[FPS]]-INDEX(TableWRTERank[FPS],MATCH(WRTEVORPCalc,TableWRTERank[RK],0)))/INDEX(TableWRTERank[FPS],MATCH(WRTEVORPCalc,TableWRTERank[RK],0)),"")</f>
        <v>5.2312341809617496E-2</v>
      </c>
      <c r="BC54" t="s">
        <v>223</v>
      </c>
      <c r="BD54">
        <v>53</v>
      </c>
      <c r="BE54" s="83">
        <f>RANK(TableWRTEMaster[[#This Row],[VORP]],TableWRTEMaster[VORP])+COUNTIF($BJ$2:BJ54,BJ54)-1</f>
        <v>63</v>
      </c>
      <c r="BF54" s="115" t="str">
        <f>IFERROR(INDEX(TableWRVORP[WIDE RECEIVER],MATCH(TableWRTEMaster[[#This Row],[RK]],TableWRVORP[RK],0)),"")</f>
        <v>Tyler Lockett</v>
      </c>
      <c r="BG54" s="115" t="str">
        <f>_xlfn.CONCAT(TableWRTEMaster[[#This Row],[POS]],TableWRTEMaster[[#This Row],[RK]])</f>
        <v>WR53</v>
      </c>
      <c r="BH54" s="115">
        <f>IFERROR(INDEX(TableWRVORP[BYE],MATCH(TableWRTEMaster[[#This Row],[RK]],TableWRVORP[RK],0)),"")</f>
        <v>5</v>
      </c>
      <c r="BI54" s="116">
        <f>IFERROR(INDEX(TableWRVORP[FPS],MATCH(TableWRTEMaster[[#This Row],[RK]],TableWRVORP[RK],0)),"")</f>
        <v>149.2854967056096</v>
      </c>
      <c r="BJ54" s="117">
        <f>IFERROR(INDEX(TableWRVORP[VORP],MATCH(TableWRTEMaster[[#This Row],[RK]],TableWRVORP[RK],0)),"")</f>
        <v>3.3813974810085391E-2</v>
      </c>
    </row>
    <row r="55" spans="1:62" x14ac:dyDescent="0.2">
      <c r="A55">
        <v>54</v>
      </c>
      <c r="B55" s="112" t="str">
        <f>IFERROR(INDEX(TableQBCalcPts[PLAYER],MATCH(TableQBVORP[[#This Row],[RK]],TableQBCalcPts[RK],0)),"")</f>
        <v>Hendon Hooker</v>
      </c>
      <c r="C55" s="112" t="str">
        <f>IFERROR(INDEX(TableQBCalcPts[TM],MATCH(TableQBVORP[[#This Row],[RK]],TableQBCalcPts[RK],0)),"")</f>
        <v>DET</v>
      </c>
      <c r="D55" s="112">
        <f>IFERROR(INDEX(TableQBCalcPts[BYE],MATCH(TableQBVORP[[#This Row],[RK]],TableQBCalcPts[RK],0)),"")</f>
        <v>9</v>
      </c>
      <c r="E55" s="113">
        <f>IFERROR(INDEX(TableQBCalcPts[Custom],MATCH(TableQBVORP[[#This Row],[RK]],TableQBCalcPts[RK],0)),"")</f>
        <v>5.3230360408560049</v>
      </c>
      <c r="F55" s="114">
        <f>(IFERROR((TableQBVORP[[#This Row],[FPS]]-INDEX(TableQBVORP[FPS],MATCH(QBVORPCalc,TableQBVORP[RK],0)))/INDEX(TableQBVORP[FPS],MATCH(QBVORPCalc,TableQBVORP[RK],0)),""))+(TableRBVORP[[#This Row],[VORP]]*0.45)</f>
        <v>-1.074278073853572</v>
      </c>
      <c r="H55">
        <v>54</v>
      </c>
      <c r="I55" s="112" t="str">
        <f>IFERROR(INDEX(TableRBCalcPts[PLAYER],MATCH(TableRBVORP[[#This Row],[RK]],TableRBCalcPts[RK],0)),"")</f>
        <v>Roschon Johnson</v>
      </c>
      <c r="J55" s="112" t="str">
        <f>IFERROR(INDEX(TableRBCalcPts[TM],MATCH(TableRBVORP[[#This Row],[RK]],TableRBCalcPts[RK],0)),"")</f>
        <v>CHI</v>
      </c>
      <c r="K55" s="112">
        <f>IFERROR(INDEX(TableRBCalcPts[BYE],MATCH(TableRBVORP[[#This Row],[RK]],TableRBCalcPts[RK],0)),"")</f>
        <v>13</v>
      </c>
      <c r="L55" s="113">
        <f>IFERROR(INDEX(TableRBCalcPts[Custom],MATCH(TableRBVORP[[#This Row],[RK]],TableRBCalcPts[RK],0)),"")</f>
        <v>90.562940092799991</v>
      </c>
      <c r="M55" s="114">
        <f>IFERROR((TableRBVORP[[#This Row],[FPS]]-INDEX(TableRBVORP[FPS],MATCH(RBVORPCalc,TableRBVORP[RK],0)))/INDEX(TableRBVORP[FPS],MATCH(RBVORPCalc,TableRBVORP[RK],0)),"")</f>
        <v>-0.19655354972514311</v>
      </c>
      <c r="O55">
        <v>54</v>
      </c>
      <c r="P55" s="112" t="str">
        <f>IFERROR(INDEX(TableWRCalcPts[PLAYER],MATCH(TableWRVORP[[#This Row],[RK]],TableWRCalcPts[RK],0)),"")</f>
        <v>Marquise Brown</v>
      </c>
      <c r="Q55" s="112" t="str">
        <f>IFERROR(INDEX(TableWRCalcPts[TM],MATCH(TableWRVORP[[#This Row],[RK]],TableWRCalcPts[RK],0)),"")</f>
        <v>KC</v>
      </c>
      <c r="R55" s="112">
        <f>IFERROR(INDEX(TableWRCalcPts[BYE],MATCH(TableWRVORP[[#This Row],[RK]],TableWRCalcPts[RK],0)),"")</f>
        <v>10</v>
      </c>
      <c r="S55" s="113">
        <f>IFERROR(INDEX(TableWRCalcPts[Custom],MATCH(TableWRVORP[[#This Row],[RK]],TableWRCalcPts[RK],0)),"")</f>
        <v>147.63615491071997</v>
      </c>
      <c r="T55" s="114">
        <f>IFERROR((TableWRVORP[[#This Row],[FPS]]-INDEX(TableWRVORP[FPS],MATCH(WRVORPCalc,TableWRVORP[RK],0)))/INDEX(TableWRVORP[FPS],MATCH(WRVORPCalc,TableWRVORP[RK],0)),"")</f>
        <v>2.2392151294585216E-2</v>
      </c>
      <c r="V55">
        <v>54</v>
      </c>
      <c r="W55" s="112" t="str">
        <f>IFERROR(INDEX(TableTECalcPts[PLAYER],MATCH(TableTEVORP[[#This Row],[RK]],TableTECalcPts[RK],0)),"")</f>
        <v>Hayden Hurst</v>
      </c>
      <c r="X55" s="112" t="str">
        <f>IFERROR(INDEX(TableTECalcPts[TM],MATCH(TableTEVORP[[#This Row],[RK]],TableTECalcPts[RK],0)),"")</f>
        <v>LAC</v>
      </c>
      <c r="Y55" s="112">
        <f>IFERROR(INDEX(TableTECalcPts[BYE],MATCH(TableTEVORP[[#This Row],[RK]],TableTECalcPts[RK],0)),"")</f>
        <v>5</v>
      </c>
      <c r="Z55" s="113">
        <f>IFERROR(INDEX(TableTECalcPts[Custom],MATCH(TableTEVORP[[#This Row],[RK]],TableTECalcPts[RK],0)),"")</f>
        <v>25.211992245510004</v>
      </c>
      <c r="AA55" s="114">
        <f>IFERROR((TableTEVORP[[#This Row],[FPS]]-INDEX(TableTEVORP[FPS],MATCH(TEVORPCalc,TableTEVORP[RK],0)))/INDEX(TableTEVORP[FPS],MATCH(TEVORPCalc,TableTEVORP[RK],0)),"")</f>
        <v>-0.80804402054555846</v>
      </c>
      <c r="AF55" t="s">
        <v>222</v>
      </c>
      <c r="AG55">
        <v>14</v>
      </c>
      <c r="AH55" s="83">
        <f>RANK(TableOverallMaster[[#This Row],[VORP]],TableOverallMaster[VORP])+COUNTIF($AM$2:AM55,AM55)-1</f>
        <v>16</v>
      </c>
      <c r="AI55" s="115" t="str">
        <f>IFERROR(INDEX(TableRBVORP[RUNNING BACK],MATCH(TableOverallMaster[[#This Row],[RK]],TableRBVORP[RK],0)),"")</f>
        <v>Rhamondre Stevenson</v>
      </c>
      <c r="AJ55" s="115" t="str">
        <f t="shared" si="0"/>
        <v>RB14</v>
      </c>
      <c r="AK55" s="115">
        <f>IFERROR(INDEX(TableRBVORP[BYE],MATCH(TableOverallMaster[[#This Row],[RK]],TableRBVORP[RK],0)),"")</f>
        <v>11</v>
      </c>
      <c r="AL55" s="116">
        <f>IFERROR(INDEX(TableRBVORP[FPS],MATCH(TableOverallMaster[[#This Row],[RK]],TableRBVORP[RK],0)),"")</f>
        <v>198.29344996664003</v>
      </c>
      <c r="AM55" s="117">
        <f>IFERROR(INDEX(TableRBVORP[VORP],MATCH(TableOverallMaster[[#This Row],[RK]],TableRBVORP[RK],0)),"")</f>
        <v>0.75919828050191707</v>
      </c>
      <c r="AO55">
        <v>54</v>
      </c>
      <c r="AP55" s="118" t="str">
        <f>IFERROR(INDEX(TableOverallMaster[OVERALL PLAYER],MATCH(TableOverallRank[[#This Row],[RK]],TableOverallMaster[OVR RK],0)),"")</f>
        <v>DK Metcalf</v>
      </c>
      <c r="AQ55" s="119" t="str">
        <f>IFERROR(INDEX(TableOverallMaster[POS RK],MATCH(TableOverallRank[[#This Row],[OVERALL PLAYER]],TableOverallMaster[OVERALL PLAYER],0)),"")</f>
        <v>WR15</v>
      </c>
      <c r="AR55" s="120">
        <f>IFERROR(INDEX(TableOverallMaster[BYE],MATCH(TableOverallRank[[#This Row],[OVERALL PLAYER]],TableOverallMaster[OVERALL PLAYER],0)),"")</f>
        <v>5</v>
      </c>
      <c r="AS55" s="119">
        <f>IFERROR(INDEX(TableOverallMaster[Custom],MATCH(TableOverallRank[[#This Row],[OVERALL PLAYER]],TableOverallMaster[OVERALL PLAYER],0)),"")</f>
        <v>199.92229009247873</v>
      </c>
      <c r="AT55" s="121">
        <f>IFERROR(INDEX(TableOverallMaster[VORP],MATCH(TableOverallRank[[#This Row],[OVERALL PLAYER]],TableOverallMaster[OVERALL PLAYER],0)),"")</f>
        <v>0.38447780886054433</v>
      </c>
      <c r="AV55">
        <v>54</v>
      </c>
      <c r="AW55" s="122" t="str">
        <f>IFERROR(INDEX(TableWRTECalcPts[PLAYER],MATCH(TableWRTERank[[#This Row],[RK]],TableWRTECalcPts[RK],0)),"")</f>
        <v>Dalton Kincaid</v>
      </c>
      <c r="AX55" s="122" t="str">
        <f>IFERROR(INDEX(TableWRTECalcPts[POS RK],MATCH(TableWRTERank[[#This Row],[WR and TE COMBINED]],TableWRTECalcPts[PLAYER],0)),"")</f>
        <v>TE6</v>
      </c>
      <c r="AY55" s="122">
        <f>IFERROR(INDEX(TableWRTECalcPts[BYE],MATCH(TableWRTERank[[#This Row],[RK]],TableWRTECalcPts[RK],0)),"")</f>
        <v>13</v>
      </c>
      <c r="AZ55" s="123">
        <f>IFERROR(INDEX(TableWRTECalcPts[Custom],MATCH(TableWRTERank[[#This Row],[RK]],TableWRTECalcPts[RK],0)),"")</f>
        <v>155.12491385395197</v>
      </c>
      <c r="BA55" s="174">
        <f>IFERROR((TableWRTERank[[#This Row],[FPS]]-INDEX(TableWRTERank[FPS],MATCH(WRTEVORPCalc,TableWRTERank[RK],0)))/INDEX(TableWRTERank[FPS],MATCH(WRTEVORPCalc,TableWRTERank[RK],0)),"")</f>
        <v>3.9115769965636184E-2</v>
      </c>
      <c r="BC55" t="s">
        <v>223</v>
      </c>
      <c r="BD55">
        <v>54</v>
      </c>
      <c r="BE55" s="83">
        <f>RANK(TableWRTEMaster[[#This Row],[VORP]],TableWRTEMaster[VORP])+COUNTIF($BJ$2:BJ55,BJ55)-1</f>
        <v>64</v>
      </c>
      <c r="BF55" s="115" t="str">
        <f>IFERROR(INDEX(TableWRVORP[WIDE RECEIVER],MATCH(TableWRTEMaster[[#This Row],[RK]],TableWRVORP[RK],0)),"")</f>
        <v>Marquise Brown</v>
      </c>
      <c r="BG55" s="115" t="str">
        <f>_xlfn.CONCAT(TableWRTEMaster[[#This Row],[POS]],TableWRTEMaster[[#This Row],[RK]])</f>
        <v>WR54</v>
      </c>
      <c r="BH55" s="115">
        <f>IFERROR(INDEX(TableWRVORP[BYE],MATCH(TableWRTEMaster[[#This Row],[RK]],TableWRVORP[RK],0)),"")</f>
        <v>10</v>
      </c>
      <c r="BI55" s="116">
        <f>IFERROR(INDEX(TableWRVORP[FPS],MATCH(TableWRTEMaster[[#This Row],[RK]],TableWRVORP[RK],0)),"")</f>
        <v>147.63615491071997</v>
      </c>
      <c r="BJ55" s="117">
        <f>IFERROR(INDEX(TableWRVORP[VORP],MATCH(TableWRTEMaster[[#This Row],[RK]],TableWRVORP[RK],0)),"")</f>
        <v>2.2392151294585216E-2</v>
      </c>
    </row>
    <row r="56" spans="1:62" x14ac:dyDescent="0.2">
      <c r="A56">
        <v>55</v>
      </c>
      <c r="B56" s="112" t="str">
        <f>IFERROR(INDEX(TableQBCalcPts[PLAYER],MATCH(TableQBVORP[[#This Row],[RK]],TableQBCalcPts[RK],0)),"")</f>
        <v>Tyrod Taylor</v>
      </c>
      <c r="C56" s="112" t="str">
        <f>IFERROR(INDEX(TableQBCalcPts[TM],MATCH(TableQBVORP[[#This Row],[RK]],TableQBCalcPts[RK],0)),"")</f>
        <v>NYJ</v>
      </c>
      <c r="D56" s="112">
        <f>IFERROR(INDEX(TableQBCalcPts[BYE],MATCH(TableQBVORP[[#This Row],[RK]],TableQBCalcPts[RK],0)),"")</f>
        <v>7</v>
      </c>
      <c r="E56" s="113">
        <f>IFERROR(INDEX(TableQBCalcPts[Custom],MATCH(TableQBVORP[[#This Row],[RK]],TableQBCalcPts[RK],0)),"")</f>
        <v>5.1004583192640007</v>
      </c>
      <c r="F56" s="114">
        <f>(IFERROR((TableQBVORP[[#This Row],[FPS]]-INDEX(TableQBVORP[FPS],MATCH(QBVORPCalc,TableQBVORP[RK],0)))/INDEX(TableQBVORP[FPS],MATCH(QBVORPCalc,TableQBVORP[RK],0)),""))+(TableRBVORP[[#This Row],[VORP]]*0.45)</f>
        <v>-1.1098631743503811</v>
      </c>
      <c r="H56">
        <v>55</v>
      </c>
      <c r="I56" s="112" t="str">
        <f>IFERROR(INDEX(TableRBCalcPts[PLAYER],MATCH(TableRBVORP[[#This Row],[RK]],TableRBCalcPts[RK],0)),"")</f>
        <v>Audric Estime</v>
      </c>
      <c r="J56" s="112" t="str">
        <f>IFERROR(INDEX(TableRBCalcPts[TM],MATCH(TableRBVORP[[#This Row],[RK]],TableRBCalcPts[RK],0)),"")</f>
        <v>DEN</v>
      </c>
      <c r="K56" s="112">
        <f>IFERROR(INDEX(TableRBCalcPts[BYE],MATCH(TableRBVORP[[#This Row],[RK]],TableRBCalcPts[RK],0)),"")</f>
        <v>9</v>
      </c>
      <c r="L56" s="113">
        <f>IFERROR(INDEX(TableRBCalcPts[Custom],MATCH(TableRBVORP[[#This Row],[RK]],TableRBCalcPts[RK],0)),"")</f>
        <v>81.797843901900023</v>
      </c>
      <c r="M56" s="114">
        <f>IFERROR((TableRBVORP[[#This Row],[FPS]]-INDEX(TableRBVORP[FPS],MATCH(RBVORPCalc,TableRBVORP[RK],0)))/INDEX(TableRBVORP[FPS],MATCH(RBVORPCalc,TableRBVORP[RK],0)),"")</f>
        <v>-0.27431477759252471</v>
      </c>
      <c r="O56">
        <v>55</v>
      </c>
      <c r="P56" s="112" t="str">
        <f>IFERROR(INDEX(TableWRCalcPts[PLAYER],MATCH(TableWRVORP[[#This Row],[RK]],TableWRCalcPts[RK],0)),"")</f>
        <v>Michael Wilson</v>
      </c>
      <c r="Q56" s="112" t="str">
        <f>IFERROR(INDEX(TableWRCalcPts[TM],MATCH(TableWRVORP[[#This Row],[RK]],TableWRCalcPts[RK],0)),"")</f>
        <v>ARI</v>
      </c>
      <c r="R56" s="112">
        <f>IFERROR(INDEX(TableWRCalcPts[BYE],MATCH(TableWRVORP[[#This Row],[RK]],TableWRCalcPts[RK],0)),"")</f>
        <v>14</v>
      </c>
      <c r="S56" s="113">
        <f>IFERROR(INDEX(TableWRCalcPts[Custom],MATCH(TableWRVORP[[#This Row],[RK]],TableWRCalcPts[RK],0)),"")</f>
        <v>144.59086635304499</v>
      </c>
      <c r="T56" s="114">
        <f>IFERROR((TableWRVORP[[#This Row],[FPS]]-INDEX(TableWRVORP[FPS],MATCH(WRVORPCalc,TableWRVORP[RK],0)))/INDEX(TableWRVORP[FPS],MATCH(WRVORPCalc,TableWRVORP[RK],0)),"")</f>
        <v>1.3032850769780103E-3</v>
      </c>
      <c r="V56">
        <v>55</v>
      </c>
      <c r="W56" s="112" t="str">
        <f>IFERROR(INDEX(TableTECalcPts[PLAYER],MATCH(TableTEVORP[[#This Row],[RK]],TableTECalcPts[RK],0)),"")</f>
        <v>Cade Stover</v>
      </c>
      <c r="X56" s="112" t="str">
        <f>IFERROR(INDEX(TableTECalcPts[TM],MATCH(TableTEVORP[[#This Row],[RK]],TableTECalcPts[RK],0)),"")</f>
        <v>HOU</v>
      </c>
      <c r="Y56" s="112">
        <f>IFERROR(INDEX(TableTECalcPts[BYE],MATCH(TableTEVORP[[#This Row],[RK]],TableTECalcPts[RK],0)),"")</f>
        <v>7</v>
      </c>
      <c r="Z56" s="113">
        <f>IFERROR(INDEX(TableTECalcPts[Custom],MATCH(TableTEVORP[[#This Row],[RK]],TableTECalcPts[RK],0)),"")</f>
        <v>23.553999006720002</v>
      </c>
      <c r="AA56" s="114">
        <f>IFERROR((TableTEVORP[[#This Row],[FPS]]-INDEX(TableTEVORP[FPS],MATCH(TEVORPCalc,TableTEVORP[RK],0)))/INDEX(TableTEVORP[FPS],MATCH(TEVORPCalc,TableTEVORP[RK],0)),"")</f>
        <v>-0.82066744645262679</v>
      </c>
      <c r="AF56" t="s">
        <v>222</v>
      </c>
      <c r="AG56">
        <v>15</v>
      </c>
      <c r="AH56" s="83">
        <f>RANK(TableOverallMaster[[#This Row],[VORP]],TableOverallMaster[VORP])+COUNTIF($AM$2:AM56,AM56)-1</f>
        <v>19</v>
      </c>
      <c r="AI56" s="115" t="str">
        <f>IFERROR(INDEX(TableRBVORP[RUNNING BACK],MATCH(TableOverallMaster[[#This Row],[RK]],TableRBVORP[RK],0)),"")</f>
        <v>Josh Jacobs</v>
      </c>
      <c r="AJ56" s="115" t="str">
        <f t="shared" si="0"/>
        <v>RB15</v>
      </c>
      <c r="AK56" s="115">
        <f>IFERROR(INDEX(TableRBVORP[BYE],MATCH(TableOverallMaster[[#This Row],[RK]],TableRBVORP[RK],0)),"")</f>
        <v>6</v>
      </c>
      <c r="AL56" s="116">
        <f>IFERROR(INDEX(TableRBVORP[FPS],MATCH(TableOverallMaster[[#This Row],[RK]],TableRBVORP[RK],0)),"")</f>
        <v>195.67667368737602</v>
      </c>
      <c r="AM56" s="117">
        <f>IFERROR(INDEX(TableRBVORP[VORP],MATCH(TableOverallMaster[[#This Row],[RK]],TableRBVORP[RK],0)),"")</f>
        <v>0.73598304907741019</v>
      </c>
      <c r="AO56">
        <v>55</v>
      </c>
      <c r="AP56" s="118" t="str">
        <f>IFERROR(INDEX(TableOverallMaster[OVERALL PLAYER],MATCH(TableOverallRank[[#This Row],[RK]],TableOverallMaster[OVR RK],0)),"")</f>
        <v>Mark Andrews</v>
      </c>
      <c r="AQ56" s="119" t="str">
        <f>IFERROR(INDEX(TableOverallMaster[POS RK],MATCH(TableOverallRank[[#This Row],[OVERALL PLAYER]],TableOverallMaster[OVERALL PLAYER],0)),"")</f>
        <v>TE3</v>
      </c>
      <c r="AR56" s="120">
        <f>IFERROR(INDEX(TableOverallMaster[BYE],MATCH(TableOverallRank[[#This Row],[OVERALL PLAYER]],TableOverallMaster[OVERALL PLAYER],0)),"")</f>
        <v>13</v>
      </c>
      <c r="AS56" s="119">
        <f>IFERROR(INDEX(TableOverallMaster[Custom],MATCH(TableOverallRank[[#This Row],[OVERALL PLAYER]],TableOverallMaster[OVERALL PLAYER],0)),"")</f>
        <v>181.76200187228162</v>
      </c>
      <c r="AT56" s="121">
        <f>IFERROR(INDEX(TableOverallMaster[VORP],MATCH(TableOverallRank[[#This Row],[OVERALL PLAYER]],TableOverallMaster[OVERALL PLAYER],0)),"")</f>
        <v>0.383877273848022</v>
      </c>
      <c r="AV56">
        <v>55</v>
      </c>
      <c r="AW56" s="122" t="str">
        <f>IFERROR(INDEX(TableWRTECalcPts[PLAYER],MATCH(TableWRTERank[[#This Row],[RK]],TableWRTECalcPts[RK],0)),"")</f>
        <v>George Kittle</v>
      </c>
      <c r="AX56" s="122" t="str">
        <f>IFERROR(INDEX(TableWRTECalcPts[POS RK],MATCH(TableWRTERank[[#This Row],[WR and TE COMBINED]],TableWRTECalcPts[PLAYER],0)),"")</f>
        <v>TE7</v>
      </c>
      <c r="AY56" s="122">
        <f>IFERROR(INDEX(TableWRTECalcPts[BYE],MATCH(TableWRTERank[[#This Row],[RK]],TableWRTECalcPts[RK],0)),"")</f>
        <v>9</v>
      </c>
      <c r="AZ56" s="123">
        <f>IFERROR(INDEX(TableWRTECalcPts[Custom],MATCH(TableWRTERank[[#This Row],[RK]],TableWRTECalcPts[RK],0)),"")</f>
        <v>155.07776599922877</v>
      </c>
      <c r="BA56" s="174">
        <f>IFERROR((TableWRTERank[[#This Row],[FPS]]-INDEX(TableWRTERank[FPS],MATCH(WRTEVORPCalc,TableWRTERank[RK],0)))/INDEX(TableWRTERank[FPS],MATCH(WRTEVORPCalc,TableWRTERank[RK],0)),"")</f>
        <v>3.8799946555032751E-2</v>
      </c>
      <c r="BC56" t="s">
        <v>223</v>
      </c>
      <c r="BD56">
        <v>55</v>
      </c>
      <c r="BE56" s="83">
        <f>RANK(TableWRTEMaster[[#This Row],[VORP]],TableWRTEMaster[VORP])+COUNTIF($BJ$2:BJ56,BJ56)-1</f>
        <v>65</v>
      </c>
      <c r="BF56" s="115" t="str">
        <f>IFERROR(INDEX(TableWRVORP[WIDE RECEIVER],MATCH(TableWRTEMaster[[#This Row],[RK]],TableWRVORP[RK],0)),"")</f>
        <v>Michael Wilson</v>
      </c>
      <c r="BG56" s="115" t="str">
        <f>_xlfn.CONCAT(TableWRTEMaster[[#This Row],[POS]],TableWRTEMaster[[#This Row],[RK]])</f>
        <v>WR55</v>
      </c>
      <c r="BH56" s="115">
        <f>IFERROR(INDEX(TableWRVORP[BYE],MATCH(TableWRTEMaster[[#This Row],[RK]],TableWRVORP[RK],0)),"")</f>
        <v>14</v>
      </c>
      <c r="BI56" s="116">
        <f>IFERROR(INDEX(TableWRVORP[FPS],MATCH(TableWRTEMaster[[#This Row],[RK]],TableWRVORP[RK],0)),"")</f>
        <v>144.59086635304499</v>
      </c>
      <c r="BJ56" s="117">
        <f>IFERROR(INDEX(TableWRVORP[VORP],MATCH(TableWRTEMaster[[#This Row],[RK]],TableWRVORP[RK],0)),"")</f>
        <v>1.3032850769780103E-3</v>
      </c>
    </row>
    <row r="57" spans="1:62" x14ac:dyDescent="0.2">
      <c r="A57">
        <v>56</v>
      </c>
      <c r="B57" s="112" t="str">
        <f>IFERROR(INDEX(TableQBCalcPts[PLAYER],MATCH(TableQBVORP[[#This Row],[RK]],TableQBCalcPts[RK],0)),"")</f>
        <v>Nathan Peterman</v>
      </c>
      <c r="C57" s="112" t="str">
        <f>IFERROR(INDEX(TableQBCalcPts[TM],MATCH(TableQBVORP[[#This Row],[RK]],TableQBCalcPts[RK],0)),"")</f>
        <v>NO</v>
      </c>
      <c r="D57" s="112">
        <f>IFERROR(INDEX(TableQBCalcPts[BYE],MATCH(TableQBVORP[[#This Row],[RK]],TableQBCalcPts[RK],0)),"")</f>
        <v>11</v>
      </c>
      <c r="E57" s="113">
        <f>IFERROR(INDEX(TableQBCalcPts[Custom],MATCH(TableQBVORP[[#This Row],[RK]],TableQBCalcPts[RK],0)),"")</f>
        <v>4.8003418979999992</v>
      </c>
      <c r="F57" s="114">
        <f>(IFERROR((TableQBVORP[[#This Row],[FPS]]-INDEX(TableQBVORP[FPS],MATCH(QBVORPCalc,TableQBVORP[RK],0)))/INDEX(TableQBVORP[FPS],MATCH(QBVORPCalc,TableQBVORP[RK],0)),""))+(TableRBVORP[[#This Row],[VORP]]*0.45)</f>
        <v>-1.1149769359727668</v>
      </c>
      <c r="H57">
        <v>56</v>
      </c>
      <c r="I57" s="112" t="str">
        <f>IFERROR(INDEX(TableRBCalcPts[PLAYER],MATCH(TableRBVORP[[#This Row],[RK]],TableRBCalcPts[RK],0)),"")</f>
        <v>Cordarrelle Patterson</v>
      </c>
      <c r="J57" s="112" t="str">
        <f>IFERROR(INDEX(TableRBCalcPts[TM],MATCH(TableRBVORP[[#This Row],[RK]],TableRBCalcPts[RK],0)),"")</f>
        <v>PIT</v>
      </c>
      <c r="K57" s="112">
        <f>IFERROR(INDEX(TableRBCalcPts[BYE],MATCH(TableRBVORP[[#This Row],[RK]],TableRBCalcPts[RK],0)),"")</f>
        <v>6</v>
      </c>
      <c r="L57" s="113">
        <f>IFERROR(INDEX(TableRBCalcPts[Custom],MATCH(TableRBVORP[[#This Row],[RK]],TableRBCalcPts[RK],0)),"")</f>
        <v>80.717055472620004</v>
      </c>
      <c r="M57" s="114">
        <f>IFERROR((TableRBVORP[[#This Row],[FPS]]-INDEX(TableRBVORP[FPS],MATCH(RBVORPCalc,TableRBVORP[RK],0)))/INDEX(TableRBVORP[FPS],MATCH(RBVORPCalc,TableRBVORP[RK],0)),"")</f>
        <v>-0.28390319892815452</v>
      </c>
      <c r="O57">
        <v>56</v>
      </c>
      <c r="P57" s="112" t="str">
        <f>IFERROR(INDEX(TableWRCalcPts[PLAYER],MATCH(TableWRVORP[[#This Row],[RK]],TableWRCalcPts[RK],0)),"")</f>
        <v>Roman Wilson</v>
      </c>
      <c r="Q57" s="112" t="str">
        <f>IFERROR(INDEX(TableWRCalcPts[TM],MATCH(TableWRVORP[[#This Row],[RK]],TableWRCalcPts[RK],0)),"")</f>
        <v>PIT</v>
      </c>
      <c r="R57" s="112">
        <f>IFERROR(INDEX(TableWRCalcPts[BYE],MATCH(TableWRVORP[[#This Row],[RK]],TableWRCalcPts[RK],0)),"")</f>
        <v>6</v>
      </c>
      <c r="S57" s="113">
        <f>IFERROR(INDEX(TableWRCalcPts[Custom],MATCH(TableWRVORP[[#This Row],[RK]],TableWRCalcPts[RK],0)),"")</f>
        <v>144.40403499564002</v>
      </c>
      <c r="T57" s="114">
        <f>IFERROR((TableWRVORP[[#This Row],[FPS]]-INDEX(TableWRVORP[FPS],MATCH(WRVORPCalc,TableWRVORP[RK],0)))/INDEX(TableWRVORP[FPS],MATCH(WRVORPCalc,TableWRVORP[RK],0)),"")</f>
        <v>9.4630213841982645E-6</v>
      </c>
      <c r="V57">
        <v>56</v>
      </c>
      <c r="W57" s="112" t="str">
        <f>IFERROR(INDEX(TableTECalcPts[PLAYER],MATCH(TableTEVORP[[#This Row],[RK]],TableTECalcPts[RK],0)),"")</f>
        <v>Peyton Hendershot</v>
      </c>
      <c r="X57" s="112" t="str">
        <f>IFERROR(INDEX(TableTECalcPts[TM],MATCH(TableTEVORP[[#This Row],[RK]],TableTECalcPts[RK],0)),"")</f>
        <v>DAL</v>
      </c>
      <c r="Y57" s="112">
        <f>IFERROR(INDEX(TableTECalcPts[BYE],MATCH(TableTEVORP[[#This Row],[RK]],TableTECalcPts[RK],0)),"")</f>
        <v>7</v>
      </c>
      <c r="Z57" s="113">
        <f>IFERROR(INDEX(TableTECalcPts[Custom],MATCH(TableTEVORP[[#This Row],[RK]],TableTECalcPts[RK],0)),"")</f>
        <v>23.209625030608795</v>
      </c>
      <c r="AA57" s="114">
        <f>IFERROR((TableTEVORP[[#This Row],[FPS]]-INDEX(TableTEVORP[FPS],MATCH(TEVORPCalc,TableTEVORP[RK],0)))/INDEX(TableTEVORP[FPS],MATCH(TEVORPCalc,TableTEVORP[RK],0)),"")</f>
        <v>-0.82328939886476993</v>
      </c>
      <c r="AF57" t="s">
        <v>222</v>
      </c>
      <c r="AG57">
        <v>16</v>
      </c>
      <c r="AH57" s="83">
        <f>RANK(TableOverallMaster[[#This Row],[VORP]],TableOverallMaster[VORP])+COUNTIF($AM$2:AM57,AM57)-1</f>
        <v>20</v>
      </c>
      <c r="AI57" s="115" t="str">
        <f>IFERROR(INDEX(TableRBVORP[RUNNING BACK],MATCH(TableOverallMaster[[#This Row],[RK]],TableRBVORP[RK],0)),"")</f>
        <v>Travis Etienne</v>
      </c>
      <c r="AJ57" s="115" t="str">
        <f t="shared" si="0"/>
        <v>RB16</v>
      </c>
      <c r="AK57" s="115">
        <f>IFERROR(INDEX(TableRBVORP[BYE],MATCH(TableOverallMaster[[#This Row],[RK]],TableRBVORP[RK],0)),"")</f>
        <v>9</v>
      </c>
      <c r="AL57" s="116">
        <f>IFERROR(INDEX(TableRBVORP[FPS],MATCH(TableOverallMaster[[#This Row],[RK]],TableRBVORP[RK],0)),"")</f>
        <v>191.02926081876004</v>
      </c>
      <c r="AM57" s="117">
        <f>IFERROR(INDEX(TableRBVORP[VORP],MATCH(TableOverallMaster[[#This Row],[RK]],TableRBVORP[RK],0)),"")</f>
        <v>0.69475263663248488</v>
      </c>
      <c r="AO57">
        <v>56</v>
      </c>
      <c r="AP57" s="118" t="str">
        <f>IFERROR(INDEX(TableOverallMaster[OVERALL PLAYER],MATCH(TableOverallRank[[#This Row],[RK]],TableOverallMaster[OVR RK],0)),"")</f>
        <v>Chuba Hubbard</v>
      </c>
      <c r="AQ57" s="119" t="str">
        <f>IFERROR(INDEX(TableOverallMaster[POS RK],MATCH(TableOverallRank[[#This Row],[OVERALL PLAYER]],TableOverallMaster[OVERALL PLAYER],0)),"")</f>
        <v>RB33</v>
      </c>
      <c r="AR57" s="120">
        <f>IFERROR(INDEX(TableOverallMaster[BYE],MATCH(TableOverallRank[[#This Row],[OVERALL PLAYER]],TableOverallMaster[OVERALL PLAYER],0)),"")</f>
        <v>7</v>
      </c>
      <c r="AS57" s="119">
        <f>IFERROR(INDEX(TableOverallMaster[Custom],MATCH(TableOverallRank[[#This Row],[OVERALL PLAYER]],TableOverallMaster[OVERALL PLAYER],0)),"")</f>
        <v>155.42741467344004</v>
      </c>
      <c r="AT57" s="121">
        <f>IFERROR(INDEX(TableOverallMaster[VORP],MATCH(TableOverallRank[[#This Row],[OVERALL PLAYER]],TableOverallMaster[OVERALL PLAYER],0)),"")</f>
        <v>0.37890404691821317</v>
      </c>
      <c r="AV57">
        <v>56</v>
      </c>
      <c r="AW57" s="122" t="str">
        <f>IFERROR(INDEX(TableWRTECalcPts[PLAYER],MATCH(TableWRTERank[[#This Row],[RK]],TableWRTECalcPts[RK],0)),"")</f>
        <v>Calvin Ridley</v>
      </c>
      <c r="AX57" s="122" t="str">
        <f>IFERROR(INDEX(TableWRTECalcPts[POS RK],MATCH(TableWRTERank[[#This Row],[WR and TE COMBINED]],TableWRTECalcPts[PLAYER],0)),"")</f>
        <v>WR49</v>
      </c>
      <c r="AY57" s="122">
        <f>IFERROR(INDEX(TableWRTECalcPts[BYE],MATCH(TableWRTERank[[#This Row],[RK]],TableWRTECalcPts[RK],0)),"")</f>
        <v>7</v>
      </c>
      <c r="AZ57" s="123">
        <f>IFERROR(INDEX(TableWRTECalcPts[Custom],MATCH(TableWRTERank[[#This Row],[RK]],TableWRTECalcPts[RK],0)),"")</f>
        <v>154.50712981703998</v>
      </c>
      <c r="BA57" s="174">
        <f>IFERROR((TableWRTERank[[#This Row],[FPS]]-INDEX(TableWRTERank[FPS],MATCH(WRTEVORPCalc,TableWRTERank[RK],0)))/INDEX(TableWRTERank[FPS],MATCH(WRTEVORPCalc,TableWRTERank[RK],0)),"")</f>
        <v>3.4977497658244844E-2</v>
      </c>
      <c r="BC57" t="s">
        <v>223</v>
      </c>
      <c r="BD57">
        <v>56</v>
      </c>
      <c r="BE57" s="83">
        <f>RANK(TableWRTEMaster[[#This Row],[VORP]],TableWRTEMaster[VORP])+COUNTIF($BJ$2:BJ57,BJ57)-1</f>
        <v>67</v>
      </c>
      <c r="BF57" s="115" t="str">
        <f>IFERROR(INDEX(TableWRVORP[WIDE RECEIVER],MATCH(TableWRTEMaster[[#This Row],[RK]],TableWRVORP[RK],0)),"")</f>
        <v>Roman Wilson</v>
      </c>
      <c r="BG57" s="115" t="str">
        <f>_xlfn.CONCAT(TableWRTEMaster[[#This Row],[POS]],TableWRTEMaster[[#This Row],[RK]])</f>
        <v>WR56</v>
      </c>
      <c r="BH57" s="115">
        <f>IFERROR(INDEX(TableWRVORP[BYE],MATCH(TableWRTEMaster[[#This Row],[RK]],TableWRVORP[RK],0)),"")</f>
        <v>6</v>
      </c>
      <c r="BI57" s="116">
        <f>IFERROR(INDEX(TableWRVORP[FPS],MATCH(TableWRTEMaster[[#This Row],[RK]],TableWRVORP[RK],0)),"")</f>
        <v>144.40403499564002</v>
      </c>
      <c r="BJ57" s="117">
        <f>IFERROR(INDEX(TableWRVORP[VORP],MATCH(TableWRTEMaster[[#This Row],[RK]],TableWRVORP[RK],0)),"")</f>
        <v>9.4630213841982645E-6</v>
      </c>
    </row>
    <row r="58" spans="1:62" x14ac:dyDescent="0.2">
      <c r="A58">
        <v>57</v>
      </c>
      <c r="B58" s="112" t="str">
        <f>IFERROR(INDEX(TableQBCalcPts[PLAYER],MATCH(TableQBVORP[[#This Row],[RK]],TableQBCalcPts[RK],0)),"")</f>
        <v>Tyson Bagent</v>
      </c>
      <c r="C58" s="112" t="str">
        <f>IFERROR(INDEX(TableQBCalcPts[TM],MATCH(TableQBVORP[[#This Row],[RK]],TableQBCalcPts[RK],0)),"")</f>
        <v>CHI</v>
      </c>
      <c r="D58" s="112">
        <f>IFERROR(INDEX(TableQBCalcPts[BYE],MATCH(TableQBVORP[[#This Row],[RK]],TableQBCalcPts[RK],0)),"")</f>
        <v>13</v>
      </c>
      <c r="E58" s="113">
        <f>IFERROR(INDEX(TableQBCalcPts[Custom],MATCH(TableQBVORP[[#This Row],[RK]],TableQBCalcPts[RK],0)),"")</f>
        <v>4.2553898524800013</v>
      </c>
      <c r="F58" s="114">
        <f>(IFERROR((TableQBVORP[[#This Row],[FPS]]-INDEX(TableQBVORP[FPS],MATCH(QBVORPCalc,TableQBVORP[RK],0)))/INDEX(TableQBVORP[FPS],MATCH(QBVORPCalc,TableQBVORP[RK],0)),""))+(TableRBVORP[[#This Row],[VORP]]*0.45)</f>
        <v>-1.1181945055576958</v>
      </c>
      <c r="H58">
        <v>57</v>
      </c>
      <c r="I58" s="112" t="str">
        <f>IFERROR(INDEX(TableRBCalcPts[PLAYER],MATCH(TableRBVORP[[#This Row],[RK]],TableRBCalcPts[RK],0)),"")</f>
        <v>Bucky Irving</v>
      </c>
      <c r="J58" s="112" t="str">
        <f>IFERROR(INDEX(TableRBCalcPts[TM],MATCH(TableRBVORP[[#This Row],[RK]],TableRBCalcPts[RK],0)),"")</f>
        <v>TB</v>
      </c>
      <c r="K58" s="112">
        <f>IFERROR(INDEX(TableRBCalcPts[BYE],MATCH(TableRBVORP[[#This Row],[RK]],TableRBCalcPts[RK],0)),"")</f>
        <v>5</v>
      </c>
      <c r="L58" s="113">
        <f>IFERROR(INDEX(TableRBCalcPts[Custom],MATCH(TableRBVORP[[#This Row],[RK]],TableRBCalcPts[RK],0)),"")</f>
        <v>80.274500634451215</v>
      </c>
      <c r="M58" s="114">
        <f>IFERROR((TableRBVORP[[#This Row],[FPS]]-INDEX(TableRBVORP[FPS],MATCH(RBVORPCalc,TableRBVORP[RK],0)))/INDEX(TableRBVORP[FPS],MATCH(RBVORPCalc,TableRBVORP[RK],0)),"")</f>
        <v>-0.28782940884817615</v>
      </c>
      <c r="O58">
        <v>57</v>
      </c>
      <c r="P58" s="112" t="str">
        <f>IFERROR(INDEX(TableWRCalcPts[PLAYER],MATCH(TableWRVORP[[#This Row],[RK]],TableWRCalcPts[RK],0)),"")</f>
        <v>Demarcus Robinson</v>
      </c>
      <c r="Q58" s="112" t="str">
        <f>IFERROR(INDEX(TableWRCalcPts[TM],MATCH(TableWRVORP[[#This Row],[RK]],TableWRCalcPts[RK],0)),"")</f>
        <v>LAR</v>
      </c>
      <c r="R58" s="112">
        <f>IFERROR(INDEX(TableWRCalcPts[BYE],MATCH(TableWRVORP[[#This Row],[RK]],TableWRCalcPts[RK],0)),"")</f>
        <v>10</v>
      </c>
      <c r="S58" s="113">
        <f>IFERROR(INDEX(TableWRCalcPts[Custom],MATCH(TableWRVORP[[#This Row],[RK]],TableWRCalcPts[RK],0)),"")</f>
        <v>144.40266851009997</v>
      </c>
      <c r="T58" s="114">
        <f>IFERROR((TableWRVORP[[#This Row],[FPS]]-INDEX(TableWRVORP[FPS],MATCH(WRVORPCalc,TableWRVORP[RK],0)))/INDEX(TableWRVORP[FPS],MATCH(WRVORPCalc,TableWRVORP[RK],0)),"")</f>
        <v>0</v>
      </c>
      <c r="V58">
        <v>57</v>
      </c>
      <c r="W58" s="112" t="str">
        <f>IFERROR(INDEX(TableTECalcPts[PLAYER],MATCH(TableTEVORP[[#This Row],[RK]],TableTECalcPts[RK],0)),"")</f>
        <v>Brenton Strange</v>
      </c>
      <c r="X58" s="112" t="str">
        <f>IFERROR(INDEX(TableTECalcPts[TM],MATCH(TableTEVORP[[#This Row],[RK]],TableTECalcPts[RK],0)),"")</f>
        <v>JAX</v>
      </c>
      <c r="Y58" s="112">
        <f>IFERROR(INDEX(TableTECalcPts[BYE],MATCH(TableTEVORP[[#This Row],[RK]],TableTECalcPts[RK],0)),"")</f>
        <v>9</v>
      </c>
      <c r="Z58" s="113">
        <f>IFERROR(INDEX(TableTECalcPts[Custom],MATCH(TableTEVORP[[#This Row],[RK]],TableTECalcPts[RK],0)),"")</f>
        <v>22.138437291515991</v>
      </c>
      <c r="AA58" s="114">
        <f>IFERROR((TableTEVORP[[#This Row],[FPS]]-INDEX(TableTEVORP[FPS],MATCH(TEVORPCalc,TableTEVORP[RK],0)))/INDEX(TableTEVORP[FPS],MATCH(TEVORPCalc,TableTEVORP[RK],0)),"")</f>
        <v>-0.83144507691015579</v>
      </c>
      <c r="AF58" t="s">
        <v>222</v>
      </c>
      <c r="AG58">
        <v>17</v>
      </c>
      <c r="AH58" s="83">
        <f>RANK(TableOverallMaster[[#This Row],[VORP]],TableOverallMaster[VORP])+COUNTIF($AM$2:AM58,AM58)-1</f>
        <v>22</v>
      </c>
      <c r="AI58" s="115" t="str">
        <f>IFERROR(INDEX(TableRBVORP[RUNNING BACK],MATCH(TableOverallMaster[[#This Row],[RK]],TableRBVORP[RK],0)),"")</f>
        <v>Kenneth Walker</v>
      </c>
      <c r="AJ58" s="115" t="str">
        <f t="shared" si="0"/>
        <v>RB17</v>
      </c>
      <c r="AK58" s="115">
        <f>IFERROR(INDEX(TableRBVORP[BYE],MATCH(TableOverallMaster[[#This Row],[RK]],TableRBVORP[RK],0)),"")</f>
        <v>5</v>
      </c>
      <c r="AL58" s="116">
        <f>IFERROR(INDEX(TableRBVORP[FPS],MATCH(TableOverallMaster[[#This Row],[RK]],TableRBVORP[RK],0)),"")</f>
        <v>190.67445786002884</v>
      </c>
      <c r="AM58" s="117">
        <f>IFERROR(INDEX(TableRBVORP[VORP],MATCH(TableOverallMaster[[#This Row],[RK]],TableRBVORP[RK],0)),"")</f>
        <v>0.69160493430030023</v>
      </c>
      <c r="AO58">
        <v>57</v>
      </c>
      <c r="AP58" s="118" t="str">
        <f>IFERROR(INDEX(TableOverallMaster[OVERALL PLAYER],MATCH(TableOverallRank[[#This Row],[RK]],TableOverallMaster[OVR RK],0)),"")</f>
        <v>Dak Prescott</v>
      </c>
      <c r="AQ58" s="119" t="str">
        <f>IFERROR(INDEX(TableOverallMaster[POS RK],MATCH(TableOverallRank[[#This Row],[OVERALL PLAYER]],TableOverallMaster[OVERALL PLAYER],0)),"")</f>
        <v>QB6</v>
      </c>
      <c r="AR58" s="120">
        <f>IFERROR(INDEX(TableOverallMaster[BYE],MATCH(TableOverallRank[[#This Row],[OVERALL PLAYER]],TableOverallMaster[OVERALL PLAYER],0)),"")</f>
        <v>7</v>
      </c>
      <c r="AS58" s="119">
        <f>IFERROR(INDEX(TableOverallMaster[Custom],MATCH(TableOverallRank[[#This Row],[OVERALL PLAYER]],TableOverallMaster[OVERALL PLAYER],0)),"")</f>
        <v>334.28760747900003</v>
      </c>
      <c r="AT58" s="121">
        <f>IFERROR(INDEX(TableOverallMaster[VORP],MATCH(TableOverallRank[[#This Row],[OVERALL PLAYER]],TableOverallMaster[OVERALL PLAYER],0)),"")</f>
        <v>0.3636689282711193</v>
      </c>
      <c r="AV58">
        <v>57</v>
      </c>
      <c r="AW58" s="122" t="str">
        <f>IFERROR(INDEX(TableWRTECalcPts[PLAYER],MATCH(TableWRTERank[[#This Row],[RK]],TableWRTECalcPts[RK],0)),"")</f>
        <v>Mike Williams</v>
      </c>
      <c r="AX58" s="122" t="str">
        <f>IFERROR(INDEX(TableWRTECalcPts[POS RK],MATCH(TableWRTERank[[#This Row],[WR and TE COMBINED]],TableWRTECalcPts[PLAYER],0)),"")</f>
        <v>WR50</v>
      </c>
      <c r="AY58" s="122">
        <f>IFERROR(INDEX(TableWRTECalcPts[BYE],MATCH(TableWRTERank[[#This Row],[RK]],TableWRTECalcPts[RK],0)),"")</f>
        <v>7</v>
      </c>
      <c r="AZ58" s="123">
        <f>IFERROR(INDEX(TableWRTECalcPts[Custom],MATCH(TableWRTERank[[#This Row],[RK]],TableWRTECalcPts[RK],0)),"")</f>
        <v>154.22685332053999</v>
      </c>
      <c r="BA58" s="174">
        <f>IFERROR((TableWRTERank[[#This Row],[FPS]]-INDEX(TableWRTERank[FPS],MATCH(WRTEVORPCalc,TableWRTERank[RK],0)))/INDEX(TableWRTERank[FPS],MATCH(WRTEVORPCalc,TableWRTERank[RK],0)),"")</f>
        <v>3.3100044706115828E-2</v>
      </c>
      <c r="BC58" t="s">
        <v>223</v>
      </c>
      <c r="BD58">
        <v>57</v>
      </c>
      <c r="BE58" s="83">
        <f>RANK(TableWRTEMaster[[#This Row],[VORP]],TableWRTEMaster[VORP])+COUNTIF($BJ$2:BJ58,BJ58)-1</f>
        <v>68</v>
      </c>
      <c r="BF58" s="115" t="str">
        <f>IFERROR(INDEX(TableWRVORP[WIDE RECEIVER],MATCH(TableWRTEMaster[[#This Row],[RK]],TableWRVORP[RK],0)),"")</f>
        <v>Demarcus Robinson</v>
      </c>
      <c r="BG58" s="115" t="str">
        <f>_xlfn.CONCAT(TableWRTEMaster[[#This Row],[POS]],TableWRTEMaster[[#This Row],[RK]])</f>
        <v>WR57</v>
      </c>
      <c r="BH58" s="115">
        <f>IFERROR(INDEX(TableWRVORP[BYE],MATCH(TableWRTEMaster[[#This Row],[RK]],TableWRVORP[RK],0)),"")</f>
        <v>10</v>
      </c>
      <c r="BI58" s="116">
        <f>IFERROR(INDEX(TableWRVORP[FPS],MATCH(TableWRTEMaster[[#This Row],[RK]],TableWRVORP[RK],0)),"")</f>
        <v>144.40266851009997</v>
      </c>
      <c r="BJ58" s="117">
        <f>IFERROR(INDEX(TableWRVORP[VORP],MATCH(TableWRTEMaster[[#This Row],[RK]],TableWRVORP[RK],0)),"")</f>
        <v>0</v>
      </c>
    </row>
    <row r="59" spans="1:62" x14ac:dyDescent="0.2">
      <c r="A59">
        <v>58</v>
      </c>
      <c r="B59" s="112" t="str">
        <f>IFERROR(INDEX(TableQBCalcPts[PLAYER],MATCH(TableQBVORP[[#This Row],[RK]],TableQBCalcPts[RK],0)),"")</f>
        <v>Josh Dobbs</v>
      </c>
      <c r="C59" s="112" t="str">
        <f>IFERROR(INDEX(TableQBCalcPts[TM],MATCH(TableQBVORP[[#This Row],[RK]],TableQBCalcPts[RK],0)),"")</f>
        <v>SF</v>
      </c>
      <c r="D59" s="112">
        <f>IFERROR(INDEX(TableQBCalcPts[BYE],MATCH(TableQBVORP[[#This Row],[RK]],TableQBCalcPts[RK],0)),"")</f>
        <v>9</v>
      </c>
      <c r="E59" s="113">
        <f>IFERROR(INDEX(TableQBCalcPts[Custom],MATCH(TableQBVORP[[#This Row],[RK]],TableQBCalcPts[RK],0)),"")</f>
        <v>4.2144476761439993</v>
      </c>
      <c r="F59" s="114">
        <f>(IFERROR((TableQBVORP[[#This Row],[FPS]]-INDEX(TableQBVORP[FPS],MATCH(QBVORPCalc,TableQBVORP[RK],0)))/INDEX(TableQBVORP[FPS],MATCH(QBVORPCalc,TableQBVORP[RK],0)),""))+(TableRBVORP[[#This Row],[VORP]]*0.45)</f>
        <v>-1.1204823771331109</v>
      </c>
      <c r="H59">
        <v>58</v>
      </c>
      <c r="I59" s="112" t="str">
        <f>IFERROR(INDEX(TableRBCalcPts[PLAYER],MATCH(TableRBVORP[[#This Row],[RK]],TableRBCalcPts[RK],0)),"")</f>
        <v>Tank Bigsby</v>
      </c>
      <c r="J59" s="112" t="str">
        <f>IFERROR(INDEX(TableRBCalcPts[TM],MATCH(TableRBVORP[[#This Row],[RK]],TableRBCalcPts[RK],0)),"")</f>
        <v>JAX</v>
      </c>
      <c r="K59" s="112">
        <f>IFERROR(INDEX(TableRBCalcPts[BYE],MATCH(TableRBVORP[[#This Row],[RK]],TableRBCalcPts[RK],0)),"")</f>
        <v>9</v>
      </c>
      <c r="L59" s="113">
        <f>IFERROR(INDEX(TableRBCalcPts[Custom],MATCH(TableRBVORP[[#This Row],[RK]],TableRBCalcPts[RK],0)),"")</f>
        <v>79.728725952917998</v>
      </c>
      <c r="M59" s="114">
        <f>IFERROR((TableRBVORP[[#This Row],[FPS]]-INDEX(TableRBVORP[FPS],MATCH(RBVORPCalc,TableRBVORP[RK],0)))/INDEX(TableRBVORP[FPS],MATCH(RBVORPCalc,TableRBVORP[RK],0)),"")</f>
        <v>-0.29267135335746908</v>
      </c>
      <c r="O59">
        <v>58</v>
      </c>
      <c r="P59" s="112" t="str">
        <f>IFERROR(INDEX(TableWRCalcPts[PLAYER],MATCH(TableWRVORP[[#This Row],[RK]],TableWRCalcPts[RK],0)),"")</f>
        <v>Jahan Dotson</v>
      </c>
      <c r="Q59" s="112" t="str">
        <f>IFERROR(INDEX(TableWRCalcPts[TM],MATCH(TableWRVORP[[#This Row],[RK]],TableWRCalcPts[RK],0)),"")</f>
        <v>WSH</v>
      </c>
      <c r="R59" s="112">
        <f>IFERROR(INDEX(TableWRCalcPts[BYE],MATCH(TableWRVORP[[#This Row],[RK]],TableWRCalcPts[RK],0)),"")</f>
        <v>14</v>
      </c>
      <c r="S59" s="113">
        <f>IFERROR(INDEX(TableWRCalcPts[Custom],MATCH(TableWRVORP[[#This Row],[RK]],TableWRCalcPts[RK],0)),"")</f>
        <v>139.82779951274537</v>
      </c>
      <c r="T59" s="114">
        <f>IFERROR((TableWRVORP[[#This Row],[FPS]]-INDEX(TableWRVORP[FPS],MATCH(WRVORPCalc,TableWRVORP[RK],0)))/INDEX(TableWRVORP[FPS],MATCH(WRVORPCalc,TableWRVORP[RK],0)),"")</f>
        <v>-3.1681332793615367E-2</v>
      </c>
      <c r="V59">
        <v>58</v>
      </c>
      <c r="W59" s="112" t="str">
        <f>IFERROR(INDEX(TableTECalcPts[PLAYER],MATCH(TableTEVORP[[#This Row],[RK]],TableTECalcPts[RK],0)),"")</f>
        <v>Josh Whyle</v>
      </c>
      <c r="X59" s="112" t="str">
        <f>IFERROR(INDEX(TableTECalcPts[TM],MATCH(TableTEVORP[[#This Row],[RK]],TableTECalcPts[RK],0)),"")</f>
        <v>TEN</v>
      </c>
      <c r="Y59" s="112">
        <f>IFERROR(INDEX(TableTECalcPts[BYE],MATCH(TableTEVORP[[#This Row],[RK]],TableTECalcPts[RK],0)),"")</f>
        <v>7</v>
      </c>
      <c r="Z59" s="113">
        <f>IFERROR(INDEX(TableTECalcPts[Custom],MATCH(TableTEVORP[[#This Row],[RK]],TableTECalcPts[RK],0)),"")</f>
        <v>21.713238746198993</v>
      </c>
      <c r="AA59" s="114">
        <f>IFERROR((TableTEVORP[[#This Row],[FPS]]-INDEX(TableTEVORP[FPS],MATCH(TEVORPCalc,TableTEVORP[RK],0)))/INDEX(TableTEVORP[FPS],MATCH(TEVORPCalc,TableTEVORP[RK],0)),"")</f>
        <v>-0.83468240153068296</v>
      </c>
      <c r="AF59" t="s">
        <v>222</v>
      </c>
      <c r="AG59">
        <v>18</v>
      </c>
      <c r="AH59" s="83">
        <f>RANK(TableOverallMaster[[#This Row],[VORP]],TableOverallMaster[VORP])+COUNTIF($AM$2:AM59,AM59)-1</f>
        <v>23</v>
      </c>
      <c r="AI59" s="115" t="str">
        <f>IFERROR(INDEX(TableRBVORP[RUNNING BACK],MATCH(TableOverallMaster[[#This Row],[RK]],TableRBVORP[RK],0)),"")</f>
        <v>Zamir White</v>
      </c>
      <c r="AJ59" s="115" t="str">
        <f t="shared" si="0"/>
        <v>RB18</v>
      </c>
      <c r="AK59" s="115">
        <f>IFERROR(INDEX(TableRBVORP[BYE],MATCH(TableOverallMaster[[#This Row],[RK]],TableRBVORP[RK],0)),"")</f>
        <v>13</v>
      </c>
      <c r="AL59" s="116">
        <f>IFERROR(INDEX(TableRBVORP[FPS],MATCH(TableOverallMaster[[#This Row],[RK]],TableRBVORP[RK],0)),"")</f>
        <v>189.99861955200001</v>
      </c>
      <c r="AM59" s="117">
        <f>IFERROR(INDEX(TableRBVORP[VORP],MATCH(TableOverallMaster[[#This Row],[RK]],TableRBVORP[RK],0)),"")</f>
        <v>0.68560910544371589</v>
      </c>
      <c r="AO59">
        <v>58</v>
      </c>
      <c r="AP59" s="118" t="str">
        <f>IFERROR(INDEX(TableOverallMaster[OVERALL PLAYER],MATCH(TableOverallRank[[#This Row],[RK]],TableOverallMaster[OVR RK],0)),"")</f>
        <v>Drake London</v>
      </c>
      <c r="AQ59" s="119" t="str">
        <f>IFERROR(INDEX(TableOverallMaster[POS RK],MATCH(TableOverallRank[[#This Row],[OVERALL PLAYER]],TableOverallMaster[OVERALL PLAYER],0)),"")</f>
        <v>WR16</v>
      </c>
      <c r="AR59" s="120">
        <f>IFERROR(INDEX(TableOverallMaster[BYE],MATCH(TableOverallRank[[#This Row],[OVERALL PLAYER]],TableOverallMaster[OVERALL PLAYER],0)),"")</f>
        <v>11</v>
      </c>
      <c r="AS59" s="119">
        <f>IFERROR(INDEX(TableOverallMaster[Custom],MATCH(TableOverallRank[[#This Row],[OVERALL PLAYER]],TableOverallMaster[OVERALL PLAYER],0)),"")</f>
        <v>196.45429046443195</v>
      </c>
      <c r="AT59" s="121">
        <f>IFERROR(INDEX(TableOverallMaster[VORP],MATCH(TableOverallRank[[#This Row],[OVERALL PLAYER]],TableOverallMaster[OVERALL PLAYER],0)),"")</f>
        <v>0.36046163475636411</v>
      </c>
      <c r="AV59">
        <v>58</v>
      </c>
      <c r="AW59" s="122" t="str">
        <f>IFERROR(INDEX(TableWRTECalcPts[PLAYER],MATCH(TableWRTERank[[#This Row],[RK]],TableWRTECalcPts[RK],0)),"")</f>
        <v>Jakobi Meyers</v>
      </c>
      <c r="AX59" s="122" t="str">
        <f>IFERROR(INDEX(TableWRTECalcPts[POS RK],MATCH(TableWRTERank[[#This Row],[WR and TE COMBINED]],TableWRTECalcPts[PLAYER],0)),"")</f>
        <v>WR51</v>
      </c>
      <c r="AY59" s="122">
        <f>IFERROR(INDEX(TableWRTECalcPts[BYE],MATCH(TableWRTERank[[#This Row],[RK]],TableWRTECalcPts[RK],0)),"")</f>
        <v>13</v>
      </c>
      <c r="AZ59" s="123">
        <f>IFERROR(INDEX(TableWRTECalcPts[Custom],MATCH(TableWRTERank[[#This Row],[RK]],TableWRTECalcPts[RK],0)),"")</f>
        <v>152.92230757999994</v>
      </c>
      <c r="BA59" s="174">
        <f>IFERROR((TableWRTERank[[#This Row],[FPS]]-INDEX(TableWRTERank[FPS],MATCH(WRTEVORPCalc,TableWRTERank[RK],0)))/INDEX(TableWRTERank[FPS],MATCH(WRTEVORPCalc,TableWRTERank[RK],0)),"")</f>
        <v>2.4361448061911272E-2</v>
      </c>
      <c r="BC59" t="s">
        <v>223</v>
      </c>
      <c r="BD59">
        <v>58</v>
      </c>
      <c r="BE59" s="83">
        <f>RANK(TableWRTEMaster[[#This Row],[VORP]],TableWRTEMaster[VORP])+COUNTIF($BJ$2:BJ59,BJ59)-1</f>
        <v>70</v>
      </c>
      <c r="BF59" s="115" t="str">
        <f>IFERROR(INDEX(TableWRVORP[WIDE RECEIVER],MATCH(TableWRTEMaster[[#This Row],[RK]],TableWRVORP[RK],0)),"")</f>
        <v>Jahan Dotson</v>
      </c>
      <c r="BG59" s="115" t="str">
        <f>_xlfn.CONCAT(TableWRTEMaster[[#This Row],[POS]],TableWRTEMaster[[#This Row],[RK]])</f>
        <v>WR58</v>
      </c>
      <c r="BH59" s="115">
        <f>IFERROR(INDEX(TableWRVORP[BYE],MATCH(TableWRTEMaster[[#This Row],[RK]],TableWRVORP[RK],0)),"")</f>
        <v>14</v>
      </c>
      <c r="BI59" s="116">
        <f>IFERROR(INDEX(TableWRVORP[FPS],MATCH(TableWRTEMaster[[#This Row],[RK]],TableWRVORP[RK],0)),"")</f>
        <v>139.82779951274537</v>
      </c>
      <c r="BJ59" s="117">
        <f>IFERROR(INDEX(TableWRVORP[VORP],MATCH(TableWRTEMaster[[#This Row],[RK]],TableWRVORP[RK],0)),"")</f>
        <v>-3.1681332793615367E-2</v>
      </c>
    </row>
    <row r="60" spans="1:62" x14ac:dyDescent="0.2">
      <c r="A60">
        <v>59</v>
      </c>
      <c r="B60" s="112" t="str">
        <f>IFERROR(INDEX(TableQBCalcPts[PLAYER],MATCH(TableQBVORP[[#This Row],[RK]],TableQBCalcPts[RK],0)),"")</f>
        <v>Mac Jones</v>
      </c>
      <c r="C60" s="112" t="str">
        <f>IFERROR(INDEX(TableQBCalcPts[TM],MATCH(TableQBVORP[[#This Row],[RK]],TableQBCalcPts[RK],0)),"")</f>
        <v>JAX</v>
      </c>
      <c r="D60" s="112">
        <f>IFERROR(INDEX(TableQBCalcPts[BYE],MATCH(TableQBVORP[[#This Row],[RK]],TableQBCalcPts[RK],0)),"")</f>
        <v>9</v>
      </c>
      <c r="E60" s="113">
        <f>IFERROR(INDEX(TableQBCalcPts[Custom],MATCH(TableQBVORP[[#This Row],[RK]],TableQBCalcPts[RK],0)),"")</f>
        <v>2.5996852557000025</v>
      </c>
      <c r="F60" s="114">
        <f>(IFERROR((TableQBVORP[[#This Row],[FPS]]-INDEX(TableQBVORP[FPS],MATCH(QBVORPCalc,TableQBVORP[RK],0)))/INDEX(TableQBVORP[FPS],MATCH(QBVORPCalc,TableQBVORP[RK],0)),""))+(TableRBVORP[[#This Row],[VORP]]*0.45)</f>
        <v>-1.1395161954255149</v>
      </c>
      <c r="H60">
        <v>59</v>
      </c>
      <c r="I60" s="112" t="str">
        <f>IFERROR(INDEX(TableRBCalcPts[PLAYER],MATCH(TableRBVORP[[#This Row],[RK]],TableRBCalcPts[RK],0)),"")</f>
        <v>Khalil Herbert</v>
      </c>
      <c r="J60" s="112" t="str">
        <f>IFERROR(INDEX(TableRBCalcPts[TM],MATCH(TableRBVORP[[#This Row],[RK]],TableRBCalcPts[RK],0)),"")</f>
        <v>CHI</v>
      </c>
      <c r="K60" s="112">
        <f>IFERROR(INDEX(TableRBCalcPts[BYE],MATCH(TableRBVORP[[#This Row],[RK]],TableRBCalcPts[RK],0)),"")</f>
        <v>13</v>
      </c>
      <c r="L60" s="113">
        <f>IFERROR(INDEX(TableRBCalcPts[Custom],MATCH(TableRBVORP[[#This Row],[RK]],TableRBCalcPts[RK],0)),"")</f>
        <v>76.037838458399975</v>
      </c>
      <c r="M60" s="114">
        <f>IFERROR((TableRBVORP[[#This Row],[FPS]]-INDEX(TableRBVORP[FPS],MATCH(RBVORPCalc,TableRBVORP[RK],0)))/INDEX(TableRBVORP[FPS],MATCH(RBVORPCalc,TableRBVORP[RK],0)),"")</f>
        <v>-0.32541576793583504</v>
      </c>
      <c r="O60">
        <v>59</v>
      </c>
      <c r="P60" s="112" t="str">
        <f>IFERROR(INDEX(TableWRCalcPts[PLAYER],MATCH(TableWRVORP[[#This Row],[RK]],TableWRCalcPts[RK],0)),"")</f>
        <v>Darnell Mooney</v>
      </c>
      <c r="Q60" s="112" t="str">
        <f>IFERROR(INDEX(TableWRCalcPts[TM],MATCH(TableWRVORP[[#This Row],[RK]],TableWRCalcPts[RK],0)),"")</f>
        <v>ATL</v>
      </c>
      <c r="R60" s="112">
        <f>IFERROR(INDEX(TableWRCalcPts[BYE],MATCH(TableWRVORP[[#This Row],[RK]],TableWRCalcPts[RK],0)),"")</f>
        <v>11</v>
      </c>
      <c r="S60" s="113">
        <f>IFERROR(INDEX(TableWRCalcPts[Custom],MATCH(TableWRVORP[[#This Row],[RK]],TableWRCalcPts[RK],0)),"")</f>
        <v>138.39669965721598</v>
      </c>
      <c r="T60" s="114">
        <f>IFERROR((TableWRVORP[[#This Row],[FPS]]-INDEX(TableWRVORP[FPS],MATCH(WRVORPCalc,TableWRVORP[RK],0)))/INDEX(TableWRVORP[FPS],MATCH(WRVORPCalc,TableWRVORP[RK],0)),"")</f>
        <v>-4.1591813467518571E-2</v>
      </c>
      <c r="V60">
        <v>59</v>
      </c>
      <c r="W60" s="112" t="str">
        <f>IFERROR(INDEX(TableTECalcPts[PLAYER],MATCH(TableTEVORP[[#This Row],[RK]],TableTECalcPts[RK],0)),"")</f>
        <v>Ko Kieft</v>
      </c>
      <c r="X60" s="112" t="str">
        <f>IFERROR(INDEX(TableTECalcPts[TM],MATCH(TableTEVORP[[#This Row],[RK]],TableTECalcPts[RK],0)),"")</f>
        <v>TB</v>
      </c>
      <c r="Y60" s="112">
        <f>IFERROR(INDEX(TableTECalcPts[BYE],MATCH(TableTEVORP[[#This Row],[RK]],TableTECalcPts[RK],0)),"")</f>
        <v>5</v>
      </c>
      <c r="Z60" s="113">
        <f>IFERROR(INDEX(TableTECalcPts[Custom],MATCH(TableTEVORP[[#This Row],[RK]],TableTECalcPts[RK],0)),"")</f>
        <v>21.524783141400004</v>
      </c>
      <c r="AA60" s="114">
        <f>IFERROR((TableTEVORP[[#This Row],[FPS]]-INDEX(TableTEVORP[FPS],MATCH(TEVORPCalc,TableTEVORP[RK],0)))/INDEX(TableTEVORP[FPS],MATCH(TEVORPCalc,TableTEVORP[RK],0)),"")</f>
        <v>-0.83611724173889024</v>
      </c>
      <c r="AF60" t="s">
        <v>222</v>
      </c>
      <c r="AG60">
        <v>19</v>
      </c>
      <c r="AH60" s="83">
        <f>RANK(TableOverallMaster[[#This Row],[VORP]],TableOverallMaster[VORP])+COUNTIF($AM$2:AM60,AM60)-1</f>
        <v>25</v>
      </c>
      <c r="AI60" s="115" t="str">
        <f>IFERROR(INDEX(TableRBVORP[RUNNING BACK],MATCH(TableOverallMaster[[#This Row],[RK]],TableRBVORP[RK],0)),"")</f>
        <v>Nick Chubb</v>
      </c>
      <c r="AJ60" s="115" t="str">
        <f t="shared" si="0"/>
        <v>RB19</v>
      </c>
      <c r="AK60" s="115">
        <f>IFERROR(INDEX(TableRBVORP[BYE],MATCH(TableOverallMaster[[#This Row],[RK]],TableRBVORP[RK],0)),"")</f>
        <v>5</v>
      </c>
      <c r="AL60" s="116">
        <f>IFERROR(INDEX(TableRBVORP[FPS],MATCH(TableOverallMaster[[#This Row],[RK]],TableRBVORP[RK],0)),"")</f>
        <v>186.48854343350001</v>
      </c>
      <c r="AM60" s="117">
        <f>IFERROR(INDEX(TableRBVORP[VORP],MATCH(TableOverallMaster[[#This Row],[RK]],TableRBVORP[RK],0)),"")</f>
        <v>0.65446879358200349</v>
      </c>
      <c r="AO60">
        <v>59</v>
      </c>
      <c r="AP60" s="118" t="str">
        <f>IFERROR(INDEX(TableOverallMaster[OVERALL PLAYER],MATCH(TableOverallRank[[#This Row],[RK]],TableOverallMaster[OVR RK],0)),"")</f>
        <v>Najee Harris</v>
      </c>
      <c r="AQ60" s="119" t="str">
        <f>IFERROR(INDEX(TableOverallMaster[POS RK],MATCH(TableOverallRank[[#This Row],[OVERALL PLAYER]],TableOverallMaster[OVERALL PLAYER],0)),"")</f>
        <v>RB34</v>
      </c>
      <c r="AR60" s="120">
        <f>IFERROR(INDEX(TableOverallMaster[BYE],MATCH(TableOverallRank[[#This Row],[OVERALL PLAYER]],TableOverallMaster[OVERALL PLAYER],0)),"")</f>
        <v>6</v>
      </c>
      <c r="AS60" s="119">
        <f>IFERROR(INDEX(TableOverallMaster[Custom],MATCH(TableOverallRank[[#This Row],[OVERALL PLAYER]],TableOverallMaster[OVERALL PLAYER],0)),"")</f>
        <v>152.23876476732002</v>
      </c>
      <c r="AT60" s="121">
        <f>IFERROR(INDEX(TableOverallMaster[VORP],MATCH(TableOverallRank[[#This Row],[OVERALL PLAYER]],TableOverallMaster[OVERALL PLAYER],0)),"")</f>
        <v>0.3506153291975187</v>
      </c>
      <c r="AV60">
        <v>59</v>
      </c>
      <c r="AW60" s="122" t="str">
        <f>IFERROR(INDEX(TableWRTECalcPts[PLAYER],MATCH(TableWRTERank[[#This Row],[RK]],TableWRTECalcPts[RK],0)),"")</f>
        <v>Keenan Allen</v>
      </c>
      <c r="AX60" s="122" t="str">
        <f>IFERROR(INDEX(TableWRTECalcPts[POS RK],MATCH(TableWRTERank[[#This Row],[WR and TE COMBINED]],TableWRTECalcPts[PLAYER],0)),"")</f>
        <v>WR52</v>
      </c>
      <c r="AY60" s="122">
        <f>IFERROR(INDEX(TableWRTECalcPts[BYE],MATCH(TableWRTERank[[#This Row],[RK]],TableWRTECalcPts[RK],0)),"")</f>
        <v>13</v>
      </c>
      <c r="AZ60" s="123">
        <f>IFERROR(INDEX(TableWRTECalcPts[Custom],MATCH(TableWRTERank[[#This Row],[RK]],TableWRTECalcPts[RK],0)),"")</f>
        <v>151.05445991999994</v>
      </c>
      <c r="BA60" s="174">
        <f>IFERROR((TableWRTERank[[#This Row],[FPS]]-INDEX(TableWRTERank[FPS],MATCH(WRTEVORPCalc,TableWRTERank[RK],0)))/INDEX(TableWRTERank[FPS],MATCH(WRTEVORPCalc,TableWRTERank[RK],0)),"")</f>
        <v>1.1849531625156649E-2</v>
      </c>
      <c r="BC60" t="s">
        <v>223</v>
      </c>
      <c r="BD60">
        <v>59</v>
      </c>
      <c r="BE60" s="83">
        <f>RANK(TableWRTEMaster[[#This Row],[VORP]],TableWRTEMaster[VORP])+COUNTIF($BJ$2:BJ60,BJ60)-1</f>
        <v>71</v>
      </c>
      <c r="BF60" s="115" t="str">
        <f>IFERROR(INDEX(TableWRVORP[WIDE RECEIVER],MATCH(TableWRTEMaster[[#This Row],[RK]],TableWRVORP[RK],0)),"")</f>
        <v>Darnell Mooney</v>
      </c>
      <c r="BG60" s="115" t="str">
        <f>_xlfn.CONCAT(TableWRTEMaster[[#This Row],[POS]],TableWRTEMaster[[#This Row],[RK]])</f>
        <v>WR59</v>
      </c>
      <c r="BH60" s="115">
        <f>IFERROR(INDEX(TableWRVORP[BYE],MATCH(TableWRTEMaster[[#This Row],[RK]],TableWRVORP[RK],0)),"")</f>
        <v>11</v>
      </c>
      <c r="BI60" s="116">
        <f>IFERROR(INDEX(TableWRVORP[FPS],MATCH(TableWRTEMaster[[#This Row],[RK]],TableWRVORP[RK],0)),"")</f>
        <v>138.39669965721598</v>
      </c>
      <c r="BJ60" s="117">
        <f>IFERROR(INDEX(TableWRVORP[VORP],MATCH(TableWRTEMaster[[#This Row],[RK]],TableWRVORP[RK],0)),"")</f>
        <v>-4.1591813467518571E-2</v>
      </c>
    </row>
    <row r="61" spans="1:62" x14ac:dyDescent="0.2">
      <c r="A61">
        <v>60</v>
      </c>
      <c r="B61" s="112" t="str">
        <f>IFERROR(INDEX(TableQBCalcPts[PLAYER],MATCH(TableQBVORP[[#This Row],[RK]],TableQBCalcPts[RK],0)),"")</f>
        <v>Carson Wentz</v>
      </c>
      <c r="C61" s="112" t="str">
        <f>IFERROR(INDEX(TableQBCalcPts[TM],MATCH(TableQBVORP[[#This Row],[RK]],TableQBCalcPts[RK],0)),"")</f>
        <v>KC</v>
      </c>
      <c r="D61" s="112">
        <f>IFERROR(INDEX(TableQBCalcPts[BYE],MATCH(TableQBVORP[[#This Row],[RK]],TableQBCalcPts[RK],0)),"")</f>
        <v>10</v>
      </c>
      <c r="E61" s="113">
        <f>IFERROR(INDEX(TableQBCalcPts[Custom],MATCH(TableQBVORP[[#This Row],[RK]],TableQBCalcPts[RK],0)),"")</f>
        <v>2.4426883584000016</v>
      </c>
      <c r="F61" s="114">
        <f>(IFERROR((TableQBVORP[[#This Row],[FPS]]-INDEX(TableQBVORP[FPS],MATCH(QBVORPCalc,TableQBVORP[RK],0)))/INDEX(TableQBVORP[FPS],MATCH(QBVORPCalc,TableQBVORP[RK],0)),""))+(TableRBVORP[[#This Row],[VORP]]*0.45)</f>
        <v>-1.1501681751246355</v>
      </c>
      <c r="H61">
        <v>60</v>
      </c>
      <c r="I61" s="112" t="str">
        <f>IFERROR(INDEX(TableRBCalcPts[PLAYER],MATCH(TableRBVORP[[#This Row],[RK]],TableRBCalcPts[RK],0)),"")</f>
        <v>Alexander Mattison</v>
      </c>
      <c r="J61" s="112" t="str">
        <f>IFERROR(INDEX(TableRBCalcPts[TM],MATCH(TableRBVORP[[#This Row],[RK]],TableRBCalcPts[RK],0)),"")</f>
        <v>LV</v>
      </c>
      <c r="K61" s="112">
        <f>IFERROR(INDEX(TableRBCalcPts[BYE],MATCH(TableRBVORP[[#This Row],[RK]],TableRBCalcPts[RK],0)),"")</f>
        <v>13</v>
      </c>
      <c r="L61" s="113">
        <f>IFERROR(INDEX(TableRBCalcPts[Custom],MATCH(TableRBVORP[[#This Row],[RK]],TableRBCalcPts[RK],0)),"")</f>
        <v>73.474373489999991</v>
      </c>
      <c r="M61" s="114">
        <f>IFERROR((TableRBVORP[[#This Row],[FPS]]-INDEX(TableRBVORP[FPS],MATCH(RBVORPCalc,TableRBVORP[RK],0)))/INDEX(TableRBVORP[FPS],MATCH(RBVORPCalc,TableRBVORP[RK],0)),"")</f>
        <v>-0.34815803786605631</v>
      </c>
      <c r="O61">
        <v>60</v>
      </c>
      <c r="P61" s="112" t="str">
        <f>IFERROR(INDEX(TableWRCalcPts[PLAYER],MATCH(TableWRVORP[[#This Row],[RK]],TableWRCalcPts[RK],0)),"")</f>
        <v>Khalil Shakir</v>
      </c>
      <c r="Q61" s="112" t="str">
        <f>IFERROR(INDEX(TableWRCalcPts[TM],MATCH(TableWRVORP[[#This Row],[RK]],TableWRCalcPts[RK],0)),"")</f>
        <v>BUF</v>
      </c>
      <c r="R61" s="112">
        <f>IFERROR(INDEX(TableWRCalcPts[BYE],MATCH(TableWRVORP[[#This Row],[RK]],TableWRCalcPts[RK],0)),"")</f>
        <v>13</v>
      </c>
      <c r="S61" s="113">
        <f>IFERROR(INDEX(TableWRCalcPts[Custom],MATCH(TableWRVORP[[#This Row],[RK]],TableWRCalcPts[RK],0)),"")</f>
        <v>138.1168361067264</v>
      </c>
      <c r="T61" s="114">
        <f>IFERROR((TableWRVORP[[#This Row],[FPS]]-INDEX(TableWRVORP[FPS],MATCH(WRVORPCalc,TableWRVORP[RK],0)))/INDEX(TableWRVORP[FPS],MATCH(WRVORPCalc,TableWRVORP[RK],0)),"")</f>
        <v>-4.3529890882410702E-2</v>
      </c>
      <c r="V61">
        <v>60</v>
      </c>
      <c r="W61" s="112" t="str">
        <f>IFERROR(INDEX(TableTECalcPts[PLAYER],MATCH(TableTEVORP[[#This Row],[RK]],TableTECalcPts[RK],0)),"")</f>
        <v>Darnell Washington</v>
      </c>
      <c r="X61" s="112" t="str">
        <f>IFERROR(INDEX(TableTECalcPts[TM],MATCH(TableTEVORP[[#This Row],[RK]],TableTECalcPts[RK],0)),"")</f>
        <v>PIT</v>
      </c>
      <c r="Y61" s="112">
        <f>IFERROR(INDEX(TableTECalcPts[BYE],MATCH(TableTEVORP[[#This Row],[RK]],TableTECalcPts[RK],0)),"")</f>
        <v>6</v>
      </c>
      <c r="Z61" s="113">
        <f>IFERROR(INDEX(TableTECalcPts[Custom],MATCH(TableTEVORP[[#This Row],[RK]],TableTECalcPts[RK],0)),"")</f>
        <v>20.924662263749997</v>
      </c>
      <c r="AA61" s="114">
        <f>IFERROR((TableTEVORP[[#This Row],[FPS]]-INDEX(TableTEVORP[FPS],MATCH(TEVORPCalc,TableTEVORP[RK],0)))/INDEX(TableTEVORP[FPS],MATCH(TEVORPCalc,TableTEVORP[RK],0)),"")</f>
        <v>-0.8406863685948166</v>
      </c>
      <c r="AF61" t="s">
        <v>222</v>
      </c>
      <c r="AG61">
        <v>20</v>
      </c>
      <c r="AH61" s="83">
        <f>RANK(TableOverallMaster[[#This Row],[VORP]],TableOverallMaster[VORP])+COUNTIF($AM$2:AM61,AM61)-1</f>
        <v>26</v>
      </c>
      <c r="AI61" s="115" t="str">
        <f>IFERROR(INDEX(TableRBVORP[RUNNING BACK],MATCH(TableOverallMaster[[#This Row],[RK]],TableRBVORP[RK],0)),"")</f>
        <v>Alvin Kamara</v>
      </c>
      <c r="AJ61" s="115" t="str">
        <f t="shared" si="0"/>
        <v>RB20</v>
      </c>
      <c r="AK61" s="115">
        <f>IFERROR(INDEX(TableRBVORP[BYE],MATCH(TableOverallMaster[[#This Row],[RK]],TableRBVORP[RK],0)),"")</f>
        <v>11</v>
      </c>
      <c r="AL61" s="116">
        <f>IFERROR(INDEX(TableRBVORP[FPS],MATCH(TableOverallMaster[[#This Row],[RK]],TableRBVORP[RK],0)),"")</f>
        <v>186.30770878732321</v>
      </c>
      <c r="AM61" s="117">
        <f>IFERROR(INDEX(TableRBVORP[VORP],MATCH(TableOverallMaster[[#This Row],[RK]],TableRBVORP[RK],0)),"")</f>
        <v>0.65286448441968414</v>
      </c>
      <c r="AO61">
        <v>60</v>
      </c>
      <c r="AP61" s="118" t="str">
        <f>IFERROR(INDEX(TableOverallMaster[OVERALL PLAYER],MATCH(TableOverallRank[[#This Row],[RK]],TableOverallMaster[OVR RK],0)),"")</f>
        <v>Joe Burrow</v>
      </c>
      <c r="AQ61" s="119" t="str">
        <f>IFERROR(INDEX(TableOverallMaster[POS RK],MATCH(TableOverallRank[[#This Row],[OVERALL PLAYER]],TableOverallMaster[OVERALL PLAYER],0)),"")</f>
        <v>QB7</v>
      </c>
      <c r="AR61" s="120">
        <f>IFERROR(INDEX(TableOverallMaster[BYE],MATCH(TableOverallRank[[#This Row],[OVERALL PLAYER]],TableOverallMaster[OVERALL PLAYER],0)),"")</f>
        <v>7</v>
      </c>
      <c r="AS61" s="119">
        <f>IFERROR(INDEX(TableOverallMaster[Custom],MATCH(TableOverallRank[[#This Row],[OVERALL PLAYER]],TableOverallMaster[OVERALL PLAYER],0)),"")</f>
        <v>331.31720383031995</v>
      </c>
      <c r="AT61" s="121">
        <f>IFERROR(INDEX(TableOverallMaster[VORP],MATCH(TableOverallRank[[#This Row],[OVERALL PLAYER]],TableOverallMaster[OVERALL PLAYER],0)),"")</f>
        <v>0.34623432172374063</v>
      </c>
      <c r="AV61">
        <v>60</v>
      </c>
      <c r="AW61" s="122" t="str">
        <f>IFERROR(INDEX(TableWRTECalcPts[PLAYER],MATCH(TableWRTERank[[#This Row],[RK]],TableWRTECalcPts[RK],0)),"")</f>
        <v>Tyler Lockett</v>
      </c>
      <c r="AX61" s="122" t="str">
        <f>IFERROR(INDEX(TableWRTECalcPts[POS RK],MATCH(TableWRTERank[[#This Row],[WR and TE COMBINED]],TableWRTECalcPts[PLAYER],0)),"")</f>
        <v>WR53</v>
      </c>
      <c r="AY61" s="122">
        <f>IFERROR(INDEX(TableWRTECalcPts[BYE],MATCH(TableWRTERank[[#This Row],[RK]],TableWRTECalcPts[RK],0)),"")</f>
        <v>5</v>
      </c>
      <c r="AZ61" s="123">
        <f>IFERROR(INDEX(TableWRTECalcPts[Custom],MATCH(TableWRTERank[[#This Row],[RK]],TableWRTECalcPts[RK],0)),"")</f>
        <v>149.2854967056096</v>
      </c>
      <c r="BA61" s="174">
        <f>IFERROR((TableWRTERank[[#This Row],[FPS]]-INDEX(TableWRTERank[FPS],MATCH(WRTEVORPCalc,TableWRTERank[RK],0)))/INDEX(TableWRTERank[FPS],MATCH(WRTEVORPCalc,TableWRTERank[RK],0)),"")</f>
        <v>0</v>
      </c>
      <c r="BC61" t="s">
        <v>223</v>
      </c>
      <c r="BD61">
        <v>60</v>
      </c>
      <c r="BE61" s="83">
        <f>RANK(TableWRTEMaster[[#This Row],[VORP]],TableWRTEMaster[VORP])+COUNTIF($BJ$2:BJ61,BJ61)-1</f>
        <v>72</v>
      </c>
      <c r="BF61" s="115" t="str">
        <f>IFERROR(INDEX(TableWRVORP[WIDE RECEIVER],MATCH(TableWRTEMaster[[#This Row],[RK]],TableWRVORP[RK],0)),"")</f>
        <v>Khalil Shakir</v>
      </c>
      <c r="BG61" s="115" t="str">
        <f>_xlfn.CONCAT(TableWRTEMaster[[#This Row],[POS]],TableWRTEMaster[[#This Row],[RK]])</f>
        <v>WR60</v>
      </c>
      <c r="BH61" s="115">
        <f>IFERROR(INDEX(TableWRVORP[BYE],MATCH(TableWRTEMaster[[#This Row],[RK]],TableWRVORP[RK],0)),"")</f>
        <v>13</v>
      </c>
      <c r="BI61" s="116">
        <f>IFERROR(INDEX(TableWRVORP[FPS],MATCH(TableWRTEMaster[[#This Row],[RK]],TableWRVORP[RK],0)),"")</f>
        <v>138.1168361067264</v>
      </c>
      <c r="BJ61" s="117">
        <f>IFERROR(INDEX(TableWRVORP[VORP],MATCH(TableWRTEMaster[[#This Row],[RK]],TableWRVORP[RK],0)),"")</f>
        <v>-4.3529890882410702E-2</v>
      </c>
    </row>
    <row r="62" spans="1:62" x14ac:dyDescent="0.2">
      <c r="A62">
        <v>61</v>
      </c>
      <c r="B62" s="112" t="str">
        <f>IFERROR(INDEX(TableQBCalcPts[PLAYER],MATCH(TableQBVORP[[#This Row],[RK]],TableQBCalcPts[RK],0)),"")</f>
        <v>Mitch Trubisky</v>
      </c>
      <c r="C62" s="112" t="str">
        <f>IFERROR(INDEX(TableQBCalcPts[TM],MATCH(TableQBVORP[[#This Row],[RK]],TableQBCalcPts[RK],0)),"")</f>
        <v>BUF</v>
      </c>
      <c r="D62" s="112">
        <f>IFERROR(INDEX(TableQBCalcPts[BYE],MATCH(TableQBVORP[[#This Row],[RK]],TableQBCalcPts[RK],0)),"")</f>
        <v>13</v>
      </c>
      <c r="E62" s="113">
        <f>IFERROR(INDEX(TableQBCalcPts[Custom],MATCH(TableQBVORP[[#This Row],[RK]],TableQBCalcPts[RK],0)),"")</f>
        <v>2.2387300761600017</v>
      </c>
      <c r="F62" s="114">
        <f>(IFERROR((TableQBVORP[[#This Row],[FPS]]-INDEX(TableQBVORP[FPS],MATCH(QBVORPCalc,TableQBVORP[RK],0)))/INDEX(TableQBVORP[FPS],MATCH(QBVORPCalc,TableQBVORP[RK],0)),""))+(TableRBVORP[[#This Row],[VORP]]*0.45)</f>
        <v>-1.1541814415223297</v>
      </c>
      <c r="H62">
        <v>61</v>
      </c>
      <c r="I62" s="112" t="str">
        <f>IFERROR(INDEX(TableRBCalcPts[PLAYER],MATCH(TableRBVORP[[#This Row],[RK]],TableRBCalcPts[RK],0)),"")</f>
        <v>Braelon Allen</v>
      </c>
      <c r="J62" s="112" t="str">
        <f>IFERROR(INDEX(TableRBCalcPts[TM],MATCH(TableRBVORP[[#This Row],[RK]],TableRBCalcPts[RK],0)),"")</f>
        <v>NYJ</v>
      </c>
      <c r="K62" s="112">
        <f>IFERROR(INDEX(TableRBCalcPts[BYE],MATCH(TableRBVORP[[#This Row],[RK]],TableRBCalcPts[RK],0)),"")</f>
        <v>7</v>
      </c>
      <c r="L62" s="113">
        <f>IFERROR(INDEX(TableRBCalcPts[Custom],MATCH(TableRBVORP[[#This Row],[RK]],TableRBCalcPts[RK],0)),"")</f>
        <v>72.605119912371222</v>
      </c>
      <c r="M62" s="114">
        <f>IFERROR((TableRBVORP[[#This Row],[FPS]]-INDEX(TableRBVORP[FPS],MATCH(RBVORPCalc,TableRBVORP[RK],0)))/INDEX(TableRBVORP[FPS],MATCH(RBVORPCalc,TableRBVORP[RK],0)),"")</f>
        <v>-0.35586978729268604</v>
      </c>
      <c r="O62">
        <v>61</v>
      </c>
      <c r="P62" s="112" t="str">
        <f>IFERROR(INDEX(TableWRCalcPts[PLAYER],MATCH(TableWRVORP[[#This Row],[RK]],TableWRCalcPts[RK],0)),"")</f>
        <v>Rashid Shaheed</v>
      </c>
      <c r="Q62" s="112" t="str">
        <f>IFERROR(INDEX(TableWRCalcPts[TM],MATCH(TableWRVORP[[#This Row],[RK]],TableWRCalcPts[RK],0)),"")</f>
        <v>NO</v>
      </c>
      <c r="R62" s="112">
        <f>IFERROR(INDEX(TableWRCalcPts[BYE],MATCH(TableWRVORP[[#This Row],[RK]],TableWRCalcPts[RK],0)),"")</f>
        <v>11</v>
      </c>
      <c r="S62" s="113">
        <f>IFERROR(INDEX(TableWRCalcPts[Custom],MATCH(TableWRVORP[[#This Row],[RK]],TableWRCalcPts[RK],0)),"")</f>
        <v>137.90885669345585</v>
      </c>
      <c r="T62" s="114">
        <f>IFERROR((TableWRVORP[[#This Row],[FPS]]-INDEX(TableWRVORP[FPS],MATCH(WRVORPCalc,TableWRVORP[RK],0)))/INDEX(TableWRVORP[FPS],MATCH(WRVORPCalc,TableWRVORP[RK],0)),"")</f>
        <v>-4.497016491208352E-2</v>
      </c>
      <c r="V62">
        <v>61</v>
      </c>
      <c r="W62" s="112" t="str">
        <f>IFERROR(INDEX(TableTECalcPts[PLAYER],MATCH(TableTEVORP[[#This Row],[RK]],TableTECalcPts[RK],0)),"")</f>
        <v>Johnny Mundt</v>
      </c>
      <c r="X62" s="112" t="str">
        <f>IFERROR(INDEX(TableTECalcPts[TM],MATCH(TableTEVORP[[#This Row],[RK]],TableTECalcPts[RK],0)),"")</f>
        <v>MIN</v>
      </c>
      <c r="Y62" s="112">
        <f>IFERROR(INDEX(TableTECalcPts[BYE],MATCH(TableTEVORP[[#This Row],[RK]],TableTECalcPts[RK],0)),"")</f>
        <v>13</v>
      </c>
      <c r="Z62" s="113">
        <f>IFERROR(INDEX(TableTECalcPts[Custom],MATCH(TableTEVORP[[#This Row],[RK]],TableTECalcPts[RK],0)),"")</f>
        <v>19.988201519999997</v>
      </c>
      <c r="AA62" s="114">
        <f>IFERROR((TableTEVORP[[#This Row],[FPS]]-INDEX(TableTEVORP[FPS],MATCH(TEVORPCalc,TableTEVORP[RK],0)))/INDEX(TableTEVORP[FPS],MATCH(TEVORPCalc,TableTEVORP[RK],0)),"")</f>
        <v>-0.84781627873982635</v>
      </c>
      <c r="AF62" t="s">
        <v>222</v>
      </c>
      <c r="AG62">
        <v>21</v>
      </c>
      <c r="AH62" s="83">
        <f>RANK(TableOverallMaster[[#This Row],[VORP]],TableOverallMaster[VORP])+COUNTIF($AM$2:AM62,AM62)-1</f>
        <v>27</v>
      </c>
      <c r="AI62" s="115" t="str">
        <f>IFERROR(INDEX(TableRBVORP[RUNNING BACK],MATCH(TableOverallMaster[[#This Row],[RK]],TableRBVORP[RK],0)),"")</f>
        <v>James Conner</v>
      </c>
      <c r="AJ62" s="115" t="str">
        <f t="shared" si="0"/>
        <v>RB21</v>
      </c>
      <c r="AK62" s="115">
        <f>IFERROR(INDEX(TableRBVORP[BYE],MATCH(TableOverallMaster[[#This Row],[RK]],TableRBVORP[RK],0)),"")</f>
        <v>14</v>
      </c>
      <c r="AL62" s="116">
        <f>IFERROR(INDEX(TableRBVORP[FPS],MATCH(TableOverallMaster[[#This Row],[RK]],TableRBVORP[RK],0)),"")</f>
        <v>183.41902516644001</v>
      </c>
      <c r="AM62" s="117">
        <f>IFERROR(INDEX(TableRBVORP[VORP],MATCH(TableOverallMaster[[#This Row],[RK]],TableRBVORP[RK],0)),"")</f>
        <v>0.62723697499046838</v>
      </c>
      <c r="AO62">
        <v>61</v>
      </c>
      <c r="AP62" s="118" t="str">
        <f>IFERROR(INDEX(TableOverallMaster[OVERALL PLAYER],MATCH(TableOverallRank[[#This Row],[RK]],TableOverallMaster[OVR RK],0)),"")</f>
        <v>Garrett Wilson</v>
      </c>
      <c r="AQ62" s="119" t="str">
        <f>IFERROR(INDEX(TableOverallMaster[POS RK],MATCH(TableOverallRank[[#This Row],[OVERALL PLAYER]],TableOverallMaster[OVERALL PLAYER],0)),"")</f>
        <v>WR17</v>
      </c>
      <c r="AR62" s="120">
        <f>IFERROR(INDEX(TableOverallMaster[BYE],MATCH(TableOverallRank[[#This Row],[OVERALL PLAYER]],TableOverallMaster[OVERALL PLAYER],0)),"")</f>
        <v>7</v>
      </c>
      <c r="AS62" s="119">
        <f>IFERROR(INDEX(TableOverallMaster[Custom],MATCH(TableOverallRank[[#This Row],[OVERALL PLAYER]],TableOverallMaster[OVERALL PLAYER],0)),"")</f>
        <v>193.57599061120317</v>
      </c>
      <c r="AT62" s="121">
        <f>IFERROR(INDEX(TableOverallMaster[VORP],MATCH(TableOverallRank[[#This Row],[OVERALL PLAYER]],TableOverallMaster[OVERALL PLAYER],0)),"")</f>
        <v>0.34052917863954751</v>
      </c>
      <c r="AV62">
        <v>61</v>
      </c>
      <c r="AW62" s="122" t="str">
        <f>IFERROR(INDEX(TableWRTECalcPts[PLAYER],MATCH(TableWRTERank[[#This Row],[RK]],TableWRTECalcPts[RK],0)),"")</f>
        <v>Marquise Brown</v>
      </c>
      <c r="AX62" s="122" t="str">
        <f>IFERROR(INDEX(TableWRTECalcPts[POS RK],MATCH(TableWRTERank[[#This Row],[WR and TE COMBINED]],TableWRTECalcPts[PLAYER],0)),"")</f>
        <v>WR54</v>
      </c>
      <c r="AY62" s="122">
        <f>IFERROR(INDEX(TableWRTECalcPts[BYE],MATCH(TableWRTERank[[#This Row],[RK]],TableWRTECalcPts[RK],0)),"")</f>
        <v>10</v>
      </c>
      <c r="AZ62" s="123">
        <f>IFERROR(INDEX(TableWRTECalcPts[Custom],MATCH(TableWRTERank[[#This Row],[RK]],TableWRTECalcPts[RK],0)),"")</f>
        <v>147.63615491071997</v>
      </c>
      <c r="BA62" s="174">
        <f>IFERROR((TableWRTERank[[#This Row],[FPS]]-INDEX(TableWRTERank[FPS],MATCH(WRTEVORPCalc,TableWRTERank[RK],0)))/INDEX(TableWRTERank[FPS],MATCH(WRTEVORPCalc,TableWRTERank[RK],0)),"")</f>
        <v>-1.1048238652024797E-2</v>
      </c>
      <c r="BC62" t="s">
        <v>223</v>
      </c>
      <c r="BD62">
        <v>61</v>
      </c>
      <c r="BE62" s="83">
        <f>RANK(TableWRTEMaster[[#This Row],[VORP]],TableWRTEMaster[VORP])+COUNTIF($BJ$2:BJ62,BJ62)-1</f>
        <v>73</v>
      </c>
      <c r="BF62" s="115" t="str">
        <f>IFERROR(INDEX(TableWRVORP[WIDE RECEIVER],MATCH(TableWRTEMaster[[#This Row],[RK]],TableWRVORP[RK],0)),"")</f>
        <v>Rashid Shaheed</v>
      </c>
      <c r="BG62" s="115" t="str">
        <f>_xlfn.CONCAT(TableWRTEMaster[[#This Row],[POS]],TableWRTEMaster[[#This Row],[RK]])</f>
        <v>WR61</v>
      </c>
      <c r="BH62" s="115">
        <f>IFERROR(INDEX(TableWRVORP[BYE],MATCH(TableWRTEMaster[[#This Row],[RK]],TableWRVORP[RK],0)),"")</f>
        <v>11</v>
      </c>
      <c r="BI62" s="116">
        <f>IFERROR(INDEX(TableWRVORP[FPS],MATCH(TableWRTEMaster[[#This Row],[RK]],TableWRVORP[RK],0)),"")</f>
        <v>137.90885669345585</v>
      </c>
      <c r="BJ62" s="117">
        <f>IFERROR(INDEX(TableWRVORP[VORP],MATCH(TableWRTEMaster[[#This Row],[RK]],TableWRVORP[RK],0)),"")</f>
        <v>-4.497016491208352E-2</v>
      </c>
    </row>
    <row r="63" spans="1:62" x14ac:dyDescent="0.2">
      <c r="A63">
        <v>62</v>
      </c>
      <c r="B63" s="112" t="str">
        <f>IFERROR(INDEX(TableQBCalcPts[PLAYER],MATCH(TableQBVORP[[#This Row],[RK]],TableQBCalcPts[RK],0)),"")</f>
        <v>Sean Clifford</v>
      </c>
      <c r="C63" s="112" t="str">
        <f>IFERROR(INDEX(TableQBCalcPts[TM],MATCH(TableQBVORP[[#This Row],[RK]],TableQBCalcPts[RK],0)),"")</f>
        <v>GB</v>
      </c>
      <c r="D63" s="112">
        <f>IFERROR(INDEX(TableQBCalcPts[BYE],MATCH(TableQBVORP[[#This Row],[RK]],TableQBCalcPts[RK],0)),"")</f>
        <v>6</v>
      </c>
      <c r="E63" s="113">
        <f>IFERROR(INDEX(TableQBCalcPts[Custom],MATCH(TableQBVORP[[#This Row],[RK]],TableQBCalcPts[RK],0)),"")</f>
        <v>2.1737542400000023</v>
      </c>
      <c r="F63" s="114">
        <f>(IFERROR((TableQBVORP[[#This Row],[FPS]]-INDEX(TableQBVORP[FPS],MATCH(QBVORPCalc,TableQBVORP[RK],0)))/INDEX(TableQBVORP[FPS],MATCH(QBVORPCalc,TableQBVORP[RK],0)),""))+(TableRBVORP[[#This Row],[VORP]]*0.45)</f>
        <v>-1.1608815925045592</v>
      </c>
      <c r="H63">
        <v>62</v>
      </c>
      <c r="I63" s="112" t="str">
        <f>IFERROR(INDEX(TableRBCalcPts[PLAYER],MATCH(TableRBVORP[[#This Row],[RK]],TableRBCalcPts[RK],0)),"")</f>
        <v>Kenneth Gainwell</v>
      </c>
      <c r="J63" s="112" t="str">
        <f>IFERROR(INDEX(TableRBCalcPts[TM],MATCH(TableRBVORP[[#This Row],[RK]],TableRBCalcPts[RK],0)),"")</f>
        <v>PHI</v>
      </c>
      <c r="K63" s="112">
        <f>IFERROR(INDEX(TableRBCalcPts[BYE],MATCH(TableRBVORP[[#This Row],[RK]],TableRBCalcPts[RK],0)),"")</f>
        <v>10</v>
      </c>
      <c r="L63" s="113">
        <f>IFERROR(INDEX(TableRBCalcPts[Custom],MATCH(TableRBVORP[[#This Row],[RK]],TableRBCalcPts[RK],0)),"")</f>
        <v>70.970163755904011</v>
      </c>
      <c r="M63" s="114">
        <f>IFERROR((TableRBVORP[[#This Row],[FPS]]-INDEX(TableRBVORP[FPS],MATCH(RBVORPCalc,TableRBVORP[RK],0)))/INDEX(TableRBVORP[FPS],MATCH(RBVORPCalc,TableRBVORP[RK],0)),"")</f>
        <v>-0.3703746136479541</v>
      </c>
      <c r="O63">
        <v>62</v>
      </c>
      <c r="P63" s="112" t="str">
        <f>IFERROR(INDEX(TableWRCalcPts[PLAYER],MATCH(TableWRVORP[[#This Row],[RK]],TableWRCalcPts[RK],0)),"")</f>
        <v>Romeo Doubs</v>
      </c>
      <c r="Q63" s="112" t="str">
        <f>IFERROR(INDEX(TableWRCalcPts[TM],MATCH(TableWRVORP[[#This Row],[RK]],TableWRCalcPts[RK],0)),"")</f>
        <v>GB</v>
      </c>
      <c r="R63" s="112">
        <f>IFERROR(INDEX(TableWRCalcPts[BYE],MATCH(TableWRVORP[[#This Row],[RK]],TableWRCalcPts[RK],0)),"")</f>
        <v>6</v>
      </c>
      <c r="S63" s="113">
        <f>IFERROR(INDEX(TableWRCalcPts[Custom],MATCH(TableWRVORP[[#This Row],[RK]],TableWRCalcPts[RK],0)),"")</f>
        <v>136.87196386617603</v>
      </c>
      <c r="T63" s="114">
        <f>IFERROR((TableWRVORP[[#This Row],[FPS]]-INDEX(TableWRVORP[FPS],MATCH(WRVORPCalc,TableWRVORP[RK],0)))/INDEX(TableWRVORP[FPS],MATCH(WRVORPCalc,TableWRVORP[RK],0)),"")</f>
        <v>-5.2150730465186791E-2</v>
      </c>
      <c r="V63">
        <v>62</v>
      </c>
      <c r="W63" s="112" t="str">
        <f>IFERROR(INDEX(TableTECalcPts[PLAYER],MATCH(TableTEVORP[[#This Row],[RK]],TableTECalcPts[RK],0)),"")</f>
        <v>Jordan Akins</v>
      </c>
      <c r="X63" s="112" t="str">
        <f>IFERROR(INDEX(TableTECalcPts[TM],MATCH(TableTEVORP[[#This Row],[RK]],TableTECalcPts[RK],0)),"")</f>
        <v>CLE</v>
      </c>
      <c r="Y63" s="112">
        <f>IFERROR(INDEX(TableTECalcPts[BYE],MATCH(TableTEVORP[[#This Row],[RK]],TableTECalcPts[RK],0)),"")</f>
        <v>5</v>
      </c>
      <c r="Z63" s="113">
        <f>IFERROR(INDEX(TableTECalcPts[Custom],MATCH(TableTEVORP[[#This Row],[RK]],TableTECalcPts[RK],0)),"")</f>
        <v>19.760745571875002</v>
      </c>
      <c r="AA63" s="114">
        <f>IFERROR((TableTEVORP[[#This Row],[FPS]]-INDEX(TableTEVORP[FPS],MATCH(TEVORPCalc,TableTEVORP[RK],0)))/INDEX(TableTEVORP[FPS],MATCH(TEVORPCalc,TableTEVORP[RK],0)),"")</f>
        <v>-0.84954805498661801</v>
      </c>
      <c r="AF63" t="s">
        <v>222</v>
      </c>
      <c r="AG63">
        <v>22</v>
      </c>
      <c r="AH63" s="83">
        <f>RANK(TableOverallMaster[[#This Row],[VORP]],TableOverallMaster[VORP])+COUNTIF($AM$2:AM63,AM63)-1</f>
        <v>28</v>
      </c>
      <c r="AI63" s="115" t="str">
        <f>IFERROR(INDEX(TableRBVORP[RUNNING BACK],MATCH(TableOverallMaster[[#This Row],[RK]],TableRBVORP[RK],0)),"")</f>
        <v>Ezekiel Elliott</v>
      </c>
      <c r="AJ63" s="115" t="str">
        <f t="shared" si="0"/>
        <v>RB22</v>
      </c>
      <c r="AK63" s="115">
        <f>IFERROR(INDEX(TableRBVORP[BYE],MATCH(TableOverallMaster[[#This Row],[RK]],TableRBVORP[RK],0)),"")</f>
        <v>7</v>
      </c>
      <c r="AL63" s="116">
        <f>IFERROR(INDEX(TableRBVORP[FPS],MATCH(TableOverallMaster[[#This Row],[RK]],TableRBVORP[RK],0)),"")</f>
        <v>182.70860020896004</v>
      </c>
      <c r="AM63" s="117">
        <f>IFERROR(INDEX(TableRBVORP[VORP],MATCH(TableOverallMaster[[#This Row],[RK]],TableRBVORP[RK],0)),"")</f>
        <v>0.62093430405587791</v>
      </c>
      <c r="AO63">
        <v>62</v>
      </c>
      <c r="AP63" s="118" t="str">
        <f>IFERROR(INDEX(TableOverallMaster[OVERALL PLAYER],MATCH(TableOverallRank[[#This Row],[RK]],TableOverallMaster[OVR RK],0)),"")</f>
        <v>Jayden Reed</v>
      </c>
      <c r="AQ63" s="119" t="str">
        <f>IFERROR(INDEX(TableOverallMaster[POS RK],MATCH(TableOverallRank[[#This Row],[OVERALL PLAYER]],TableOverallMaster[OVERALL PLAYER],0)),"")</f>
        <v>WR18</v>
      </c>
      <c r="AR63" s="120">
        <f>IFERROR(INDEX(TableOverallMaster[BYE],MATCH(TableOverallRank[[#This Row],[OVERALL PLAYER]],TableOverallMaster[OVERALL PLAYER],0)),"")</f>
        <v>6</v>
      </c>
      <c r="AS63" s="119">
        <f>IFERROR(INDEX(TableOverallMaster[Custom],MATCH(TableOverallRank[[#This Row],[OVERALL PLAYER]],TableOverallMaster[OVERALL PLAYER],0)),"")</f>
        <v>191.81540749896001</v>
      </c>
      <c r="AT63" s="121">
        <f>IFERROR(INDEX(TableOverallMaster[VORP],MATCH(TableOverallRank[[#This Row],[OVERALL PLAYER]],TableOverallMaster[OVERALL PLAYER],0)),"")</f>
        <v>0.32833700012644745</v>
      </c>
      <c r="AV63">
        <v>62</v>
      </c>
      <c r="AW63" s="122" t="str">
        <f>IFERROR(INDEX(TableWRTECalcPts[PLAYER],MATCH(TableWRTERank[[#This Row],[RK]],TableWRTECalcPts[RK],0)),"")</f>
        <v>David Njoku</v>
      </c>
      <c r="AX63" s="122" t="str">
        <f>IFERROR(INDEX(TableWRTECalcPts[POS RK],MATCH(TableWRTERank[[#This Row],[WR and TE COMBINED]],TableWRTECalcPts[PLAYER],0)),"")</f>
        <v>TE8</v>
      </c>
      <c r="AY63" s="122">
        <f>IFERROR(INDEX(TableWRTECalcPts[BYE],MATCH(TableWRTERank[[#This Row],[RK]],TableWRTECalcPts[RK],0)),"")</f>
        <v>5</v>
      </c>
      <c r="AZ63" s="123">
        <f>IFERROR(INDEX(TableWRTECalcPts[Custom],MATCH(TableWRTERank[[#This Row],[RK]],TableWRTECalcPts[RK],0)),"")</f>
        <v>146.32427848500004</v>
      </c>
      <c r="BA63" s="174">
        <f>IFERROR((TableWRTERank[[#This Row],[FPS]]-INDEX(TableWRTERank[FPS],MATCH(WRTEVORPCalc,TableWRTERank[RK],0)))/INDEX(TableWRTERank[FPS],MATCH(WRTEVORPCalc,TableWRTERank[RK],0)),"")</f>
        <v>-1.9835940435989418E-2</v>
      </c>
      <c r="BC63" t="s">
        <v>223</v>
      </c>
      <c r="BD63">
        <v>62</v>
      </c>
      <c r="BE63" s="83">
        <f>RANK(TableWRTEMaster[[#This Row],[VORP]],TableWRTEMaster[VORP])+COUNTIF($BJ$2:BJ63,BJ63)-1</f>
        <v>74</v>
      </c>
      <c r="BF63" s="115" t="str">
        <f>IFERROR(INDEX(TableWRVORP[WIDE RECEIVER],MATCH(TableWRTEMaster[[#This Row],[RK]],TableWRVORP[RK],0)),"")</f>
        <v>Romeo Doubs</v>
      </c>
      <c r="BG63" s="115" t="str">
        <f>_xlfn.CONCAT(TableWRTEMaster[[#This Row],[POS]],TableWRTEMaster[[#This Row],[RK]])</f>
        <v>WR62</v>
      </c>
      <c r="BH63" s="115">
        <f>IFERROR(INDEX(TableWRVORP[BYE],MATCH(TableWRTEMaster[[#This Row],[RK]],TableWRVORP[RK],0)),"")</f>
        <v>6</v>
      </c>
      <c r="BI63" s="116">
        <f>IFERROR(INDEX(TableWRVORP[FPS],MATCH(TableWRTEMaster[[#This Row],[RK]],TableWRVORP[RK],0)),"")</f>
        <v>136.87196386617603</v>
      </c>
      <c r="BJ63" s="117">
        <f>IFERROR(INDEX(TableWRVORP[VORP],MATCH(TableWRTEMaster[[#This Row],[RK]],TableWRVORP[RK],0)),"")</f>
        <v>-5.2150730465186791E-2</v>
      </c>
    </row>
    <row r="64" spans="1:62" x14ac:dyDescent="0.2">
      <c r="A64">
        <v>63</v>
      </c>
      <c r="B64" s="112" t="str">
        <f>IFERROR(INDEX(TableQBCalcPts[PLAYER],MATCH(TableQBVORP[[#This Row],[RK]],TableQBCalcPts[RK],0)),"")</f>
        <v>Easton Stick</v>
      </c>
      <c r="C64" s="112" t="str">
        <f>IFERROR(INDEX(TableQBCalcPts[TM],MATCH(TableQBVORP[[#This Row],[RK]],TableQBCalcPts[RK],0)),"")</f>
        <v>LAC</v>
      </c>
      <c r="D64" s="112">
        <f>IFERROR(INDEX(TableQBCalcPts[BYE],MATCH(TableQBVORP[[#This Row],[RK]],TableQBCalcPts[RK],0)),"")</f>
        <v>5</v>
      </c>
      <c r="E64" s="113">
        <f>IFERROR(INDEX(TableQBCalcPts[Custom],MATCH(TableQBVORP[[#This Row],[RK]],TableQBCalcPts[RK],0)),"")</f>
        <v>2.1720732159600025</v>
      </c>
      <c r="F64" s="114">
        <f>(IFERROR((TableQBVORP[[#This Row],[FPS]]-INDEX(TableQBVORP[FPS],MATCH(QBVORPCalc,TableQBVORP[RK],0)))/INDEX(TableQBVORP[FPS],MATCH(QBVORPCalc,TableQBVORP[RK],0)),""))+(TableRBVORP[[#This Row],[VORP]]*0.45)</f>
        <v>-1.1643489723699729</v>
      </c>
      <c r="H64">
        <v>63</v>
      </c>
      <c r="I64" s="112" t="str">
        <f>IFERROR(INDEX(TableRBCalcPts[PLAYER],MATCH(TableRBVORP[[#This Row],[RK]],TableRBCalcPts[RK],0)),"")</f>
        <v>Clyde Edwards-Helaire</v>
      </c>
      <c r="J64" s="112" t="str">
        <f>IFERROR(INDEX(TableRBCalcPts[TM],MATCH(TableRBVORP[[#This Row],[RK]],TableRBCalcPts[RK],0)),"")</f>
        <v>KC</v>
      </c>
      <c r="K64" s="112">
        <f>IFERROR(INDEX(TableRBCalcPts[BYE],MATCH(TableRBVORP[[#This Row],[RK]],TableRBCalcPts[RK],0)),"")</f>
        <v>10</v>
      </c>
      <c r="L64" s="113">
        <f>IFERROR(INDEX(TableRBCalcPts[Custom],MATCH(TableRBVORP[[#This Row],[RK]],TableRBCalcPts[RK],0)),"")</f>
        <v>70.102759408639983</v>
      </c>
      <c r="M64" s="114">
        <f>IFERROR((TableRBVORP[[#This Row],[FPS]]-INDEX(TableRBVORP[FPS],MATCH(RBVORPCalc,TableRBVORP[RK],0)))/INDEX(TableRBVORP[FPS],MATCH(RBVORPCalc,TableRBVORP[RK],0)),"")</f>
        <v>-0.37806995727359316</v>
      </c>
      <c r="O64">
        <v>63</v>
      </c>
      <c r="P64" s="112" t="str">
        <f>IFERROR(INDEX(TableWRCalcPts[PLAYER],MATCH(TableWRVORP[[#This Row],[RK]],TableWRCalcPts[RK],0)),"")</f>
        <v>Rome Odunze</v>
      </c>
      <c r="Q64" s="112" t="str">
        <f>IFERROR(INDEX(TableWRCalcPts[TM],MATCH(TableWRVORP[[#This Row],[RK]],TableWRCalcPts[RK],0)),"")</f>
        <v>CHI</v>
      </c>
      <c r="R64" s="112">
        <f>IFERROR(INDEX(TableWRCalcPts[BYE],MATCH(TableWRVORP[[#This Row],[RK]],TableWRCalcPts[RK],0)),"")</f>
        <v>13</v>
      </c>
      <c r="S64" s="113">
        <f>IFERROR(INDEX(TableWRCalcPts[Custom],MATCH(TableWRVORP[[#This Row],[RK]],TableWRCalcPts[RK],0)),"")</f>
        <v>135.18949056479997</v>
      </c>
      <c r="T64" s="114">
        <f>IFERROR((TableWRVORP[[#This Row],[FPS]]-INDEX(TableWRVORP[FPS],MATCH(WRVORPCalc,TableWRVORP[RK],0)))/INDEX(TableWRVORP[FPS],MATCH(WRVORPCalc,TableWRVORP[RK],0)),"")</f>
        <v>-6.3801992306365199E-2</v>
      </c>
      <c r="V64">
        <v>63</v>
      </c>
      <c r="W64" s="112" t="str">
        <f>IFERROR(INDEX(TableTECalcPts[PLAYER],MATCH(TableTEVORP[[#This Row],[RK]],TableTECalcPts[RK],0)),"")</f>
        <v>James Mitchell</v>
      </c>
      <c r="X64" s="112" t="str">
        <f>IFERROR(INDEX(TableTECalcPts[TM],MATCH(TableTEVORP[[#This Row],[RK]],TableTECalcPts[RK],0)),"")</f>
        <v>DET</v>
      </c>
      <c r="Y64" s="112">
        <f>IFERROR(INDEX(TableTECalcPts[BYE],MATCH(TableTEVORP[[#This Row],[RK]],TableTECalcPts[RK],0)),"")</f>
        <v>9</v>
      </c>
      <c r="Z64" s="113">
        <f>IFERROR(INDEX(TableTECalcPts[Custom],MATCH(TableTEVORP[[#This Row],[RK]],TableTECalcPts[RK],0)),"")</f>
        <v>17.717118155099996</v>
      </c>
      <c r="AA64" s="114">
        <f>IFERROR((TableTEVORP[[#This Row],[FPS]]-INDEX(TableTEVORP[FPS],MATCH(TEVORPCalc,TableTEVORP[RK],0)))/INDEX(TableTEVORP[FPS],MATCH(TEVORPCalc,TableTEVORP[RK],0)),"")</f>
        <v>-0.86510757517871462</v>
      </c>
      <c r="AF64" t="s">
        <v>222</v>
      </c>
      <c r="AG64">
        <v>23</v>
      </c>
      <c r="AH64" s="83">
        <f>RANK(TableOverallMaster[[#This Row],[VORP]],TableOverallMaster[VORP])+COUNTIF($AM$2:AM64,AM64)-1</f>
        <v>29</v>
      </c>
      <c r="AI64" s="115" t="str">
        <f>IFERROR(INDEX(TableRBVORP[RUNNING BACK],MATCH(TableOverallMaster[[#This Row],[RK]],TableRBVORP[RK],0)),"")</f>
        <v>D'Andre Swift</v>
      </c>
      <c r="AJ64" s="115" t="str">
        <f t="shared" si="0"/>
        <v>RB23</v>
      </c>
      <c r="AK64" s="115">
        <f>IFERROR(INDEX(TableRBVORP[BYE],MATCH(TableOverallMaster[[#This Row],[RK]],TableRBVORP[RK],0)),"")</f>
        <v>13</v>
      </c>
      <c r="AL64" s="116">
        <f>IFERROR(INDEX(TableRBVORP[FPS],MATCH(TableOverallMaster[[#This Row],[RK]],TableRBVORP[RK],0)),"")</f>
        <v>181.93578197759999</v>
      </c>
      <c r="AM64" s="117">
        <f>IFERROR(INDEX(TableRBVORP[VORP],MATCH(TableOverallMaster[[#This Row],[RK]],TableRBVORP[RK],0)),"")</f>
        <v>0.61407809925446943</v>
      </c>
      <c r="AO64">
        <v>63</v>
      </c>
      <c r="AP64" s="118" t="str">
        <f>IFERROR(INDEX(TableOverallMaster[OVERALL PLAYER],MATCH(TableOverallRank[[#This Row],[RK]],TableOverallMaster[OVR RK],0)),"")</f>
        <v>DJ Moore</v>
      </c>
      <c r="AQ64" s="119" t="str">
        <f>IFERROR(INDEX(TableOverallMaster[POS RK],MATCH(TableOverallRank[[#This Row],[OVERALL PLAYER]],TableOverallMaster[OVERALL PLAYER],0)),"")</f>
        <v>WR19</v>
      </c>
      <c r="AR64" s="120">
        <f>IFERROR(INDEX(TableOverallMaster[BYE],MATCH(TableOverallRank[[#This Row],[OVERALL PLAYER]],TableOverallMaster[OVERALL PLAYER],0)),"")</f>
        <v>13</v>
      </c>
      <c r="AS64" s="119">
        <f>IFERROR(INDEX(TableOverallMaster[Custom],MATCH(TableOverallRank[[#This Row],[OVERALL PLAYER]],TableOverallMaster[OVERALL PLAYER],0)),"")</f>
        <v>190.97919337139996</v>
      </c>
      <c r="AT64" s="121">
        <f>IFERROR(INDEX(TableOverallMaster[VORP],MATCH(TableOverallRank[[#This Row],[OVERALL PLAYER]],TableOverallMaster[OVERALL PLAYER],0)),"")</f>
        <v>0.32254615057922065</v>
      </c>
      <c r="AV64">
        <v>63</v>
      </c>
      <c r="AW64" s="122" t="str">
        <f>IFERROR(INDEX(TableWRTECalcPts[PLAYER],MATCH(TableWRTERank[[#This Row],[RK]],TableWRTECalcPts[RK],0)),"")</f>
        <v>Jake Ferguson</v>
      </c>
      <c r="AX64" s="122" t="str">
        <f>IFERROR(INDEX(TableWRTECalcPts[POS RK],MATCH(TableWRTERank[[#This Row],[WR and TE COMBINED]],TableWRTECalcPts[PLAYER],0)),"")</f>
        <v>TE9</v>
      </c>
      <c r="AY64" s="122">
        <f>IFERROR(INDEX(TableWRTECalcPts[BYE],MATCH(TableWRTERank[[#This Row],[RK]],TableWRTECalcPts[RK],0)),"")</f>
        <v>7</v>
      </c>
      <c r="AZ64" s="123">
        <f>IFERROR(INDEX(TableWRTECalcPts[Custom],MATCH(TableWRTERank[[#This Row],[RK]],TableWRTECalcPts[RK],0)),"")</f>
        <v>145.89143428607994</v>
      </c>
      <c r="BA64" s="174">
        <f>IFERROR((TableWRTERank[[#This Row],[FPS]]-INDEX(TableWRTERank[FPS],MATCH(WRTEVORPCalc,TableWRTERank[RK],0)))/INDEX(TableWRTERank[FPS],MATCH(WRTEVORPCalc,TableWRTERank[RK],0)),"")</f>
        <v>-2.2735379487149633E-2</v>
      </c>
      <c r="BC64" t="s">
        <v>223</v>
      </c>
      <c r="BD64">
        <v>63</v>
      </c>
      <c r="BE64" s="83">
        <f>RANK(TableWRTEMaster[[#This Row],[VORP]],TableWRTEMaster[VORP])+COUNTIF($BJ$2:BJ64,BJ64)-1</f>
        <v>75</v>
      </c>
      <c r="BF64" s="115" t="str">
        <f>IFERROR(INDEX(TableWRVORP[WIDE RECEIVER],MATCH(TableWRTEMaster[[#This Row],[RK]],TableWRVORP[RK],0)),"")</f>
        <v>Rome Odunze</v>
      </c>
      <c r="BG64" s="115" t="str">
        <f>_xlfn.CONCAT(TableWRTEMaster[[#This Row],[POS]],TableWRTEMaster[[#This Row],[RK]])</f>
        <v>WR63</v>
      </c>
      <c r="BH64" s="115">
        <f>IFERROR(INDEX(TableWRVORP[BYE],MATCH(TableWRTEMaster[[#This Row],[RK]],TableWRVORP[RK],0)),"")</f>
        <v>13</v>
      </c>
      <c r="BI64" s="116">
        <f>IFERROR(INDEX(TableWRVORP[FPS],MATCH(TableWRTEMaster[[#This Row],[RK]],TableWRVORP[RK],0)),"")</f>
        <v>135.18949056479997</v>
      </c>
      <c r="BJ64" s="117">
        <f>IFERROR(INDEX(TableWRVORP[VORP],MATCH(TableWRTEMaster[[#This Row],[RK]],TableWRVORP[RK],0)),"")</f>
        <v>-6.3801992306365199E-2</v>
      </c>
    </row>
    <row r="65" spans="1:62" x14ac:dyDescent="0.2">
      <c r="A65">
        <v>64</v>
      </c>
      <c r="B65" s="112" t="str">
        <f>IFERROR(INDEX(TableQBCalcPts[PLAYER],MATCH(TableQBVORP[[#This Row],[RK]],TableQBCalcPts[RK],0)),"")</f>
        <v>Case Keenum</v>
      </c>
      <c r="C65" s="112" t="str">
        <f>IFERROR(INDEX(TableQBCalcPts[TM],MATCH(TableQBVORP[[#This Row],[RK]],TableQBCalcPts[RK],0)),"")</f>
        <v>HOU</v>
      </c>
      <c r="D65" s="112">
        <f>IFERROR(INDEX(TableQBCalcPts[BYE],MATCH(TableQBVORP[[#This Row],[RK]],TableQBCalcPts[RK],0)),"")</f>
        <v>7</v>
      </c>
      <c r="E65" s="113">
        <f>IFERROR(INDEX(TableQBCalcPts[Custom],MATCH(TableQBVORP[[#This Row],[RK]],TableQBCalcPts[RK],0)),"")</f>
        <v>2.072494528</v>
      </c>
      <c r="F65" s="114">
        <f>(IFERROR((TableQBVORP[[#This Row],[FPS]]-INDEX(TableQBVORP[FPS],MATCH(QBVORPCalc,TableQBVORP[RK],0)))/INDEX(TableQBVORP[FPS],MATCH(QBVORPCalc,TableQBVORP[RK],0)),""))+(TableRBVORP[[#This Row],[VORP]]*0.45)</f>
        <v>-1.1721133226573366</v>
      </c>
      <c r="H65">
        <v>64</v>
      </c>
      <c r="I65" s="112" t="str">
        <f>IFERROR(INDEX(TableRBCalcPts[PLAYER],MATCH(TableRBVORP[[#This Row],[RK]],TableRBCalcPts[RK],0)),"")</f>
        <v>Elijah Mitchell</v>
      </c>
      <c r="J65" s="112" t="str">
        <f>IFERROR(INDEX(TableRBCalcPts[TM],MATCH(TableRBVORP[[#This Row],[RK]],TableRBCalcPts[RK],0)),"")</f>
        <v>SF</v>
      </c>
      <c r="K65" s="112">
        <f>IFERROR(INDEX(TableRBCalcPts[BYE],MATCH(TableRBVORP[[#This Row],[RK]],TableRBCalcPts[RK],0)),"")</f>
        <v>9</v>
      </c>
      <c r="L65" s="113">
        <f>IFERROR(INDEX(TableRBCalcPts[Custom],MATCH(TableRBVORP[[#This Row],[RK]],TableRBCalcPts[RK],0)),"")</f>
        <v>68.224312325870386</v>
      </c>
      <c r="M65" s="114">
        <f>IFERROR((TableRBVORP[[#This Row],[FPS]]-INDEX(TableRBVORP[FPS],MATCH(RBVORPCalc,TableRBVORP[RK],0)))/INDEX(TableRBVORP[FPS],MATCH(RBVORPCalc,TableRBVORP[RK],0)),"")</f>
        <v>-0.39473495996822611</v>
      </c>
      <c r="O65">
        <v>64</v>
      </c>
      <c r="P65" s="112" t="str">
        <f>IFERROR(INDEX(TableWRCalcPts[PLAYER],MATCH(TableWRVORP[[#This Row],[RK]],TableWRCalcPts[RK],0)),"")</f>
        <v>Joshua Palmer</v>
      </c>
      <c r="Q65" s="112" t="str">
        <f>IFERROR(INDEX(TableWRCalcPts[TM],MATCH(TableWRVORP[[#This Row],[RK]],TableWRCalcPts[RK],0)),"")</f>
        <v>LAC</v>
      </c>
      <c r="R65" s="112">
        <f>IFERROR(INDEX(TableWRCalcPts[BYE],MATCH(TableWRVORP[[#This Row],[RK]],TableWRCalcPts[RK],0)),"")</f>
        <v>5</v>
      </c>
      <c r="S65" s="113">
        <f>IFERROR(INDEX(TableWRCalcPts[Custom],MATCH(TableWRVORP[[#This Row],[RK]],TableWRCalcPts[RK],0)),"")</f>
        <v>135.15931644627722</v>
      </c>
      <c r="T65" s="114">
        <f>IFERROR((TableWRVORP[[#This Row],[FPS]]-INDEX(TableWRVORP[FPS],MATCH(WRVORPCalc,TableWRVORP[RK],0)))/INDEX(TableWRVORP[FPS],MATCH(WRVORPCalc,TableWRVORP[RK],0)),"")</f>
        <v>-6.4010950484452073E-2</v>
      </c>
      <c r="V65">
        <v>64</v>
      </c>
      <c r="W65" s="112" t="str">
        <f>IFERROR(INDEX(TableTECalcPts[PLAYER],MATCH(TableTEVORP[[#This Row],[RK]],TableTECalcPts[RK],0)),"")</f>
        <v>Noah Gray</v>
      </c>
      <c r="X65" s="112" t="str">
        <f>IFERROR(INDEX(TableTECalcPts[TM],MATCH(TableTEVORP[[#This Row],[RK]],TableTECalcPts[RK],0)),"")</f>
        <v>KC</v>
      </c>
      <c r="Y65" s="112">
        <f>IFERROR(INDEX(TableTECalcPts[BYE],MATCH(TableTEVORP[[#This Row],[RK]],TableTECalcPts[RK],0)),"")</f>
        <v>10</v>
      </c>
      <c r="Z65" s="113">
        <f>IFERROR(INDEX(TableTECalcPts[Custom],MATCH(TableTEVORP[[#This Row],[RK]],TableTECalcPts[RK],0)),"")</f>
        <v>17.649029798399997</v>
      </c>
      <c r="AA65" s="114">
        <f>IFERROR((TableTEVORP[[#This Row],[FPS]]-INDEX(TableTEVORP[FPS],MATCH(TEVORPCalc,TableTEVORP[RK],0)))/INDEX(TableTEVORP[FPS],MATCH(TEVORPCalc,TableTEVORP[RK],0)),"")</f>
        <v>-0.86562597797181873</v>
      </c>
      <c r="AF65" t="s">
        <v>222</v>
      </c>
      <c r="AG65">
        <v>24</v>
      </c>
      <c r="AH65" s="83">
        <f>RANK(TableOverallMaster[[#This Row],[VORP]],TableOverallMaster[VORP])+COUNTIF($AM$2:AM65,AM65)-1</f>
        <v>30</v>
      </c>
      <c r="AI65" s="115" t="str">
        <f>IFERROR(INDEX(TableRBVORP[RUNNING BACK],MATCH(TableOverallMaster[[#This Row],[RK]],TableRBVORP[RK],0)),"")</f>
        <v>James Cook</v>
      </c>
      <c r="AJ65" s="115" t="str">
        <f t="shared" si="0"/>
        <v>RB24</v>
      </c>
      <c r="AK65" s="115">
        <f>IFERROR(INDEX(TableRBVORP[BYE],MATCH(TableOverallMaster[[#This Row],[RK]],TableRBVORP[RK],0)),"")</f>
        <v>13</v>
      </c>
      <c r="AL65" s="116">
        <f>IFERROR(INDEX(TableRBVORP[FPS],MATCH(TableOverallMaster[[#This Row],[RK]],TableRBVORP[RK],0)),"")</f>
        <v>179.83295741859843</v>
      </c>
      <c r="AM65" s="117">
        <f>IFERROR(INDEX(TableRBVORP[VORP],MATCH(TableOverallMaster[[#This Row],[RK]],TableRBVORP[RK],0)),"")</f>
        <v>0.59542248884971283</v>
      </c>
      <c r="AO65">
        <v>64</v>
      </c>
      <c r="AP65" s="118" t="str">
        <f>IFERROR(INDEX(TableOverallMaster[OVERALL PLAYER],MATCH(TableOverallRank[[#This Row],[RK]],TableOverallMaster[OVR RK],0)),"")</f>
        <v>Chris Olave</v>
      </c>
      <c r="AQ65" s="119" t="str">
        <f>IFERROR(INDEX(TableOverallMaster[POS RK],MATCH(TableOverallRank[[#This Row],[OVERALL PLAYER]],TableOverallMaster[OVERALL PLAYER],0)),"")</f>
        <v>WR20</v>
      </c>
      <c r="AR65" s="120">
        <f>IFERROR(INDEX(TableOverallMaster[BYE],MATCH(TableOverallRank[[#This Row],[OVERALL PLAYER]],TableOverallMaster[OVERALL PLAYER],0)),"")</f>
        <v>11</v>
      </c>
      <c r="AS65" s="119">
        <f>IFERROR(INDEX(TableOverallMaster[Custom],MATCH(TableOverallRank[[#This Row],[OVERALL PLAYER]],TableOverallMaster[OVERALL PLAYER],0)),"")</f>
        <v>190.09510405256719</v>
      </c>
      <c r="AT65" s="121">
        <f>IFERROR(INDEX(TableOverallMaster[VORP],MATCH(TableOverallRank[[#This Row],[OVERALL PLAYER]],TableOverallMaster[OVERALL PLAYER],0)),"")</f>
        <v>0.31642376151290691</v>
      </c>
      <c r="AV65">
        <v>64</v>
      </c>
      <c r="AW65" s="122" t="str">
        <f>IFERROR(INDEX(TableWRTECalcPts[PLAYER],MATCH(TableWRTERank[[#This Row],[RK]],TableWRTECalcPts[RK],0)),"")</f>
        <v>Michael Wilson</v>
      </c>
      <c r="AX65" s="122" t="str">
        <f>IFERROR(INDEX(TableWRTECalcPts[POS RK],MATCH(TableWRTERank[[#This Row],[WR and TE COMBINED]],TableWRTECalcPts[PLAYER],0)),"")</f>
        <v>WR55</v>
      </c>
      <c r="AY65" s="122">
        <f>IFERROR(INDEX(TableWRTECalcPts[BYE],MATCH(TableWRTERank[[#This Row],[RK]],TableWRTECalcPts[RK],0)),"")</f>
        <v>14</v>
      </c>
      <c r="AZ65" s="123">
        <f>IFERROR(INDEX(TableWRTECalcPts[Custom],MATCH(TableWRTERank[[#This Row],[RK]],TableWRTECalcPts[RK],0)),"")</f>
        <v>144.59086635304499</v>
      </c>
      <c r="BA65" s="174">
        <f>IFERROR((TableWRTERank[[#This Row],[FPS]]-INDEX(TableWRTERank[FPS],MATCH(WRTEVORPCalc,TableWRTERank[RK],0)))/INDEX(TableWRTERank[FPS],MATCH(WRTEVORPCalc,TableWRTERank[RK],0)),"")</f>
        <v>-3.1447330492006251E-2</v>
      </c>
      <c r="BC65" t="s">
        <v>223</v>
      </c>
      <c r="BD65">
        <v>64</v>
      </c>
      <c r="BE65" s="83">
        <f>RANK(TableWRTEMaster[[#This Row],[VORP]],TableWRTEMaster[VORP])+COUNTIF($BJ$2:BJ65,BJ65)-1</f>
        <v>76</v>
      </c>
      <c r="BF65" s="115" t="str">
        <f>IFERROR(INDEX(TableWRVORP[WIDE RECEIVER],MATCH(TableWRTEMaster[[#This Row],[RK]],TableWRVORP[RK],0)),"")</f>
        <v>Joshua Palmer</v>
      </c>
      <c r="BG65" s="115" t="str">
        <f>_xlfn.CONCAT(TableWRTEMaster[[#This Row],[POS]],TableWRTEMaster[[#This Row],[RK]])</f>
        <v>WR64</v>
      </c>
      <c r="BH65" s="115">
        <f>IFERROR(INDEX(TableWRVORP[BYE],MATCH(TableWRTEMaster[[#This Row],[RK]],TableWRVORP[RK],0)),"")</f>
        <v>5</v>
      </c>
      <c r="BI65" s="116">
        <f>IFERROR(INDEX(TableWRVORP[FPS],MATCH(TableWRTEMaster[[#This Row],[RK]],TableWRVORP[RK],0)),"")</f>
        <v>135.15931644627722</v>
      </c>
      <c r="BJ65" s="117">
        <f>IFERROR(INDEX(TableWRVORP[VORP],MATCH(TableWRTEMaster[[#This Row],[RK]],TableWRVORP[RK],0)),"")</f>
        <v>-6.4010950484452073E-2</v>
      </c>
    </row>
    <row r="66" spans="1:62" x14ac:dyDescent="0.2">
      <c r="A66">
        <v>65</v>
      </c>
      <c r="B66" s="112" t="str">
        <f>IFERROR(INDEX(TableQBCalcPts[PLAYER],MATCH(TableQBVORP[[#This Row],[RK]],TableQBCalcPts[RK],0)),"")</f>
        <v/>
      </c>
      <c r="C66" s="112" t="str">
        <f>IFERROR(INDEX(TableQBCalcPts[TM],MATCH(TableQBVORP[[#This Row],[RK]],TableQBCalcPts[RK],0)),"")</f>
        <v/>
      </c>
      <c r="D66" s="112" t="str">
        <f>IFERROR(INDEX(TableQBCalcPts[BYE],MATCH(TableQBVORP[[#This Row],[RK]],TableQBCalcPts[RK],0)),"")</f>
        <v/>
      </c>
      <c r="E66" s="113" t="str">
        <f>IFERROR(INDEX(TableQBCalcPts[Custom],MATCH(TableQBVORP[[#This Row],[RK]],TableQBCalcPts[RK],0)),"")</f>
        <v/>
      </c>
      <c r="F6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6">
        <v>65</v>
      </c>
      <c r="I66" s="112" t="str">
        <f>IFERROR(INDEX(TableRBCalcPts[PLAYER],MATCH(TableRBVORP[[#This Row],[RK]],TableRBCalcPts[RK],0)),"")</f>
        <v>Jawhar Jordan</v>
      </c>
      <c r="J66" s="112" t="str">
        <f>IFERROR(INDEX(TableRBCalcPts[TM],MATCH(TableRBVORP[[#This Row],[RK]],TableRBCalcPts[RK],0)),"")</f>
        <v>HOU</v>
      </c>
      <c r="K66" s="112">
        <f>IFERROR(INDEX(TableRBCalcPts[BYE],MATCH(TableRBVORP[[#This Row],[RK]],TableRBCalcPts[RK],0)),"")</f>
        <v>7</v>
      </c>
      <c r="L66" s="113">
        <f>IFERROR(INDEX(TableRBCalcPts[Custom],MATCH(TableRBVORP[[#This Row],[RK]],TableRBCalcPts[RK],0)),"")</f>
        <v>66.159671968000012</v>
      </c>
      <c r="M66" s="114">
        <f>IFERROR((TableRBVORP[[#This Row],[FPS]]-INDEX(TableRBVORP[FPS],MATCH(RBVORPCalc,TableRBVORP[RK],0)))/INDEX(TableRBVORP[FPS],MATCH(RBVORPCalc,TableRBVORP[RK],0)),"")</f>
        <v>-0.41305181192693413</v>
      </c>
      <c r="O66">
        <v>65</v>
      </c>
      <c r="P66" s="112" t="str">
        <f>IFERROR(INDEX(TableWRCalcPts[PLAYER],MATCH(TableWRVORP[[#This Row],[RK]],TableWRCalcPts[RK],0)),"")</f>
        <v>Gabe Davis</v>
      </c>
      <c r="Q66" s="112" t="str">
        <f>IFERROR(INDEX(TableWRCalcPts[TM],MATCH(TableWRVORP[[#This Row],[RK]],TableWRCalcPts[RK],0)),"")</f>
        <v>JAX</v>
      </c>
      <c r="R66" s="112">
        <f>IFERROR(INDEX(TableWRCalcPts[BYE],MATCH(TableWRVORP[[#This Row],[RK]],TableWRCalcPts[RK],0)),"")</f>
        <v>9</v>
      </c>
      <c r="S66" s="113">
        <f>IFERROR(INDEX(TableWRCalcPts[Custom],MATCH(TableWRVORP[[#This Row],[RK]],TableWRCalcPts[RK],0)),"")</f>
        <v>134.01963469439997</v>
      </c>
      <c r="T66" s="114">
        <f>IFERROR((TableWRVORP[[#This Row],[FPS]]-INDEX(TableWRVORP[FPS],MATCH(WRVORPCalc,TableWRVORP[RK],0)))/INDEX(TableWRVORP[FPS],MATCH(WRVORPCalc,TableWRVORP[RK],0)),"")</f>
        <v>-7.1903337540980286E-2</v>
      </c>
      <c r="V66">
        <v>65</v>
      </c>
      <c r="W66" s="112" t="str">
        <f>IFERROR(INDEX(TableTECalcPts[PLAYER],MATCH(TableTEVORP[[#This Row],[RK]],TableTECalcPts[RK],0)),"")</f>
        <v>Tanner Hudson</v>
      </c>
      <c r="X66" s="112" t="str">
        <f>IFERROR(INDEX(TableTECalcPts[TM],MATCH(TableTEVORP[[#This Row],[RK]],TableTECalcPts[RK],0)),"")</f>
        <v>CIN</v>
      </c>
      <c r="Y66" s="112">
        <f>IFERROR(INDEX(TableTECalcPts[BYE],MATCH(TableTEVORP[[#This Row],[RK]],TableTECalcPts[RK],0)),"")</f>
        <v>7</v>
      </c>
      <c r="Z66" s="113">
        <f>IFERROR(INDEX(TableTECalcPts[Custom],MATCH(TableTEVORP[[#This Row],[RK]],TableTECalcPts[RK],0)),"")</f>
        <v>16.453780198379999</v>
      </c>
      <c r="AA66" s="114">
        <f>IFERROR((TableTEVORP[[#This Row],[FPS]]-INDEX(TableTEVORP[FPS],MATCH(TEVORPCalc,TableTEVORP[RK],0)))/INDEX(TableTEVORP[FPS],MATCH(TEVORPCalc,TableTEVORP[RK],0)),"")</f>
        <v>-0.87472622302306924</v>
      </c>
      <c r="AF66" t="s">
        <v>222</v>
      </c>
      <c r="AG66">
        <v>25</v>
      </c>
      <c r="AH66" s="83">
        <f>RANK(TableOverallMaster[[#This Row],[VORP]],TableOverallMaster[VORP])+COUNTIF($AM$2:AM66,AM66)-1</f>
        <v>31</v>
      </c>
      <c r="AI66" s="115" t="str">
        <f>IFERROR(INDEX(TableRBVORP[RUNNING BACK],MATCH(TableOverallMaster[[#This Row],[RK]],TableRBVORP[RK],0)),"")</f>
        <v>Tyjae Spears</v>
      </c>
      <c r="AJ66" s="115" t="str">
        <f t="shared" ref="AJ66:AJ129" si="1">CONCATENATE(AF66,AG66)</f>
        <v>RB25</v>
      </c>
      <c r="AK66" s="115">
        <f>IFERROR(INDEX(TableRBVORP[BYE],MATCH(TableOverallMaster[[#This Row],[RK]],TableRBVORP[RK],0)),"")</f>
        <v>7</v>
      </c>
      <c r="AL66" s="116">
        <f>IFERROR(INDEX(TableRBVORP[FPS],MATCH(TableOverallMaster[[#This Row],[RK]],TableRBVORP[RK],0)),"")</f>
        <v>179.74989474634501</v>
      </c>
      <c r="AM66" s="117">
        <f>IFERROR(INDEX(TableRBVORP[VORP],MATCH(TableOverallMaster[[#This Row],[RK]],TableRBVORP[RK],0)),"")</f>
        <v>0.59468558246058745</v>
      </c>
      <c r="AO66">
        <v>65</v>
      </c>
      <c r="AP66" s="118" t="str">
        <f>IFERROR(INDEX(TableOverallMaster[OVERALL PLAYER],MATCH(TableOverallRank[[#This Row],[RK]],TableOverallMaster[OVR RK],0)),"")</f>
        <v>Jayden Daniels</v>
      </c>
      <c r="AQ66" s="119" t="str">
        <f>IFERROR(INDEX(TableOverallMaster[POS RK],MATCH(TableOverallRank[[#This Row],[OVERALL PLAYER]],TableOverallMaster[OVERALL PLAYER],0)),"")</f>
        <v>QB8</v>
      </c>
      <c r="AR66" s="120">
        <f>IFERROR(INDEX(TableOverallMaster[BYE],MATCH(TableOverallRank[[#This Row],[OVERALL PLAYER]],TableOverallMaster[OVERALL PLAYER],0)),"")</f>
        <v>14</v>
      </c>
      <c r="AS66" s="119">
        <f>IFERROR(INDEX(TableOverallMaster[Custom],MATCH(TableOverallRank[[#This Row],[OVERALL PLAYER]],TableOverallMaster[OVERALL PLAYER],0)),"")</f>
        <v>331.08857873538</v>
      </c>
      <c r="AT66" s="121">
        <f>IFERROR(INDEX(TableOverallMaster[VORP],MATCH(TableOverallRank[[#This Row],[OVERALL PLAYER]],TableOverallMaster[OVERALL PLAYER],0)),"")</f>
        <v>0.31224503642919932</v>
      </c>
      <c r="AV66">
        <v>65</v>
      </c>
      <c r="AW66" s="122" t="str">
        <f>IFERROR(INDEX(TableWRTECalcPts[PLAYER],MATCH(TableWRTERank[[#This Row],[RK]],TableWRTECalcPts[RK],0)),"")</f>
        <v>Roman Wilson</v>
      </c>
      <c r="AX66" s="122" t="str">
        <f>IFERROR(INDEX(TableWRTECalcPts[POS RK],MATCH(TableWRTERank[[#This Row],[WR and TE COMBINED]],TableWRTECalcPts[PLAYER],0)),"")</f>
        <v>WR56</v>
      </c>
      <c r="AY66" s="122">
        <f>IFERROR(INDEX(TableWRTECalcPts[BYE],MATCH(TableWRTERank[[#This Row],[RK]],TableWRTECalcPts[RK],0)),"")</f>
        <v>6</v>
      </c>
      <c r="AZ66" s="123">
        <f>IFERROR(INDEX(TableWRTECalcPts[Custom],MATCH(TableWRTERank[[#This Row],[RK]],TableWRTECalcPts[RK],0)),"")</f>
        <v>144.40403499564002</v>
      </c>
      <c r="BA66" s="174">
        <f>IFERROR((TableWRTERank[[#This Row],[FPS]]-INDEX(TableWRTERank[FPS],MATCH(WRTEVORPCalc,TableWRTERank[RK],0)))/INDEX(TableWRTERank[FPS],MATCH(WRTEVORPCalc,TableWRTERank[RK],0)),"")</f>
        <v>-3.2698834231672268E-2</v>
      </c>
      <c r="BC66" t="s">
        <v>223</v>
      </c>
      <c r="BD66">
        <v>65</v>
      </c>
      <c r="BE66" s="83">
        <f>RANK(TableWRTEMaster[[#This Row],[VORP]],TableWRTEMaster[VORP])+COUNTIF($BJ$2:BJ66,BJ66)-1</f>
        <v>78</v>
      </c>
      <c r="BF66" s="115" t="str">
        <f>IFERROR(INDEX(TableWRVORP[WIDE RECEIVER],MATCH(TableWRTEMaster[[#This Row],[RK]],TableWRVORP[RK],0)),"")</f>
        <v>Gabe Davis</v>
      </c>
      <c r="BG66" s="115" t="str">
        <f>_xlfn.CONCAT(TableWRTEMaster[[#This Row],[POS]],TableWRTEMaster[[#This Row],[RK]])</f>
        <v>WR65</v>
      </c>
      <c r="BH66" s="115">
        <f>IFERROR(INDEX(TableWRVORP[BYE],MATCH(TableWRTEMaster[[#This Row],[RK]],TableWRVORP[RK],0)),"")</f>
        <v>9</v>
      </c>
      <c r="BI66" s="116">
        <f>IFERROR(INDEX(TableWRVORP[FPS],MATCH(TableWRTEMaster[[#This Row],[RK]],TableWRVORP[RK],0)),"")</f>
        <v>134.01963469439997</v>
      </c>
      <c r="BJ66" s="117">
        <f>IFERROR(INDEX(TableWRVORP[VORP],MATCH(TableWRTEMaster[[#This Row],[RK]],TableWRVORP[RK],0)),"")</f>
        <v>-7.1903337540980286E-2</v>
      </c>
    </row>
    <row r="67" spans="1:62" x14ac:dyDescent="0.2">
      <c r="A67">
        <v>66</v>
      </c>
      <c r="B67" s="112" t="str">
        <f>IFERROR(INDEX(TableQBCalcPts[PLAYER],MATCH(TableQBVORP[[#This Row],[RK]],TableQBCalcPts[RK],0)),"")</f>
        <v/>
      </c>
      <c r="C67" s="112" t="str">
        <f>IFERROR(INDEX(TableQBCalcPts[TM],MATCH(TableQBVORP[[#This Row],[RK]],TableQBCalcPts[RK],0)),"")</f>
        <v/>
      </c>
      <c r="D67" s="112" t="str">
        <f>IFERROR(INDEX(TableQBCalcPts[BYE],MATCH(TableQBVORP[[#This Row],[RK]],TableQBCalcPts[RK],0)),"")</f>
        <v/>
      </c>
      <c r="E67" s="113" t="str">
        <f>IFERROR(INDEX(TableQBCalcPts[Custom],MATCH(TableQBVORP[[#This Row],[RK]],TableQBCalcPts[RK],0)),"")</f>
        <v/>
      </c>
      <c r="F6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7">
        <v>66</v>
      </c>
      <c r="I67" s="112" t="str">
        <f>IFERROR(INDEX(TableRBCalcPts[PLAYER],MATCH(TableRBVORP[[#This Row],[RK]],TableRBCalcPts[RK],0)),"")</f>
        <v>Isaac Guerendo</v>
      </c>
      <c r="J67" s="112" t="str">
        <f>IFERROR(INDEX(TableRBCalcPts[TM],MATCH(TableRBVORP[[#This Row],[RK]],TableRBCalcPts[RK],0)),"")</f>
        <v>SF</v>
      </c>
      <c r="K67" s="112">
        <f>IFERROR(INDEX(TableRBCalcPts[BYE],MATCH(TableRBVORP[[#This Row],[RK]],TableRBCalcPts[RK],0)),"")</f>
        <v>9</v>
      </c>
      <c r="L67" s="113">
        <f>IFERROR(INDEX(TableRBCalcPts[Custom],MATCH(TableRBVORP[[#This Row],[RK]],TableRBCalcPts[RK],0)),"")</f>
        <v>65.973710530123185</v>
      </c>
      <c r="M67" s="114">
        <f>IFERROR((TableRBVORP[[#This Row],[FPS]]-INDEX(TableRBVORP[FPS],MATCH(RBVORPCalc,TableRBVORP[RK],0)))/INDEX(TableRBVORP[FPS],MATCH(RBVORPCalc,TableRBVORP[RK],0)),"")</f>
        <v>-0.41470160440271997</v>
      </c>
      <c r="O67">
        <v>66</v>
      </c>
      <c r="P67" s="112" t="str">
        <f>IFERROR(INDEX(TableWRCalcPts[PLAYER],MATCH(TableWRVORP[[#This Row],[RK]],TableWRCalcPts[RK],0)),"")</f>
        <v>Jerry Jeudy</v>
      </c>
      <c r="Q67" s="112" t="str">
        <f>IFERROR(INDEX(TableWRCalcPts[TM],MATCH(TableWRVORP[[#This Row],[RK]],TableWRCalcPts[RK],0)),"")</f>
        <v>CLE</v>
      </c>
      <c r="R67" s="112">
        <f>IFERROR(INDEX(TableWRCalcPts[BYE],MATCH(TableWRVORP[[#This Row],[RK]],TableWRCalcPts[RK],0)),"")</f>
        <v>5</v>
      </c>
      <c r="S67" s="113">
        <f>IFERROR(INDEX(TableWRCalcPts[Custom],MATCH(TableWRVORP[[#This Row],[RK]],TableWRCalcPts[RK],0)),"")</f>
        <v>128.455263234375</v>
      </c>
      <c r="T67" s="114">
        <f>IFERROR((TableWRVORP[[#This Row],[FPS]]-INDEX(TableWRVORP[FPS],MATCH(WRVORPCalc,TableWRVORP[RK],0)))/INDEX(TableWRVORP[FPS],MATCH(WRVORPCalc,TableWRVORP[RK],0)),"")</f>
        <v>-0.110437053831935</v>
      </c>
      <c r="V67">
        <v>66</v>
      </c>
      <c r="W67" s="112" t="str">
        <f>IFERROR(INDEX(TableTECalcPts[PLAYER],MATCH(TableTEVORP[[#This Row],[RK]],TableTECalcPts[RK],0)),"")</f>
        <v>Luke Schoonmaker</v>
      </c>
      <c r="X67" s="112" t="str">
        <f>IFERROR(INDEX(TableTECalcPts[TM],MATCH(TableTEVORP[[#This Row],[RK]],TableTECalcPts[RK],0)),"")</f>
        <v>DAL</v>
      </c>
      <c r="Y67" s="112">
        <f>IFERROR(INDEX(TableTECalcPts[BYE],MATCH(TableTEVORP[[#This Row],[RK]],TableTECalcPts[RK],0)),"")</f>
        <v>7</v>
      </c>
      <c r="Z67" s="113">
        <f>IFERROR(INDEX(TableTECalcPts[Custom],MATCH(TableTEVORP[[#This Row],[RK]],TableTECalcPts[RK],0)),"")</f>
        <v>16.188977851703996</v>
      </c>
      <c r="AA67" s="114">
        <f>IFERROR((TableTEVORP[[#This Row],[FPS]]-INDEX(TableTEVORP[FPS],MATCH(TEVORPCalc,TableTEVORP[RK],0)))/INDEX(TableTEVORP[FPS],MATCH(TEVORPCalc,TableTEVORP[RK],0)),"")</f>
        <v>-0.8767423427062363</v>
      </c>
      <c r="AF67" t="s">
        <v>222</v>
      </c>
      <c r="AG67">
        <v>26</v>
      </c>
      <c r="AH67" s="83">
        <f>RANK(TableOverallMaster[[#This Row],[VORP]],TableOverallMaster[VORP])+COUNTIF($AM$2:AM67,AM67)-1</f>
        <v>37</v>
      </c>
      <c r="AI67" s="115" t="str">
        <f>IFERROR(INDEX(TableRBVORP[RUNNING BACK],MATCH(TableOverallMaster[[#This Row],[RK]],TableRBVORP[RK],0)),"")</f>
        <v>David Montgomery</v>
      </c>
      <c r="AJ67" s="115" t="str">
        <f t="shared" si="1"/>
        <v>RB26</v>
      </c>
      <c r="AK67" s="115">
        <f>IFERROR(INDEX(TableRBVORP[BYE],MATCH(TableOverallMaster[[#This Row],[RK]],TableRBVORP[RK],0)),"")</f>
        <v>9</v>
      </c>
      <c r="AL67" s="116">
        <f>IFERROR(INDEX(TableRBVORP[FPS],MATCH(TableOverallMaster[[#This Row],[RK]],TableRBVORP[RK],0)),"")</f>
        <v>169.16697923389603</v>
      </c>
      <c r="AM67" s="117">
        <f>IFERROR(INDEX(TableRBVORP[VORP],MATCH(TableOverallMaster[[#This Row],[RK]],TableRBVORP[RK],0)),"")</f>
        <v>0.50079722268203997</v>
      </c>
      <c r="AO67">
        <v>66</v>
      </c>
      <c r="AP67" s="118" t="str">
        <f>IFERROR(INDEX(TableOverallMaster[OVERALL PLAYER],MATCH(TableOverallRank[[#This Row],[RK]],TableOverallMaster[OVR RK],0)),"")</f>
        <v>George Pickens</v>
      </c>
      <c r="AQ67" s="119" t="str">
        <f>IFERROR(INDEX(TableOverallMaster[POS RK],MATCH(TableOverallRank[[#This Row],[OVERALL PLAYER]],TableOverallMaster[OVERALL PLAYER],0)),"")</f>
        <v>WR21</v>
      </c>
      <c r="AR67" s="120">
        <f>IFERROR(INDEX(TableOverallMaster[BYE],MATCH(TableOverallRank[[#This Row],[OVERALL PLAYER]],TableOverallMaster[OVERALL PLAYER],0)),"")</f>
        <v>6</v>
      </c>
      <c r="AS67" s="119">
        <f>IFERROR(INDEX(TableOverallMaster[Custom],MATCH(TableOverallRank[[#This Row],[OVERALL PLAYER]],TableOverallMaster[OVERALL PLAYER],0)),"")</f>
        <v>189.09800485379998</v>
      </c>
      <c r="AT67" s="121">
        <f>IFERROR(INDEX(TableOverallMaster[VORP],MATCH(TableOverallRank[[#This Row],[OVERALL PLAYER]],TableOverallMaster[OVERALL PLAYER],0)),"")</f>
        <v>0.30951877001202283</v>
      </c>
      <c r="AV67">
        <v>66</v>
      </c>
      <c r="AW67" s="122" t="str">
        <f>IFERROR(INDEX(TableWRTECalcPts[PLAYER],MATCH(TableWRTERank[[#This Row],[RK]],TableWRTECalcPts[RK],0)),"")</f>
        <v>Demarcus Robinson</v>
      </c>
      <c r="AX67" s="122" t="str">
        <f>IFERROR(INDEX(TableWRTECalcPts[POS RK],MATCH(TableWRTERank[[#This Row],[WR and TE COMBINED]],TableWRTECalcPts[PLAYER],0)),"")</f>
        <v>WR57</v>
      </c>
      <c r="AY67" s="122">
        <f>IFERROR(INDEX(TableWRTECalcPts[BYE],MATCH(TableWRTERank[[#This Row],[RK]],TableWRTECalcPts[RK],0)),"")</f>
        <v>10</v>
      </c>
      <c r="AZ67" s="123">
        <f>IFERROR(INDEX(TableWRTECalcPts[Custom],MATCH(TableWRTERank[[#This Row],[RK]],TableWRTECalcPts[RK],0)),"")</f>
        <v>144.40266851009997</v>
      </c>
      <c r="BA67" s="174">
        <f>IFERROR((TableWRTERank[[#This Row],[FPS]]-INDEX(TableWRTERank[FPS],MATCH(WRTEVORPCalc,TableWRTERank[RK],0)))/INDEX(TableWRTERank[FPS],MATCH(WRTEVORPCalc,TableWRTERank[RK],0)),"")</f>
        <v>-3.2707987736669081E-2</v>
      </c>
      <c r="BC67" t="s">
        <v>223</v>
      </c>
      <c r="BD67">
        <v>66</v>
      </c>
      <c r="BE67" s="83">
        <f>RANK(TableWRTEMaster[[#This Row],[VORP]],TableWRTEMaster[VORP])+COUNTIF($BJ$2:BJ67,BJ67)-1</f>
        <v>79</v>
      </c>
      <c r="BF67" s="115" t="str">
        <f>IFERROR(INDEX(TableWRVORP[WIDE RECEIVER],MATCH(TableWRTEMaster[[#This Row],[RK]],TableWRVORP[RK],0)),"")</f>
        <v>Jerry Jeudy</v>
      </c>
      <c r="BG67" s="115" t="str">
        <f>_xlfn.CONCAT(TableWRTEMaster[[#This Row],[POS]],TableWRTEMaster[[#This Row],[RK]])</f>
        <v>WR66</v>
      </c>
      <c r="BH67" s="115">
        <f>IFERROR(INDEX(TableWRVORP[BYE],MATCH(TableWRTEMaster[[#This Row],[RK]],TableWRVORP[RK],0)),"")</f>
        <v>5</v>
      </c>
      <c r="BI67" s="116">
        <f>IFERROR(INDEX(TableWRVORP[FPS],MATCH(TableWRTEMaster[[#This Row],[RK]],TableWRVORP[RK],0)),"")</f>
        <v>128.455263234375</v>
      </c>
      <c r="BJ67" s="117">
        <f>IFERROR(INDEX(TableWRVORP[VORP],MATCH(TableWRTEMaster[[#This Row],[RK]],TableWRVORP[RK],0)),"")</f>
        <v>-0.110437053831935</v>
      </c>
    </row>
    <row r="68" spans="1:62" x14ac:dyDescent="0.2">
      <c r="A68">
        <v>67</v>
      </c>
      <c r="B68" s="112" t="str">
        <f>IFERROR(INDEX(TableQBCalcPts[PLAYER],MATCH(TableQBVORP[[#This Row],[RK]],TableQBCalcPts[RK],0)),"")</f>
        <v/>
      </c>
      <c r="C68" s="112" t="str">
        <f>IFERROR(INDEX(TableQBCalcPts[TM],MATCH(TableQBVORP[[#This Row],[RK]],TableQBCalcPts[RK],0)),"")</f>
        <v/>
      </c>
      <c r="D68" s="112" t="str">
        <f>IFERROR(INDEX(TableQBCalcPts[BYE],MATCH(TableQBVORP[[#This Row],[RK]],TableQBCalcPts[RK],0)),"")</f>
        <v/>
      </c>
      <c r="E68" s="113" t="str">
        <f>IFERROR(INDEX(TableQBCalcPts[Custom],MATCH(TableQBVORP[[#This Row],[RK]],TableQBCalcPts[RK],0)),"")</f>
        <v/>
      </c>
      <c r="F6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8">
        <v>67</v>
      </c>
      <c r="I68" s="112" t="str">
        <f>IFERROR(INDEX(TableRBCalcPts[PLAYER],MATCH(TableRBVORP[[#This Row],[RK]],TableRBCalcPts[RK],0)),"")</f>
        <v>Dylan Laube</v>
      </c>
      <c r="J68" s="112" t="str">
        <f>IFERROR(INDEX(TableRBCalcPts[TM],MATCH(TableRBVORP[[#This Row],[RK]],TableRBCalcPts[RK],0)),"")</f>
        <v>LV</v>
      </c>
      <c r="K68" s="112">
        <f>IFERROR(INDEX(TableRBCalcPts[BYE],MATCH(TableRBVORP[[#This Row],[RK]],TableRBCalcPts[RK],0)),"")</f>
        <v>13</v>
      </c>
      <c r="L68" s="113">
        <f>IFERROR(INDEX(TableRBCalcPts[Custom],MATCH(TableRBVORP[[#This Row],[RK]],TableRBCalcPts[RK],0)),"")</f>
        <v>65.827752244799996</v>
      </c>
      <c r="M68" s="114">
        <f>IFERROR((TableRBVORP[[#This Row],[FPS]]-INDEX(TableRBVORP[FPS],MATCH(RBVORPCalc,TableRBVORP[RK],0)))/INDEX(TableRBVORP[FPS],MATCH(RBVORPCalc,TableRBVORP[RK],0)),"")</f>
        <v>-0.41599650125689625</v>
      </c>
      <c r="O68">
        <v>67</v>
      </c>
      <c r="P68" s="112" t="str">
        <f>IFERROR(INDEX(TableWRCalcPts[PLAYER],MATCH(TableWRVORP[[#This Row],[RK]],TableWRCalcPts[RK],0)),"")</f>
        <v>Josh Downs</v>
      </c>
      <c r="Q68" s="112" t="str">
        <f>IFERROR(INDEX(TableWRCalcPts[TM],MATCH(TableWRVORP[[#This Row],[RK]],TableWRCalcPts[RK],0)),"")</f>
        <v>IND</v>
      </c>
      <c r="R68" s="112">
        <f>IFERROR(INDEX(TableWRCalcPts[BYE],MATCH(TableWRVORP[[#This Row],[RK]],TableWRCalcPts[RK],0)),"")</f>
        <v>11</v>
      </c>
      <c r="S68" s="113">
        <f>IFERROR(INDEX(TableWRCalcPts[Custom],MATCH(TableWRVORP[[#This Row],[RK]],TableWRCalcPts[RK],0)),"")</f>
        <v>127.45963412582404</v>
      </c>
      <c r="T68" s="114">
        <f>IFERROR((TableWRVORP[[#This Row],[FPS]]-INDEX(TableWRVORP[FPS],MATCH(WRVORPCalc,TableWRVORP[RK],0)))/INDEX(TableWRVORP[FPS],MATCH(WRVORPCalc,TableWRVORP[RK],0)),"")</f>
        <v>-0.11733186484078641</v>
      </c>
      <c r="V68">
        <v>67</v>
      </c>
      <c r="W68" s="112" t="str">
        <f>IFERROR(INDEX(TableTECalcPts[PLAYER],MATCH(TableTEVORP[[#This Row],[RK]],TableTECalcPts[RK],0)),"")</f>
        <v>Erick All</v>
      </c>
      <c r="X68" s="112" t="str">
        <f>IFERROR(INDEX(TableTECalcPts[TM],MATCH(TableTEVORP[[#This Row],[RK]],TableTECalcPts[RK],0)),"")</f>
        <v>CIN</v>
      </c>
      <c r="Y68" s="112">
        <f>IFERROR(INDEX(TableTECalcPts[BYE],MATCH(TableTEVORP[[#This Row],[RK]],TableTECalcPts[RK],0)),"")</f>
        <v>7</v>
      </c>
      <c r="Z68" s="113">
        <f>IFERROR(INDEX(TableTECalcPts[Custom],MATCH(TableTEVORP[[#This Row],[RK]],TableTECalcPts[RK],0)),"")</f>
        <v>16.098907581288</v>
      </c>
      <c r="AA68" s="114">
        <f>IFERROR((TableTEVORP[[#This Row],[FPS]]-INDEX(TableTEVORP[FPS],MATCH(TEVORPCalc,TableTEVORP[RK],0)))/INDEX(TableTEVORP[FPS],MATCH(TEVORPCalc,TableTEVORP[RK],0)),"")</f>
        <v>-0.87742810870239651</v>
      </c>
      <c r="AF68" t="s">
        <v>222</v>
      </c>
      <c r="AG68">
        <v>27</v>
      </c>
      <c r="AH68" s="83">
        <f>RANK(TableOverallMaster[[#This Row],[VORP]],TableOverallMaster[VORP])+COUNTIF($AM$2:AM68,AM68)-1</f>
        <v>39</v>
      </c>
      <c r="AI68" s="115" t="str">
        <f>IFERROR(INDEX(TableRBVORP[RUNNING BACK],MATCH(TableOverallMaster[[#This Row],[RK]],TableRBVORP[RK],0)),"")</f>
        <v>Brian Robinson</v>
      </c>
      <c r="AJ68" s="115" t="str">
        <f t="shared" si="1"/>
        <v>RB27</v>
      </c>
      <c r="AK68" s="115">
        <f>IFERROR(INDEX(TableRBVORP[BYE],MATCH(TableOverallMaster[[#This Row],[RK]],TableRBVORP[RK],0)),"")</f>
        <v>14</v>
      </c>
      <c r="AL68" s="116">
        <f>IFERROR(INDEX(TableRBVORP[FPS],MATCH(TableOverallMaster[[#This Row],[RK]],TableRBVORP[RK],0)),"")</f>
        <v>165.35064661466396</v>
      </c>
      <c r="AM68" s="117">
        <f>IFERROR(INDEX(TableRBVORP[VORP],MATCH(TableOverallMaster[[#This Row],[RK]],TableRBVORP[RK],0)),"")</f>
        <v>0.46693989767858723</v>
      </c>
      <c r="AO68">
        <v>67</v>
      </c>
      <c r="AP68" s="118" t="str">
        <f>IFERROR(INDEX(TableOverallMaster[OVERALL PLAYER],MATCH(TableOverallRank[[#This Row],[RK]],TableOverallMaster[OVR RK],0)),"")</f>
        <v>C.J. Stroud</v>
      </c>
      <c r="AQ68" s="119" t="str">
        <f>IFERROR(INDEX(TableOverallMaster[POS RK],MATCH(TableOverallRank[[#This Row],[OVERALL PLAYER]],TableOverallMaster[OVERALL PLAYER],0)),"")</f>
        <v>QB9</v>
      </c>
      <c r="AR68" s="120">
        <f>IFERROR(INDEX(TableOverallMaster[BYE],MATCH(TableOverallRank[[#This Row],[OVERALL PLAYER]],TableOverallMaster[OVERALL PLAYER],0)),"")</f>
        <v>7</v>
      </c>
      <c r="AS68" s="119">
        <f>IFERROR(INDEX(TableOverallMaster[Custom],MATCH(TableOverallRank[[#This Row],[OVERALL PLAYER]],TableOverallMaster[OVERALL PLAYER],0)),"")</f>
        <v>330.83255162880005</v>
      </c>
      <c r="AT68" s="121">
        <f>IFERROR(INDEX(TableOverallMaster[VORP],MATCH(TableOverallRank[[#This Row],[OVERALL PLAYER]],TableOverallMaster[OVERALL PLAYER],0)),"")</f>
        <v>0.30741968755855065</v>
      </c>
      <c r="AV68">
        <v>67</v>
      </c>
      <c r="AW68" s="122" t="str">
        <f>IFERROR(INDEX(TableWRTECalcPts[PLAYER],MATCH(TableWRTERank[[#This Row],[RK]],TableWRTECalcPts[RK],0)),"")</f>
        <v>Evan Engram</v>
      </c>
      <c r="AX68" s="122" t="str">
        <f>IFERROR(INDEX(TableWRTECalcPts[POS RK],MATCH(TableWRTERank[[#This Row],[WR and TE COMBINED]],TableWRTECalcPts[PLAYER],0)),"")</f>
        <v>TE10</v>
      </c>
      <c r="AY68" s="122">
        <f>IFERROR(INDEX(TableWRTECalcPts[BYE],MATCH(TableWRTERank[[#This Row],[RK]],TableWRTECalcPts[RK],0)),"")</f>
        <v>9</v>
      </c>
      <c r="AZ68" s="123">
        <f>IFERROR(INDEX(TableWRTECalcPts[Custom],MATCH(TableWRTERank[[#This Row],[RK]],TableWRTECalcPts[RK],0)),"")</f>
        <v>142.99224053587196</v>
      </c>
      <c r="BA68" s="174">
        <f>IFERROR((TableWRTERank[[#This Row],[FPS]]-INDEX(TableWRTERank[FPS],MATCH(WRTEVORPCalc,TableWRTERank[RK],0)))/INDEX(TableWRTERank[FPS],MATCH(WRTEVORPCalc,TableWRTERank[RK],0)),"")</f>
        <v>-4.2155844396243806E-2</v>
      </c>
      <c r="BC68" t="s">
        <v>223</v>
      </c>
      <c r="BD68">
        <v>67</v>
      </c>
      <c r="BE68" s="83">
        <f>RANK(TableWRTEMaster[[#This Row],[VORP]],TableWRTEMaster[VORP])+COUNTIF($BJ$2:BJ68,BJ68)-1</f>
        <v>80</v>
      </c>
      <c r="BF68" s="115" t="str">
        <f>IFERROR(INDEX(TableWRVORP[WIDE RECEIVER],MATCH(TableWRTEMaster[[#This Row],[RK]],TableWRVORP[RK],0)),"")</f>
        <v>Josh Downs</v>
      </c>
      <c r="BG68" s="115" t="str">
        <f>_xlfn.CONCAT(TableWRTEMaster[[#This Row],[POS]],TableWRTEMaster[[#This Row],[RK]])</f>
        <v>WR67</v>
      </c>
      <c r="BH68" s="115">
        <f>IFERROR(INDEX(TableWRVORP[BYE],MATCH(TableWRTEMaster[[#This Row],[RK]],TableWRVORP[RK],0)),"")</f>
        <v>11</v>
      </c>
      <c r="BI68" s="116">
        <f>IFERROR(INDEX(TableWRVORP[FPS],MATCH(TableWRTEMaster[[#This Row],[RK]],TableWRVORP[RK],0)),"")</f>
        <v>127.45963412582404</v>
      </c>
      <c r="BJ68" s="117">
        <f>IFERROR(INDEX(TableWRVORP[VORP],MATCH(TableWRTEMaster[[#This Row],[RK]],TableWRVORP[RK],0)),"")</f>
        <v>-0.11733186484078641</v>
      </c>
    </row>
    <row r="69" spans="1:62" x14ac:dyDescent="0.2">
      <c r="A69">
        <v>68</v>
      </c>
      <c r="B69" s="112" t="str">
        <f>IFERROR(INDEX(TableQBCalcPts[PLAYER],MATCH(TableQBVORP[[#This Row],[RK]],TableQBCalcPts[RK],0)),"")</f>
        <v/>
      </c>
      <c r="C69" s="112" t="str">
        <f>IFERROR(INDEX(TableQBCalcPts[TM],MATCH(TableQBVORP[[#This Row],[RK]],TableQBCalcPts[RK],0)),"")</f>
        <v/>
      </c>
      <c r="D69" s="112" t="str">
        <f>IFERROR(INDEX(TableQBCalcPts[BYE],MATCH(TableQBVORP[[#This Row],[RK]],TableQBCalcPts[RK],0)),"")</f>
        <v/>
      </c>
      <c r="E69" s="113" t="str">
        <f>IFERROR(INDEX(TableQBCalcPts[Custom],MATCH(TableQBVORP[[#This Row],[RK]],TableQBCalcPts[RK],0)),"")</f>
        <v/>
      </c>
      <c r="F6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9">
        <v>68</v>
      </c>
      <c r="I69" s="112" t="str">
        <f>IFERROR(INDEX(TableRBCalcPts[PLAYER],MATCH(TableRBVORP[[#This Row],[RK]],TableRBCalcPts[RK],0)),"")</f>
        <v>Eric Gray</v>
      </c>
      <c r="J69" s="112" t="str">
        <f>IFERROR(INDEX(TableRBCalcPts[TM],MATCH(TableRBVORP[[#This Row],[RK]],TableRBCalcPts[RK],0)),"")</f>
        <v>NYG</v>
      </c>
      <c r="K69" s="112">
        <f>IFERROR(INDEX(TableRBCalcPts[BYE],MATCH(TableRBVORP[[#This Row],[RK]],TableRBCalcPts[RK],0)),"")</f>
        <v>13</v>
      </c>
      <c r="L69" s="113">
        <f>IFERROR(INDEX(TableRBCalcPts[Custom],MATCH(TableRBVORP[[#This Row],[RK]],TableRBCalcPts[RK],0)),"")</f>
        <v>62.589561267430412</v>
      </c>
      <c r="M69" s="114">
        <f>IFERROR((TableRBVORP[[#This Row],[FPS]]-INDEX(TableRBVORP[FPS],MATCH(RBVORPCalc,TableRBVORP[RK],0)))/INDEX(TableRBVORP[FPS],MATCH(RBVORPCalc,TableRBVORP[RK],0)),"")</f>
        <v>-0.44472473206978375</v>
      </c>
      <c r="O69">
        <v>68</v>
      </c>
      <c r="P69" s="112" t="str">
        <f>IFERROR(INDEX(TableWRCalcPts[PLAYER],MATCH(TableWRVORP[[#This Row],[RK]],TableWRCalcPts[RK],0)),"")</f>
        <v>Quentin Johnston</v>
      </c>
      <c r="Q69" s="112" t="str">
        <f>IFERROR(INDEX(TableWRCalcPts[TM],MATCH(TableWRVORP[[#This Row],[RK]],TableWRCalcPts[RK],0)),"")</f>
        <v>LAC</v>
      </c>
      <c r="R69" s="112">
        <f>IFERROR(INDEX(TableWRCalcPts[BYE],MATCH(TableWRVORP[[#This Row],[RK]],TableWRCalcPts[RK],0)),"")</f>
        <v>5</v>
      </c>
      <c r="S69" s="113">
        <f>IFERROR(INDEX(TableWRCalcPts[Custom],MATCH(TableWRVORP[[#This Row],[RK]],TableWRCalcPts[RK],0)),"")</f>
        <v>126.53990116431299</v>
      </c>
      <c r="T69" s="114">
        <f>IFERROR((TableWRVORP[[#This Row],[FPS]]-INDEX(TableWRVORP[FPS],MATCH(WRVORPCalc,TableWRVORP[RK],0)))/INDEX(TableWRVORP[FPS],MATCH(WRVORPCalc,TableWRVORP[RK],0)),"")</f>
        <v>-0.12370108897632733</v>
      </c>
      <c r="V69">
        <v>68</v>
      </c>
      <c r="W69" s="112" t="str">
        <f>IFERROR(INDEX(TableTECalcPts[PLAYER],MATCH(TableTEVORP[[#This Row],[RK]],TableTECalcPts[RK],0)),"")</f>
        <v>Brevin Jordan</v>
      </c>
      <c r="X69" s="112" t="str">
        <f>IFERROR(INDEX(TableTECalcPts[TM],MATCH(TableTEVORP[[#This Row],[RK]],TableTECalcPts[RK],0)),"")</f>
        <v>HOU</v>
      </c>
      <c r="Y69" s="112">
        <f>IFERROR(INDEX(TableTECalcPts[BYE],MATCH(TableTEVORP[[#This Row],[RK]],TableTECalcPts[RK],0)),"")</f>
        <v>7</v>
      </c>
      <c r="Z69" s="113">
        <f>IFERROR(INDEX(TableTECalcPts[Custom],MATCH(TableTEVORP[[#This Row],[RK]],TableTECalcPts[RK],0)),"")</f>
        <v>15.682476386304002</v>
      </c>
      <c r="AA69" s="114">
        <f>IFERROR((TableTEVORP[[#This Row],[FPS]]-INDEX(TableTEVORP[FPS],MATCH(TEVORPCalc,TableTEVORP[RK],0)))/INDEX(TableTEVORP[FPS],MATCH(TEVORPCalc,TableTEVORP[RK],0)),"")</f>
        <v>-0.88059868154448417</v>
      </c>
      <c r="AF69" t="s">
        <v>222</v>
      </c>
      <c r="AG69">
        <v>28</v>
      </c>
      <c r="AH69" s="83">
        <f>RANK(TableOverallMaster[[#This Row],[VORP]],TableOverallMaster[VORP])+COUNTIF($AM$2:AM69,AM69)-1</f>
        <v>41</v>
      </c>
      <c r="AI69" s="115" t="str">
        <f>IFERROR(INDEX(TableRBVORP[RUNNING BACK],MATCH(TableOverallMaster[[#This Row],[RK]],TableRBVORP[RK],0)),"")</f>
        <v>Gus Edwards</v>
      </c>
      <c r="AJ69" s="115" t="str">
        <f t="shared" si="1"/>
        <v>RB28</v>
      </c>
      <c r="AK69" s="115">
        <f>IFERROR(INDEX(TableRBVORP[BYE],MATCH(TableOverallMaster[[#This Row],[RK]],TableRBVORP[RK],0)),"")</f>
        <v>5</v>
      </c>
      <c r="AL69" s="116">
        <f>IFERROR(INDEX(TableRBVORP[FPS],MATCH(TableOverallMaster[[#This Row],[RK]],TableRBVORP[RK],0)),"")</f>
        <v>164.41601479424801</v>
      </c>
      <c r="AM69" s="117">
        <f>IFERROR(INDEX(TableRBVORP[VORP],MATCH(TableOverallMaster[[#This Row],[RK]],TableRBVORP[RK],0)),"")</f>
        <v>0.45864813266237148</v>
      </c>
      <c r="AO69">
        <v>68</v>
      </c>
      <c r="AP69" s="118" t="str">
        <f>IFERROR(INDEX(TableOverallMaster[OVERALL PLAYER],MATCH(TableOverallRank[[#This Row],[RK]],TableOverallMaster[OVR RK],0)),"")</f>
        <v>Javonte Williams</v>
      </c>
      <c r="AQ69" s="119" t="str">
        <f>IFERROR(INDEX(TableOverallMaster[POS RK],MATCH(TableOverallRank[[#This Row],[OVERALL PLAYER]],TableOverallMaster[OVERALL PLAYER],0)),"")</f>
        <v>RB35</v>
      </c>
      <c r="AR69" s="120">
        <f>IFERROR(INDEX(TableOverallMaster[BYE],MATCH(TableOverallRank[[#This Row],[OVERALL PLAYER]],TableOverallMaster[OVERALL PLAYER],0)),"")</f>
        <v>9</v>
      </c>
      <c r="AS69" s="119">
        <f>IFERROR(INDEX(TableOverallMaster[Custom],MATCH(TableOverallRank[[#This Row],[OVERALL PLAYER]],TableOverallMaster[OVERALL PLAYER],0)),"")</f>
        <v>146.73668960395202</v>
      </c>
      <c r="AT69" s="121">
        <f>IFERROR(INDEX(TableOverallMaster[VORP],MATCH(TableOverallRank[[#This Row],[OVERALL PLAYER]],TableOverallMaster[OVERALL PLAYER],0)),"")</f>
        <v>0.30180261668372821</v>
      </c>
      <c r="AV69">
        <v>68</v>
      </c>
      <c r="AW69" s="122" t="str">
        <f>IFERROR(INDEX(TableWRTECalcPts[PLAYER],MATCH(TableWRTERank[[#This Row],[RK]],TableWRTECalcPts[RK],0)),"")</f>
        <v>Jahan Dotson</v>
      </c>
      <c r="AX69" s="122" t="str">
        <f>IFERROR(INDEX(TableWRTECalcPts[POS RK],MATCH(TableWRTERank[[#This Row],[WR and TE COMBINED]],TableWRTECalcPts[PLAYER],0)),"")</f>
        <v>WR58</v>
      </c>
      <c r="AY69" s="122">
        <f>IFERROR(INDEX(TableWRTECalcPts[BYE],MATCH(TableWRTERank[[#This Row],[RK]],TableWRTECalcPts[RK],0)),"")</f>
        <v>14</v>
      </c>
      <c r="AZ69" s="123">
        <f>IFERROR(INDEX(TableWRTECalcPts[Custom],MATCH(TableWRTERank[[#This Row],[RK]],TableWRTECalcPts[RK],0)),"")</f>
        <v>139.82779951274537</v>
      </c>
      <c r="BA69" s="174">
        <f>IFERROR((TableWRTERank[[#This Row],[FPS]]-INDEX(TableWRTERank[FPS],MATCH(WRTEVORPCalc,TableWRTERank[RK],0)))/INDEX(TableWRTERank[FPS],MATCH(WRTEVORPCalc,TableWRTERank[RK],0)),"")</f>
        <v>-6.3353087885789541E-2</v>
      </c>
      <c r="BC69" t="s">
        <v>223</v>
      </c>
      <c r="BD69">
        <v>68</v>
      </c>
      <c r="BE69" s="83">
        <f>RANK(TableWRTEMaster[[#This Row],[VORP]],TableWRTEMaster[VORP])+COUNTIF($BJ$2:BJ69,BJ69)-1</f>
        <v>81</v>
      </c>
      <c r="BF69" s="115" t="str">
        <f>IFERROR(INDEX(TableWRVORP[WIDE RECEIVER],MATCH(TableWRTEMaster[[#This Row],[RK]],TableWRVORP[RK],0)),"")</f>
        <v>Quentin Johnston</v>
      </c>
      <c r="BG69" s="115" t="str">
        <f>_xlfn.CONCAT(TableWRTEMaster[[#This Row],[POS]],TableWRTEMaster[[#This Row],[RK]])</f>
        <v>WR68</v>
      </c>
      <c r="BH69" s="115">
        <f>IFERROR(INDEX(TableWRVORP[BYE],MATCH(TableWRTEMaster[[#This Row],[RK]],TableWRVORP[RK],0)),"")</f>
        <v>5</v>
      </c>
      <c r="BI69" s="116">
        <f>IFERROR(INDEX(TableWRVORP[FPS],MATCH(TableWRTEMaster[[#This Row],[RK]],TableWRVORP[RK],0)),"")</f>
        <v>126.53990116431299</v>
      </c>
      <c r="BJ69" s="117">
        <f>IFERROR(INDEX(TableWRVORP[VORP],MATCH(TableWRTEMaster[[#This Row],[RK]],TableWRVORP[RK],0)),"")</f>
        <v>-0.12370108897632733</v>
      </c>
    </row>
    <row r="70" spans="1:62" x14ac:dyDescent="0.2">
      <c r="A70">
        <v>69</v>
      </c>
      <c r="B70" s="112" t="str">
        <f>IFERROR(INDEX(TableQBCalcPts[PLAYER],MATCH(TableQBVORP[[#This Row],[RK]],TableQBCalcPts[RK],0)),"")</f>
        <v/>
      </c>
      <c r="C70" s="112" t="str">
        <f>IFERROR(INDEX(TableQBCalcPts[TM],MATCH(TableQBVORP[[#This Row],[RK]],TableQBCalcPts[RK],0)),"")</f>
        <v/>
      </c>
      <c r="D70" s="112" t="str">
        <f>IFERROR(INDEX(TableQBCalcPts[BYE],MATCH(TableQBVORP[[#This Row],[RK]],TableQBCalcPts[RK],0)),"")</f>
        <v/>
      </c>
      <c r="E70" s="113" t="str">
        <f>IFERROR(INDEX(TableQBCalcPts[Custom],MATCH(TableQBVORP[[#This Row],[RK]],TableQBCalcPts[RK],0)),"")</f>
        <v/>
      </c>
      <c r="F7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0">
        <v>69</v>
      </c>
      <c r="I70" s="112" t="str">
        <f>IFERROR(INDEX(TableRBCalcPts[PLAYER],MATCH(TableRBVORP[[#This Row],[RK]],TableRBCalcPts[RK],0)),"")</f>
        <v>Tyrone Tracy</v>
      </c>
      <c r="J70" s="112" t="str">
        <f>IFERROR(INDEX(TableRBCalcPts[TM],MATCH(TableRBVORP[[#This Row],[RK]],TableRBCalcPts[RK],0)),"")</f>
        <v>NYG</v>
      </c>
      <c r="K70" s="112">
        <f>IFERROR(INDEX(TableRBCalcPts[BYE],MATCH(TableRBVORP[[#This Row],[RK]],TableRBCalcPts[RK],0)),"")</f>
        <v>13</v>
      </c>
      <c r="L70" s="113">
        <f>IFERROR(INDEX(TableRBCalcPts[Custom],MATCH(TableRBVORP[[#This Row],[RK]],TableRBCalcPts[RK],0)),"")</f>
        <v>59.648622234331199</v>
      </c>
      <c r="M70" s="114">
        <f>IFERROR((TableRBVORP[[#This Row],[FPS]]-INDEX(TableRBVORP[FPS],MATCH(RBVORPCalc,TableRBVORP[RK],0)))/INDEX(TableRBVORP[FPS],MATCH(RBVORPCalc,TableRBVORP[RK],0)),"")</f>
        <v>-0.4708158353864062</v>
      </c>
      <c r="O70">
        <v>69</v>
      </c>
      <c r="P70" s="112" t="str">
        <f>IFERROR(INDEX(TableWRCalcPts[PLAYER],MATCH(TableWRVORP[[#This Row],[RK]],TableWRCalcPts[RK],0)),"")</f>
        <v>Wan'Dale Robinson</v>
      </c>
      <c r="Q70" s="112" t="str">
        <f>IFERROR(INDEX(TableWRCalcPts[TM],MATCH(TableWRVORP[[#This Row],[RK]],TableWRCalcPts[RK],0)),"")</f>
        <v>NYG</v>
      </c>
      <c r="R70" s="112">
        <f>IFERROR(INDEX(TableWRCalcPts[BYE],MATCH(TableWRVORP[[#This Row],[RK]],TableWRCalcPts[RK],0)),"")</f>
        <v>13</v>
      </c>
      <c r="S70" s="113">
        <f>IFERROR(INDEX(TableWRCalcPts[Custom],MATCH(TableWRVORP[[#This Row],[RK]],TableWRCalcPts[RK],0)),"")</f>
        <v>124.97569762585596</v>
      </c>
      <c r="T70" s="114">
        <f>IFERROR((TableWRVORP[[#This Row],[FPS]]-INDEX(TableWRVORP[FPS],MATCH(WRVORPCalc,TableWRVORP[RK],0)))/INDEX(TableWRVORP[FPS],MATCH(WRVORPCalc,TableWRVORP[RK],0)),"")</f>
        <v>-0.13453332327362932</v>
      </c>
      <c r="V70">
        <v>69</v>
      </c>
      <c r="W70" s="112" t="str">
        <f>IFERROR(INDEX(TableTECalcPts[PLAYER],MATCH(TableTEVORP[[#This Row],[RK]],TableTECalcPts[RK],0)),"")</f>
        <v>Durham Smythe</v>
      </c>
      <c r="X70" s="112" t="str">
        <f>IFERROR(INDEX(TableTECalcPts[TM],MATCH(TableTEVORP[[#This Row],[RK]],TableTECalcPts[RK],0)),"")</f>
        <v>MIA</v>
      </c>
      <c r="Y70" s="112">
        <f>IFERROR(INDEX(TableTECalcPts[BYE],MATCH(TableTEVORP[[#This Row],[RK]],TableTECalcPts[RK],0)),"")</f>
        <v>10</v>
      </c>
      <c r="Z70" s="113">
        <f>IFERROR(INDEX(TableTECalcPts[Custom],MATCH(TableTEVORP[[#This Row],[RK]],TableTECalcPts[RK],0)),"")</f>
        <v>14.89512935232</v>
      </c>
      <c r="AA70" s="114">
        <f>IFERROR((TableTEVORP[[#This Row],[FPS]]-INDEX(TableTEVORP[FPS],MATCH(TEVORPCalc,TableTEVORP[RK],0)))/INDEX(TableTEVORP[FPS],MATCH(TEVORPCalc,TableTEVORP[RK],0)),"")</f>
        <v>-0.88659328798443593</v>
      </c>
      <c r="AF70" t="s">
        <v>222</v>
      </c>
      <c r="AG70">
        <v>29</v>
      </c>
      <c r="AH70" s="83">
        <f>RANK(TableOverallMaster[[#This Row],[VORP]],TableOverallMaster[VORP])+COUNTIF($AM$2:AM70,AM70)-1</f>
        <v>44</v>
      </c>
      <c r="AI70" s="115" t="str">
        <f>IFERROR(INDEX(TableRBVORP[RUNNING BACK],MATCH(TableOverallMaster[[#This Row],[RK]],TableRBVORP[RK],0)),"")</f>
        <v>Raheem Mostert</v>
      </c>
      <c r="AJ70" s="115" t="str">
        <f t="shared" si="1"/>
        <v>RB29</v>
      </c>
      <c r="AK70" s="115">
        <f>IFERROR(INDEX(TableRBVORP[BYE],MATCH(TableOverallMaster[[#This Row],[RK]],TableRBVORP[RK],0)),"")</f>
        <v>10</v>
      </c>
      <c r="AL70" s="116">
        <f>IFERROR(INDEX(TableRBVORP[FPS],MATCH(TableOverallMaster[[#This Row],[RK]],TableRBVORP[RK],0)),"")</f>
        <v>161.98180355896005</v>
      </c>
      <c r="AM70" s="117">
        <f>IFERROR(INDEX(TableRBVORP[VORP],MATCH(TableOverallMaster[[#This Row],[RK]],TableRBVORP[RK],0)),"")</f>
        <v>0.43705256195533376</v>
      </c>
      <c r="AO70">
        <v>69</v>
      </c>
      <c r="AP70" s="118" t="str">
        <f>IFERROR(INDEX(TableOverallMaster[OVERALL PLAYER],MATCH(TableOverallRank[[#This Row],[RK]],TableOverallMaster[OVR RK],0)),"")</f>
        <v>Jordan Love</v>
      </c>
      <c r="AQ70" s="119" t="str">
        <f>IFERROR(INDEX(TableOverallMaster[POS RK],MATCH(TableOverallRank[[#This Row],[OVERALL PLAYER]],TableOverallMaster[OVERALL PLAYER],0)),"")</f>
        <v>QB10</v>
      </c>
      <c r="AR70" s="120">
        <f>IFERROR(INDEX(TableOverallMaster[BYE],MATCH(TableOverallRank[[#This Row],[OVERALL PLAYER]],TableOverallMaster[OVERALL PLAYER],0)),"")</f>
        <v>6</v>
      </c>
      <c r="AS70" s="119">
        <f>IFERROR(INDEX(TableOverallMaster[Custom],MATCH(TableOverallRank[[#This Row],[OVERALL PLAYER]],TableOverallMaster[OVERALL PLAYER],0)),"")</f>
        <v>326.93467879072</v>
      </c>
      <c r="AT70" s="121">
        <f>IFERROR(INDEX(TableOverallMaster[VORP],MATCH(TableOverallRank[[#This Row],[OVERALL PLAYER]],TableOverallMaster[OVERALL PLAYER],0)),"")</f>
        <v>0.28737818090692835</v>
      </c>
      <c r="AV70">
        <v>69</v>
      </c>
      <c r="AW70" s="122" t="str">
        <f>IFERROR(INDEX(TableWRTECalcPts[PLAYER],MATCH(TableWRTERank[[#This Row],[RK]],TableWRTECalcPts[RK],0)),"")</f>
        <v>Darnell Mooney</v>
      </c>
      <c r="AX70" s="122" t="str">
        <f>IFERROR(INDEX(TableWRTECalcPts[POS RK],MATCH(TableWRTERank[[#This Row],[WR and TE COMBINED]],TableWRTECalcPts[PLAYER],0)),"")</f>
        <v>WR59</v>
      </c>
      <c r="AY70" s="122">
        <f>IFERROR(INDEX(TableWRTECalcPts[BYE],MATCH(TableWRTERank[[#This Row],[RK]],TableWRTECalcPts[RK],0)),"")</f>
        <v>11</v>
      </c>
      <c r="AZ70" s="123">
        <f>IFERROR(INDEX(TableWRTECalcPts[Custom],MATCH(TableWRTERank[[#This Row],[RK]],TableWRTECalcPts[RK],0)),"")</f>
        <v>138.39669965721598</v>
      </c>
      <c r="BA70" s="174">
        <f>IFERROR((TableWRTERank[[#This Row],[FPS]]-INDEX(TableWRTERank[FPS],MATCH(WRTEVORPCalc,TableWRTERank[RK],0)))/INDEX(TableWRTERank[FPS],MATCH(WRTEVORPCalc,TableWRTERank[RK],0)),"")</f>
        <v>-7.2939416679346225E-2</v>
      </c>
      <c r="BC70" t="s">
        <v>223</v>
      </c>
      <c r="BD70">
        <v>69</v>
      </c>
      <c r="BE70" s="83">
        <f>RANK(TableWRTEMaster[[#This Row],[VORP]],TableWRTEMaster[VORP])+COUNTIF($BJ$2:BJ70,BJ70)-1</f>
        <v>82</v>
      </c>
      <c r="BF70" s="115" t="str">
        <f>IFERROR(INDEX(TableWRVORP[WIDE RECEIVER],MATCH(TableWRTEMaster[[#This Row],[RK]],TableWRVORP[RK],0)),"")</f>
        <v>Wan'Dale Robinson</v>
      </c>
      <c r="BG70" s="115" t="str">
        <f>_xlfn.CONCAT(TableWRTEMaster[[#This Row],[POS]],TableWRTEMaster[[#This Row],[RK]])</f>
        <v>WR69</v>
      </c>
      <c r="BH70" s="115">
        <f>IFERROR(INDEX(TableWRVORP[BYE],MATCH(TableWRTEMaster[[#This Row],[RK]],TableWRVORP[RK],0)),"")</f>
        <v>13</v>
      </c>
      <c r="BI70" s="116">
        <f>IFERROR(INDEX(TableWRVORP[FPS],MATCH(TableWRTEMaster[[#This Row],[RK]],TableWRVORP[RK],0)),"")</f>
        <v>124.97569762585596</v>
      </c>
      <c r="BJ70" s="117">
        <f>IFERROR(INDEX(TableWRVORP[VORP],MATCH(TableWRTEMaster[[#This Row],[RK]],TableWRVORP[RK],0)),"")</f>
        <v>-0.13453332327362932</v>
      </c>
    </row>
    <row r="71" spans="1:62" x14ac:dyDescent="0.2">
      <c r="A71">
        <v>70</v>
      </c>
      <c r="B71" s="112" t="str">
        <f>IFERROR(INDEX(TableQBCalcPts[PLAYER],MATCH(TableQBVORP[[#This Row],[RK]],TableQBCalcPts[RK],0)),"")</f>
        <v/>
      </c>
      <c r="C71" s="112" t="str">
        <f>IFERROR(INDEX(TableQBCalcPts[TM],MATCH(TableQBVORP[[#This Row],[RK]],TableQBCalcPts[RK],0)),"")</f>
        <v/>
      </c>
      <c r="D71" s="112" t="str">
        <f>IFERROR(INDEX(TableQBCalcPts[BYE],MATCH(TableQBVORP[[#This Row],[RK]],TableQBCalcPts[RK],0)),"")</f>
        <v/>
      </c>
      <c r="E71" s="113" t="str">
        <f>IFERROR(INDEX(TableQBCalcPts[Custom],MATCH(TableQBVORP[[#This Row],[RK]],TableQBCalcPts[RK],0)),"")</f>
        <v/>
      </c>
      <c r="F7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1">
        <v>70</v>
      </c>
      <c r="I71" s="112" t="str">
        <f>IFERROR(INDEX(TableRBCalcPts[PLAYER],MATCH(TableRBVORP[[#This Row],[RK]],TableRBCalcPts[RK],0)),"")</f>
        <v>Chase Edmonds</v>
      </c>
      <c r="J71" s="112" t="str">
        <f>IFERROR(INDEX(TableRBCalcPts[TM],MATCH(TableRBVORP[[#This Row],[RK]],TableRBCalcPts[RK],0)),"")</f>
        <v>TB</v>
      </c>
      <c r="K71" s="112">
        <f>IFERROR(INDEX(TableRBCalcPts[BYE],MATCH(TableRBVORP[[#This Row],[RK]],TableRBCalcPts[RK],0)),"")</f>
        <v>5</v>
      </c>
      <c r="L71" s="113">
        <f>IFERROR(INDEX(TableRBCalcPts[Custom],MATCH(TableRBVORP[[#This Row],[RK]],TableRBCalcPts[RK],0)),"")</f>
        <v>58.608012904245008</v>
      </c>
      <c r="M71" s="114">
        <f>IFERROR((TableRBVORP[[#This Row],[FPS]]-INDEX(TableRBVORP[FPS],MATCH(RBVORPCalc,TableRBVORP[RK],0)))/INDEX(TableRBVORP[FPS],MATCH(RBVORPCalc,TableRBVORP[RK],0)),"")</f>
        <v>-0.48004780015614446</v>
      </c>
      <c r="O71">
        <v>70</v>
      </c>
      <c r="P71" s="112" t="str">
        <f>IFERROR(INDEX(TableWRCalcPts[PLAYER],MATCH(TableWRVORP[[#This Row],[RK]],TableWRCalcPts[RK],0)),"")</f>
        <v>Jermaine Burton</v>
      </c>
      <c r="Q71" s="112" t="str">
        <f>IFERROR(INDEX(TableWRCalcPts[TM],MATCH(TableWRVORP[[#This Row],[RK]],TableWRCalcPts[RK],0)),"")</f>
        <v>CIN</v>
      </c>
      <c r="R71" s="112">
        <f>IFERROR(INDEX(TableWRCalcPts[BYE],MATCH(TableWRVORP[[#This Row],[RK]],TableWRCalcPts[RK],0)),"")</f>
        <v>7</v>
      </c>
      <c r="S71" s="113">
        <f>IFERROR(INDEX(TableWRCalcPts[Custom],MATCH(TableWRVORP[[#This Row],[RK]],TableWRCalcPts[RK],0)),"")</f>
        <v>118.73828249010003</v>
      </c>
      <c r="T71" s="114">
        <f>IFERROR((TableWRVORP[[#This Row],[FPS]]-INDEX(TableWRVORP[FPS],MATCH(WRVORPCalc,TableWRVORP[RK],0)))/INDEX(TableWRVORP[FPS],MATCH(WRVORPCalc,TableWRVORP[RK],0)),"")</f>
        <v>-0.17772792071501706</v>
      </c>
      <c r="V71">
        <v>70</v>
      </c>
      <c r="W71" s="112" t="str">
        <f>IFERROR(INDEX(TableTECalcPts[PLAYER],MATCH(TableTEVORP[[#This Row],[RK]],TableTECalcPts[RK],0)),"")</f>
        <v>Tip Reiman</v>
      </c>
      <c r="X71" s="112" t="str">
        <f>IFERROR(INDEX(TableTECalcPts[TM],MATCH(TableTEVORP[[#This Row],[RK]],TableTECalcPts[RK],0)),"")</f>
        <v>ARI</v>
      </c>
      <c r="Y71" s="112">
        <f>IFERROR(INDEX(TableTECalcPts[BYE],MATCH(TableTEVORP[[#This Row],[RK]],TableTECalcPts[RK],0)),"")</f>
        <v>14</v>
      </c>
      <c r="Z71" s="113">
        <f>IFERROR(INDEX(TableTECalcPts[Custom],MATCH(TableTEVORP[[#This Row],[RK]],TableTECalcPts[RK],0)),"")</f>
        <v>14.747381013540004</v>
      </c>
      <c r="AA71" s="114">
        <f>IFERROR((TableTEVORP[[#This Row],[FPS]]-INDEX(TableTEVORP[FPS],MATCH(TEVORPCalc,TableTEVORP[RK],0)))/INDEX(TableTEVORP[FPS],MATCH(TEVORPCalc,TableTEVORP[RK],0)),"")</f>
        <v>-0.88771819619506465</v>
      </c>
      <c r="AF71" t="s">
        <v>222</v>
      </c>
      <c r="AG71">
        <v>30</v>
      </c>
      <c r="AH71" s="83">
        <f>RANK(TableOverallMaster[[#This Row],[VORP]],TableOverallMaster[VORP])+COUNTIF($AM$2:AM71,AM71)-1</f>
        <v>45</v>
      </c>
      <c r="AI71" s="115" t="str">
        <f>IFERROR(INDEX(TableRBVORP[RUNNING BACK],MATCH(TableOverallMaster[[#This Row],[RK]],TableRBVORP[RK],0)),"")</f>
        <v>Zack Moss</v>
      </c>
      <c r="AJ71" s="115" t="str">
        <f t="shared" si="1"/>
        <v>RB30</v>
      </c>
      <c r="AK71" s="115">
        <f>IFERROR(INDEX(TableRBVORP[BYE],MATCH(TableOverallMaster[[#This Row],[RK]],TableRBVORP[RK],0)),"")</f>
        <v>7</v>
      </c>
      <c r="AL71" s="116">
        <f>IFERROR(INDEX(TableRBVORP[FPS],MATCH(TableOverallMaster[[#This Row],[RK]],TableRBVORP[RK],0)),"")</f>
        <v>161.43138356486401</v>
      </c>
      <c r="AM71" s="117">
        <f>IFERROR(INDEX(TableRBVORP[VORP],MATCH(TableOverallMaster[[#This Row],[RK]],TableRBVORP[RK],0)),"")</f>
        <v>0.43216940566686057</v>
      </c>
      <c r="AO71">
        <v>70</v>
      </c>
      <c r="AP71" s="118" t="str">
        <f>IFERROR(INDEX(TableOverallMaster[OVERALL PLAYER],MATCH(TableOverallRank[[#This Row],[RK]],TableOverallMaster[OVR RK],0)),"")</f>
        <v>Amari Cooper</v>
      </c>
      <c r="AQ71" s="119" t="str">
        <f>IFERROR(INDEX(TableOverallMaster[POS RK],MATCH(TableOverallRank[[#This Row],[OVERALL PLAYER]],TableOverallMaster[OVERALL PLAYER],0)),"")</f>
        <v>WR22</v>
      </c>
      <c r="AR71" s="120">
        <f>IFERROR(INDEX(TableOverallMaster[BYE],MATCH(TableOverallRank[[#This Row],[OVERALL PLAYER]],TableOverallMaster[OVERALL PLAYER],0)),"")</f>
        <v>5</v>
      </c>
      <c r="AS71" s="119">
        <f>IFERROR(INDEX(TableOverallMaster[Custom],MATCH(TableOverallRank[[#This Row],[OVERALL PLAYER]],TableOverallMaster[OVERALL PLAYER],0)),"")</f>
        <v>185.65527934799999</v>
      </c>
      <c r="AT71" s="121">
        <f>IFERROR(INDEX(TableOverallMaster[VORP],MATCH(TableOverallRank[[#This Row],[OVERALL PLAYER]],TableOverallMaster[OVERALL PLAYER],0)),"")</f>
        <v>0.28567762122079265</v>
      </c>
      <c r="AV71">
        <v>70</v>
      </c>
      <c r="AW71" s="122" t="str">
        <f>IFERROR(INDEX(TableWRTECalcPts[PLAYER],MATCH(TableWRTERank[[#This Row],[RK]],TableWRTECalcPts[RK],0)),"")</f>
        <v>Khalil Shakir</v>
      </c>
      <c r="AX71" s="122" t="str">
        <f>IFERROR(INDEX(TableWRTECalcPts[POS RK],MATCH(TableWRTERank[[#This Row],[WR and TE COMBINED]],TableWRTECalcPts[PLAYER],0)),"")</f>
        <v>WR60</v>
      </c>
      <c r="AY71" s="122">
        <f>IFERROR(INDEX(TableWRTECalcPts[BYE],MATCH(TableWRTERank[[#This Row],[RK]],TableWRTECalcPts[RK],0)),"")</f>
        <v>13</v>
      </c>
      <c r="AZ71" s="123">
        <f>IFERROR(INDEX(TableWRTECalcPts[Custom],MATCH(TableWRTERank[[#This Row],[RK]],TableWRTECalcPts[RK],0)),"")</f>
        <v>138.1168361067264</v>
      </c>
      <c r="BA71" s="174">
        <f>IFERROR((TableWRTERank[[#This Row],[FPS]]-INDEX(TableWRTERank[FPS],MATCH(WRTEVORPCalc,TableWRTERank[RK],0)))/INDEX(TableWRTERank[FPS],MATCH(WRTEVORPCalc,TableWRTERank[RK],0)),"")</f>
        <v>-7.4814103481919345E-2</v>
      </c>
      <c r="BC71" t="s">
        <v>223</v>
      </c>
      <c r="BD71">
        <v>70</v>
      </c>
      <c r="BE71" s="83">
        <f>RANK(TableWRTEMaster[[#This Row],[VORP]],TableWRTEMaster[VORP])+COUNTIF($BJ$2:BJ71,BJ71)-1</f>
        <v>86</v>
      </c>
      <c r="BF71" s="115" t="str">
        <f>IFERROR(INDEX(TableWRVORP[WIDE RECEIVER],MATCH(TableWRTEMaster[[#This Row],[RK]],TableWRVORP[RK],0)),"")</f>
        <v>Jermaine Burton</v>
      </c>
      <c r="BG71" s="115" t="str">
        <f>_xlfn.CONCAT(TableWRTEMaster[[#This Row],[POS]],TableWRTEMaster[[#This Row],[RK]])</f>
        <v>WR70</v>
      </c>
      <c r="BH71" s="115">
        <f>IFERROR(INDEX(TableWRVORP[BYE],MATCH(TableWRTEMaster[[#This Row],[RK]],TableWRVORP[RK],0)),"")</f>
        <v>7</v>
      </c>
      <c r="BI71" s="116">
        <f>IFERROR(INDEX(TableWRVORP[FPS],MATCH(TableWRTEMaster[[#This Row],[RK]],TableWRVORP[RK],0)),"")</f>
        <v>118.73828249010003</v>
      </c>
      <c r="BJ71" s="117">
        <f>IFERROR(INDEX(TableWRVORP[VORP],MATCH(TableWRTEMaster[[#This Row],[RK]],TableWRVORP[RK],0)),"")</f>
        <v>-0.17772792071501706</v>
      </c>
    </row>
    <row r="72" spans="1:62" x14ac:dyDescent="0.2">
      <c r="A72">
        <v>71</v>
      </c>
      <c r="B72" s="112" t="str">
        <f>IFERROR(INDEX(TableQBCalcPts[PLAYER],MATCH(TableQBVORP[[#This Row],[RK]],TableQBCalcPts[RK],0)),"")</f>
        <v/>
      </c>
      <c r="C72" s="112" t="str">
        <f>IFERROR(INDEX(TableQBCalcPts[TM],MATCH(TableQBVORP[[#This Row],[RK]],TableQBCalcPts[RK],0)),"")</f>
        <v/>
      </c>
      <c r="D72" s="112" t="str">
        <f>IFERROR(INDEX(TableQBCalcPts[BYE],MATCH(TableQBVORP[[#This Row],[RK]],TableQBCalcPts[RK],0)),"")</f>
        <v/>
      </c>
      <c r="E72" s="113" t="str">
        <f>IFERROR(INDEX(TableQBCalcPts[Custom],MATCH(TableQBVORP[[#This Row],[RK]],TableQBCalcPts[RK],0)),"")</f>
        <v/>
      </c>
      <c r="F7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2">
        <v>71</v>
      </c>
      <c r="I72" s="112" t="str">
        <f>IFERROR(INDEX(TableRBCalcPts[PLAYER],MATCH(TableRBVORP[[#This Row],[RK]],TableRBCalcPts[RK],0)),"")</f>
        <v>Kimani Vidal</v>
      </c>
      <c r="J72" s="112" t="str">
        <f>IFERROR(INDEX(TableRBCalcPts[TM],MATCH(TableRBVORP[[#This Row],[RK]],TableRBCalcPts[RK],0)),"")</f>
        <v>LAC</v>
      </c>
      <c r="K72" s="112">
        <f>IFERROR(INDEX(TableRBCalcPts[BYE],MATCH(TableRBVORP[[#This Row],[RK]],TableRBCalcPts[RK],0)),"")</f>
        <v>5</v>
      </c>
      <c r="L72" s="113">
        <f>IFERROR(INDEX(TableRBCalcPts[Custom],MATCH(TableRBVORP[[#This Row],[RK]],TableRBCalcPts[RK],0)),"")</f>
        <v>57.720941137439993</v>
      </c>
      <c r="M72" s="114">
        <f>IFERROR((TableRBVORP[[#This Row],[FPS]]-INDEX(TableRBVORP[FPS],MATCH(RBVORPCalc,TableRBVORP[RK],0)))/INDEX(TableRBVORP[FPS],MATCH(RBVORPCalc,TableRBVORP[RK],0)),"")</f>
        <v>-0.48791762705717279</v>
      </c>
      <c r="O72">
        <v>71</v>
      </c>
      <c r="P72" s="112" t="str">
        <f>IFERROR(INDEX(TableWRCalcPts[PLAYER],MATCH(TableWRVORP[[#This Row],[RK]],TableWRCalcPts[RK],0)),"")</f>
        <v>Adam Thielen</v>
      </c>
      <c r="Q72" s="112" t="str">
        <f>IFERROR(INDEX(TableWRCalcPts[TM],MATCH(TableWRVORP[[#This Row],[RK]],TableWRCalcPts[RK],0)),"")</f>
        <v>CAR</v>
      </c>
      <c r="R72" s="112">
        <f>IFERROR(INDEX(TableWRCalcPts[BYE],MATCH(TableWRVORP[[#This Row],[RK]],TableWRCalcPts[RK],0)),"")</f>
        <v>7</v>
      </c>
      <c r="S72" s="113">
        <f>IFERROR(INDEX(TableWRCalcPts[Custom],MATCH(TableWRVORP[[#This Row],[RK]],TableWRCalcPts[RK],0)),"")</f>
        <v>117.82870796050199</v>
      </c>
      <c r="T72" s="114">
        <f>IFERROR((TableWRVORP[[#This Row],[FPS]]-INDEX(TableWRVORP[FPS],MATCH(WRVORPCalc,TableWRVORP[RK],0)))/INDEX(TableWRVORP[FPS],MATCH(WRVORPCalc,TableWRVORP[RK],0)),"")</f>
        <v>-0.18402679689911214</v>
      </c>
      <c r="V72">
        <v>71</v>
      </c>
      <c r="W72" s="112" t="str">
        <f>IFERROR(INDEX(TableTECalcPts[PLAYER],MATCH(TableTEVORP[[#This Row],[RK]],TableTECalcPts[RK],0)),"")</f>
        <v>Luke Farrell</v>
      </c>
      <c r="X72" s="112" t="str">
        <f>IFERROR(INDEX(TableTECalcPts[TM],MATCH(TableTEVORP[[#This Row],[RK]],TableTECalcPts[RK],0)),"")</f>
        <v>JAX</v>
      </c>
      <c r="Y72" s="112">
        <f>IFERROR(INDEX(TableTECalcPts[BYE],MATCH(TableTEVORP[[#This Row],[RK]],TableTECalcPts[RK],0)),"")</f>
        <v>9</v>
      </c>
      <c r="Z72" s="113">
        <f>IFERROR(INDEX(TableTECalcPts[Custom],MATCH(TableTEVORP[[#This Row],[RK]],TableTECalcPts[RK],0)),"")</f>
        <v>14.710061620799998</v>
      </c>
      <c r="AA72" s="114">
        <f>IFERROR((TableTEVORP[[#This Row],[FPS]]-INDEX(TableTEVORP[FPS],MATCH(TEVORPCalc,TableTEVORP[RK],0)))/INDEX(TableTEVORP[FPS],MATCH(TEVORPCalc,TableTEVORP[RK],0)),"")</f>
        <v>-0.88800233401790285</v>
      </c>
      <c r="AF72" t="s">
        <v>222</v>
      </c>
      <c r="AG72">
        <v>31</v>
      </c>
      <c r="AH72" s="83">
        <f>RANK(TableOverallMaster[[#This Row],[VORP]],TableOverallMaster[VORP])+COUNTIF($AM$2:AM72,AM72)-1</f>
        <v>46</v>
      </c>
      <c r="AI72" s="115" t="str">
        <f>IFERROR(INDEX(TableRBVORP[RUNNING BACK],MATCH(TableOverallMaster[[#This Row],[RK]],TableRBVORP[RK],0)),"")</f>
        <v>Devin Singletary</v>
      </c>
      <c r="AJ72" s="115" t="str">
        <f t="shared" si="1"/>
        <v>RB31</v>
      </c>
      <c r="AK72" s="115">
        <f>IFERROR(INDEX(TableRBVORP[BYE],MATCH(TableOverallMaster[[#This Row],[RK]],TableRBVORP[RK],0)),"")</f>
        <v>13</v>
      </c>
      <c r="AL72" s="116">
        <f>IFERROR(INDEX(TableRBVORP[FPS],MATCH(TableOverallMaster[[#This Row],[RK]],TableRBVORP[RK],0)),"")</f>
        <v>160.63613698890239</v>
      </c>
      <c r="AM72" s="117">
        <f>IFERROR(INDEX(TableRBVORP[VORP],MATCH(TableOverallMaster[[#This Row],[RK]],TableRBVORP[RK],0)),"")</f>
        <v>0.42511422351514516</v>
      </c>
      <c r="AO72">
        <v>71</v>
      </c>
      <c r="AP72" s="118" t="str">
        <f>IFERROR(INDEX(TableOverallMaster[OVERALL PLAYER],MATCH(TableOverallRank[[#This Row],[RK]],TableOverallMaster[OVR RK],0)),"")</f>
        <v>Trey McBride</v>
      </c>
      <c r="AQ72" s="119" t="str">
        <f>IFERROR(INDEX(TableOverallMaster[POS RK],MATCH(TableOverallRank[[#This Row],[OVERALL PLAYER]],TableOverallMaster[OVERALL PLAYER],0)),"")</f>
        <v>TE4</v>
      </c>
      <c r="AR72" s="120">
        <f>IFERROR(INDEX(TableOverallMaster[BYE],MATCH(TableOverallRank[[#This Row],[OVERALL PLAYER]],TableOverallMaster[OVERALL PLAYER],0)),"")</f>
        <v>14</v>
      </c>
      <c r="AS72" s="119">
        <f>IFERROR(INDEX(TableOverallMaster[Custom],MATCH(TableOverallRank[[#This Row],[OVERALL PLAYER]],TableOverallMaster[OVERALL PLAYER],0)),"")</f>
        <v>168.4093531322475</v>
      </c>
      <c r="AT72" s="121">
        <f>IFERROR(INDEX(TableOverallMaster[VORP],MATCH(TableOverallRank[[#This Row],[OVERALL PLAYER]],TableOverallMaster[OVERALL PLAYER],0)),"")</f>
        <v>0.2822145118478937</v>
      </c>
      <c r="AV72">
        <v>71</v>
      </c>
      <c r="AW72" s="122" t="str">
        <f>IFERROR(INDEX(TableWRTECalcPts[PLAYER],MATCH(TableWRTERank[[#This Row],[RK]],TableWRTECalcPts[RK],0)),"")</f>
        <v>Rashid Shaheed</v>
      </c>
      <c r="AX72" s="122" t="str">
        <f>IFERROR(INDEX(TableWRTECalcPts[POS RK],MATCH(TableWRTERank[[#This Row],[WR and TE COMBINED]],TableWRTECalcPts[PLAYER],0)),"")</f>
        <v>WR61</v>
      </c>
      <c r="AY72" s="122">
        <f>IFERROR(INDEX(TableWRTECalcPts[BYE],MATCH(TableWRTERank[[#This Row],[RK]],TableWRTECalcPts[RK],0)),"")</f>
        <v>11</v>
      </c>
      <c r="AZ72" s="123">
        <f>IFERROR(INDEX(TableWRTECalcPts[Custom],MATCH(TableWRTERank[[#This Row],[RK]],TableWRTECalcPts[RK],0)),"")</f>
        <v>137.90885669345585</v>
      </c>
      <c r="BA72" s="174">
        <f>IFERROR((TableWRTERank[[#This Row],[FPS]]-INDEX(TableWRTERank[FPS],MATCH(WRTEVORPCalc,TableWRTERank[RK],0)))/INDEX(TableWRTERank[FPS],MATCH(WRTEVORPCalc,TableWRTERank[RK],0)),"")</f>
        <v>-7.6207269046292186E-2</v>
      </c>
      <c r="BC72" t="s">
        <v>223</v>
      </c>
      <c r="BD72">
        <v>71</v>
      </c>
      <c r="BE72" s="83">
        <f>RANK(TableWRTEMaster[[#This Row],[VORP]],TableWRTEMaster[VORP])+COUNTIF($BJ$2:BJ72,BJ72)-1</f>
        <v>87</v>
      </c>
      <c r="BF72" s="115" t="str">
        <f>IFERROR(INDEX(TableWRVORP[WIDE RECEIVER],MATCH(TableWRTEMaster[[#This Row],[RK]],TableWRVORP[RK],0)),"")</f>
        <v>Adam Thielen</v>
      </c>
      <c r="BG72" s="115" t="str">
        <f>_xlfn.CONCAT(TableWRTEMaster[[#This Row],[POS]],TableWRTEMaster[[#This Row],[RK]])</f>
        <v>WR71</v>
      </c>
      <c r="BH72" s="115">
        <f>IFERROR(INDEX(TableWRVORP[BYE],MATCH(TableWRTEMaster[[#This Row],[RK]],TableWRVORP[RK],0)),"")</f>
        <v>7</v>
      </c>
      <c r="BI72" s="116">
        <f>IFERROR(INDEX(TableWRVORP[FPS],MATCH(TableWRTEMaster[[#This Row],[RK]],TableWRVORP[RK],0)),"")</f>
        <v>117.82870796050199</v>
      </c>
      <c r="BJ72" s="117">
        <f>IFERROR(INDEX(TableWRVORP[VORP],MATCH(TableWRTEMaster[[#This Row],[RK]],TableWRVORP[RK],0)),"")</f>
        <v>-0.18402679689911214</v>
      </c>
    </row>
    <row r="73" spans="1:62" x14ac:dyDescent="0.2">
      <c r="A73">
        <v>72</v>
      </c>
      <c r="B73" s="112" t="str">
        <f>IFERROR(INDEX(TableQBCalcPts[PLAYER],MATCH(TableQBVORP[[#This Row],[RK]],TableQBCalcPts[RK],0)),"")</f>
        <v/>
      </c>
      <c r="C73" s="112" t="str">
        <f>IFERROR(INDEX(TableQBCalcPts[TM],MATCH(TableQBVORP[[#This Row],[RK]],TableQBCalcPts[RK],0)),"")</f>
        <v/>
      </c>
      <c r="D73" s="112" t="str">
        <f>IFERROR(INDEX(TableQBCalcPts[BYE],MATCH(TableQBVORP[[#This Row],[RK]],TableQBCalcPts[RK],0)),"")</f>
        <v/>
      </c>
      <c r="E73" s="113" t="str">
        <f>IFERROR(INDEX(TableQBCalcPts[Custom],MATCH(TableQBVORP[[#This Row],[RK]],TableQBCalcPts[RK],0)),"")</f>
        <v/>
      </c>
      <c r="F7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3">
        <v>72</v>
      </c>
      <c r="I73" s="112" t="str">
        <f>IFERROR(INDEX(TableRBCalcPts[PLAYER],MATCH(TableRBVORP[[#This Row],[RK]],TableRBCalcPts[RK],0)),"")</f>
        <v>Rasheen Ali</v>
      </c>
      <c r="J73" s="112" t="str">
        <f>IFERROR(INDEX(TableRBCalcPts[TM],MATCH(TableRBVORP[[#This Row],[RK]],TableRBCalcPts[RK],0)),"")</f>
        <v>BAL</v>
      </c>
      <c r="K73" s="112">
        <f>IFERROR(INDEX(TableRBCalcPts[BYE],MATCH(TableRBVORP[[#This Row],[RK]],TableRBCalcPts[RK],0)),"")</f>
        <v>13</v>
      </c>
      <c r="L73" s="113">
        <f>IFERROR(INDEX(TableRBCalcPts[Custom],MATCH(TableRBVORP[[#This Row],[RK]],TableRBCalcPts[RK],0)),"")</f>
        <v>56.086905436799995</v>
      </c>
      <c r="M73" s="114">
        <f>IFERROR((TableRBVORP[[#This Row],[FPS]]-INDEX(TableRBVORP[FPS],MATCH(RBVORPCalc,TableRBVORP[RK],0)))/INDEX(TableRBVORP[FPS],MATCH(RBVORPCalc,TableRBVORP[RK],0)),"")</f>
        <v>-0.50241428741246053</v>
      </c>
      <c r="O73">
        <v>72</v>
      </c>
      <c r="P73" s="112" t="str">
        <f>IFERROR(INDEX(TableWRCalcPts[PLAYER],MATCH(TableWRVORP[[#This Row],[RK]],TableWRCalcPts[RK],0)),"")</f>
        <v>Malachi Corley</v>
      </c>
      <c r="Q73" s="112" t="str">
        <f>IFERROR(INDEX(TableWRCalcPts[TM],MATCH(TableWRVORP[[#This Row],[RK]],TableWRCalcPts[RK],0)),"")</f>
        <v>NYJ</v>
      </c>
      <c r="R73" s="112">
        <f>IFERROR(INDEX(TableWRCalcPts[BYE],MATCH(TableWRVORP[[#This Row],[RK]],TableWRCalcPts[RK],0)),"")</f>
        <v>7</v>
      </c>
      <c r="S73" s="113">
        <f>IFERROR(INDEX(TableWRCalcPts[Custom],MATCH(TableWRVORP[[#This Row],[RK]],TableWRCalcPts[RK],0)),"")</f>
        <v>115.7540979246848</v>
      </c>
      <c r="T73" s="114">
        <f>IFERROR((TableWRVORP[[#This Row],[FPS]]-INDEX(TableWRVORP[FPS],MATCH(WRVORPCalc,TableWRVORP[RK],0)))/INDEX(TableWRVORP[FPS],MATCH(WRVORPCalc,TableWRVORP[RK],0)),"")</f>
        <v>-0.19839363691129711</v>
      </c>
      <c r="V73">
        <v>72</v>
      </c>
      <c r="W73" s="112" t="str">
        <f>IFERROR(INDEX(TableTECalcPts[PLAYER],MATCH(TableTEVORP[[#This Row],[RK]],TableTECalcPts[RK],0)),"")</f>
        <v>Brock Wright</v>
      </c>
      <c r="X73" s="112" t="str">
        <f>IFERROR(INDEX(TableTECalcPts[TM],MATCH(TableTEVORP[[#This Row],[RK]],TableTECalcPts[RK],0)),"")</f>
        <v>DET</v>
      </c>
      <c r="Y73" s="112">
        <f>IFERROR(INDEX(TableTECalcPts[BYE],MATCH(TableTEVORP[[#This Row],[RK]],TableTECalcPts[RK],0)),"")</f>
        <v>9</v>
      </c>
      <c r="Z73" s="113">
        <f>IFERROR(INDEX(TableTECalcPts[Custom],MATCH(TableTEVORP[[#This Row],[RK]],TableTECalcPts[RK],0)),"")</f>
        <v>14.383572453432</v>
      </c>
      <c r="AA73" s="114">
        <f>IFERROR((TableTEVORP[[#This Row],[FPS]]-INDEX(TableTEVORP[FPS],MATCH(TEVORPCalc,TableTEVORP[RK],0)))/INDEX(TableTEVORP[FPS],MATCH(TEVORPCalc,TableTEVORP[RK],0)),"")</f>
        <v>-0.89048811726315791</v>
      </c>
      <c r="AF73" t="s">
        <v>222</v>
      </c>
      <c r="AG73">
        <v>32</v>
      </c>
      <c r="AH73" s="83">
        <f>RANK(TableOverallMaster[[#This Row],[VORP]],TableOverallMaster[VORP])+COUNTIF($AM$2:AM73,AM73)-1</f>
        <v>49</v>
      </c>
      <c r="AI73" s="115" t="str">
        <f>IFERROR(INDEX(TableRBVORP[RUNNING BACK],MATCH(TableOverallMaster[[#This Row],[RK]],TableRBVORP[RK],0)),"")</f>
        <v>Tony Pollard</v>
      </c>
      <c r="AJ73" s="115" t="str">
        <f t="shared" si="1"/>
        <v>RB32</v>
      </c>
      <c r="AK73" s="115">
        <f>IFERROR(INDEX(TableRBVORP[BYE],MATCH(TableOverallMaster[[#This Row],[RK]],TableRBVORP[RK],0)),"")</f>
        <v>7</v>
      </c>
      <c r="AL73" s="116">
        <f>IFERROR(INDEX(TableRBVORP[FPS],MATCH(TableOverallMaster[[#This Row],[RK]],TableRBVORP[RK],0)),"")</f>
        <v>158.11878126983396</v>
      </c>
      <c r="AM73" s="117">
        <f>IFERROR(INDEX(TableRBVORP[VORP],MATCH(TableOverallMaster[[#This Row],[RK]],TableRBVORP[RK],0)),"")</f>
        <v>0.40278102061236704</v>
      </c>
      <c r="AO73">
        <v>72</v>
      </c>
      <c r="AP73" s="118" t="str">
        <f>IFERROR(INDEX(TableOverallMaster[OVERALL PLAYER],MATCH(TableOverallRank[[#This Row],[RK]],TableOverallMaster[OVR RK],0)),"")</f>
        <v>DeVonta Smith</v>
      </c>
      <c r="AQ73" s="119" t="str">
        <f>IFERROR(INDEX(TableOverallMaster[POS RK],MATCH(TableOverallRank[[#This Row],[OVERALL PLAYER]],TableOverallMaster[OVERALL PLAYER],0)),"")</f>
        <v>WR23</v>
      </c>
      <c r="AR73" s="120">
        <f>IFERROR(INDEX(TableOverallMaster[BYE],MATCH(TableOverallRank[[#This Row],[OVERALL PLAYER]],TableOverallMaster[OVERALL PLAYER],0)),"")</f>
        <v>10</v>
      </c>
      <c r="AS73" s="119">
        <f>IFERROR(INDEX(TableOverallMaster[Custom],MATCH(TableOverallRank[[#This Row],[OVERALL PLAYER]],TableOverallMaster[OVERALL PLAYER],0)),"")</f>
        <v>184.12883214768004</v>
      </c>
      <c r="AT73" s="121">
        <f>IFERROR(INDEX(TableOverallMaster[VORP],MATCH(TableOverallRank[[#This Row],[OVERALL PLAYER]],TableOverallMaster[OVERALL PLAYER],0)),"")</f>
        <v>0.2751068525773227</v>
      </c>
      <c r="AV73">
        <v>72</v>
      </c>
      <c r="AW73" s="122" t="str">
        <f>IFERROR(INDEX(TableWRTECalcPts[PLAYER],MATCH(TableWRTERank[[#This Row],[RK]],TableWRTECalcPts[RK],0)),"")</f>
        <v>Romeo Doubs</v>
      </c>
      <c r="AX73" s="122" t="str">
        <f>IFERROR(INDEX(TableWRTECalcPts[POS RK],MATCH(TableWRTERank[[#This Row],[WR and TE COMBINED]],TableWRTECalcPts[PLAYER],0)),"")</f>
        <v>WR62</v>
      </c>
      <c r="AY73" s="122">
        <f>IFERROR(INDEX(TableWRTECalcPts[BYE],MATCH(TableWRTERank[[#This Row],[RK]],TableWRTECalcPts[RK],0)),"")</f>
        <v>6</v>
      </c>
      <c r="AZ73" s="123">
        <f>IFERROR(INDEX(TableWRTECalcPts[Custom],MATCH(TableWRTERank[[#This Row],[RK]],TableWRTECalcPts[RK],0)),"")</f>
        <v>136.87196386617603</v>
      </c>
      <c r="BA73" s="174">
        <f>IFERROR((TableWRTERank[[#This Row],[FPS]]-INDEX(TableWRTERank[FPS],MATCH(WRTEVORPCalc,TableWRTERank[RK],0)))/INDEX(TableWRTERank[FPS],MATCH(WRTEVORPCalc,TableWRTERank[RK],0)),"")</f>
        <v>-8.3152972749342205E-2</v>
      </c>
      <c r="BC73" t="s">
        <v>223</v>
      </c>
      <c r="BD73">
        <v>72</v>
      </c>
      <c r="BE73" s="83">
        <f>RANK(TableWRTEMaster[[#This Row],[VORP]],TableWRTEMaster[VORP])+COUNTIF($BJ$2:BJ73,BJ73)-1</f>
        <v>89</v>
      </c>
      <c r="BF73" s="115" t="str">
        <f>IFERROR(INDEX(TableWRVORP[WIDE RECEIVER],MATCH(TableWRTEMaster[[#This Row],[RK]],TableWRVORP[RK],0)),"")</f>
        <v>Malachi Corley</v>
      </c>
      <c r="BG73" s="115" t="str">
        <f>_xlfn.CONCAT(TableWRTEMaster[[#This Row],[POS]],TableWRTEMaster[[#This Row],[RK]])</f>
        <v>WR72</v>
      </c>
      <c r="BH73" s="115">
        <f>IFERROR(INDEX(TableWRVORP[BYE],MATCH(TableWRTEMaster[[#This Row],[RK]],TableWRVORP[RK],0)),"")</f>
        <v>7</v>
      </c>
      <c r="BI73" s="116">
        <f>IFERROR(INDEX(TableWRVORP[FPS],MATCH(TableWRTEMaster[[#This Row],[RK]],TableWRVORP[RK],0)),"")</f>
        <v>115.7540979246848</v>
      </c>
      <c r="BJ73" s="117">
        <f>IFERROR(INDEX(TableWRVORP[VORP],MATCH(TableWRTEMaster[[#This Row],[RK]],TableWRVORP[RK],0)),"")</f>
        <v>-0.19839363691129711</v>
      </c>
    </row>
    <row r="74" spans="1:62" x14ac:dyDescent="0.2">
      <c r="A74">
        <v>73</v>
      </c>
      <c r="B74" s="112" t="str">
        <f>IFERROR(INDEX(TableQBCalcPts[PLAYER],MATCH(TableQBVORP[[#This Row],[RK]],TableQBCalcPts[RK],0)),"")</f>
        <v/>
      </c>
      <c r="C74" s="112" t="str">
        <f>IFERROR(INDEX(TableQBCalcPts[TM],MATCH(TableQBVORP[[#This Row],[RK]],TableQBCalcPts[RK],0)),"")</f>
        <v/>
      </c>
      <c r="D74" s="112" t="str">
        <f>IFERROR(INDEX(TableQBCalcPts[BYE],MATCH(TableQBVORP[[#This Row],[RK]],TableQBCalcPts[RK],0)),"")</f>
        <v/>
      </c>
      <c r="E74" s="113" t="str">
        <f>IFERROR(INDEX(TableQBCalcPts[Custom],MATCH(TableQBVORP[[#This Row],[RK]],TableQBCalcPts[RK],0)),"")</f>
        <v/>
      </c>
      <c r="F7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4">
        <v>73</v>
      </c>
      <c r="I74" s="112" t="str">
        <f>IFERROR(INDEX(TableRBCalcPts[PLAYER],MATCH(TableRBVORP[[#This Row],[RK]],TableRBCalcPts[RK],0)),"")</f>
        <v>D'Onta Foreman</v>
      </c>
      <c r="J74" s="112" t="str">
        <f>IFERROR(INDEX(TableRBCalcPts[TM],MATCH(TableRBVORP[[#This Row],[RK]],TableRBCalcPts[RK],0)),"")</f>
        <v>CLE</v>
      </c>
      <c r="K74" s="112">
        <f>IFERROR(INDEX(TableRBCalcPts[BYE],MATCH(TableRBVORP[[#This Row],[RK]],TableRBCalcPts[RK],0)),"")</f>
        <v>5</v>
      </c>
      <c r="L74" s="113">
        <f>IFERROR(INDEX(TableRBCalcPts[Custom],MATCH(TableRBVORP[[#This Row],[RK]],TableRBCalcPts[RK],0)),"")</f>
        <v>49.677862080000004</v>
      </c>
      <c r="M74" s="114">
        <f>IFERROR((TableRBVORP[[#This Row],[FPS]]-INDEX(TableRBVORP[FPS],MATCH(RBVORPCalc,TableRBVORP[RK],0)))/INDEX(TableRBVORP[FPS],MATCH(RBVORPCalc,TableRBVORP[RK],0)),"")</f>
        <v>-0.55927334178284749</v>
      </c>
      <c r="O74">
        <v>73</v>
      </c>
      <c r="P74" s="112" t="str">
        <f>IFERROR(INDEX(TableWRCalcPts[PLAYER],MATCH(TableWRVORP[[#This Row],[RK]],TableWRCalcPts[RK],0)),"")</f>
        <v>Adonai Mitchell</v>
      </c>
      <c r="Q74" s="112" t="str">
        <f>IFERROR(INDEX(TableWRCalcPts[TM],MATCH(TableWRVORP[[#This Row],[RK]],TableWRCalcPts[RK],0)),"")</f>
        <v>IND</v>
      </c>
      <c r="R74" s="112">
        <f>IFERROR(INDEX(TableWRCalcPts[BYE],MATCH(TableWRVORP[[#This Row],[RK]],TableWRCalcPts[RK],0)),"")</f>
        <v>11</v>
      </c>
      <c r="S74" s="113">
        <f>IFERROR(INDEX(TableWRCalcPts[Custom],MATCH(TableWRVORP[[#This Row],[RK]],TableWRCalcPts[RK],0)),"")</f>
        <v>114.04083314624</v>
      </c>
      <c r="T74" s="114">
        <f>IFERROR((TableWRVORP[[#This Row],[FPS]]-INDEX(TableWRVORP[FPS],MATCH(WRVORPCalc,TableWRVORP[RK],0)))/INDEX(TableWRVORP[FPS],MATCH(WRVORPCalc,TableWRVORP[RK],0)),"")</f>
        <v>-0.21025813218774669</v>
      </c>
      <c r="V74">
        <v>73</v>
      </c>
      <c r="W74" s="112" t="str">
        <f>IFERROR(INDEX(TableTECalcPts[PLAYER],MATCH(TableTEVORP[[#This Row],[RK]],TableTECalcPts[RK],0)),"")</f>
        <v>Elijah Higgins</v>
      </c>
      <c r="X74" s="112" t="str">
        <f>IFERROR(INDEX(TableTECalcPts[TM],MATCH(TableTEVORP[[#This Row],[RK]],TableTECalcPts[RK],0)),"")</f>
        <v>ARI</v>
      </c>
      <c r="Y74" s="112">
        <f>IFERROR(INDEX(TableTECalcPts[BYE],MATCH(TableTEVORP[[#This Row],[RK]],TableTECalcPts[RK],0)),"")</f>
        <v>14</v>
      </c>
      <c r="Z74" s="113">
        <f>IFERROR(INDEX(TableTECalcPts[Custom],MATCH(TableTEVORP[[#This Row],[RK]],TableTECalcPts[RK],0)),"")</f>
        <v>14.041592247900002</v>
      </c>
      <c r="AA74" s="114">
        <f>IFERROR((TableTEVORP[[#This Row],[FPS]]-INDEX(TableTEVORP[FPS],MATCH(TEVORPCalc,TableTEVORP[RK],0)))/INDEX(TableTEVORP[FPS],MATCH(TEVORPCalc,TableTEVORP[RK],0)),"")</f>
        <v>-0.89309184427797228</v>
      </c>
      <c r="AF74" t="s">
        <v>222</v>
      </c>
      <c r="AG74">
        <v>33</v>
      </c>
      <c r="AH74" s="83">
        <f>RANK(TableOverallMaster[[#This Row],[VORP]],TableOverallMaster[VORP])+COUNTIF($AM$2:AM74,AM74)-1</f>
        <v>56</v>
      </c>
      <c r="AI74" s="115" t="str">
        <f>IFERROR(INDEX(TableRBVORP[RUNNING BACK],MATCH(TableOverallMaster[[#This Row],[RK]],TableRBVORP[RK],0)),"")</f>
        <v>Chuba Hubbard</v>
      </c>
      <c r="AJ74" s="115" t="str">
        <f t="shared" si="1"/>
        <v>RB33</v>
      </c>
      <c r="AK74" s="115">
        <f>IFERROR(INDEX(TableRBVORP[BYE],MATCH(TableOverallMaster[[#This Row],[RK]],TableRBVORP[RK],0)),"")</f>
        <v>7</v>
      </c>
      <c r="AL74" s="116">
        <f>IFERROR(INDEX(TableRBVORP[FPS],MATCH(TableOverallMaster[[#This Row],[RK]],TableRBVORP[RK],0)),"")</f>
        <v>155.42741467344004</v>
      </c>
      <c r="AM74" s="117">
        <f>IFERROR(INDEX(TableRBVORP[VORP],MATCH(TableOverallMaster[[#This Row],[RK]],TableRBVORP[RK],0)),"")</f>
        <v>0.37890404691821317</v>
      </c>
      <c r="AO74">
        <v>73</v>
      </c>
      <c r="AP74" s="118" t="str">
        <f>IFERROR(INDEX(TableOverallMaster[OVERALL PLAYER],MATCH(TableOverallRank[[#This Row],[RK]],TableOverallMaster[OVR RK],0)),"")</f>
        <v>Malik Nabers</v>
      </c>
      <c r="AQ74" s="119" t="str">
        <f>IFERROR(INDEX(TableOverallMaster[POS RK],MATCH(TableOverallRank[[#This Row],[OVERALL PLAYER]],TableOverallMaster[OVERALL PLAYER],0)),"")</f>
        <v>WR24</v>
      </c>
      <c r="AR74" s="120">
        <f>IFERROR(INDEX(TableOverallMaster[BYE],MATCH(TableOverallRank[[#This Row],[OVERALL PLAYER]],TableOverallMaster[OVERALL PLAYER],0)),"")</f>
        <v>13</v>
      </c>
      <c r="AS74" s="119">
        <f>IFERROR(INDEX(TableOverallMaster[Custom],MATCH(TableOverallRank[[#This Row],[OVERALL PLAYER]],TableOverallMaster[OVERALL PLAYER],0)),"")</f>
        <v>183.31286653088634</v>
      </c>
      <c r="AT74" s="121">
        <f>IFERROR(INDEX(TableOverallMaster[VORP],MATCH(TableOverallRank[[#This Row],[OVERALL PLAYER]],TableOverallMaster[OVERALL PLAYER],0)),"")</f>
        <v>0.26945622558259624</v>
      </c>
      <c r="AV74">
        <v>73</v>
      </c>
      <c r="AW74" s="122" t="str">
        <f>IFERROR(INDEX(TableWRTECalcPts[PLAYER],MATCH(TableWRTERank[[#This Row],[RK]],TableWRTECalcPts[RK],0)),"")</f>
        <v>Rome Odunze</v>
      </c>
      <c r="AX74" s="122" t="str">
        <f>IFERROR(INDEX(TableWRTECalcPts[POS RK],MATCH(TableWRTERank[[#This Row],[WR and TE COMBINED]],TableWRTECalcPts[PLAYER],0)),"")</f>
        <v>WR63</v>
      </c>
      <c r="AY74" s="122">
        <f>IFERROR(INDEX(TableWRTECalcPts[BYE],MATCH(TableWRTERank[[#This Row],[RK]],TableWRTECalcPts[RK],0)),"")</f>
        <v>13</v>
      </c>
      <c r="AZ74" s="123">
        <f>IFERROR(INDEX(TableWRTECalcPts[Custom],MATCH(TableWRTERank[[#This Row],[RK]],TableWRTECalcPts[RK],0)),"")</f>
        <v>135.18949056479997</v>
      </c>
      <c r="BA74" s="174">
        <f>IFERROR((TableWRTERank[[#This Row],[FPS]]-INDEX(TableWRTERank[FPS],MATCH(WRTEVORPCalc,TableWRTERank[RK],0)))/INDEX(TableWRTERank[FPS],MATCH(WRTEVORPCalc,TableWRTERank[RK],0)),"")</f>
        <v>-9.442314526110264E-2</v>
      </c>
      <c r="BC74" t="s">
        <v>223</v>
      </c>
      <c r="BD74">
        <v>73</v>
      </c>
      <c r="BE74" s="83">
        <f>RANK(TableWRTEMaster[[#This Row],[VORP]],TableWRTEMaster[VORP])+COUNTIF($BJ$2:BJ74,BJ74)-1</f>
        <v>90</v>
      </c>
      <c r="BF74" s="115" t="str">
        <f>IFERROR(INDEX(TableWRVORP[WIDE RECEIVER],MATCH(TableWRTEMaster[[#This Row],[RK]],TableWRVORP[RK],0)),"")</f>
        <v>Adonai Mitchell</v>
      </c>
      <c r="BG74" s="115" t="str">
        <f>_xlfn.CONCAT(TableWRTEMaster[[#This Row],[POS]],TableWRTEMaster[[#This Row],[RK]])</f>
        <v>WR73</v>
      </c>
      <c r="BH74" s="115">
        <f>IFERROR(INDEX(TableWRVORP[BYE],MATCH(TableWRTEMaster[[#This Row],[RK]],TableWRVORP[RK],0)),"")</f>
        <v>11</v>
      </c>
      <c r="BI74" s="116">
        <f>IFERROR(INDEX(TableWRVORP[FPS],MATCH(TableWRTEMaster[[#This Row],[RK]],TableWRVORP[RK],0)),"")</f>
        <v>114.04083314624</v>
      </c>
      <c r="BJ74" s="117">
        <f>IFERROR(INDEX(TableWRVORP[VORP],MATCH(TableWRTEMaster[[#This Row],[RK]],TableWRVORP[RK],0)),"")</f>
        <v>-0.21025813218774669</v>
      </c>
    </row>
    <row r="75" spans="1:62" x14ac:dyDescent="0.2">
      <c r="A75">
        <v>74</v>
      </c>
      <c r="B75" s="112" t="str">
        <f>IFERROR(INDEX(TableQBCalcPts[PLAYER],MATCH(TableQBVORP[[#This Row],[RK]],TableQBCalcPts[RK],0)),"")</f>
        <v/>
      </c>
      <c r="C75" s="112" t="str">
        <f>IFERROR(INDEX(TableQBCalcPts[TM],MATCH(TableQBVORP[[#This Row],[RK]],TableQBCalcPts[RK],0)),"")</f>
        <v/>
      </c>
      <c r="D75" s="112" t="str">
        <f>IFERROR(INDEX(TableQBCalcPts[BYE],MATCH(TableQBVORP[[#This Row],[RK]],TableQBCalcPts[RK],0)),"")</f>
        <v/>
      </c>
      <c r="E75" s="113" t="str">
        <f>IFERROR(INDEX(TableQBCalcPts[Custom],MATCH(TableQBVORP[[#This Row],[RK]],TableQBCalcPts[RK],0)),"")</f>
        <v/>
      </c>
      <c r="F7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5">
        <v>74</v>
      </c>
      <c r="I75" s="112" t="str">
        <f>IFERROR(INDEX(TableRBCalcPts[PLAYER],MATCH(TableRBVORP[[#This Row],[RK]],TableRBCalcPts[RK],0)),"")</f>
        <v>Jamaal Williams</v>
      </c>
      <c r="J75" s="112" t="str">
        <f>IFERROR(INDEX(TableRBCalcPts[TM],MATCH(TableRBVORP[[#This Row],[RK]],TableRBCalcPts[RK],0)),"")</f>
        <v>NO</v>
      </c>
      <c r="K75" s="112">
        <f>IFERROR(INDEX(TableRBCalcPts[BYE],MATCH(TableRBVORP[[#This Row],[RK]],TableRBCalcPts[RK],0)),"")</f>
        <v>11</v>
      </c>
      <c r="L75" s="113">
        <f>IFERROR(INDEX(TableRBCalcPts[Custom],MATCH(TableRBVORP[[#This Row],[RK]],TableRBCalcPts[RK],0)),"")</f>
        <v>47.008275267918272</v>
      </c>
      <c r="M75" s="114">
        <f>IFERROR((TableRBVORP[[#This Row],[FPS]]-INDEX(TableRBVORP[FPS],MATCH(RBVORPCalc,TableRBVORP[RK],0)))/INDEX(TableRBVORP[FPS],MATCH(RBVORPCalc,TableRBVORP[RK],0)),"")</f>
        <v>-0.58295709195338952</v>
      </c>
      <c r="O75">
        <v>74</v>
      </c>
      <c r="P75" s="112" t="str">
        <f>IFERROR(INDEX(TableWRCalcPts[PLAYER],MATCH(TableWRVORP[[#This Row],[RK]],TableWRCalcPts[RK],0)),"")</f>
        <v>Demario Douglas</v>
      </c>
      <c r="Q75" s="112" t="str">
        <f>IFERROR(INDEX(TableWRCalcPts[TM],MATCH(TableWRVORP[[#This Row],[RK]],TableWRCalcPts[RK],0)),"")</f>
        <v>NE</v>
      </c>
      <c r="R75" s="112">
        <f>IFERROR(INDEX(TableWRCalcPts[BYE],MATCH(TableWRVORP[[#This Row],[RK]],TableWRCalcPts[RK],0)),"")</f>
        <v>11</v>
      </c>
      <c r="S75" s="113">
        <f>IFERROR(INDEX(TableWRCalcPts[Custom],MATCH(TableWRVORP[[#This Row],[RK]],TableWRCalcPts[RK],0)),"")</f>
        <v>106.29055499999998</v>
      </c>
      <c r="T75" s="114">
        <f>IFERROR((TableWRVORP[[#This Row],[FPS]]-INDEX(TableWRVORP[FPS],MATCH(WRVORPCalc,TableWRVORP[RK],0)))/INDEX(TableWRVORP[FPS],MATCH(WRVORPCalc,TableWRVORP[RK],0)),"")</f>
        <v>-0.26392942667423286</v>
      </c>
      <c r="V75">
        <v>74</v>
      </c>
      <c r="W75" s="112" t="str">
        <f>IFERROR(INDEX(TableTECalcPts[PLAYER],MATCH(TableTEVORP[[#This Row],[RK]],TableTECalcPts[RK],0)),"")</f>
        <v>Kylen Granson</v>
      </c>
      <c r="X75" s="112" t="str">
        <f>IFERROR(INDEX(TableTECalcPts[TM],MATCH(TableTEVORP[[#This Row],[RK]],TableTECalcPts[RK],0)),"")</f>
        <v>IND</v>
      </c>
      <c r="Y75" s="112">
        <f>IFERROR(INDEX(TableTECalcPts[BYE],MATCH(TableTEVORP[[#This Row],[RK]],TableTECalcPts[RK],0)),"")</f>
        <v>11</v>
      </c>
      <c r="Z75" s="113">
        <f>IFERROR(INDEX(TableTECalcPts[Custom],MATCH(TableTEVORP[[#This Row],[RK]],TableTECalcPts[RK],0)),"")</f>
        <v>13.906188357600001</v>
      </c>
      <c r="AA75" s="114">
        <f>IFERROR((TableTEVORP[[#This Row],[FPS]]-INDEX(TableTEVORP[FPS],MATCH(TEVORPCalc,TableTEVORP[RK],0)))/INDEX(TableTEVORP[FPS],MATCH(TEVORPCalc,TableTEVORP[RK],0)),"")</f>
        <v>-0.89412276583829076</v>
      </c>
      <c r="AF75" t="s">
        <v>222</v>
      </c>
      <c r="AG75">
        <v>34</v>
      </c>
      <c r="AH75" s="83">
        <f>RANK(TableOverallMaster[[#This Row],[VORP]],TableOverallMaster[VORP])+COUNTIF($AM$2:AM75,AM75)-1</f>
        <v>59</v>
      </c>
      <c r="AI75" s="115" t="str">
        <f>IFERROR(INDEX(TableRBVORP[RUNNING BACK],MATCH(TableOverallMaster[[#This Row],[RK]],TableRBVORP[RK],0)),"")</f>
        <v>Najee Harris</v>
      </c>
      <c r="AJ75" s="115" t="str">
        <f t="shared" si="1"/>
        <v>RB34</v>
      </c>
      <c r="AK75" s="115">
        <f>IFERROR(INDEX(TableRBVORP[BYE],MATCH(TableOverallMaster[[#This Row],[RK]],TableRBVORP[RK],0)),"")</f>
        <v>6</v>
      </c>
      <c r="AL75" s="116">
        <f>IFERROR(INDEX(TableRBVORP[FPS],MATCH(TableOverallMaster[[#This Row],[RK]],TableRBVORP[RK],0)),"")</f>
        <v>152.23876476732002</v>
      </c>
      <c r="AM75" s="117">
        <f>IFERROR(INDEX(TableRBVORP[VORP],MATCH(TableOverallMaster[[#This Row],[RK]],TableRBVORP[RK],0)),"")</f>
        <v>0.3506153291975187</v>
      </c>
      <c r="AO75">
        <v>74</v>
      </c>
      <c r="AP75" s="118" t="str">
        <f>IFERROR(INDEX(TableOverallMaster[OVERALL PLAYER],MATCH(TableOverallRank[[#This Row],[RK]],TableOverallMaster[OVR RK],0)),"")</f>
        <v>Austin Ekeler</v>
      </c>
      <c r="AQ75" s="119" t="str">
        <f>IFERROR(INDEX(TableOverallMaster[POS RK],MATCH(TableOverallRank[[#This Row],[OVERALL PLAYER]],TableOverallMaster[OVERALL PLAYER],0)),"")</f>
        <v>RB36</v>
      </c>
      <c r="AR75" s="120">
        <f>IFERROR(INDEX(TableOverallMaster[BYE],MATCH(TableOverallRank[[#This Row],[OVERALL PLAYER]],TableOverallMaster[OVERALL PLAYER],0)),"")</f>
        <v>14</v>
      </c>
      <c r="AS75" s="119">
        <f>IFERROR(INDEX(TableOverallMaster[Custom],MATCH(TableOverallRank[[#This Row],[OVERALL PLAYER]],TableOverallMaster[OVERALL PLAYER],0)),"")</f>
        <v>142.52301029694701</v>
      </c>
      <c r="AT75" s="121">
        <f>IFERROR(INDEX(TableOverallMaster[VORP],MATCH(TableOverallRank[[#This Row],[OVERALL PLAYER]],TableOverallMaster[OVERALL PLAYER],0)),"")</f>
        <v>0.26442015451608319</v>
      </c>
      <c r="AV75">
        <v>74</v>
      </c>
      <c r="AW75" s="122" t="str">
        <f>IFERROR(INDEX(TableWRTECalcPts[PLAYER],MATCH(TableWRTERank[[#This Row],[RK]],TableWRTECalcPts[RK],0)),"")</f>
        <v>Joshua Palmer</v>
      </c>
      <c r="AX75" s="122" t="str">
        <f>IFERROR(INDEX(TableWRTECalcPts[POS RK],MATCH(TableWRTERank[[#This Row],[WR and TE COMBINED]],TableWRTECalcPts[PLAYER],0)),"")</f>
        <v>WR64</v>
      </c>
      <c r="AY75" s="122">
        <f>IFERROR(INDEX(TableWRTECalcPts[BYE],MATCH(TableWRTERank[[#This Row],[RK]],TableWRTECalcPts[RK],0)),"")</f>
        <v>5</v>
      </c>
      <c r="AZ75" s="123">
        <f>IFERROR(INDEX(TableWRTECalcPts[Custom],MATCH(TableWRTERank[[#This Row],[RK]],TableWRTECalcPts[RK],0)),"")</f>
        <v>135.15931644627722</v>
      </c>
      <c r="BA75" s="174">
        <f>IFERROR((TableWRTERank[[#This Row],[FPS]]-INDEX(TableWRTERank[FPS],MATCH(WRTEVORPCalc,TableWRTERank[RK],0)))/INDEX(TableWRTERank[FPS],MATCH(WRTEVORPCalc,TableWRTERank[RK],0)),"")</f>
        <v>-9.462526883766316E-2</v>
      </c>
      <c r="BC75" t="s">
        <v>223</v>
      </c>
      <c r="BD75">
        <v>74</v>
      </c>
      <c r="BE75" s="83">
        <f>RANK(TableWRTEMaster[[#This Row],[VORP]],TableWRTEMaster[VORP])+COUNTIF($BJ$2:BJ75,BJ75)-1</f>
        <v>93</v>
      </c>
      <c r="BF75" s="115" t="str">
        <f>IFERROR(INDEX(TableWRVORP[WIDE RECEIVER],MATCH(TableWRTEMaster[[#This Row],[RK]],TableWRVORP[RK],0)),"")</f>
        <v>Demario Douglas</v>
      </c>
      <c r="BG75" s="115" t="str">
        <f>_xlfn.CONCAT(TableWRTEMaster[[#This Row],[POS]],TableWRTEMaster[[#This Row],[RK]])</f>
        <v>WR74</v>
      </c>
      <c r="BH75" s="115">
        <f>IFERROR(INDEX(TableWRVORP[BYE],MATCH(TableWRTEMaster[[#This Row],[RK]],TableWRVORP[RK],0)),"")</f>
        <v>11</v>
      </c>
      <c r="BI75" s="116">
        <f>IFERROR(INDEX(TableWRVORP[FPS],MATCH(TableWRTEMaster[[#This Row],[RK]],TableWRVORP[RK],0)),"")</f>
        <v>106.29055499999998</v>
      </c>
      <c r="BJ75" s="117">
        <f>IFERROR(INDEX(TableWRVORP[VORP],MATCH(TableWRTEMaster[[#This Row],[RK]],TableWRVORP[RK],0)),"")</f>
        <v>-0.26392942667423286</v>
      </c>
    </row>
    <row r="76" spans="1:62" x14ac:dyDescent="0.2">
      <c r="A76">
        <v>75</v>
      </c>
      <c r="B76" s="112" t="str">
        <f>IFERROR(INDEX(TableQBCalcPts[PLAYER],MATCH(TableQBVORP[[#This Row],[RK]],TableQBCalcPts[RK],0)),"")</f>
        <v/>
      </c>
      <c r="C76" s="112" t="str">
        <f>IFERROR(INDEX(TableQBCalcPts[TM],MATCH(TableQBVORP[[#This Row],[RK]],TableQBCalcPts[RK],0)),"")</f>
        <v/>
      </c>
      <c r="D76" s="112" t="str">
        <f>IFERROR(INDEX(TableQBCalcPts[BYE],MATCH(TableQBVORP[[#This Row],[RK]],TableQBCalcPts[RK],0)),"")</f>
        <v/>
      </c>
      <c r="E76" s="113" t="str">
        <f>IFERROR(INDEX(TableQBCalcPts[Custom],MATCH(TableQBVORP[[#This Row],[RK]],TableQBCalcPts[RK],0)),"")</f>
        <v/>
      </c>
      <c r="F7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6">
        <v>75</v>
      </c>
      <c r="I76" s="112" t="str">
        <f>IFERROR(INDEX(TableRBCalcPts[PLAYER],MATCH(TableRBVORP[[#This Row],[RK]],TableRBCalcPts[RK],0)),"")</f>
        <v>AJ Dillon</v>
      </c>
      <c r="J76" s="112" t="str">
        <f>IFERROR(INDEX(TableRBCalcPts[TM],MATCH(TableRBVORP[[#This Row],[RK]],TableRBCalcPts[RK],0)),"")</f>
        <v>GB</v>
      </c>
      <c r="K76" s="112">
        <f>IFERROR(INDEX(TableRBCalcPts[BYE],MATCH(TableRBVORP[[#This Row],[RK]],TableRBCalcPts[RK],0)),"")</f>
        <v>6</v>
      </c>
      <c r="L76" s="113">
        <f>IFERROR(INDEX(TableRBCalcPts[Custom],MATCH(TableRBVORP[[#This Row],[RK]],TableRBCalcPts[RK],0)),"")</f>
        <v>46.699534555968008</v>
      </c>
      <c r="M76" s="114">
        <f>IFERROR((TableRBVORP[[#This Row],[FPS]]-INDEX(TableRBVORP[FPS],MATCH(RBVORPCalc,TableRBVORP[RK],0)))/INDEX(TableRBVORP[FPS],MATCH(RBVORPCalc,TableRBVORP[RK],0)),"")</f>
        <v>-0.58569614425025174</v>
      </c>
      <c r="O76">
        <v>75</v>
      </c>
      <c r="P76" s="112" t="str">
        <f>IFERROR(INDEX(TableWRCalcPts[PLAYER],MATCH(TableWRVORP[[#This Row],[RK]],TableWRCalcPts[RK],0)),"")</f>
        <v>Josh Reynolds</v>
      </c>
      <c r="Q76" s="112" t="str">
        <f>IFERROR(INDEX(TableWRCalcPts[TM],MATCH(TableWRVORP[[#This Row],[RK]],TableWRCalcPts[RK],0)),"")</f>
        <v>DEN</v>
      </c>
      <c r="R76" s="112">
        <f>IFERROR(INDEX(TableWRCalcPts[BYE],MATCH(TableWRVORP[[#This Row],[RK]],TableWRCalcPts[RK],0)),"")</f>
        <v>9</v>
      </c>
      <c r="S76" s="113">
        <f>IFERROR(INDEX(TableWRCalcPts[Custom],MATCH(TableWRVORP[[#This Row],[RK]],TableWRCalcPts[RK],0)),"")</f>
        <v>105.31443284480997</v>
      </c>
      <c r="T76" s="114">
        <f>IFERROR((TableWRVORP[[#This Row],[FPS]]-INDEX(TableWRVORP[FPS],MATCH(WRVORPCalc,TableWRVORP[RK],0)))/INDEX(TableWRVORP[FPS],MATCH(WRVORPCalc,TableWRVORP[RK],0)),"")</f>
        <v>-0.27068915047477843</v>
      </c>
      <c r="V76">
        <v>75</v>
      </c>
      <c r="W76" s="112" t="str">
        <f>IFERROR(INDEX(TableTECalcPts[PLAYER],MATCH(TableTEVORP[[#This Row],[RK]],TableTECalcPts[RK],0)),"")</f>
        <v>C.J. Uzomah</v>
      </c>
      <c r="X76" s="112" t="str">
        <f>IFERROR(INDEX(TableTECalcPts[TM],MATCH(TableTEVORP[[#This Row],[RK]],TableTECalcPts[RK],0)),"")</f>
        <v>PHI</v>
      </c>
      <c r="Y76" s="112">
        <f>IFERROR(INDEX(TableTECalcPts[BYE],MATCH(TableTEVORP[[#This Row],[RK]],TableTECalcPts[RK],0)),"")</f>
        <v>10</v>
      </c>
      <c r="Z76" s="113">
        <f>IFERROR(INDEX(TableTECalcPts[Custom],MATCH(TableTEVORP[[#This Row],[RK]],TableTECalcPts[RK],0)),"")</f>
        <v>13.372270636032002</v>
      </c>
      <c r="AA76" s="114">
        <f>IFERROR((TableTEVORP[[#This Row],[FPS]]-INDEX(TableTEVORP[FPS],MATCH(TEVORPCalc,TableTEVORP[RK],0)))/INDEX(TableTEVORP[FPS],MATCH(TEVORPCalc,TableTEVORP[RK],0)),"")</f>
        <v>-0.89818784321074319</v>
      </c>
      <c r="AF76" t="s">
        <v>222</v>
      </c>
      <c r="AG76">
        <v>35</v>
      </c>
      <c r="AH76" s="83">
        <f>RANK(TableOverallMaster[[#This Row],[VORP]],TableOverallMaster[VORP])+COUNTIF($AM$2:AM76,AM76)-1</f>
        <v>68</v>
      </c>
      <c r="AI76" s="115" t="str">
        <f>IFERROR(INDEX(TableRBVORP[RUNNING BACK],MATCH(TableOverallMaster[[#This Row],[RK]],TableRBVORP[RK],0)),"")</f>
        <v>Javonte Williams</v>
      </c>
      <c r="AJ76" s="115" t="str">
        <f t="shared" si="1"/>
        <v>RB35</v>
      </c>
      <c r="AK76" s="115">
        <f>IFERROR(INDEX(TableRBVORP[BYE],MATCH(TableOverallMaster[[#This Row],[RK]],TableRBVORP[RK],0)),"")</f>
        <v>9</v>
      </c>
      <c r="AL76" s="116">
        <f>IFERROR(INDEX(TableRBVORP[FPS],MATCH(TableOverallMaster[[#This Row],[RK]],TableRBVORP[RK],0)),"")</f>
        <v>146.73668960395202</v>
      </c>
      <c r="AM76" s="117">
        <f>IFERROR(INDEX(TableRBVORP[VORP],MATCH(TableOverallMaster[[#This Row],[RK]],TableRBVORP[RK],0)),"")</f>
        <v>0.30180261668372821</v>
      </c>
      <c r="AO76">
        <v>75</v>
      </c>
      <c r="AP76" s="118" t="str">
        <f>IFERROR(INDEX(TableOverallMaster[OVERALL PLAYER],MATCH(TableOverallRank[[#This Row],[RK]],TableOverallMaster[OVR RK],0)),"")</f>
        <v>Stefon Diggs</v>
      </c>
      <c r="AQ76" s="119" t="str">
        <f>IFERROR(INDEX(TableOverallMaster[POS RK],MATCH(TableOverallRank[[#This Row],[OVERALL PLAYER]],TableOverallMaster[OVERALL PLAYER],0)),"")</f>
        <v>WR25</v>
      </c>
      <c r="AR76" s="120">
        <f>IFERROR(INDEX(TableOverallMaster[BYE],MATCH(TableOverallRank[[#This Row],[OVERALL PLAYER]],TableOverallMaster[OVERALL PLAYER],0)),"")</f>
        <v>7</v>
      </c>
      <c r="AS76" s="119">
        <f>IFERROR(INDEX(TableOverallMaster[Custom],MATCH(TableOverallRank[[#This Row],[OVERALL PLAYER]],TableOverallMaster[OVERALL PLAYER],0)),"")</f>
        <v>181.51740331712003</v>
      </c>
      <c r="AT76" s="121">
        <f>IFERROR(INDEX(TableOverallMaster[VORP],MATCH(TableOverallRank[[#This Row],[OVERALL PLAYER]],TableOverallMaster[OVERALL PLAYER],0)),"")</f>
        <v>0.25702249958368417</v>
      </c>
      <c r="AV76">
        <v>75</v>
      </c>
      <c r="AW76" s="122" t="str">
        <f>IFERROR(INDEX(TableWRTECalcPts[PLAYER],MATCH(TableWRTERank[[#This Row],[RK]],TableWRTECalcPts[RK],0)),"")</f>
        <v>Gabe Davis</v>
      </c>
      <c r="AX76" s="122" t="str">
        <f>IFERROR(INDEX(TableWRTECalcPts[POS RK],MATCH(TableWRTERank[[#This Row],[WR and TE COMBINED]],TableWRTECalcPts[PLAYER],0)),"")</f>
        <v>WR65</v>
      </c>
      <c r="AY76" s="122">
        <f>IFERROR(INDEX(TableWRTECalcPts[BYE],MATCH(TableWRTERank[[#This Row],[RK]],TableWRTECalcPts[RK],0)),"")</f>
        <v>9</v>
      </c>
      <c r="AZ76" s="123">
        <f>IFERROR(INDEX(TableWRTECalcPts[Custom],MATCH(TableWRTERank[[#This Row],[RK]],TableWRTECalcPts[RK],0)),"")</f>
        <v>134.01963469439997</v>
      </c>
      <c r="BA76" s="174">
        <f>IFERROR((TableWRTERank[[#This Row],[FPS]]-INDEX(TableWRTERank[FPS],MATCH(WRTEVORPCalc,TableWRTERank[RK],0)))/INDEX(TableWRTERank[FPS],MATCH(WRTEVORPCalc,TableWRTERank[RK],0)),"")</f>
        <v>-0.1022595117951334</v>
      </c>
      <c r="BC76" t="s">
        <v>223</v>
      </c>
      <c r="BD76">
        <v>75</v>
      </c>
      <c r="BE76" s="83">
        <f>RANK(TableWRTEMaster[[#This Row],[VORP]],TableWRTEMaster[VORP])+COUNTIF($BJ$2:BJ76,BJ76)-1</f>
        <v>94</v>
      </c>
      <c r="BF76" s="115" t="str">
        <f>IFERROR(INDEX(TableWRVORP[WIDE RECEIVER],MATCH(TableWRTEMaster[[#This Row],[RK]],TableWRVORP[RK],0)),"")</f>
        <v>Josh Reynolds</v>
      </c>
      <c r="BG76" s="115" t="str">
        <f>_xlfn.CONCAT(TableWRTEMaster[[#This Row],[POS]],TableWRTEMaster[[#This Row],[RK]])</f>
        <v>WR75</v>
      </c>
      <c r="BH76" s="115">
        <f>IFERROR(INDEX(TableWRVORP[BYE],MATCH(TableWRTEMaster[[#This Row],[RK]],TableWRVORP[RK],0)),"")</f>
        <v>9</v>
      </c>
      <c r="BI76" s="116">
        <f>IFERROR(INDEX(TableWRVORP[FPS],MATCH(TableWRTEMaster[[#This Row],[RK]],TableWRVORP[RK],0)),"")</f>
        <v>105.31443284480997</v>
      </c>
      <c r="BJ76" s="117">
        <f>IFERROR(INDEX(TableWRVORP[VORP],MATCH(TableWRTEMaster[[#This Row],[RK]],TableWRVORP[RK],0)),"")</f>
        <v>-0.27068915047477843</v>
      </c>
    </row>
    <row r="77" spans="1:62" x14ac:dyDescent="0.2">
      <c r="A77">
        <v>76</v>
      </c>
      <c r="B77" s="112" t="str">
        <f>IFERROR(INDEX(TableQBCalcPts[PLAYER],MATCH(TableQBVORP[[#This Row],[RK]],TableQBCalcPts[RK],0)),"")</f>
        <v/>
      </c>
      <c r="C77" s="112" t="str">
        <f>IFERROR(INDEX(TableQBCalcPts[TM],MATCH(TableQBVORP[[#This Row],[RK]],TableQBCalcPts[RK],0)),"")</f>
        <v/>
      </c>
      <c r="D77" s="112" t="str">
        <f>IFERROR(INDEX(TableQBCalcPts[BYE],MATCH(TableQBVORP[[#This Row],[RK]],TableQBCalcPts[RK],0)),"")</f>
        <v/>
      </c>
      <c r="E77" s="113" t="str">
        <f>IFERROR(INDEX(TableQBCalcPts[Custom],MATCH(TableQBVORP[[#This Row],[RK]],TableQBCalcPts[RK],0)),"")</f>
        <v/>
      </c>
      <c r="F7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7">
        <v>76</v>
      </c>
      <c r="I77" s="112" t="str">
        <f>IFERROR(INDEX(TableRBCalcPts[PLAYER],MATCH(TableRBVORP[[#This Row],[RK]],TableRBCalcPts[RK],0)),"")</f>
        <v>Isaiah Davis</v>
      </c>
      <c r="J77" s="112" t="str">
        <f>IFERROR(INDEX(TableRBCalcPts[TM],MATCH(TableRBVORP[[#This Row],[RK]],TableRBCalcPts[RK],0)),"")</f>
        <v>NYJ</v>
      </c>
      <c r="K77" s="112">
        <f>IFERROR(INDEX(TableRBCalcPts[BYE],MATCH(TableRBVORP[[#This Row],[RK]],TableRBCalcPts[RK],0)),"")</f>
        <v>7</v>
      </c>
      <c r="L77" s="113">
        <f>IFERROR(INDEX(TableRBCalcPts[Custom],MATCH(TableRBVORP[[#This Row],[RK]],TableRBCalcPts[RK],0)),"")</f>
        <v>46.256093781296009</v>
      </c>
      <c r="M77" s="114">
        <f>IFERROR((TableRBVORP[[#This Row],[FPS]]-INDEX(TableRBVORP[FPS],MATCH(RBVORPCalc,TableRBVORP[RK],0)))/INDEX(TableRBVORP[FPS],MATCH(RBVORPCalc,TableRBVORP[RK],0)),"")</f>
        <v>-0.589630213925466</v>
      </c>
      <c r="O77">
        <v>76</v>
      </c>
      <c r="P77" s="112" t="str">
        <f>IFERROR(INDEX(TableWRCalcPts[PLAYER],MATCH(TableWRVORP[[#This Row],[RK]],TableWRCalcPts[RK],0)),"")</f>
        <v>Marvin Mims</v>
      </c>
      <c r="Q77" s="112" t="str">
        <f>IFERROR(INDEX(TableWRCalcPts[TM],MATCH(TableWRVORP[[#This Row],[RK]],TableWRCalcPts[RK],0)),"")</f>
        <v>DEN</v>
      </c>
      <c r="R77" s="112">
        <f>IFERROR(INDEX(TableWRCalcPts[BYE],MATCH(TableWRVORP[[#This Row],[RK]],TableWRCalcPts[RK],0)),"")</f>
        <v>9</v>
      </c>
      <c r="S77" s="113">
        <f>IFERROR(INDEX(TableWRCalcPts[Custom],MATCH(TableWRVORP[[#This Row],[RK]],TableWRCalcPts[RK],0)),"")</f>
        <v>104.3449333248</v>
      </c>
      <c r="T77" s="114">
        <f>IFERROR((TableWRVORP[[#This Row],[FPS]]-INDEX(TableWRVORP[FPS],MATCH(WRVORPCalc,TableWRVORP[RK],0)))/INDEX(TableWRVORP[FPS],MATCH(WRVORPCalc,TableWRVORP[RK],0)),"")</f>
        <v>-0.27740301199834277</v>
      </c>
      <c r="V77">
        <v>76</v>
      </c>
      <c r="W77" s="112" t="str">
        <f>IFERROR(INDEX(TableTECalcPts[PLAYER],MATCH(TableTEVORP[[#This Row],[RK]],TableTECalcPts[RK],0)),"")</f>
        <v>Ian Thomas</v>
      </c>
      <c r="X77" s="112" t="str">
        <f>IFERROR(INDEX(TableTECalcPts[TM],MATCH(TableTEVORP[[#This Row],[RK]],TableTECalcPts[RK],0)),"")</f>
        <v>CAR</v>
      </c>
      <c r="Y77" s="112">
        <f>IFERROR(INDEX(TableTECalcPts[BYE],MATCH(TableTEVORP[[#This Row],[RK]],TableTECalcPts[RK],0)),"")</f>
        <v>7</v>
      </c>
      <c r="Z77" s="113">
        <f>IFERROR(INDEX(TableTECalcPts[Custom],MATCH(TableTEVORP[[#This Row],[RK]],TableTECalcPts[RK],0)),"")</f>
        <v>13.026638221379997</v>
      </c>
      <c r="AA77" s="114">
        <f>IFERROR((TableTEVORP[[#This Row],[FPS]]-INDEX(TableTEVORP[FPS],MATCH(TEVORPCalc,TableTEVORP[RK],0)))/INDEX(TableTEVORP[FPS],MATCH(TEVORPCalc,TableTEVORP[RK],0)),"")</f>
        <v>-0.90081937696815761</v>
      </c>
      <c r="AF77" t="s">
        <v>222</v>
      </c>
      <c r="AG77">
        <v>36</v>
      </c>
      <c r="AH77" s="83">
        <f>RANK(TableOverallMaster[[#This Row],[VORP]],TableOverallMaster[VORP])+COUNTIF($AM$2:AM77,AM77)-1</f>
        <v>74</v>
      </c>
      <c r="AI77" s="115" t="str">
        <f>IFERROR(INDEX(TableRBVORP[RUNNING BACK],MATCH(TableOverallMaster[[#This Row],[RK]],TableRBVORP[RK],0)),"")</f>
        <v>Austin Ekeler</v>
      </c>
      <c r="AJ77" s="115" t="str">
        <f t="shared" si="1"/>
        <v>RB36</v>
      </c>
      <c r="AK77" s="115">
        <f>IFERROR(INDEX(TableRBVORP[BYE],MATCH(TableOverallMaster[[#This Row],[RK]],TableRBVORP[RK],0)),"")</f>
        <v>14</v>
      </c>
      <c r="AL77" s="116">
        <f>IFERROR(INDEX(TableRBVORP[FPS],MATCH(TableOverallMaster[[#This Row],[RK]],TableRBVORP[RK],0)),"")</f>
        <v>142.52301029694701</v>
      </c>
      <c r="AM77" s="117">
        <f>IFERROR(INDEX(TableRBVORP[VORP],MATCH(TableOverallMaster[[#This Row],[RK]],TableRBVORP[RK],0)),"")</f>
        <v>0.26442015451608319</v>
      </c>
      <c r="AO77">
        <v>76</v>
      </c>
      <c r="AP77" s="118" t="str">
        <f>IFERROR(INDEX(TableOverallMaster[OVERALL PLAYER],MATCH(TableOverallRank[[#This Row],[RK]],TableOverallMaster[OVR RK],0)),"")</f>
        <v>Davante Adams</v>
      </c>
      <c r="AQ77" s="119" t="str">
        <f>IFERROR(INDEX(TableOverallMaster[POS RK],MATCH(TableOverallRank[[#This Row],[OVERALL PLAYER]],TableOverallMaster[OVERALL PLAYER],0)),"")</f>
        <v>WR26</v>
      </c>
      <c r="AR77" s="120">
        <f>IFERROR(INDEX(TableOverallMaster[BYE],MATCH(TableOverallRank[[#This Row],[OVERALL PLAYER]],TableOverallMaster[OVERALL PLAYER],0)),"")</f>
        <v>13</v>
      </c>
      <c r="AS77" s="119">
        <f>IFERROR(INDEX(TableOverallMaster[Custom],MATCH(TableOverallRank[[#This Row],[OVERALL PLAYER]],TableOverallMaster[OVERALL PLAYER],0)),"")</f>
        <v>181.43058009999996</v>
      </c>
      <c r="AT77" s="121">
        <f>IFERROR(INDEX(TableOverallMaster[VORP],MATCH(TableOverallRank[[#This Row],[OVERALL PLAYER]],TableOverallMaster[OVERALL PLAYER],0)),"")</f>
        <v>0.25642124187829768</v>
      </c>
      <c r="AV77">
        <v>76</v>
      </c>
      <c r="AW77" s="122" t="str">
        <f>IFERROR(INDEX(TableWRTECalcPts[PLAYER],MATCH(TableWRTERank[[#This Row],[RK]],TableWRTECalcPts[RK],0)),"")</f>
        <v>Dallas Goedert</v>
      </c>
      <c r="AX77" s="122" t="str">
        <f>IFERROR(INDEX(TableWRTECalcPts[POS RK],MATCH(TableWRTERank[[#This Row],[WR and TE COMBINED]],TableWRTECalcPts[PLAYER],0)),"")</f>
        <v>TE11</v>
      </c>
      <c r="AY77" s="122">
        <f>IFERROR(INDEX(TableWRTECalcPts[BYE],MATCH(TableWRTERank[[#This Row],[RK]],TableWRTECalcPts[RK],0)),"")</f>
        <v>10</v>
      </c>
      <c r="AZ77" s="123">
        <f>IFERROR(INDEX(TableWRTECalcPts[Custom],MATCH(TableWRTERank[[#This Row],[RK]],TableWRTECalcPts[RK],0)),"")</f>
        <v>131.42193465491999</v>
      </c>
      <c r="BA77" s="174">
        <f>IFERROR((TableWRTERank[[#This Row],[FPS]]-INDEX(TableWRTERank[FPS],MATCH(WRTEVORPCalc,TableWRTERank[RK],0)))/INDEX(TableWRTERank[FPS],MATCH(WRTEVORPCalc,TableWRTERank[RK],0)),"")</f>
        <v>-0.1196603986649586</v>
      </c>
      <c r="BC77" t="s">
        <v>223</v>
      </c>
      <c r="BD77">
        <v>76</v>
      </c>
      <c r="BE77" s="83">
        <f>RANK(TableWRTEMaster[[#This Row],[VORP]],TableWRTEMaster[VORP])+COUNTIF($BJ$2:BJ77,BJ77)-1</f>
        <v>95</v>
      </c>
      <c r="BF77" s="115" t="str">
        <f>IFERROR(INDEX(TableWRVORP[WIDE RECEIVER],MATCH(TableWRTEMaster[[#This Row],[RK]],TableWRVORP[RK],0)),"")</f>
        <v>Marvin Mims</v>
      </c>
      <c r="BG77" s="115" t="str">
        <f>_xlfn.CONCAT(TableWRTEMaster[[#This Row],[POS]],TableWRTEMaster[[#This Row],[RK]])</f>
        <v>WR76</v>
      </c>
      <c r="BH77" s="115">
        <f>IFERROR(INDEX(TableWRVORP[BYE],MATCH(TableWRTEMaster[[#This Row],[RK]],TableWRVORP[RK],0)),"")</f>
        <v>9</v>
      </c>
      <c r="BI77" s="116">
        <f>IFERROR(INDEX(TableWRVORP[FPS],MATCH(TableWRTEMaster[[#This Row],[RK]],TableWRVORP[RK],0)),"")</f>
        <v>104.3449333248</v>
      </c>
      <c r="BJ77" s="117">
        <f>IFERROR(INDEX(TableWRVORP[VORP],MATCH(TableWRTEMaster[[#This Row],[RK]],TableWRVORP[RK],0)),"")</f>
        <v>-0.27740301199834277</v>
      </c>
    </row>
    <row r="78" spans="1:62" x14ac:dyDescent="0.2">
      <c r="A78">
        <v>77</v>
      </c>
      <c r="B78" s="112" t="str">
        <f>IFERROR(INDEX(TableQBCalcPts[PLAYER],MATCH(TableQBVORP[[#This Row],[RK]],TableQBCalcPts[RK],0)),"")</f>
        <v/>
      </c>
      <c r="C78" s="112" t="str">
        <f>IFERROR(INDEX(TableQBCalcPts[TM],MATCH(TableQBVORP[[#This Row],[RK]],TableQBCalcPts[RK],0)),"")</f>
        <v/>
      </c>
      <c r="D78" s="112" t="str">
        <f>IFERROR(INDEX(TableQBCalcPts[BYE],MATCH(TableQBVORP[[#This Row],[RK]],TableQBCalcPts[RK],0)),"")</f>
        <v/>
      </c>
      <c r="E78" s="113" t="str">
        <f>IFERROR(INDEX(TableQBCalcPts[Custom],MATCH(TableQBVORP[[#This Row],[RK]],TableQBCalcPts[RK],0)),"")</f>
        <v/>
      </c>
      <c r="F7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8">
        <v>77</v>
      </c>
      <c r="I78" s="112" t="str">
        <f>IFERROR(INDEX(TableRBCalcPts[PLAYER],MATCH(TableRBVORP[[#This Row],[RK]],TableRBCalcPts[RK],0)),"")</f>
        <v>Will Shipley</v>
      </c>
      <c r="J78" s="112" t="str">
        <f>IFERROR(INDEX(TableRBCalcPts[TM],MATCH(TableRBVORP[[#This Row],[RK]],TableRBCalcPts[RK],0)),"")</f>
        <v>PHI</v>
      </c>
      <c r="K78" s="112">
        <f>IFERROR(INDEX(TableRBCalcPts[BYE],MATCH(TableRBVORP[[#This Row],[RK]],TableRBCalcPts[RK],0)),"")</f>
        <v>10</v>
      </c>
      <c r="L78" s="113">
        <f>IFERROR(INDEX(TableRBCalcPts[Custom],MATCH(TableRBVORP[[#This Row],[RK]],TableRBCalcPts[RK],0)),"")</f>
        <v>46.071657628416006</v>
      </c>
      <c r="M78" s="114">
        <f>IFERROR((TableRBVORP[[#This Row],[FPS]]-INDEX(TableRBVORP[FPS],MATCH(RBVORPCalc,TableRBVORP[RK],0)))/INDEX(TableRBVORP[FPS],MATCH(RBVORPCalc,TableRBVORP[RK],0)),"")</f>
        <v>-0.59126647454357262</v>
      </c>
      <c r="O78">
        <v>77</v>
      </c>
      <c r="P78" s="112" t="str">
        <f>IFERROR(INDEX(TableWRCalcPts[PLAYER],MATCH(TableWRVORP[[#This Row],[RK]],TableWRCalcPts[RK],0)),"")</f>
        <v>Rashod Bateman</v>
      </c>
      <c r="Q78" s="112" t="str">
        <f>IFERROR(INDEX(TableWRCalcPts[TM],MATCH(TableWRVORP[[#This Row],[RK]],TableWRCalcPts[RK],0)),"")</f>
        <v>BAL</v>
      </c>
      <c r="R78" s="112">
        <f>IFERROR(INDEX(TableWRCalcPts[BYE],MATCH(TableWRVORP[[#This Row],[RK]],TableWRCalcPts[RK],0)),"")</f>
        <v>13</v>
      </c>
      <c r="S78" s="113">
        <f>IFERROR(INDEX(TableWRCalcPts[Custom],MATCH(TableWRVORP[[#This Row],[RK]],TableWRCalcPts[RK],0)),"")</f>
        <v>104.22113466408</v>
      </c>
      <c r="T78" s="114">
        <f>IFERROR((TableWRVORP[[#This Row],[FPS]]-INDEX(TableWRVORP[FPS],MATCH(WRVORPCalc,TableWRVORP[RK],0)))/INDEX(TableWRVORP[FPS],MATCH(WRVORPCalc,TableWRVORP[RK],0)),"")</f>
        <v>-0.27826032760059105</v>
      </c>
      <c r="V78">
        <v>77</v>
      </c>
      <c r="W78" s="112" t="str">
        <f>IFERROR(INDEX(TableTECalcPts[PLAYER],MATCH(TableTEVORP[[#This Row],[RK]],TableTECalcPts[RK],0)),"")</f>
        <v>Cameron Latu</v>
      </c>
      <c r="X78" s="112" t="str">
        <f>IFERROR(INDEX(TableTECalcPts[TM],MATCH(TableTEVORP[[#This Row],[RK]],TableTECalcPts[RK],0)),"")</f>
        <v>SF</v>
      </c>
      <c r="Y78" s="112">
        <f>IFERROR(INDEX(TableTECalcPts[BYE],MATCH(TableTEVORP[[#This Row],[RK]],TableTECalcPts[RK],0)),"")</f>
        <v>9</v>
      </c>
      <c r="Z78" s="113">
        <f>IFERROR(INDEX(TableTECalcPts[Custom],MATCH(TableTEVORP[[#This Row],[RK]],TableTECalcPts[RK],0)),"")</f>
        <v>12.40591113216</v>
      </c>
      <c r="AA78" s="114">
        <f>IFERROR((TableTEVORP[[#This Row],[FPS]]-INDEX(TableTEVORP[FPS],MATCH(TEVORPCalc,TableTEVORP[RK],0)))/INDEX(TableTEVORP[FPS],MATCH(TEVORPCalc,TableTEVORP[RK],0)),"")</f>
        <v>-0.90554539287458991</v>
      </c>
      <c r="AF78" t="s">
        <v>222</v>
      </c>
      <c r="AG78">
        <v>37</v>
      </c>
      <c r="AH78" s="83">
        <f>RANK(TableOverallMaster[[#This Row],[VORP]],TableOverallMaster[VORP])+COUNTIF($AM$2:AM78,AM78)-1</f>
        <v>77</v>
      </c>
      <c r="AI78" s="115" t="str">
        <f>IFERROR(INDEX(TableRBVORP[RUNNING BACK],MATCH(TableOverallMaster[[#This Row],[RK]],TableRBVORP[RK],0)),"")</f>
        <v>Zach Charbonnet</v>
      </c>
      <c r="AJ78" s="115" t="str">
        <f t="shared" si="1"/>
        <v>RB37</v>
      </c>
      <c r="AK78" s="115">
        <f>IFERROR(INDEX(TableRBVORP[BYE],MATCH(TableOverallMaster[[#This Row],[RK]],TableRBVORP[RK],0)),"")</f>
        <v>5</v>
      </c>
      <c r="AL78" s="116">
        <f>IFERROR(INDEX(TableRBVORP[FPS],MATCH(TableOverallMaster[[#This Row],[RK]],TableRBVORP[RK],0)),"")</f>
        <v>141.12839053736855</v>
      </c>
      <c r="AM78" s="117">
        <f>IFERROR(INDEX(TableRBVORP[VORP],MATCH(TableOverallMaster[[#This Row],[RK]],TableRBVORP[RK],0)),"")</f>
        <v>0.25204751848893669</v>
      </c>
      <c r="AO78">
        <v>77</v>
      </c>
      <c r="AP78" s="118" t="str">
        <f>IFERROR(INDEX(TableOverallMaster[OVERALL PLAYER],MATCH(TableOverallRank[[#This Row],[RK]],TableOverallMaster[OVR RK],0)),"")</f>
        <v>Zach Charbonnet</v>
      </c>
      <c r="AQ78" s="119" t="str">
        <f>IFERROR(INDEX(TableOverallMaster[POS RK],MATCH(TableOverallRank[[#This Row],[OVERALL PLAYER]],TableOverallMaster[OVERALL PLAYER],0)),"")</f>
        <v>RB37</v>
      </c>
      <c r="AR78" s="120">
        <f>IFERROR(INDEX(TableOverallMaster[BYE],MATCH(TableOverallRank[[#This Row],[OVERALL PLAYER]],TableOverallMaster[OVERALL PLAYER],0)),"")</f>
        <v>5</v>
      </c>
      <c r="AS78" s="119">
        <f>IFERROR(INDEX(TableOverallMaster[Custom],MATCH(TableOverallRank[[#This Row],[OVERALL PLAYER]],TableOverallMaster[OVERALL PLAYER],0)),"")</f>
        <v>141.12839053736855</v>
      </c>
      <c r="AT78" s="121">
        <f>IFERROR(INDEX(TableOverallMaster[VORP],MATCH(TableOverallRank[[#This Row],[OVERALL PLAYER]],TableOverallMaster[OVERALL PLAYER],0)),"")</f>
        <v>0.25204751848893669</v>
      </c>
      <c r="AV78">
        <v>77</v>
      </c>
      <c r="AW78" s="122" t="str">
        <f>IFERROR(INDEX(TableWRTECalcPts[PLAYER],MATCH(TableWRTERank[[#This Row],[RK]],TableWRTECalcPts[RK],0)),"")</f>
        <v>Brock Bowers</v>
      </c>
      <c r="AX78" s="122" t="str">
        <f>IFERROR(INDEX(TableWRTECalcPts[POS RK],MATCH(TableWRTERank[[#This Row],[WR and TE COMBINED]],TableWRTECalcPts[PLAYER],0)),"")</f>
        <v>TE12</v>
      </c>
      <c r="AY78" s="122">
        <f>IFERROR(INDEX(TableWRTECalcPts[BYE],MATCH(TableWRTERank[[#This Row],[RK]],TableWRTECalcPts[RK],0)),"")</f>
        <v>13</v>
      </c>
      <c r="AZ78" s="123">
        <f>IFERROR(INDEX(TableWRTECalcPts[Custom],MATCH(TableWRTERank[[#This Row],[RK]],TableWRTECalcPts[RK],0)),"")</f>
        <v>131.34257300639999</v>
      </c>
      <c r="BA78" s="174">
        <f>IFERROR((TableWRTERank[[#This Row],[FPS]]-INDEX(TableWRTERank[FPS],MATCH(WRTEVORPCalc,TableWRTERank[RK],0)))/INDEX(TableWRTERank[FPS],MATCH(WRTEVORPCalc,TableWRTERank[RK],0)),"")</f>
        <v>-0.12019200856860857</v>
      </c>
      <c r="BC78" t="s">
        <v>223</v>
      </c>
      <c r="BD78">
        <v>77</v>
      </c>
      <c r="BE78" s="83">
        <f>RANK(TableWRTEMaster[[#This Row],[VORP]],TableWRTEMaster[VORP])+COUNTIF($BJ$2:BJ78,BJ78)-1</f>
        <v>96</v>
      </c>
      <c r="BF78" s="115" t="str">
        <f>IFERROR(INDEX(TableWRVORP[WIDE RECEIVER],MATCH(TableWRTEMaster[[#This Row],[RK]],TableWRVORP[RK],0)),"")</f>
        <v>Rashod Bateman</v>
      </c>
      <c r="BG78" s="115" t="str">
        <f>_xlfn.CONCAT(TableWRTEMaster[[#This Row],[POS]],TableWRTEMaster[[#This Row],[RK]])</f>
        <v>WR77</v>
      </c>
      <c r="BH78" s="115">
        <f>IFERROR(INDEX(TableWRVORP[BYE],MATCH(TableWRTEMaster[[#This Row],[RK]],TableWRVORP[RK],0)),"")</f>
        <v>13</v>
      </c>
      <c r="BI78" s="116">
        <f>IFERROR(INDEX(TableWRVORP[FPS],MATCH(TableWRTEMaster[[#This Row],[RK]],TableWRVORP[RK],0)),"")</f>
        <v>104.22113466408</v>
      </c>
      <c r="BJ78" s="117">
        <f>IFERROR(INDEX(TableWRVORP[VORP],MATCH(TableWRTEMaster[[#This Row],[RK]],TableWRVORP[RK],0)),"")</f>
        <v>-0.27826032760059105</v>
      </c>
    </row>
    <row r="79" spans="1:62" x14ac:dyDescent="0.2">
      <c r="A79">
        <v>78</v>
      </c>
      <c r="B79" s="112" t="str">
        <f>IFERROR(INDEX(TableQBCalcPts[PLAYER],MATCH(TableQBVORP[[#This Row],[RK]],TableQBCalcPts[RK],0)),"")</f>
        <v/>
      </c>
      <c r="C79" s="112" t="str">
        <f>IFERROR(INDEX(TableQBCalcPts[TM],MATCH(TableQBVORP[[#This Row],[RK]],TableQBCalcPts[RK],0)),"")</f>
        <v/>
      </c>
      <c r="D79" s="112" t="str">
        <f>IFERROR(INDEX(TableQBCalcPts[BYE],MATCH(TableQBVORP[[#This Row],[RK]],TableQBCalcPts[RK],0)),"")</f>
        <v/>
      </c>
      <c r="E79" s="113" t="str">
        <f>IFERROR(INDEX(TableQBCalcPts[Custom],MATCH(TableQBVORP[[#This Row],[RK]],TableQBCalcPts[RK],0)),"")</f>
        <v/>
      </c>
      <c r="F7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9">
        <v>78</v>
      </c>
      <c r="I79" s="112" t="str">
        <f>IFERROR(INDEX(TableRBCalcPts[PLAYER],MATCH(TableRBVORP[[#This Row],[RK]],TableRBCalcPts[RK],0)),"")</f>
        <v>Deuce Vaughn</v>
      </c>
      <c r="J79" s="112" t="str">
        <f>IFERROR(INDEX(TableRBCalcPts[TM],MATCH(TableRBVORP[[#This Row],[RK]],TableRBCalcPts[RK],0)),"")</f>
        <v>DAL</v>
      </c>
      <c r="K79" s="112">
        <f>IFERROR(INDEX(TableRBCalcPts[BYE],MATCH(TableRBVORP[[#This Row],[RK]],TableRBCalcPts[RK],0)),"")</f>
        <v>7</v>
      </c>
      <c r="L79" s="113">
        <f>IFERROR(INDEX(TableRBCalcPts[Custom],MATCH(TableRBVORP[[#This Row],[RK]],TableRBCalcPts[RK],0)),"")</f>
        <v>45.58296467793599</v>
      </c>
      <c r="M79" s="114">
        <f>IFERROR((TableRBVORP[[#This Row],[FPS]]-INDEX(TableRBVORP[FPS],MATCH(RBVORPCalc,TableRBVORP[RK],0)))/INDEX(TableRBVORP[FPS],MATCH(RBVORPCalc,TableRBVORP[RK],0)),"")</f>
        <v>-0.59560200755448389</v>
      </c>
      <c r="O79">
        <v>78</v>
      </c>
      <c r="P79" s="112" t="str">
        <f>IFERROR(INDEX(TableWRCalcPts[PLAYER],MATCH(TableWRVORP[[#This Row],[RK]],TableWRCalcPts[RK],0)),"")</f>
        <v>Darius Slayton</v>
      </c>
      <c r="Q79" s="112" t="str">
        <f>IFERROR(INDEX(TableWRCalcPts[TM],MATCH(TableWRVORP[[#This Row],[RK]],TableWRCalcPts[RK],0)),"")</f>
        <v>NYG</v>
      </c>
      <c r="R79" s="112">
        <f>IFERROR(INDEX(TableWRCalcPts[BYE],MATCH(TableWRVORP[[#This Row],[RK]],TableWRCalcPts[RK],0)),"")</f>
        <v>13</v>
      </c>
      <c r="S79" s="113">
        <f>IFERROR(INDEX(TableWRCalcPts[Custom],MATCH(TableWRVORP[[#This Row],[RK]],TableWRCalcPts[RK],0)),"")</f>
        <v>99.916945872307195</v>
      </c>
      <c r="T79" s="114">
        <f>IFERROR((TableWRVORP[[#This Row],[FPS]]-INDEX(TableWRVORP[FPS],MATCH(WRVORPCalc,TableWRVORP[RK],0)))/INDEX(TableWRVORP[FPS],MATCH(WRVORPCalc,TableWRVORP[RK],0)),"")</f>
        <v>-0.30806717837545577</v>
      </c>
      <c r="V79">
        <v>78</v>
      </c>
      <c r="W79" s="112" t="str">
        <f>IFERROR(INDEX(TableTECalcPts[PLAYER],MATCH(TableTEVORP[[#This Row],[RK]],TableTECalcPts[RK],0)),"")</f>
        <v>Foster Moreau</v>
      </c>
      <c r="X79" s="112" t="str">
        <f>IFERROR(INDEX(TableTECalcPts[TM],MATCH(TableTEVORP[[#This Row],[RK]],TableTECalcPts[RK],0)),"")</f>
        <v>NO</v>
      </c>
      <c r="Y79" s="112">
        <f>IFERROR(INDEX(TableTECalcPts[BYE],MATCH(TableTEVORP[[#This Row],[RK]],TableTECalcPts[RK],0)),"")</f>
        <v>11</v>
      </c>
      <c r="Z79" s="113">
        <f>IFERROR(INDEX(TableTECalcPts[Custom],MATCH(TableTEVORP[[#This Row],[RK]],TableTECalcPts[RK],0)),"")</f>
        <v>11.647049984397826</v>
      </c>
      <c r="AA79" s="114">
        <f>IFERROR((TableTEVORP[[#This Row],[FPS]]-INDEX(TableTEVORP[FPS],MATCH(TEVORPCalc,TableTEVORP[RK],0)))/INDEX(TableTEVORP[FPS],MATCH(TEVORPCalc,TableTEVORP[RK],0)),"")</f>
        <v>-0.91132311696200519</v>
      </c>
      <c r="AF79" t="s">
        <v>222</v>
      </c>
      <c r="AG79">
        <v>38</v>
      </c>
      <c r="AH79" s="83">
        <f>RANK(TableOverallMaster[[#This Row],[VORP]],TableOverallMaster[VORP])+COUNTIF($AM$2:AM79,AM79)-1</f>
        <v>80</v>
      </c>
      <c r="AI79" s="115" t="str">
        <f>IFERROR(INDEX(TableRBVORP[RUNNING BACK],MATCH(TableOverallMaster[[#This Row],[RK]],TableRBVORP[RK],0)),"")</f>
        <v>Jaylen Warren</v>
      </c>
      <c r="AJ79" s="115" t="str">
        <f t="shared" si="1"/>
        <v>RB38</v>
      </c>
      <c r="AK79" s="115">
        <f>IFERROR(INDEX(TableRBVORP[BYE],MATCH(TableOverallMaster[[#This Row],[RK]],TableRBVORP[RK],0)),"")</f>
        <v>6</v>
      </c>
      <c r="AL79" s="116">
        <f>IFERROR(INDEX(TableRBVORP[FPS],MATCH(TableOverallMaster[[#This Row],[RK]],TableRBVORP[RK],0)),"")</f>
        <v>139.57479769148998</v>
      </c>
      <c r="AM79" s="117">
        <f>IFERROR(INDEX(TableRBVORP[VORP],MATCH(TableOverallMaster[[#This Row],[RK]],TableRBVORP[RK],0)),"")</f>
        <v>0.23826452231064912</v>
      </c>
      <c r="AO79">
        <v>78</v>
      </c>
      <c r="AP79" s="118" t="str">
        <f>IFERROR(INDEX(TableOverallMaster[OVERALL PLAYER],MATCH(TableOverallRank[[#This Row],[RK]],TableOverallMaster[OVR RK],0)),"")</f>
        <v>DeAndre Hopkins</v>
      </c>
      <c r="AQ79" s="119" t="str">
        <f>IFERROR(INDEX(TableOverallMaster[POS RK],MATCH(TableOverallRank[[#This Row],[OVERALL PLAYER]],TableOverallMaster[OVERALL PLAYER],0)),"")</f>
        <v>WR27</v>
      </c>
      <c r="AR79" s="120">
        <f>IFERROR(INDEX(TableOverallMaster[BYE],MATCH(TableOverallRank[[#This Row],[OVERALL PLAYER]],TableOverallMaster[OVERALL PLAYER],0)),"")</f>
        <v>7</v>
      </c>
      <c r="AS79" s="119">
        <f>IFERROR(INDEX(TableOverallMaster[Custom],MATCH(TableOverallRank[[#This Row],[OVERALL PLAYER]],TableOverallMaster[OVERALL PLAYER],0)),"")</f>
        <v>180.79272407195992</v>
      </c>
      <c r="AT79" s="121">
        <f>IFERROR(INDEX(TableOverallMaster[VORP],MATCH(TableOverallRank[[#This Row],[OVERALL PLAYER]],TableOverallMaster[OVERALL PLAYER],0)),"")</f>
        <v>0.2520040379954247</v>
      </c>
      <c r="AV79">
        <v>78</v>
      </c>
      <c r="AW79" s="122" t="str">
        <f>IFERROR(INDEX(TableWRTECalcPts[PLAYER],MATCH(TableWRTERank[[#This Row],[RK]],TableWRTECalcPts[RK],0)),"")</f>
        <v>Jerry Jeudy</v>
      </c>
      <c r="AX79" s="122" t="str">
        <f>IFERROR(INDEX(TableWRTECalcPts[POS RK],MATCH(TableWRTERank[[#This Row],[WR and TE COMBINED]],TableWRTECalcPts[PLAYER],0)),"")</f>
        <v>WR66</v>
      </c>
      <c r="AY79" s="122">
        <f>IFERROR(INDEX(TableWRTECalcPts[BYE],MATCH(TableWRTERank[[#This Row],[RK]],TableWRTECalcPts[RK],0)),"")</f>
        <v>5</v>
      </c>
      <c r="AZ79" s="123">
        <f>IFERROR(INDEX(TableWRTECalcPts[Custom],MATCH(TableWRTERank[[#This Row],[RK]],TableWRTECalcPts[RK],0)),"")</f>
        <v>128.455263234375</v>
      </c>
      <c r="BA79" s="174">
        <f>IFERROR((TableWRTERank[[#This Row],[FPS]]-INDEX(TableWRTERank[FPS],MATCH(WRTEVORPCalc,TableWRTERank[RK],0)))/INDEX(TableWRTERank[FPS],MATCH(WRTEVORPCalc,TableWRTERank[RK],0)),"")</f>
        <v>-0.13953286776619528</v>
      </c>
      <c r="BC79" t="s">
        <v>223</v>
      </c>
      <c r="BD79">
        <v>78</v>
      </c>
      <c r="BE79" s="83">
        <f>RANK(TableWRTEMaster[[#This Row],[VORP]],TableWRTEMaster[VORP])+COUNTIF($BJ$2:BJ79,BJ79)-1</f>
        <v>98</v>
      </c>
      <c r="BF79" s="115" t="str">
        <f>IFERROR(INDEX(TableWRVORP[WIDE RECEIVER],MATCH(TableWRTEMaster[[#This Row],[RK]],TableWRVORP[RK],0)),"")</f>
        <v>Darius Slayton</v>
      </c>
      <c r="BG79" s="115" t="str">
        <f>_xlfn.CONCAT(TableWRTEMaster[[#This Row],[POS]],TableWRTEMaster[[#This Row],[RK]])</f>
        <v>WR78</v>
      </c>
      <c r="BH79" s="115">
        <f>IFERROR(INDEX(TableWRVORP[BYE],MATCH(TableWRTEMaster[[#This Row],[RK]],TableWRVORP[RK],0)),"")</f>
        <v>13</v>
      </c>
      <c r="BI79" s="116">
        <f>IFERROR(INDEX(TableWRVORP[FPS],MATCH(TableWRTEMaster[[#This Row],[RK]],TableWRVORP[RK],0)),"")</f>
        <v>99.916945872307195</v>
      </c>
      <c r="BJ79" s="117">
        <f>IFERROR(INDEX(TableWRVORP[VORP],MATCH(TableWRTEMaster[[#This Row],[RK]],TableWRVORP[RK],0)),"")</f>
        <v>-0.30806717837545577</v>
      </c>
    </row>
    <row r="80" spans="1:62" x14ac:dyDescent="0.2">
      <c r="A80">
        <v>79</v>
      </c>
      <c r="B80" s="112" t="str">
        <f>IFERROR(INDEX(TableQBCalcPts[PLAYER],MATCH(TableQBVORP[[#This Row],[RK]],TableQBCalcPts[RK],0)),"")</f>
        <v/>
      </c>
      <c r="C80" s="112" t="str">
        <f>IFERROR(INDEX(TableQBCalcPts[TM],MATCH(TableQBVORP[[#This Row],[RK]],TableQBCalcPts[RK],0)),"")</f>
        <v/>
      </c>
      <c r="D80" s="112" t="str">
        <f>IFERROR(INDEX(TableQBCalcPts[BYE],MATCH(TableQBVORP[[#This Row],[RK]],TableQBCalcPts[RK],0)),"")</f>
        <v/>
      </c>
      <c r="E80" s="113" t="str">
        <f>IFERROR(INDEX(TableQBCalcPts[Custom],MATCH(TableQBVORP[[#This Row],[RK]],TableQBCalcPts[RK],0)),"")</f>
        <v/>
      </c>
      <c r="F8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0">
        <v>79</v>
      </c>
      <c r="I80" s="112" t="str">
        <f>IFERROR(INDEX(TableRBCalcPts[PLAYER],MATCH(TableRBVORP[[#This Row],[RK]],TableRBCalcPts[RK],0)),"")</f>
        <v>Dameon Pierce</v>
      </c>
      <c r="J80" s="112" t="str">
        <f>IFERROR(INDEX(TableRBCalcPts[TM],MATCH(TableRBVORP[[#This Row],[RK]],TableRBCalcPts[RK],0)),"")</f>
        <v>HOU</v>
      </c>
      <c r="K80" s="112">
        <f>IFERROR(INDEX(TableRBCalcPts[BYE],MATCH(TableRBVORP[[#This Row],[RK]],TableRBCalcPts[RK],0)),"")</f>
        <v>7</v>
      </c>
      <c r="L80" s="113">
        <f>IFERROR(INDEX(TableRBCalcPts[Custom],MATCH(TableRBVORP[[#This Row],[RK]],TableRBCalcPts[RK],0)),"")</f>
        <v>45.497728859648007</v>
      </c>
      <c r="M80" s="114">
        <f>IFERROR((TableRBVORP[[#This Row],[FPS]]-INDEX(TableRBVORP[FPS],MATCH(RBVORPCalc,TableRBVORP[RK],0)))/INDEX(TableRBVORP[FPS],MATCH(RBVORPCalc,TableRBVORP[RK],0)),"")</f>
        <v>-0.59635819342443885</v>
      </c>
      <c r="O80">
        <v>79</v>
      </c>
      <c r="P80" s="112" t="str">
        <f>IFERROR(INDEX(TableWRCalcPts[PLAYER],MATCH(TableWRVORP[[#This Row],[RK]],TableWRCalcPts[RK],0)),"")</f>
        <v>Kendrick Bourne</v>
      </c>
      <c r="Q80" s="112" t="str">
        <f>IFERROR(INDEX(TableWRCalcPts[TM],MATCH(TableWRVORP[[#This Row],[RK]],TableWRCalcPts[RK],0)),"")</f>
        <v>NE</v>
      </c>
      <c r="R80" s="112">
        <f>IFERROR(INDEX(TableWRCalcPts[BYE],MATCH(TableWRVORP[[#This Row],[RK]],TableWRCalcPts[RK],0)),"")</f>
        <v>11</v>
      </c>
      <c r="S80" s="113">
        <f>IFERROR(INDEX(TableWRCalcPts[Custom],MATCH(TableWRVORP[[#This Row],[RK]],TableWRCalcPts[RK],0)),"")</f>
        <v>98.874365364095979</v>
      </c>
      <c r="T80" s="114">
        <f>IFERROR((TableWRVORP[[#This Row],[FPS]]-INDEX(TableWRVORP[FPS],MATCH(WRVORPCalc,TableWRVORP[RK],0)))/INDEX(TableWRVORP[FPS],MATCH(WRVORPCalc,TableWRVORP[RK],0)),"")</f>
        <v>-0.31528713157277699</v>
      </c>
      <c r="V80">
        <v>79</v>
      </c>
      <c r="W80" s="112" t="str">
        <f>IFERROR(INDEX(TableTECalcPts[PLAYER],MATCH(TableTEVORP[[#This Row],[RK]],TableTECalcPts[RK],0)),"")</f>
        <v>Julian Hill</v>
      </c>
      <c r="X80" s="112" t="str">
        <f>IFERROR(INDEX(TableTECalcPts[TM],MATCH(TableTEVORP[[#This Row],[RK]],TableTECalcPts[RK],0)),"")</f>
        <v>MIA</v>
      </c>
      <c r="Y80" s="112">
        <f>IFERROR(INDEX(TableTECalcPts[BYE],MATCH(TableTEVORP[[#This Row],[RK]],TableTECalcPts[RK],0)),"")</f>
        <v>10</v>
      </c>
      <c r="Z80" s="113">
        <f>IFERROR(INDEX(TableTECalcPts[Custom],MATCH(TableTEVORP[[#This Row],[RK]],TableTECalcPts[RK],0)),"")</f>
        <v>10.617792785711998</v>
      </c>
      <c r="AA80" s="114">
        <f>IFERROR((TableTEVORP[[#This Row],[FPS]]-INDEX(TableTEVORP[FPS],MATCH(TEVORPCalc,TableTEVORP[RK],0)))/INDEX(TableTEVORP[FPS],MATCH(TEVORPCalc,TableTEVORP[RK],0)),"")</f>
        <v>-0.91915954939306221</v>
      </c>
      <c r="AF80" t="s">
        <v>222</v>
      </c>
      <c r="AG80">
        <v>39</v>
      </c>
      <c r="AH80" s="83">
        <f>RANK(TableOverallMaster[[#This Row],[VORP]],TableOverallMaster[VORP])+COUNTIF($AM$2:AM80,AM80)-1</f>
        <v>115</v>
      </c>
      <c r="AI80" s="115" t="str">
        <f>IFERROR(INDEX(TableRBVORP[RUNNING BACK],MATCH(TableOverallMaster[[#This Row],[RK]],TableRBVORP[RK],0)),"")</f>
        <v>Rico Dowdle</v>
      </c>
      <c r="AJ80" s="115" t="str">
        <f t="shared" si="1"/>
        <v>RB39</v>
      </c>
      <c r="AK80" s="115">
        <f>IFERROR(INDEX(TableRBVORP[BYE],MATCH(TableOverallMaster[[#This Row],[RK]],TableRBVORP[RK],0)),"")</f>
        <v>7</v>
      </c>
      <c r="AL80" s="116">
        <f>IFERROR(INDEX(TableRBVORP[FPS],MATCH(TableOverallMaster[[#This Row],[RK]],TableRBVORP[RK],0)),"")</f>
        <v>122.60550555187201</v>
      </c>
      <c r="AM80" s="117">
        <f>IFERROR(INDEX(TableRBVORP[VORP],MATCH(TableOverallMaster[[#This Row],[RK]],TableRBVORP[RK],0)),"")</f>
        <v>8.7718200390420095E-2</v>
      </c>
      <c r="AO80">
        <v>79</v>
      </c>
      <c r="AP80" s="118" t="str">
        <f>IFERROR(INDEX(TableOverallMaster[OVERALL PLAYER],MATCH(TableOverallRank[[#This Row],[RK]],TableOverallMaster[OVR RK],0)),"")</f>
        <v>Jordan Addison</v>
      </c>
      <c r="AQ80" s="119" t="str">
        <f>IFERROR(INDEX(TableOverallMaster[POS RK],MATCH(TableOverallRank[[#This Row],[OVERALL PLAYER]],TableOverallMaster[OVERALL PLAYER],0)),"")</f>
        <v>WR28</v>
      </c>
      <c r="AR80" s="120">
        <f>IFERROR(INDEX(TableOverallMaster[BYE],MATCH(TableOverallRank[[#This Row],[OVERALL PLAYER]],TableOverallMaster[OVERALL PLAYER],0)),"")</f>
        <v>13</v>
      </c>
      <c r="AS80" s="119">
        <f>IFERROR(INDEX(TableOverallMaster[Custom],MATCH(TableOverallRank[[#This Row],[OVERALL PLAYER]],TableOverallMaster[OVERALL PLAYER],0)),"")</f>
        <v>179.59176974591995</v>
      </c>
      <c r="AT80" s="121">
        <f>IFERROR(INDEX(TableOverallMaster[VORP],MATCH(TableOverallRank[[#This Row],[OVERALL PLAYER]],TableOverallMaster[OVERALL PLAYER],0)),"")</f>
        <v>0.24368733347444158</v>
      </c>
      <c r="AV80">
        <v>79</v>
      </c>
      <c r="AW80" s="122" t="str">
        <f>IFERROR(INDEX(TableWRTECalcPts[PLAYER],MATCH(TableWRTERank[[#This Row],[RK]],TableWRTECalcPts[RK],0)),"")</f>
        <v>Josh Downs</v>
      </c>
      <c r="AX80" s="122" t="str">
        <f>IFERROR(INDEX(TableWRTECalcPts[POS RK],MATCH(TableWRTERank[[#This Row],[WR and TE COMBINED]],TableWRTECalcPts[PLAYER],0)),"")</f>
        <v>WR67</v>
      </c>
      <c r="AY80" s="122">
        <f>IFERROR(INDEX(TableWRTECalcPts[BYE],MATCH(TableWRTERank[[#This Row],[RK]],TableWRTECalcPts[RK],0)),"")</f>
        <v>11</v>
      </c>
      <c r="AZ80" s="123">
        <f>IFERROR(INDEX(TableWRTECalcPts[Custom],MATCH(TableWRTERank[[#This Row],[RK]],TableWRTECalcPts[RK],0)),"")</f>
        <v>127.45963412582404</v>
      </c>
      <c r="BA80" s="174">
        <f>IFERROR((TableWRTERank[[#This Row],[FPS]]-INDEX(TableWRTERank[FPS],MATCH(WRTEVORPCalc,TableWRTERank[RK],0)))/INDEX(TableWRTERank[FPS],MATCH(WRTEVORPCalc,TableWRTERank[RK],0)),"")</f>
        <v>-0.14620216338112252</v>
      </c>
      <c r="BC80" t="s">
        <v>223</v>
      </c>
      <c r="BD80">
        <v>79</v>
      </c>
      <c r="BE80" s="83">
        <f>RANK(TableWRTEMaster[[#This Row],[VORP]],TableWRTEMaster[VORP])+COUNTIF($BJ$2:BJ80,BJ80)-1</f>
        <v>100</v>
      </c>
      <c r="BF80" s="115" t="str">
        <f>IFERROR(INDEX(TableWRVORP[WIDE RECEIVER],MATCH(TableWRTEMaster[[#This Row],[RK]],TableWRVORP[RK],0)),"")</f>
        <v>Kendrick Bourne</v>
      </c>
      <c r="BG80" s="115" t="str">
        <f>_xlfn.CONCAT(TableWRTEMaster[[#This Row],[POS]],TableWRTEMaster[[#This Row],[RK]])</f>
        <v>WR79</v>
      </c>
      <c r="BH80" s="115">
        <f>IFERROR(INDEX(TableWRVORP[BYE],MATCH(TableWRTEMaster[[#This Row],[RK]],TableWRVORP[RK],0)),"")</f>
        <v>11</v>
      </c>
      <c r="BI80" s="116">
        <f>IFERROR(INDEX(TableWRVORP[FPS],MATCH(TableWRTEMaster[[#This Row],[RK]],TableWRVORP[RK],0)),"")</f>
        <v>98.874365364095979</v>
      </c>
      <c r="BJ80" s="117">
        <f>IFERROR(INDEX(TableWRVORP[VORP],MATCH(TableWRTEMaster[[#This Row],[RK]],TableWRVORP[RK],0)),"")</f>
        <v>-0.31528713157277699</v>
      </c>
    </row>
    <row r="81" spans="1:62" x14ac:dyDescent="0.2">
      <c r="A81">
        <v>80</v>
      </c>
      <c r="B81" s="112" t="str">
        <f>IFERROR(INDEX(TableQBCalcPts[PLAYER],MATCH(TableQBVORP[[#This Row],[RK]],TableQBCalcPts[RK],0)),"")</f>
        <v/>
      </c>
      <c r="C81" s="112" t="str">
        <f>IFERROR(INDEX(TableQBCalcPts[TM],MATCH(TableQBVORP[[#This Row],[RK]],TableQBCalcPts[RK],0)),"")</f>
        <v/>
      </c>
      <c r="D81" s="112" t="str">
        <f>IFERROR(INDEX(TableQBCalcPts[BYE],MATCH(TableQBVORP[[#This Row],[RK]],TableQBCalcPts[RK],0)),"")</f>
        <v/>
      </c>
      <c r="E81" s="113" t="str">
        <f>IFERROR(INDEX(TableQBCalcPts[Custom],MATCH(TableQBVORP[[#This Row],[RK]],TableQBCalcPts[RK],0)),"")</f>
        <v/>
      </c>
      <c r="F8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1">
        <v>80</v>
      </c>
      <c r="I81" s="112" t="str">
        <f>IFERROR(INDEX(TableRBCalcPts[PLAYER],MATCH(TableRBVORP[[#This Row],[RK]],TableRBCalcPts[RK],0)),"")</f>
        <v>Jase McClellan</v>
      </c>
      <c r="J81" s="112" t="str">
        <f>IFERROR(INDEX(TableRBCalcPts[TM],MATCH(TableRBVORP[[#This Row],[RK]],TableRBCalcPts[RK],0)),"")</f>
        <v>ATL</v>
      </c>
      <c r="K81" s="112">
        <f>IFERROR(INDEX(TableRBCalcPts[BYE],MATCH(TableRBVORP[[#This Row],[RK]],TableRBCalcPts[RK],0)),"")</f>
        <v>11</v>
      </c>
      <c r="L81" s="113">
        <f>IFERROR(INDEX(TableRBCalcPts[Custom],MATCH(TableRBVORP[[#This Row],[RK]],TableRBCalcPts[RK],0)),"")</f>
        <v>42.690711185337598</v>
      </c>
      <c r="M81" s="114">
        <f>IFERROR((TableRBVORP[[#This Row],[FPS]]-INDEX(TableRBVORP[FPS],MATCH(RBVORPCalc,TableRBVORP[RK],0)))/INDEX(TableRBVORP[FPS],MATCH(RBVORPCalc,TableRBVORP[RK],0)),"")</f>
        <v>-0.62126118778363804</v>
      </c>
      <c r="O81">
        <v>80</v>
      </c>
      <c r="P81" s="112" t="str">
        <f>IFERROR(INDEX(TableWRCalcPts[PLAYER],MATCH(TableWRVORP[[#This Row],[RK]],TableWRCalcPts[RK],0)),"")</f>
        <v>Ja'Lynn Polk</v>
      </c>
      <c r="Q81" s="112" t="str">
        <f>IFERROR(INDEX(TableWRCalcPts[TM],MATCH(TableWRVORP[[#This Row],[RK]],TableWRCalcPts[RK],0)),"")</f>
        <v>NE</v>
      </c>
      <c r="R81" s="112">
        <f>IFERROR(INDEX(TableWRCalcPts[BYE],MATCH(TableWRVORP[[#This Row],[RK]],TableWRCalcPts[RK],0)),"")</f>
        <v>11</v>
      </c>
      <c r="S81" s="113">
        <f>IFERROR(INDEX(TableWRCalcPts[Custom],MATCH(TableWRVORP[[#This Row],[RK]],TableWRCalcPts[RK],0)),"")</f>
        <v>96.756904450096812</v>
      </c>
      <c r="T81" s="114">
        <f>IFERROR((TableWRVORP[[#This Row],[FPS]]-INDEX(TableWRVORP[FPS],MATCH(WRVORPCalc,TableWRVORP[RK],0)))/INDEX(TableWRVORP[FPS],MATCH(WRVORPCalc,TableWRVORP[RK],0)),"")</f>
        <v>-0.32995071733505166</v>
      </c>
      <c r="V81">
        <v>80</v>
      </c>
      <c r="W81" s="112" t="str">
        <f>IFERROR(INDEX(TableTECalcPts[PLAYER],MATCH(TableTEVORP[[#This Row],[RK]],TableTECalcPts[RK],0)),"")</f>
        <v>Charlie Kolar</v>
      </c>
      <c r="X81" s="112" t="str">
        <f>IFERROR(INDEX(TableTECalcPts[TM],MATCH(TableTEVORP[[#This Row],[RK]],TableTECalcPts[RK],0)),"")</f>
        <v>BAL</v>
      </c>
      <c r="Y81" s="112">
        <f>IFERROR(INDEX(TableTECalcPts[BYE],MATCH(TableTEVORP[[#This Row],[RK]],TableTECalcPts[RK],0)),"")</f>
        <v>13</v>
      </c>
      <c r="Z81" s="113">
        <f>IFERROR(INDEX(TableTECalcPts[Custom],MATCH(TableTEVORP[[#This Row],[RK]],TableTECalcPts[RK],0)),"")</f>
        <v>7.4937179652608013</v>
      </c>
      <c r="AA81" s="114">
        <f>IFERROR((TableTEVORP[[#This Row],[FPS]]-INDEX(TableTEVORP[FPS],MATCH(TEVORPCalc,TableTEVORP[RK],0)))/INDEX(TableTEVORP[FPS],MATCH(TEVORPCalc,TableTEVORP[RK],0)),"")</f>
        <v>-0.94294524773094213</v>
      </c>
      <c r="AF81" t="s">
        <v>222</v>
      </c>
      <c r="AG81">
        <v>40</v>
      </c>
      <c r="AH81" s="83">
        <f>RANK(TableOverallMaster[[#This Row],[VORP]],TableOverallMaster[VORP])+COUNTIF($AM$2:AM81,AM81)-1</f>
        <v>123</v>
      </c>
      <c r="AI81" s="115" t="str">
        <f>IFERROR(INDEX(TableRBVORP[RUNNING BACK],MATCH(TableOverallMaster[[#This Row],[RK]],TableRBVORP[RK],0)),"")</f>
        <v>Tyler Allgeier</v>
      </c>
      <c r="AJ81" s="115" t="str">
        <f t="shared" si="1"/>
        <v>RB40</v>
      </c>
      <c r="AK81" s="115">
        <f>IFERROR(INDEX(TableRBVORP[BYE],MATCH(TableOverallMaster[[#This Row],[RK]],TableRBVORP[RK],0)),"")</f>
        <v>11</v>
      </c>
      <c r="AL81" s="116">
        <f>IFERROR(INDEX(TableRBVORP[FPS],MATCH(TableOverallMaster[[#This Row],[RK]],TableRBVORP[RK],0)),"")</f>
        <v>117.2617367326272</v>
      </c>
      <c r="AM81" s="117">
        <f>IFERROR(INDEX(TableRBVORP[VORP],MATCH(TableOverallMaster[[#This Row],[RK]],TableRBVORP[RK],0)),"")</f>
        <v>4.0309932896981572E-2</v>
      </c>
      <c r="AO81">
        <v>80</v>
      </c>
      <c r="AP81" s="118" t="str">
        <f>IFERROR(INDEX(TableOverallMaster[OVERALL PLAYER],MATCH(TableOverallRank[[#This Row],[RK]],TableOverallMaster[OVR RK],0)),"")</f>
        <v>Jaylen Warren</v>
      </c>
      <c r="AQ81" s="119" t="str">
        <f>IFERROR(INDEX(TableOverallMaster[POS RK],MATCH(TableOverallRank[[#This Row],[OVERALL PLAYER]],TableOverallMaster[OVERALL PLAYER],0)),"")</f>
        <v>RB38</v>
      </c>
      <c r="AR81" s="120">
        <f>IFERROR(INDEX(TableOverallMaster[BYE],MATCH(TableOverallRank[[#This Row],[OVERALL PLAYER]],TableOverallMaster[OVERALL PLAYER],0)),"")</f>
        <v>6</v>
      </c>
      <c r="AS81" s="119">
        <f>IFERROR(INDEX(TableOverallMaster[Custom],MATCH(TableOverallRank[[#This Row],[OVERALL PLAYER]],TableOverallMaster[OVERALL PLAYER],0)),"")</f>
        <v>139.57479769148998</v>
      </c>
      <c r="AT81" s="121">
        <f>IFERROR(INDEX(TableOverallMaster[VORP],MATCH(TableOverallRank[[#This Row],[OVERALL PLAYER]],TableOverallMaster[OVERALL PLAYER],0)),"")</f>
        <v>0.23826452231064912</v>
      </c>
      <c r="AV81">
        <v>80</v>
      </c>
      <c r="AW81" s="122" t="str">
        <f>IFERROR(INDEX(TableWRTECalcPts[PLAYER],MATCH(TableWRTERank[[#This Row],[RK]],TableWRTECalcPts[RK],0)),"")</f>
        <v>Quentin Johnston</v>
      </c>
      <c r="AX81" s="122" t="str">
        <f>IFERROR(INDEX(TableWRTECalcPts[POS RK],MATCH(TableWRTERank[[#This Row],[WR and TE COMBINED]],TableWRTECalcPts[PLAYER],0)),"")</f>
        <v>WR68</v>
      </c>
      <c r="AY81" s="122">
        <f>IFERROR(INDEX(TableWRTECalcPts[BYE],MATCH(TableWRTERank[[#This Row],[RK]],TableWRTECalcPts[RK],0)),"")</f>
        <v>5</v>
      </c>
      <c r="AZ81" s="123">
        <f>IFERROR(INDEX(TableWRTECalcPts[Custom],MATCH(TableWRTERank[[#This Row],[RK]],TableWRTECalcPts[RK],0)),"")</f>
        <v>126.53990116431299</v>
      </c>
      <c r="BA81" s="174">
        <f>IFERROR((TableWRTERank[[#This Row],[FPS]]-INDEX(TableWRTERank[FPS],MATCH(WRTEVORPCalc,TableWRTERank[RK],0)))/INDEX(TableWRTERank[FPS],MATCH(WRTEVORPCalc,TableWRTERank[RK],0)),"")</f>
        <v>-0.1523630630117461</v>
      </c>
      <c r="BC81" t="s">
        <v>223</v>
      </c>
      <c r="BD81">
        <v>80</v>
      </c>
      <c r="BE81" s="83">
        <f>RANK(TableWRTEMaster[[#This Row],[VORP]],TableWRTEMaster[VORP])+COUNTIF($BJ$2:BJ81,BJ81)-1</f>
        <v>102</v>
      </c>
      <c r="BF81" s="115" t="str">
        <f>IFERROR(INDEX(TableWRVORP[WIDE RECEIVER],MATCH(TableWRTEMaster[[#This Row],[RK]],TableWRVORP[RK],0)),"")</f>
        <v>Ja'Lynn Polk</v>
      </c>
      <c r="BG81" s="115" t="str">
        <f>_xlfn.CONCAT(TableWRTEMaster[[#This Row],[POS]],TableWRTEMaster[[#This Row],[RK]])</f>
        <v>WR80</v>
      </c>
      <c r="BH81" s="115">
        <f>IFERROR(INDEX(TableWRVORP[BYE],MATCH(TableWRTEMaster[[#This Row],[RK]],TableWRVORP[RK],0)),"")</f>
        <v>11</v>
      </c>
      <c r="BI81" s="116">
        <f>IFERROR(INDEX(TableWRVORP[FPS],MATCH(TableWRTEMaster[[#This Row],[RK]],TableWRVORP[RK],0)),"")</f>
        <v>96.756904450096812</v>
      </c>
      <c r="BJ81" s="117">
        <f>IFERROR(INDEX(TableWRVORP[VORP],MATCH(TableWRTEMaster[[#This Row],[RK]],TableWRVORP[RK],0)),"")</f>
        <v>-0.32995071733505166</v>
      </c>
    </row>
    <row r="82" spans="1:62" x14ac:dyDescent="0.2">
      <c r="A82">
        <v>81</v>
      </c>
      <c r="B82" s="112" t="str">
        <f>IFERROR(INDEX(TableQBCalcPts[PLAYER],MATCH(TableQBVORP[[#This Row],[RK]],TableQBCalcPts[RK],0)),"")</f>
        <v/>
      </c>
      <c r="C82" s="112" t="str">
        <f>IFERROR(INDEX(TableQBCalcPts[TM],MATCH(TableQBVORP[[#This Row],[RK]],TableQBCalcPts[RK],0)),"")</f>
        <v/>
      </c>
      <c r="D82" s="112" t="str">
        <f>IFERROR(INDEX(TableQBCalcPts[BYE],MATCH(TableQBVORP[[#This Row],[RK]],TableQBCalcPts[RK],0)),"")</f>
        <v/>
      </c>
      <c r="E82" s="113" t="str">
        <f>IFERROR(INDEX(TableQBCalcPts[Custom],MATCH(TableQBVORP[[#This Row],[RK]],TableQBCalcPts[RK],0)),"")</f>
        <v/>
      </c>
      <c r="F8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2">
        <v>81</v>
      </c>
      <c r="I82" s="112" t="str">
        <f>IFERROR(INDEX(TableRBCalcPts[PLAYER],MATCH(TableRBVORP[[#This Row],[RK]],TableRBCalcPts[RK],0)),"")</f>
        <v>Keaton Mitchell</v>
      </c>
      <c r="J82" s="112" t="str">
        <f>IFERROR(INDEX(TableRBCalcPts[TM],MATCH(TableRBVORP[[#This Row],[RK]],TableRBCalcPts[RK],0)),"")</f>
        <v>BAL</v>
      </c>
      <c r="K82" s="112">
        <f>IFERROR(INDEX(TableRBCalcPts[BYE],MATCH(TableRBVORP[[#This Row],[RK]],TableRBCalcPts[RK],0)),"")</f>
        <v>13</v>
      </c>
      <c r="L82" s="113">
        <f>IFERROR(INDEX(TableRBCalcPts[Custom],MATCH(TableRBVORP[[#This Row],[RK]],TableRBCalcPts[RK],0)),"")</f>
        <v>41.590578107601594</v>
      </c>
      <c r="M82" s="114">
        <f>IFERROR((TableRBVORP[[#This Row],[FPS]]-INDEX(TableRBVORP[FPS],MATCH(RBVORPCalc,TableRBVORP[RK],0)))/INDEX(TableRBVORP[FPS],MATCH(RBVORPCalc,TableRBVORP[RK],0)),"")</f>
        <v>-0.63102122886922118</v>
      </c>
      <c r="O82">
        <v>81</v>
      </c>
      <c r="P82" s="112" t="str">
        <f>IFERROR(INDEX(TableWRCalcPts[PLAYER],MATCH(TableWRVORP[[#This Row],[RK]],TableWRCalcPts[RK],0)),"")</f>
        <v>Rondale Moore</v>
      </c>
      <c r="Q82" s="112" t="str">
        <f>IFERROR(INDEX(TableWRCalcPts[TM],MATCH(TableWRVORP[[#This Row],[RK]],TableWRCalcPts[RK],0)),"")</f>
        <v>ATL</v>
      </c>
      <c r="R82" s="112">
        <f>IFERROR(INDEX(TableWRCalcPts[BYE],MATCH(TableWRVORP[[#This Row],[RK]],TableWRCalcPts[RK],0)),"")</f>
        <v>11</v>
      </c>
      <c r="S82" s="113">
        <f>IFERROR(INDEX(TableWRCalcPts[Custom],MATCH(TableWRVORP[[#This Row],[RK]],TableWRCalcPts[RK],0)),"")</f>
        <v>90.224337624220794</v>
      </c>
      <c r="T82" s="114">
        <f>IFERROR((TableWRVORP[[#This Row],[FPS]]-INDEX(TableWRVORP[FPS],MATCH(WRVORPCalc,TableWRVORP[RK],0)))/INDEX(TableWRVORP[FPS],MATCH(WRVORPCalc,TableWRVORP[RK],0)),"")</f>
        <v>-0.37518926377797357</v>
      </c>
      <c r="V82">
        <v>81</v>
      </c>
      <c r="W82" s="112" t="str">
        <f>IFERROR(INDEX(TableTECalcPts[PLAYER],MATCH(TableTEVORP[[#This Row],[RK]],TableTECalcPts[RK],0)),"")</f>
        <v>AJ Barner</v>
      </c>
      <c r="X82" s="112" t="str">
        <f>IFERROR(INDEX(TableTECalcPts[TM],MATCH(TableTEVORP[[#This Row],[RK]],TableTECalcPts[RK],0)),"")</f>
        <v>SEA</v>
      </c>
      <c r="Y82" s="112">
        <f>IFERROR(INDEX(TableTECalcPts[BYE],MATCH(TableTEVORP[[#This Row],[RK]],TableTECalcPts[RK],0)),"")</f>
        <v>5</v>
      </c>
      <c r="Z82" s="113">
        <f>IFERROR(INDEX(TableTECalcPts[Custom],MATCH(TableTEVORP[[#This Row],[RK]],TableTECalcPts[RK],0)),"")</f>
        <v>7.3655150392362003</v>
      </c>
      <c r="AA82" s="114">
        <f>IFERROR((TableTEVORP[[#This Row],[FPS]]-INDEX(TableTEVORP[FPS],MATCH(TEVORPCalc,TableTEVORP[RK],0)))/INDEX(TableTEVORP[FPS],MATCH(TEVORPCalc,TableTEVORP[RK],0)),"")</f>
        <v>-0.94392134347118894</v>
      </c>
      <c r="AF82" t="s">
        <v>222</v>
      </c>
      <c r="AG82">
        <v>41</v>
      </c>
      <c r="AH82" s="83">
        <f>RANK(TableOverallMaster[[#This Row],[VORP]],TableOverallMaster[VORP])+COUNTIF($AM$2:AM82,AM82)-1</f>
        <v>125</v>
      </c>
      <c r="AI82" s="115" t="str">
        <f>IFERROR(INDEX(TableRBVORP[RUNNING BACK],MATCH(TableOverallMaster[[#This Row],[RK]],TableRBVORP[RK],0)),"")</f>
        <v>Ty Chandler</v>
      </c>
      <c r="AJ82" s="115" t="str">
        <f t="shared" si="1"/>
        <v>RB41</v>
      </c>
      <c r="AK82" s="115">
        <f>IFERROR(INDEX(TableRBVORP[BYE],MATCH(TableOverallMaster[[#This Row],[RK]],TableRBVORP[RK],0)),"")</f>
        <v>13</v>
      </c>
      <c r="AL82" s="116">
        <f>IFERROR(INDEX(TableRBVORP[FPS],MATCH(TableOverallMaster[[#This Row],[RK]],TableRBVORP[RK],0)),"")</f>
        <v>116.83272378624001</v>
      </c>
      <c r="AM82" s="117">
        <f>IFERROR(INDEX(TableRBVORP[VORP],MATCH(TableOverallMaster[[#This Row],[RK]],TableRBVORP[RK],0)),"")</f>
        <v>3.6503862460845755E-2</v>
      </c>
      <c r="AO82">
        <v>81</v>
      </c>
      <c r="AP82" s="118" t="str">
        <f>IFERROR(INDEX(TableOverallMaster[OVERALL PLAYER],MATCH(TableOverallRank[[#This Row],[RK]],TableOverallMaster[OVR RK],0)),"")</f>
        <v>Cooper Kupp</v>
      </c>
      <c r="AQ82" s="119" t="str">
        <f>IFERROR(INDEX(TableOverallMaster[POS RK],MATCH(TableOverallRank[[#This Row],[OVERALL PLAYER]],TableOverallMaster[OVERALL PLAYER],0)),"")</f>
        <v>WR29</v>
      </c>
      <c r="AR82" s="120">
        <f>IFERROR(INDEX(TableOverallMaster[BYE],MATCH(TableOverallRank[[#This Row],[OVERALL PLAYER]],TableOverallMaster[OVERALL PLAYER],0)),"")</f>
        <v>10</v>
      </c>
      <c r="AS82" s="119">
        <f>IFERROR(INDEX(TableOverallMaster[Custom],MATCH(TableOverallRank[[#This Row],[OVERALL PLAYER]],TableOverallMaster[OVERALL PLAYER],0)),"")</f>
        <v>178.52334044159994</v>
      </c>
      <c r="AT82" s="121">
        <f>IFERROR(INDEX(TableOverallMaster[VORP],MATCH(TableOverallRank[[#This Row],[OVERALL PLAYER]],TableOverallMaster[OVERALL PLAYER],0)),"")</f>
        <v>0.23628837530182806</v>
      </c>
      <c r="AV82">
        <v>81</v>
      </c>
      <c r="AW82" s="122" t="str">
        <f>IFERROR(INDEX(TableWRTECalcPts[PLAYER],MATCH(TableWRTERank[[#This Row],[RK]],TableWRTECalcPts[RK],0)),"")</f>
        <v>Wan'Dale Robinson</v>
      </c>
      <c r="AX82" s="122" t="str">
        <f>IFERROR(INDEX(TableWRTECalcPts[POS RK],MATCH(TableWRTERank[[#This Row],[WR and TE COMBINED]],TableWRTECalcPts[PLAYER],0)),"")</f>
        <v>WR69</v>
      </c>
      <c r="AY82" s="122">
        <f>IFERROR(INDEX(TableWRTECalcPts[BYE],MATCH(TableWRTERank[[#This Row],[RK]],TableWRTECalcPts[RK],0)),"")</f>
        <v>13</v>
      </c>
      <c r="AZ82" s="123">
        <f>IFERROR(INDEX(TableWRTECalcPts[Custom],MATCH(TableWRTERank[[#This Row],[RK]],TableWRTECalcPts[RK],0)),"")</f>
        <v>124.97569762585596</v>
      </c>
      <c r="BA82" s="174">
        <f>IFERROR((TableWRTERank[[#This Row],[FPS]]-INDEX(TableWRTERank[FPS],MATCH(WRTEVORPCalc,TableWRTERank[RK],0)))/INDEX(TableWRTERank[FPS],MATCH(WRTEVORPCalc,TableWRTERank[RK],0)),"")</f>
        <v>-0.16284099672249122</v>
      </c>
      <c r="BC82" t="s">
        <v>223</v>
      </c>
      <c r="BD82">
        <v>81</v>
      </c>
      <c r="BE82" s="83">
        <f>RANK(TableWRTEMaster[[#This Row],[VORP]],TableWRTEMaster[VORP])+COUNTIF($BJ$2:BJ82,BJ82)-1</f>
        <v>107</v>
      </c>
      <c r="BF82" s="115" t="str">
        <f>IFERROR(INDEX(TableWRVORP[WIDE RECEIVER],MATCH(TableWRTEMaster[[#This Row],[RK]],TableWRVORP[RK],0)),"")</f>
        <v>Rondale Moore</v>
      </c>
      <c r="BG82" s="115" t="str">
        <f>_xlfn.CONCAT(TableWRTEMaster[[#This Row],[POS]],TableWRTEMaster[[#This Row],[RK]])</f>
        <v>WR81</v>
      </c>
      <c r="BH82" s="115">
        <f>IFERROR(INDEX(TableWRVORP[BYE],MATCH(TableWRTEMaster[[#This Row],[RK]],TableWRVORP[RK],0)),"")</f>
        <v>11</v>
      </c>
      <c r="BI82" s="116">
        <f>IFERROR(INDEX(TableWRVORP[FPS],MATCH(TableWRTEMaster[[#This Row],[RK]],TableWRVORP[RK],0)),"")</f>
        <v>90.224337624220794</v>
      </c>
      <c r="BJ82" s="117">
        <f>IFERROR(INDEX(TableWRVORP[VORP],MATCH(TableWRTEMaster[[#This Row],[RK]],TableWRVORP[RK],0)),"")</f>
        <v>-0.37518926377797357</v>
      </c>
    </row>
    <row r="83" spans="1:62" x14ac:dyDescent="0.2">
      <c r="A83">
        <v>82</v>
      </c>
      <c r="B83" s="112" t="str">
        <f>IFERROR(INDEX(TableQBCalcPts[PLAYER],MATCH(TableQBVORP[[#This Row],[RK]],TableQBCalcPts[RK],0)),"")</f>
        <v/>
      </c>
      <c r="C83" s="112" t="str">
        <f>IFERROR(INDEX(TableQBCalcPts[TM],MATCH(TableQBVORP[[#This Row],[RK]],TableQBCalcPts[RK],0)),"")</f>
        <v/>
      </c>
      <c r="D83" s="112" t="str">
        <f>IFERROR(INDEX(TableQBCalcPts[BYE],MATCH(TableQBVORP[[#This Row],[RK]],TableQBCalcPts[RK],0)),"")</f>
        <v/>
      </c>
      <c r="E83" s="113" t="str">
        <f>IFERROR(INDEX(TableQBCalcPts[Custom],MATCH(TableQBVORP[[#This Row],[RK]],TableQBCalcPts[RK],0)),"")</f>
        <v/>
      </c>
      <c r="F8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3">
        <v>82</v>
      </c>
      <c r="I83" s="112" t="str">
        <f>IFERROR(INDEX(TableRBCalcPts[PLAYER],MATCH(TableRBVORP[[#This Row],[RK]],TableRBCalcPts[RK],0)),"")</f>
        <v>Trey Sermon</v>
      </c>
      <c r="J83" s="112" t="str">
        <f>IFERROR(INDEX(TableRBCalcPts[TM],MATCH(TableRBVORP[[#This Row],[RK]],TableRBCalcPts[RK],0)),"")</f>
        <v>IND</v>
      </c>
      <c r="K83" s="112">
        <f>IFERROR(INDEX(TableRBCalcPts[BYE],MATCH(TableRBVORP[[#This Row],[RK]],TableRBCalcPts[RK],0)),"")</f>
        <v>11</v>
      </c>
      <c r="L83" s="113">
        <f>IFERROR(INDEX(TableRBCalcPts[Custom],MATCH(TableRBVORP[[#This Row],[RK]],TableRBCalcPts[RK],0)),"")</f>
        <v>40.170814067999999</v>
      </c>
      <c r="M83" s="114">
        <f>IFERROR((TableRBVORP[[#This Row],[FPS]]-INDEX(TableRBVORP[FPS],MATCH(RBVORPCalc,TableRBVORP[RK],0)))/INDEX(TableRBVORP[FPS],MATCH(RBVORPCalc,TableRBVORP[RK],0)),"")</f>
        <v>-0.64361693718740209</v>
      </c>
      <c r="O83">
        <v>82</v>
      </c>
      <c r="P83" s="112" t="str">
        <f>IFERROR(INDEX(TableWRCalcPts[PLAYER],MATCH(TableWRVORP[[#This Row],[RK]],TableWRCalcPts[RK],0)),"")</f>
        <v>Troy Franklin</v>
      </c>
      <c r="Q83" s="112" t="str">
        <f>IFERROR(INDEX(TableWRCalcPts[TM],MATCH(TableWRVORP[[#This Row],[RK]],TableWRCalcPts[RK],0)),"")</f>
        <v>DEN</v>
      </c>
      <c r="R83" s="112">
        <f>IFERROR(INDEX(TableWRCalcPts[BYE],MATCH(TableWRVORP[[#This Row],[RK]],TableWRCalcPts[RK],0)),"")</f>
        <v>9</v>
      </c>
      <c r="S83" s="113">
        <f>IFERROR(INDEX(TableWRCalcPts[Custom],MATCH(TableWRVORP[[#This Row],[RK]],TableWRCalcPts[RK],0)),"")</f>
        <v>90.119784211379994</v>
      </c>
      <c r="T83" s="114">
        <f>IFERROR((TableWRVORP[[#This Row],[FPS]]-INDEX(TableWRVORP[FPS],MATCH(WRVORPCalc,TableWRVORP[RK],0)))/INDEX(TableWRVORP[FPS],MATCH(WRVORPCalc,TableWRVORP[RK],0)),"")</f>
        <v>-0.37591330450325622</v>
      </c>
      <c r="V83">
        <v>82</v>
      </c>
      <c r="W83" s="112" t="str">
        <f>IFERROR(INDEX(TableTECalcPts[PLAYER],MATCH(TableTEVORP[[#This Row],[RK]],TableTECalcPts[RK],0)),"")</f>
        <v>Albert Okwuegbunam</v>
      </c>
      <c r="X83" s="112" t="str">
        <f>IFERROR(INDEX(TableTECalcPts[TM],MATCH(TableTEVORP[[#This Row],[RK]],TableTECalcPts[RK],0)),"")</f>
        <v>PHI</v>
      </c>
      <c r="Y83" s="112">
        <f>IFERROR(INDEX(TableTECalcPts[BYE],MATCH(TableTEVORP[[#This Row],[RK]],TableTECalcPts[RK],0)),"")</f>
        <v>10</v>
      </c>
      <c r="Z83" s="113">
        <f>IFERROR(INDEX(TableTECalcPts[Custom],MATCH(TableTEVORP[[#This Row],[RK]],TableTECalcPts[RK],0)),"")</f>
        <v>7.1468614526400014</v>
      </c>
      <c r="AA83" s="114">
        <f>IFERROR((TableTEVORP[[#This Row],[FPS]]-INDEX(TableTEVORP[FPS],MATCH(TEVORPCalc,TableTEVORP[RK],0)))/INDEX(TableTEVORP[FPS],MATCH(TEVORPCalc,TableTEVORP[RK],0)),"")</f>
        <v>-0.94558610137558563</v>
      </c>
      <c r="AF83" t="s">
        <v>222</v>
      </c>
      <c r="AG83">
        <v>42</v>
      </c>
      <c r="AH83" s="83">
        <f>RANK(TableOverallMaster[[#This Row],[VORP]],TableOverallMaster[VORP])+COUNTIF($AM$2:AM83,AM83)-1</f>
        <v>129</v>
      </c>
      <c r="AI83" s="115" t="str">
        <f>IFERROR(INDEX(TableRBVORP[RUNNING BACK],MATCH(TableOverallMaster[[#This Row],[RK]],TableRBVORP[RK],0)),"")</f>
        <v>Trey Benson</v>
      </c>
      <c r="AJ83" s="115" t="str">
        <f t="shared" si="1"/>
        <v>RB42</v>
      </c>
      <c r="AK83" s="115">
        <f>IFERROR(INDEX(TableRBVORP[BYE],MATCH(TableOverallMaster[[#This Row],[RK]],TableRBVORP[RK],0)),"")</f>
        <v>14</v>
      </c>
      <c r="AL83" s="116">
        <f>IFERROR(INDEX(TableRBVORP[FPS],MATCH(TableOverallMaster[[#This Row],[RK]],TableRBVORP[RK],0)),"")</f>
        <v>113.81129370954001</v>
      </c>
      <c r="AM83" s="117">
        <f>IFERROR(INDEX(TableRBVORP[VORP],MATCH(TableOverallMaster[[#This Row],[RK]],TableRBVORP[RK],0)),"")</f>
        <v>9.6986674507148849E-3</v>
      </c>
      <c r="AO83">
        <v>82</v>
      </c>
      <c r="AP83" s="118" t="str">
        <f>IFERROR(INDEX(TableOverallMaster[OVERALL PLAYER],MATCH(TableOverallRank[[#This Row],[RK]],TableOverallMaster[OVR RK],0)),"")</f>
        <v>Christian Kirk</v>
      </c>
      <c r="AQ83" s="119" t="str">
        <f>IFERROR(INDEX(TableOverallMaster[POS RK],MATCH(TableOverallRank[[#This Row],[OVERALL PLAYER]],TableOverallMaster[OVERALL PLAYER],0)),"")</f>
        <v>WR30</v>
      </c>
      <c r="AR83" s="120">
        <f>IFERROR(INDEX(TableOverallMaster[BYE],MATCH(TableOverallRank[[#This Row],[OVERALL PLAYER]],TableOverallMaster[OVERALL PLAYER],0)),"")</f>
        <v>9</v>
      </c>
      <c r="AS83" s="119">
        <f>IFERROR(INDEX(TableOverallMaster[Custom],MATCH(TableOverallRank[[#This Row],[OVERALL PLAYER]],TableOverallMaster[OVERALL PLAYER],0)),"")</f>
        <v>178.08309643672794</v>
      </c>
      <c r="AT83" s="121">
        <f>IFERROR(INDEX(TableOverallMaster[VORP],MATCH(TableOverallRank[[#This Row],[OVERALL PLAYER]],TableOverallMaster[OVERALL PLAYER],0)),"")</f>
        <v>0.2332396504450488</v>
      </c>
      <c r="AV83">
        <v>82</v>
      </c>
      <c r="AW83" s="122" t="str">
        <f>IFERROR(INDEX(TableWRTECalcPts[PLAYER],MATCH(TableWRTERank[[#This Row],[RK]],TableWRTECalcPts[RK],0)),"")</f>
        <v>T.J. Hockenson</v>
      </c>
      <c r="AX83" s="122" t="str">
        <f>IFERROR(INDEX(TableWRTECalcPts[POS RK],MATCH(TableWRTERank[[#This Row],[WR and TE COMBINED]],TableWRTECalcPts[PLAYER],0)),"")</f>
        <v>TE13</v>
      </c>
      <c r="AY83" s="122">
        <f>IFERROR(INDEX(TableWRTECalcPts[BYE],MATCH(TableWRTERank[[#This Row],[RK]],TableWRTECalcPts[RK],0)),"")</f>
        <v>13</v>
      </c>
      <c r="AZ83" s="123">
        <f>IFERROR(INDEX(TableWRTECalcPts[Custom],MATCH(TableWRTERank[[#This Row],[RK]],TableWRTECalcPts[RK],0)),"")</f>
        <v>122.60684427264</v>
      </c>
      <c r="BA83" s="174">
        <f>IFERROR((TableWRTERank[[#This Row],[FPS]]-INDEX(TableWRTERank[FPS],MATCH(WRTEVORPCalc,TableWRTERank[RK],0)))/INDEX(TableWRTERank[FPS],MATCH(WRTEVORPCalc,TableWRTERank[RK],0)),"")</f>
        <v>-0.17870893704818355</v>
      </c>
      <c r="BC83" t="s">
        <v>223</v>
      </c>
      <c r="BD83">
        <v>82</v>
      </c>
      <c r="BE83" s="83">
        <f>RANK(TableWRTEMaster[[#This Row],[VORP]],TableWRTEMaster[VORP])+COUNTIF($BJ$2:BJ83,BJ83)-1</f>
        <v>108</v>
      </c>
      <c r="BF83" s="115" t="str">
        <f>IFERROR(INDEX(TableWRVORP[WIDE RECEIVER],MATCH(TableWRTEMaster[[#This Row],[RK]],TableWRVORP[RK],0)),"")</f>
        <v>Troy Franklin</v>
      </c>
      <c r="BG83" s="115" t="str">
        <f>_xlfn.CONCAT(TableWRTEMaster[[#This Row],[POS]],TableWRTEMaster[[#This Row],[RK]])</f>
        <v>WR82</v>
      </c>
      <c r="BH83" s="115">
        <f>IFERROR(INDEX(TableWRVORP[BYE],MATCH(TableWRTEMaster[[#This Row],[RK]],TableWRVORP[RK],0)),"")</f>
        <v>9</v>
      </c>
      <c r="BI83" s="116">
        <f>IFERROR(INDEX(TableWRVORP[FPS],MATCH(TableWRTEMaster[[#This Row],[RK]],TableWRVORP[RK],0)),"")</f>
        <v>90.119784211379994</v>
      </c>
      <c r="BJ83" s="117">
        <f>IFERROR(INDEX(TableWRVORP[VORP],MATCH(TableWRTEMaster[[#This Row],[RK]],TableWRVORP[RK],0)),"")</f>
        <v>-0.37591330450325622</v>
      </c>
    </row>
    <row r="84" spans="1:62" x14ac:dyDescent="0.2">
      <c r="A84">
        <v>83</v>
      </c>
      <c r="B84" s="112" t="str">
        <f>IFERROR(INDEX(TableQBCalcPts[PLAYER],MATCH(TableQBVORP[[#This Row],[RK]],TableQBCalcPts[RK],0)),"")</f>
        <v/>
      </c>
      <c r="C84" s="112" t="str">
        <f>IFERROR(INDEX(TableQBCalcPts[TM],MATCH(TableQBVORP[[#This Row],[RK]],TableQBCalcPts[RK],0)),"")</f>
        <v/>
      </c>
      <c r="D84" s="112" t="str">
        <f>IFERROR(INDEX(TableQBCalcPts[BYE],MATCH(TableQBVORP[[#This Row],[RK]],TableQBCalcPts[RK],0)),"")</f>
        <v/>
      </c>
      <c r="E84" s="113" t="str">
        <f>IFERROR(INDEX(TableQBCalcPts[Custom],MATCH(TableQBVORP[[#This Row],[RK]],TableQBCalcPts[RK],0)),"")</f>
        <v/>
      </c>
      <c r="F8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4">
        <v>83</v>
      </c>
      <c r="I84" s="112" t="str">
        <f>IFERROR(INDEX(TableRBCalcPts[PLAYER],MATCH(TableRBVORP[[#This Row],[RK]],TableRBCalcPts[RK],0)),"")</f>
        <v>Miles Sanders</v>
      </c>
      <c r="J84" s="112" t="str">
        <f>IFERROR(INDEX(TableRBCalcPts[TM],MATCH(TableRBVORP[[#This Row],[RK]],TableRBCalcPts[RK],0)),"")</f>
        <v>CAR</v>
      </c>
      <c r="K84" s="112">
        <f>IFERROR(INDEX(TableRBCalcPts[BYE],MATCH(TableRBVORP[[#This Row],[RK]],TableRBCalcPts[RK],0)),"")</f>
        <v>7</v>
      </c>
      <c r="L84" s="113">
        <f>IFERROR(INDEX(TableRBCalcPts[Custom],MATCH(TableRBVORP[[#This Row],[RK]],TableRBCalcPts[RK],0)),"")</f>
        <v>37.084329000767994</v>
      </c>
      <c r="M84" s="114">
        <f>IFERROR((TableRBVORP[[#This Row],[FPS]]-INDEX(TableRBVORP[FPS],MATCH(RBVORPCalc,TableRBVORP[RK],0)))/INDEX(TableRBVORP[FPS],MATCH(RBVORPCalc,TableRBVORP[RK],0)),"")</f>
        <v>-0.67099927999288989</v>
      </c>
      <c r="O84">
        <v>83</v>
      </c>
      <c r="P84" s="112" t="str">
        <f>IFERROR(INDEX(TableWRCalcPts[PLAYER],MATCH(TableWRVORP[[#This Row],[RK]],TableWRCalcPts[RK],0)),"")</f>
        <v>Nelson Agholor</v>
      </c>
      <c r="Q84" s="112" t="str">
        <f>IFERROR(INDEX(TableWRCalcPts[TM],MATCH(TableWRVORP[[#This Row],[RK]],TableWRCalcPts[RK],0)),"")</f>
        <v>BAL</v>
      </c>
      <c r="R84" s="112">
        <f>IFERROR(INDEX(TableWRCalcPts[BYE],MATCH(TableWRVORP[[#This Row],[RK]],TableWRCalcPts[RK],0)),"")</f>
        <v>13</v>
      </c>
      <c r="S84" s="113">
        <f>IFERROR(INDEX(TableWRCalcPts[Custom],MATCH(TableWRVORP[[#This Row],[RK]],TableWRCalcPts[RK],0)),"")</f>
        <v>85.575717441312008</v>
      </c>
      <c r="T84" s="114">
        <f>IFERROR((TableWRVORP[[#This Row],[FPS]]-INDEX(TableWRVORP[FPS],MATCH(WRVORPCalc,TableWRVORP[RK],0)))/INDEX(TableWRVORP[FPS],MATCH(WRVORPCalc,TableWRVORP[RK],0)),"")</f>
        <v>-0.40738132941548394</v>
      </c>
      <c r="V84">
        <v>83</v>
      </c>
      <c r="W84" s="112" t="str">
        <f>IFERROR(INDEX(TableTECalcPts[PLAYER],MATCH(TableTEVORP[[#This Row],[RK]],TableTECalcPts[RK],0)),"")</f>
        <v>Cole Turner</v>
      </c>
      <c r="X84" s="112" t="str">
        <f>IFERROR(INDEX(TableTECalcPts[TM],MATCH(TableTEVORP[[#This Row],[RK]],TableTECalcPts[RK],0)),"")</f>
        <v>WSH</v>
      </c>
      <c r="Y84" s="112">
        <f>IFERROR(INDEX(TableTECalcPts[BYE],MATCH(TableTEVORP[[#This Row],[RK]],TableTECalcPts[RK],0)),"")</f>
        <v>14</v>
      </c>
      <c r="Z84" s="113">
        <f>IFERROR(INDEX(TableTECalcPts[Custom],MATCH(TableTEVORP[[#This Row],[RK]],TableTECalcPts[RK],0)),"")</f>
        <v>7.0733155196480002</v>
      </c>
      <c r="AA84" s="114">
        <f>IFERROR((TableTEVORP[[#This Row],[FPS]]-INDEX(TableTEVORP[FPS],MATCH(TEVORPCalc,TableTEVORP[RK],0)))/INDEX(TableTEVORP[FPS],MATCH(TEVORPCalc,TableTEVORP[RK],0)),"")</f>
        <v>-0.94614605639480398</v>
      </c>
      <c r="AF84" t="s">
        <v>222</v>
      </c>
      <c r="AG84">
        <v>43</v>
      </c>
      <c r="AH84" s="83">
        <f>RANK(TableOverallMaster[[#This Row],[VORP]],TableOverallMaster[VORP])+COUNTIF($AM$2:AM84,AM84)-1</f>
        <v>132</v>
      </c>
      <c r="AI84" s="115" t="str">
        <f>IFERROR(INDEX(TableRBVORP[RUNNING BACK],MATCH(TableOverallMaster[[#This Row],[RK]],TableRBVORP[RK],0)),"")</f>
        <v>Chase Brown</v>
      </c>
      <c r="AJ84" s="115" t="str">
        <f t="shared" si="1"/>
        <v>RB43</v>
      </c>
      <c r="AK84" s="115">
        <f>IFERROR(INDEX(TableRBVORP[BYE],MATCH(TableOverallMaster[[#This Row],[RK]],TableRBVORP[RK],0)),"")</f>
        <v>7</v>
      </c>
      <c r="AL84" s="116">
        <f>IFERROR(INDEX(TableRBVORP[FPS],MATCH(TableOverallMaster[[#This Row],[RK]],TableRBVORP[RK],0)),"")</f>
        <v>112.90314533836799</v>
      </c>
      <c r="AM84" s="117">
        <f>IFERROR(INDEX(TableRBVORP[VORP],MATCH(TableOverallMaster[[#This Row],[RK]],TableRBVORP[RK],0)),"")</f>
        <v>1.6418554214965404E-3</v>
      </c>
      <c r="AO84">
        <v>83</v>
      </c>
      <c r="AP84" s="118" t="str">
        <f>IFERROR(INDEX(TableOverallMaster[OVERALL PLAYER],MATCH(TableOverallRank[[#This Row],[RK]],TableOverallMaster[OVR RK],0)),"")</f>
        <v>Caleb Williams</v>
      </c>
      <c r="AQ84" s="119" t="str">
        <f>IFERROR(INDEX(TableOverallMaster[POS RK],MATCH(TableOverallRank[[#This Row],[OVERALL PLAYER]],TableOverallMaster[OVERALL PLAYER],0)),"")</f>
        <v>QB11</v>
      </c>
      <c r="AR84" s="120">
        <f>IFERROR(INDEX(TableOverallMaster[BYE],MATCH(TableOverallRank[[#This Row],[OVERALL PLAYER]],TableOverallMaster[OVERALL PLAYER],0)),"")</f>
        <v>13</v>
      </c>
      <c r="AS84" s="119">
        <f>IFERROR(INDEX(TableOverallMaster[Custom],MATCH(TableOverallRank[[#This Row],[OVERALL PLAYER]],TableOverallMaster[OVERALL PLAYER],0)),"")</f>
        <v>318.25078148102403</v>
      </c>
      <c r="AT84" s="121">
        <f>IFERROR(INDEX(TableOverallMaster[VORP],MATCH(TableOverallRank[[#This Row],[OVERALL PLAYER]],TableOverallMaster[OVERALL PLAYER],0)),"")</f>
        <v>0.23232727339687956</v>
      </c>
      <c r="AV84">
        <v>83</v>
      </c>
      <c r="AW84" s="122" t="str">
        <f>IFERROR(INDEX(TableWRTECalcPts[PLAYER],MATCH(TableWRTERank[[#This Row],[RK]],TableWRTECalcPts[RK],0)),"")</f>
        <v>Jermaine Burton</v>
      </c>
      <c r="AX84" s="122" t="str">
        <f>IFERROR(INDEX(TableWRTECalcPts[POS RK],MATCH(TableWRTERank[[#This Row],[WR and TE COMBINED]],TableWRTECalcPts[PLAYER],0)),"")</f>
        <v>WR70</v>
      </c>
      <c r="AY84" s="122">
        <f>IFERROR(INDEX(TableWRTECalcPts[BYE],MATCH(TableWRTERank[[#This Row],[RK]],TableWRTECalcPts[RK],0)),"")</f>
        <v>7</v>
      </c>
      <c r="AZ84" s="123">
        <f>IFERROR(INDEX(TableWRTECalcPts[Custom],MATCH(TableWRTERank[[#This Row],[RK]],TableWRTECalcPts[RK],0)),"")</f>
        <v>118.73828249010003</v>
      </c>
      <c r="BA84" s="174">
        <f>IFERROR((TableWRTERank[[#This Row],[FPS]]-INDEX(TableWRTERank[FPS],MATCH(WRTEVORPCalc,TableWRTERank[RK],0)))/INDEX(TableWRTERank[FPS],MATCH(WRTEVORPCalc,TableWRTERank[RK],0)),"")</f>
        <v>-0.20462278580047566</v>
      </c>
      <c r="BC84" t="s">
        <v>223</v>
      </c>
      <c r="BD84">
        <v>83</v>
      </c>
      <c r="BE84" s="83">
        <f>RANK(TableWRTEMaster[[#This Row],[VORP]],TableWRTEMaster[VORP])+COUNTIF($BJ$2:BJ84,BJ84)-1</f>
        <v>109</v>
      </c>
      <c r="BF84" s="115" t="str">
        <f>IFERROR(INDEX(TableWRVORP[WIDE RECEIVER],MATCH(TableWRTEMaster[[#This Row],[RK]],TableWRVORP[RK],0)),"")</f>
        <v>Nelson Agholor</v>
      </c>
      <c r="BG84" s="115" t="str">
        <f>_xlfn.CONCAT(TableWRTEMaster[[#This Row],[POS]],TableWRTEMaster[[#This Row],[RK]])</f>
        <v>WR83</v>
      </c>
      <c r="BH84" s="115">
        <f>IFERROR(INDEX(TableWRVORP[BYE],MATCH(TableWRTEMaster[[#This Row],[RK]],TableWRVORP[RK],0)),"")</f>
        <v>13</v>
      </c>
      <c r="BI84" s="116">
        <f>IFERROR(INDEX(TableWRVORP[FPS],MATCH(TableWRTEMaster[[#This Row],[RK]],TableWRVORP[RK],0)),"")</f>
        <v>85.575717441312008</v>
      </c>
      <c r="BJ84" s="117">
        <f>IFERROR(INDEX(TableWRVORP[VORP],MATCH(TableWRTEMaster[[#This Row],[RK]],TableWRVORP[RK],0)),"")</f>
        <v>-0.40738132941548394</v>
      </c>
    </row>
    <row r="85" spans="1:62" x14ac:dyDescent="0.2">
      <c r="A85">
        <v>84</v>
      </c>
      <c r="B85" s="112" t="str">
        <f>IFERROR(INDEX(TableQBCalcPts[PLAYER],MATCH(TableQBVORP[[#This Row],[RK]],TableQBCalcPts[RK],0)),"")</f>
        <v/>
      </c>
      <c r="C85" s="112" t="str">
        <f>IFERROR(INDEX(TableQBCalcPts[TM],MATCH(TableQBVORP[[#This Row],[RK]],TableQBCalcPts[RK],0)),"")</f>
        <v/>
      </c>
      <c r="D85" s="112" t="str">
        <f>IFERROR(INDEX(TableQBCalcPts[BYE],MATCH(TableQBVORP[[#This Row],[RK]],TableQBCalcPts[RK],0)),"")</f>
        <v/>
      </c>
      <c r="E85" s="113" t="str">
        <f>IFERROR(INDEX(TableQBCalcPts[Custom],MATCH(TableQBVORP[[#This Row],[RK]],TableQBCalcPts[RK],0)),"")</f>
        <v/>
      </c>
      <c r="F8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5">
        <v>84</v>
      </c>
      <c r="I85" s="112" t="str">
        <f>IFERROR(INDEX(TableRBCalcPts[PLAYER],MATCH(TableRBVORP[[#This Row],[RK]],TableRBCalcPts[RK],0)),"")</f>
        <v>Israel Abanikanda</v>
      </c>
      <c r="J85" s="112" t="str">
        <f>IFERROR(INDEX(TableRBCalcPts[TM],MATCH(TableRBVORP[[#This Row],[RK]],TableRBCalcPts[RK],0)),"")</f>
        <v>NYJ</v>
      </c>
      <c r="K85" s="112">
        <f>IFERROR(INDEX(TableRBCalcPts[BYE],MATCH(TableRBVORP[[#This Row],[RK]],TableRBCalcPts[RK],0)),"")</f>
        <v>7</v>
      </c>
      <c r="L85" s="113">
        <f>IFERROR(INDEX(TableRBCalcPts[Custom],MATCH(TableRBVORP[[#This Row],[RK]],TableRBCalcPts[RK],0)),"")</f>
        <v>33.195925074849605</v>
      </c>
      <c r="M85" s="114">
        <f>IFERROR((TableRBVORP[[#This Row],[FPS]]-INDEX(TableRBVORP[FPS],MATCH(RBVORPCalc,TableRBVORP[RK],0)))/INDEX(TableRBVORP[FPS],MATCH(RBVORPCalc,TableRBVORP[RK],0)),"")</f>
        <v>-0.70549599938288154</v>
      </c>
      <c r="O85">
        <v>84</v>
      </c>
      <c r="P85" s="112" t="str">
        <f>IFERROR(INDEX(TableWRCalcPts[PLAYER],MATCH(TableWRVORP[[#This Row],[RK]],TableWRCalcPts[RK],0)),"")</f>
        <v>Greg Dortch</v>
      </c>
      <c r="Q85" s="112" t="str">
        <f>IFERROR(INDEX(TableWRCalcPts[TM],MATCH(TableWRVORP[[#This Row],[RK]],TableWRCalcPts[RK],0)),"")</f>
        <v>ARI</v>
      </c>
      <c r="R85" s="112">
        <f>IFERROR(INDEX(TableWRCalcPts[BYE],MATCH(TableWRVORP[[#This Row],[RK]],TableWRCalcPts[RK],0)),"")</f>
        <v>14</v>
      </c>
      <c r="S85" s="113">
        <f>IFERROR(INDEX(TableWRCalcPts[Custom],MATCH(TableWRVORP[[#This Row],[RK]],TableWRCalcPts[RK],0)),"")</f>
        <v>85.462192509750011</v>
      </c>
      <c r="T85" s="114">
        <f>IFERROR((TableWRVORP[[#This Row],[FPS]]-INDEX(TableWRVORP[FPS],MATCH(WRVORPCalc,TableWRVORP[RK],0)))/INDEX(TableWRVORP[FPS],MATCH(WRVORPCalc,TableWRVORP[RK],0)),"")</f>
        <v>-0.40816749862366625</v>
      </c>
      <c r="V85">
        <v>84</v>
      </c>
      <c r="W85" s="112" t="str">
        <f>IFERROR(INDEX(TableTECalcPts[PLAYER],MATCH(TableTEVORP[[#This Row],[RK]],TableTECalcPts[RK],0)),"")</f>
        <v>Payne Durham</v>
      </c>
      <c r="X85" s="112" t="str">
        <f>IFERROR(INDEX(TableTECalcPts[TM],MATCH(TableTEVORP[[#This Row],[RK]],TableTECalcPts[RK],0)),"")</f>
        <v>TB</v>
      </c>
      <c r="Y85" s="112">
        <f>IFERROR(INDEX(TableTECalcPts[BYE],MATCH(TableTEVORP[[#This Row],[RK]],TableTECalcPts[RK],0)),"")</f>
        <v>5</v>
      </c>
      <c r="Z85" s="113">
        <f>IFERROR(INDEX(TableTECalcPts[Custom],MATCH(TableTEVORP[[#This Row],[RK]],TableTECalcPts[RK],0)),"")</f>
        <v>6.6706367481600006</v>
      </c>
      <c r="AA85" s="114">
        <f>IFERROR((TableTEVORP[[#This Row],[FPS]]-INDEX(TableTEVORP[FPS],MATCH(TEVORPCalc,TableTEVORP[RK],0)))/INDEX(TableTEVORP[FPS],MATCH(TEVORPCalc,TableTEVORP[RK],0)),"")</f>
        <v>-0.94921192271880528</v>
      </c>
      <c r="AF85" t="s">
        <v>222</v>
      </c>
      <c r="AG85">
        <v>44</v>
      </c>
      <c r="AH85" s="83">
        <f>RANK(TableOverallMaster[[#This Row],[VORP]],TableOverallMaster[VORP])+COUNTIF($AM$2:AM85,AM85)-1</f>
        <v>136</v>
      </c>
      <c r="AI85" s="115" t="str">
        <f>IFERROR(INDEX(TableRBVORP[RUNNING BACK],MATCH(TableOverallMaster[[#This Row],[RK]],TableRBVORP[RK],0)),"")</f>
        <v>Jerome Ford</v>
      </c>
      <c r="AJ85" s="115" t="str">
        <f t="shared" si="1"/>
        <v>RB44</v>
      </c>
      <c r="AK85" s="115">
        <f>IFERROR(INDEX(TableRBVORP[BYE],MATCH(TableOverallMaster[[#This Row],[RK]],TableRBVORP[RK],0)),"")</f>
        <v>5</v>
      </c>
      <c r="AL85" s="116">
        <f>IFERROR(INDEX(TableRBVORP[FPS],MATCH(TableOverallMaster[[#This Row],[RK]],TableRBVORP[RK],0)),"")</f>
        <v>112.71807855</v>
      </c>
      <c r="AM85" s="117">
        <f>IFERROR(INDEX(TableRBVORP[VORP],MATCH(TableOverallMaster[[#This Row],[RK]],TableRBVORP[RK],0)),"")</f>
        <v>0</v>
      </c>
      <c r="AO85">
        <v>84</v>
      </c>
      <c r="AP85" s="118" t="str">
        <f>IFERROR(INDEX(TableOverallMaster[OVERALL PLAYER],MATCH(TableOverallRank[[#This Row],[RK]],TableOverallMaster[OVR RK],0)),"")</f>
        <v>Kyle Pitts</v>
      </c>
      <c r="AQ85" s="119" t="str">
        <f>IFERROR(INDEX(TableOverallMaster[POS RK],MATCH(TableOverallRank[[#This Row],[OVERALL PLAYER]],TableOverallMaster[OVERALL PLAYER],0)),"")</f>
        <v>TE5</v>
      </c>
      <c r="AR85" s="120">
        <f>IFERROR(INDEX(TableOverallMaster[BYE],MATCH(TableOverallRank[[#This Row],[OVERALL PLAYER]],TableOverallMaster[OVERALL PLAYER],0)),"")</f>
        <v>11</v>
      </c>
      <c r="AS85" s="119">
        <f>IFERROR(INDEX(TableOverallMaster[Custom],MATCH(TableOverallRank[[#This Row],[OVERALL PLAYER]],TableOverallMaster[OVERALL PLAYER],0)),"")</f>
        <v>161.83872421516796</v>
      </c>
      <c r="AT85" s="121">
        <f>IFERROR(INDEX(TableOverallMaster[VORP],MATCH(TableOverallRank[[#This Row],[OVERALL PLAYER]],TableOverallMaster[OVERALL PLAYER],0)),"")</f>
        <v>0.23218786194543312</v>
      </c>
      <c r="AV85">
        <v>84</v>
      </c>
      <c r="AW85" s="122" t="str">
        <f>IFERROR(INDEX(TableWRTECalcPts[PLAYER],MATCH(TableWRTERank[[#This Row],[RK]],TableWRTECalcPts[RK],0)),"")</f>
        <v>Adam Thielen</v>
      </c>
      <c r="AX85" s="122" t="str">
        <f>IFERROR(INDEX(TableWRTECalcPts[POS RK],MATCH(TableWRTERank[[#This Row],[WR and TE COMBINED]],TableWRTECalcPts[PLAYER],0)),"")</f>
        <v>WR71</v>
      </c>
      <c r="AY85" s="122">
        <f>IFERROR(INDEX(TableWRTECalcPts[BYE],MATCH(TableWRTERank[[#This Row],[RK]],TableWRTECalcPts[RK],0)),"")</f>
        <v>7</v>
      </c>
      <c r="AZ85" s="123">
        <f>IFERROR(INDEX(TableWRTECalcPts[Custom],MATCH(TableWRTERank[[#This Row],[RK]],TableWRTECalcPts[RK],0)),"")</f>
        <v>117.82870796050199</v>
      </c>
      <c r="BA85" s="174">
        <f>IFERROR((TableWRTERank[[#This Row],[FPS]]-INDEX(TableWRTERank[FPS],MATCH(WRTEVORPCalc,TableWRTERank[RK],0)))/INDEX(TableWRTERank[FPS],MATCH(WRTEVORPCalc,TableWRTERank[RK],0)),"")</f>
        <v>-0.21071563841958657</v>
      </c>
      <c r="BC85" t="s">
        <v>223</v>
      </c>
      <c r="BD85">
        <v>84</v>
      </c>
      <c r="BE85" s="83">
        <f>RANK(TableWRTEMaster[[#This Row],[VORP]],TableWRTEMaster[VORP])+COUNTIF($BJ$2:BJ85,BJ85)-1</f>
        <v>110</v>
      </c>
      <c r="BF85" s="115" t="str">
        <f>IFERROR(INDEX(TableWRVORP[WIDE RECEIVER],MATCH(TableWRTEMaster[[#This Row],[RK]],TableWRVORP[RK],0)),"")</f>
        <v>Greg Dortch</v>
      </c>
      <c r="BG85" s="115" t="str">
        <f>_xlfn.CONCAT(TableWRTEMaster[[#This Row],[POS]],TableWRTEMaster[[#This Row],[RK]])</f>
        <v>WR84</v>
      </c>
      <c r="BH85" s="115">
        <f>IFERROR(INDEX(TableWRVORP[BYE],MATCH(TableWRTEMaster[[#This Row],[RK]],TableWRVORP[RK],0)),"")</f>
        <v>14</v>
      </c>
      <c r="BI85" s="116">
        <f>IFERROR(INDEX(TableWRVORP[FPS],MATCH(TableWRTEMaster[[#This Row],[RK]],TableWRVORP[RK],0)),"")</f>
        <v>85.462192509750011</v>
      </c>
      <c r="BJ85" s="117">
        <f>IFERROR(INDEX(TableWRVORP[VORP],MATCH(TableWRTEMaster[[#This Row],[RK]],TableWRVORP[RK],0)),"")</f>
        <v>-0.40816749862366625</v>
      </c>
    </row>
    <row r="86" spans="1:62" x14ac:dyDescent="0.2">
      <c r="A86">
        <v>85</v>
      </c>
      <c r="B86" s="112" t="str">
        <f>IFERROR(INDEX(TableQBCalcPts[PLAYER],MATCH(TableQBVORP[[#This Row],[RK]],TableQBCalcPts[RK],0)),"")</f>
        <v/>
      </c>
      <c r="C86" s="112" t="str">
        <f>IFERROR(INDEX(TableQBCalcPts[TM],MATCH(TableQBVORP[[#This Row],[RK]],TableQBCalcPts[RK],0)),"")</f>
        <v/>
      </c>
      <c r="D86" s="112" t="str">
        <f>IFERROR(INDEX(TableQBCalcPts[BYE],MATCH(TableQBVORP[[#This Row],[RK]],TableQBCalcPts[RK],0)),"")</f>
        <v/>
      </c>
      <c r="E86" s="113" t="str">
        <f>IFERROR(INDEX(TableQBCalcPts[Custom],MATCH(TableQBVORP[[#This Row],[RK]],TableQBCalcPts[RK],0)),"")</f>
        <v/>
      </c>
      <c r="F8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6">
        <v>85</v>
      </c>
      <c r="I86" s="112" t="str">
        <f>IFERROR(INDEX(TableRBCalcPts[PLAYER],MATCH(TableRBVORP[[#This Row],[RK]],TableRBCalcPts[RK],0)),"")</f>
        <v>D'Ernest Johnson</v>
      </c>
      <c r="J86" s="112" t="str">
        <f>IFERROR(INDEX(TableRBCalcPts[TM],MATCH(TableRBVORP[[#This Row],[RK]],TableRBCalcPts[RK],0)),"")</f>
        <v>JAX</v>
      </c>
      <c r="K86" s="112">
        <f>IFERROR(INDEX(TableRBCalcPts[BYE],MATCH(TableRBVORP[[#This Row],[RK]],TableRBCalcPts[RK],0)),"")</f>
        <v>9</v>
      </c>
      <c r="L86" s="113">
        <f>IFERROR(INDEX(TableRBCalcPts[Custom],MATCH(TableRBVORP[[#This Row],[RK]],TableRBCalcPts[RK],0)),"")</f>
        <v>29.691011263031999</v>
      </c>
      <c r="M86" s="114">
        <f>IFERROR((TableRBVORP[[#This Row],[FPS]]-INDEX(TableRBVORP[FPS],MATCH(RBVORPCalc,TableRBVORP[RK],0)))/INDEX(TableRBVORP[FPS],MATCH(RBVORPCalc,TableRBVORP[RK],0)),"")</f>
        <v>-0.73659051285316646</v>
      </c>
      <c r="O86">
        <v>85</v>
      </c>
      <c r="P86" s="112" t="str">
        <f>IFERROR(INDEX(TableWRCalcPts[PLAYER],MATCH(TableWRVORP[[#This Row],[RK]],TableWRCalcPts[RK],0)),"")</f>
        <v>Elijah Moore</v>
      </c>
      <c r="Q86" s="112" t="str">
        <f>IFERROR(INDEX(TableWRCalcPts[TM],MATCH(TableWRVORP[[#This Row],[RK]],TableWRCalcPts[RK],0)),"")</f>
        <v>CLE</v>
      </c>
      <c r="R86" s="112">
        <f>IFERROR(INDEX(TableWRCalcPts[BYE],MATCH(TableWRVORP[[#This Row],[RK]],TableWRCalcPts[RK],0)),"")</f>
        <v>5</v>
      </c>
      <c r="S86" s="113">
        <f>IFERROR(INDEX(TableWRCalcPts[Custom],MATCH(TableWRVORP[[#This Row],[RK]],TableWRCalcPts[RK],0)),"")</f>
        <v>84.639138333749997</v>
      </c>
      <c r="T86" s="114">
        <f>IFERROR((TableWRVORP[[#This Row],[FPS]]-INDEX(TableWRVORP[FPS],MATCH(WRVORPCalc,TableWRVORP[RK],0)))/INDEX(TableWRVORP[FPS],MATCH(WRVORPCalc,TableWRVORP[RK],0)),"")</f>
        <v>-0.41386721445642766</v>
      </c>
      <c r="V86">
        <v>85</v>
      </c>
      <c r="W86" s="112" t="str">
        <f>IFERROR(INDEX(TableTECalcPts[PLAYER],MATCH(TableTEVORP[[#This Row],[RK]],TableTECalcPts[RK],0)),"")</f>
        <v>Quintin Morris</v>
      </c>
      <c r="X86" s="112" t="str">
        <f>IFERROR(INDEX(TableTECalcPts[TM],MATCH(TableTEVORP[[#This Row],[RK]],TableTECalcPts[RK],0)),"")</f>
        <v>BUF</v>
      </c>
      <c r="Y86" s="112">
        <f>IFERROR(INDEX(TableTECalcPts[BYE],MATCH(TableTEVORP[[#This Row],[RK]],TableTECalcPts[RK],0)),"")</f>
        <v>13</v>
      </c>
      <c r="Z86" s="113">
        <f>IFERROR(INDEX(TableTECalcPts[Custom],MATCH(TableTEVORP[[#This Row],[RK]],TableTECalcPts[RK],0)),"")</f>
        <v>6.5208368332799989</v>
      </c>
      <c r="AA86" s="114">
        <f>IFERROR((TableTEVORP[[#This Row],[FPS]]-INDEX(TableTEVORP[FPS],MATCH(TEVORPCalc,TableTEVORP[RK],0)))/INDEX(TableTEVORP[FPS],MATCH(TEVORPCalc,TableTEVORP[RK],0)),"")</f>
        <v>-0.9503524509683372</v>
      </c>
      <c r="AF86" t="s">
        <v>222</v>
      </c>
      <c r="AG86">
        <v>45</v>
      </c>
      <c r="AH86" s="83">
        <f>RANK(TableOverallMaster[[#This Row],[VORP]],TableOverallMaster[VORP])+COUNTIF($AM$2:AM86,AM86)-1</f>
        <v>139</v>
      </c>
      <c r="AI86" s="115" t="str">
        <f>IFERROR(INDEX(TableRBVORP[RUNNING BACK],MATCH(TableOverallMaster[[#This Row],[RK]],TableRBVORP[RK],0)),"")</f>
        <v>Antonio Gibson</v>
      </c>
      <c r="AJ86" s="115" t="str">
        <f t="shared" si="1"/>
        <v>RB45</v>
      </c>
      <c r="AK86" s="115">
        <f>IFERROR(INDEX(TableRBVORP[BYE],MATCH(TableOverallMaster[[#This Row],[RK]],TableRBVORP[RK],0)),"")</f>
        <v>11</v>
      </c>
      <c r="AL86" s="116">
        <f>IFERROR(INDEX(TableRBVORP[FPS],MATCH(TableOverallMaster[[#This Row],[RK]],TableRBVORP[RK],0)),"")</f>
        <v>112.358046343648</v>
      </c>
      <c r="AM86" s="117">
        <f>IFERROR(INDEX(TableRBVORP[VORP],MATCH(TableOverallMaster[[#This Row],[RK]],TableRBVORP[RK],0)),"")</f>
        <v>-3.1940946029549088E-3</v>
      </c>
      <c r="AO86">
        <v>85</v>
      </c>
      <c r="AP86" s="118" t="str">
        <f>IFERROR(INDEX(TableOverallMaster[OVERALL PLAYER],MATCH(TableOverallRank[[#This Row],[RK]],TableOverallMaster[OVR RK],0)),"")</f>
        <v>Tank Dell</v>
      </c>
      <c r="AQ86" s="119" t="str">
        <f>IFERROR(INDEX(TableOverallMaster[POS RK],MATCH(TableOverallRank[[#This Row],[OVERALL PLAYER]],TableOverallMaster[OVERALL PLAYER],0)),"")</f>
        <v>WR31</v>
      </c>
      <c r="AR86" s="120">
        <f>IFERROR(INDEX(TableOverallMaster[BYE],MATCH(TableOverallRank[[#This Row],[OVERALL PLAYER]],TableOverallMaster[OVERALL PLAYER],0)),"")</f>
        <v>7</v>
      </c>
      <c r="AS86" s="119">
        <f>IFERROR(INDEX(TableOverallMaster[Custom],MATCH(TableOverallRank[[#This Row],[OVERALL PLAYER]],TableOverallMaster[OVERALL PLAYER],0)),"")</f>
        <v>177.76265426399999</v>
      </c>
      <c r="AT86" s="121">
        <f>IFERROR(INDEX(TableOverallMaster[VORP],MATCH(TableOverallRank[[#This Row],[OVERALL PLAYER]],TableOverallMaster[OVERALL PLAYER],0)),"")</f>
        <v>0.23102056283375899</v>
      </c>
      <c r="AV86">
        <v>85</v>
      </c>
      <c r="AW86" s="122" t="str">
        <f>IFERROR(INDEX(TableWRTECalcPts[PLAYER],MATCH(TableWRTERank[[#This Row],[RK]],TableWRTECalcPts[RK],0)),"")</f>
        <v>Malachi Corley</v>
      </c>
      <c r="AX86" s="122" t="str">
        <f>IFERROR(INDEX(TableWRTECalcPts[POS RK],MATCH(TableWRTERank[[#This Row],[WR and TE COMBINED]],TableWRTECalcPts[PLAYER],0)),"")</f>
        <v>WR72</v>
      </c>
      <c r="AY86" s="122">
        <f>IFERROR(INDEX(TableWRTECalcPts[BYE],MATCH(TableWRTERank[[#This Row],[RK]],TableWRTECalcPts[RK],0)),"")</f>
        <v>7</v>
      </c>
      <c r="AZ86" s="123">
        <f>IFERROR(INDEX(TableWRTECalcPts[Custom],MATCH(TableWRTERank[[#This Row],[RK]],TableWRTECalcPts[RK],0)),"")</f>
        <v>115.7540979246848</v>
      </c>
      <c r="BA86" s="174">
        <f>IFERROR((TableWRTERank[[#This Row],[FPS]]-INDEX(TableWRTERank[FPS],MATCH(WRTEVORPCalc,TableWRTERank[RK],0)))/INDEX(TableWRTERank[FPS],MATCH(WRTEVORPCalc,TableWRTERank[RK],0)),"")</f>
        <v>-0.22461256800483831</v>
      </c>
      <c r="BC86" t="s">
        <v>223</v>
      </c>
      <c r="BD86">
        <v>85</v>
      </c>
      <c r="BE86" s="83">
        <f>RANK(TableWRTEMaster[[#This Row],[VORP]],TableWRTEMaster[VORP])+COUNTIF($BJ$2:BJ86,BJ86)-1</f>
        <v>112</v>
      </c>
      <c r="BF86" s="115" t="str">
        <f>IFERROR(INDEX(TableWRVORP[WIDE RECEIVER],MATCH(TableWRTEMaster[[#This Row],[RK]],TableWRVORP[RK],0)),"")</f>
        <v>Elijah Moore</v>
      </c>
      <c r="BG86" s="115" t="str">
        <f>_xlfn.CONCAT(TableWRTEMaster[[#This Row],[POS]],TableWRTEMaster[[#This Row],[RK]])</f>
        <v>WR85</v>
      </c>
      <c r="BH86" s="115">
        <f>IFERROR(INDEX(TableWRVORP[BYE],MATCH(TableWRTEMaster[[#This Row],[RK]],TableWRVORP[RK],0)),"")</f>
        <v>5</v>
      </c>
      <c r="BI86" s="116">
        <f>IFERROR(INDEX(TableWRVORP[FPS],MATCH(TableWRTEMaster[[#This Row],[RK]],TableWRVORP[RK],0)),"")</f>
        <v>84.639138333749997</v>
      </c>
      <c r="BJ86" s="117">
        <f>IFERROR(INDEX(TableWRVORP[VORP],MATCH(TableWRTEMaster[[#This Row],[RK]],TableWRVORP[RK],0)),"")</f>
        <v>-0.41386721445642766</v>
      </c>
    </row>
    <row r="87" spans="1:62" x14ac:dyDescent="0.2">
      <c r="A87">
        <v>86</v>
      </c>
      <c r="B87" s="112" t="str">
        <f>IFERROR(INDEX(TableQBCalcPts[PLAYER],MATCH(TableQBVORP[[#This Row],[RK]],TableQBCalcPts[RK],0)),"")</f>
        <v/>
      </c>
      <c r="C87" s="112" t="str">
        <f>IFERROR(INDEX(TableQBCalcPts[TM],MATCH(TableQBVORP[[#This Row],[RK]],TableQBCalcPts[RK],0)),"")</f>
        <v/>
      </c>
      <c r="D87" s="112" t="str">
        <f>IFERROR(INDEX(TableQBCalcPts[BYE],MATCH(TableQBVORP[[#This Row],[RK]],TableQBCalcPts[RK],0)),"")</f>
        <v/>
      </c>
      <c r="E87" s="113" t="str">
        <f>IFERROR(INDEX(TableQBCalcPts[Custom],MATCH(TableQBVORP[[#This Row],[RK]],TableQBCalcPts[RK],0)),"")</f>
        <v/>
      </c>
      <c r="F8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7">
        <v>86</v>
      </c>
      <c r="I87" s="112" t="str">
        <f>IFERROR(INDEX(TableRBCalcPts[PLAYER],MATCH(TableRBVORP[[#This Row],[RK]],TableRBCalcPts[RK],0)),"")</f>
        <v>Kenny McIntosh</v>
      </c>
      <c r="J87" s="112" t="str">
        <f>IFERROR(INDEX(TableRBCalcPts[TM],MATCH(TableRBVORP[[#This Row],[RK]],TableRBCalcPts[RK],0)),"")</f>
        <v>SEA</v>
      </c>
      <c r="K87" s="112">
        <f>IFERROR(INDEX(TableRBCalcPts[BYE],MATCH(TableRBVORP[[#This Row],[RK]],TableRBCalcPts[RK],0)),"")</f>
        <v>5</v>
      </c>
      <c r="L87" s="113">
        <f>IFERROR(INDEX(TableRBCalcPts[Custom],MATCH(TableRBVORP[[#This Row],[RK]],TableRBCalcPts[RK],0)),"")</f>
        <v>28.830867027374996</v>
      </c>
      <c r="M87" s="114">
        <f>IFERROR((TableRBVORP[[#This Row],[FPS]]-INDEX(TableRBVORP[FPS],MATCH(RBVORPCalc,TableRBVORP[RK],0)))/INDEX(TableRBVORP[FPS],MATCH(RBVORPCalc,TableRBVORP[RK],0)),"")</f>
        <v>-0.74422144700962001</v>
      </c>
      <c r="O87">
        <v>86</v>
      </c>
      <c r="P87" s="112" t="str">
        <f>IFERROR(INDEX(TableWRCalcPts[PLAYER],MATCH(TableWRVORP[[#This Row],[RK]],TableWRCalcPts[RK],0)),"")</f>
        <v>Jalen Tolbert</v>
      </c>
      <c r="Q87" s="112" t="str">
        <f>IFERROR(INDEX(TableWRCalcPts[TM],MATCH(TableWRVORP[[#This Row],[RK]],TableWRCalcPts[RK],0)),"")</f>
        <v>DAL</v>
      </c>
      <c r="R87" s="112">
        <f>IFERROR(INDEX(TableWRCalcPts[BYE],MATCH(TableWRVORP[[#This Row],[RK]],TableWRCalcPts[RK],0)),"")</f>
        <v>7</v>
      </c>
      <c r="S87" s="113">
        <f>IFERROR(INDEX(TableWRCalcPts[Custom],MATCH(TableWRVORP[[#This Row],[RK]],TableWRCalcPts[RK],0)),"")</f>
        <v>84.097540023587982</v>
      </c>
      <c r="T87" s="114">
        <f>IFERROR((TableWRVORP[[#This Row],[FPS]]-INDEX(TableWRVORP[FPS],MATCH(WRVORPCalc,TableWRVORP[RK],0)))/INDEX(TableWRVORP[FPS],MATCH(WRVORPCalc,TableWRVORP[RK],0)),"")</f>
        <v>-0.41761782596347286</v>
      </c>
      <c r="V87">
        <v>86</v>
      </c>
      <c r="W87" s="112" t="str">
        <f>IFERROR(INDEX(TableTECalcPts[PLAYER],MATCH(TableTEVORP[[#This Row],[RK]],TableTECalcPts[RK],0)),"")</f>
        <v/>
      </c>
      <c r="X87" s="112" t="str">
        <f>IFERROR(INDEX(TableTECalcPts[TM],MATCH(TableTEVORP[[#This Row],[RK]],TableTECalcPts[RK],0)),"")</f>
        <v/>
      </c>
      <c r="Y87" s="112" t="str">
        <f>IFERROR(INDEX(TableTECalcPts[BYE],MATCH(TableTEVORP[[#This Row],[RK]],TableTECalcPts[RK],0)),"")</f>
        <v/>
      </c>
      <c r="Z87" s="113" t="str">
        <f>IFERROR(INDEX(TableTECalcPts[Custom],MATCH(TableTEVORP[[#This Row],[RK]],TableTECalcPts[RK],0)),"")</f>
        <v/>
      </c>
      <c r="AA87" s="114" t="str">
        <f>IFERROR((TableTEVORP[[#This Row],[FPS]]-INDEX(TableTEVORP[FPS],MATCH(TEVORPCalc,TableTEVORP[RK],0)))/INDEX(TableTEVORP[FPS],MATCH(TEVORPCalc,TableTEVORP[RK],0)),"")</f>
        <v/>
      </c>
      <c r="AF87" t="s">
        <v>222</v>
      </c>
      <c r="AG87">
        <v>46</v>
      </c>
      <c r="AH87" s="83">
        <f>RANK(TableOverallMaster[[#This Row],[VORP]],TableOverallMaster[VORP])+COUNTIF($AM$2:AM87,AM87)-1</f>
        <v>140</v>
      </c>
      <c r="AI87" s="115" t="str">
        <f>IFERROR(INDEX(TableRBVORP[RUNNING BACK],MATCH(TableOverallMaster[[#This Row],[RK]],TableRBVORP[RK],0)),"")</f>
        <v>Jonathon Brooks</v>
      </c>
      <c r="AJ87" s="115" t="str">
        <f t="shared" si="1"/>
        <v>RB46</v>
      </c>
      <c r="AK87" s="115">
        <f>IFERROR(INDEX(TableRBVORP[BYE],MATCH(TableOverallMaster[[#This Row],[RK]],TableRBVORP[RK],0)),"")</f>
        <v>7</v>
      </c>
      <c r="AL87" s="116">
        <f>IFERROR(INDEX(TableRBVORP[FPS],MATCH(TableOverallMaster[[#This Row],[RK]],TableRBVORP[RK],0)),"")</f>
        <v>111.15842767764001</v>
      </c>
      <c r="AM87" s="117">
        <f>IFERROR(INDEX(TableRBVORP[VORP],MATCH(TableOverallMaster[[#This Row],[RK]],TableRBVORP[RK],0)),"")</f>
        <v>-1.3836741119288671E-2</v>
      </c>
      <c r="AO87">
        <v>86</v>
      </c>
      <c r="AP87" s="118" t="str">
        <f>IFERROR(INDEX(TableOverallMaster[OVERALL PLAYER],MATCH(TableOverallRank[[#This Row],[RK]],TableOverallMaster[OVR RK],0)),"")</f>
        <v>Brian Thomas</v>
      </c>
      <c r="AQ87" s="119" t="str">
        <f>IFERROR(INDEX(TableOverallMaster[POS RK],MATCH(TableOverallRank[[#This Row],[OVERALL PLAYER]],TableOverallMaster[OVERALL PLAYER],0)),"")</f>
        <v>WR32</v>
      </c>
      <c r="AR87" s="120">
        <f>IFERROR(INDEX(TableOverallMaster[BYE],MATCH(TableOverallRank[[#This Row],[OVERALL PLAYER]],TableOverallMaster[OVERALL PLAYER],0)),"")</f>
        <v>9</v>
      </c>
      <c r="AS87" s="119">
        <f>IFERROR(INDEX(TableOverallMaster[Custom],MATCH(TableOverallRank[[#This Row],[OVERALL PLAYER]],TableOverallMaster[OVERALL PLAYER],0)),"")</f>
        <v>177.04765259999994</v>
      </c>
      <c r="AT87" s="121">
        <f>IFERROR(INDEX(TableOverallMaster[VORP],MATCH(TableOverallRank[[#This Row],[OVERALL PLAYER]],TableOverallMaster[OVERALL PLAYER],0)),"")</f>
        <v>0.22606911926711848</v>
      </c>
      <c r="AV87">
        <v>86</v>
      </c>
      <c r="AW87" s="122" t="str">
        <f>IFERROR(INDEX(TableWRTECalcPts[PLAYER],MATCH(TableWRTERank[[#This Row],[RK]],TableWRTECalcPts[RK],0)),"")</f>
        <v>Adonai Mitchell</v>
      </c>
      <c r="AX87" s="122" t="str">
        <f>IFERROR(INDEX(TableWRTECalcPts[POS RK],MATCH(TableWRTERank[[#This Row],[WR and TE COMBINED]],TableWRTECalcPts[PLAYER],0)),"")</f>
        <v>WR73</v>
      </c>
      <c r="AY87" s="122">
        <f>IFERROR(INDEX(TableWRTECalcPts[BYE],MATCH(TableWRTERank[[#This Row],[RK]],TableWRTECalcPts[RK],0)),"")</f>
        <v>11</v>
      </c>
      <c r="AZ87" s="123">
        <f>IFERROR(INDEX(TableWRTECalcPts[Custom],MATCH(TableWRTERank[[#This Row],[RK]],TableWRTECalcPts[RK],0)),"")</f>
        <v>114.04083314624</v>
      </c>
      <c r="BA87" s="174">
        <f>IFERROR((TableWRTERank[[#This Row],[FPS]]-INDEX(TableWRTERank[FPS],MATCH(WRTEVORPCalc,TableWRTERank[RK],0)))/INDEX(TableWRTERank[FPS],MATCH(WRTEVORPCalc,TableWRTERank[RK],0)),"")</f>
        <v>-0.236088999515284</v>
      </c>
      <c r="BC87" t="s">
        <v>223</v>
      </c>
      <c r="BD87">
        <v>86</v>
      </c>
      <c r="BE87" s="83">
        <f>RANK(TableWRTEMaster[[#This Row],[VORP]],TableWRTEMaster[VORP])+COUNTIF($BJ$2:BJ87,BJ87)-1</f>
        <v>113</v>
      </c>
      <c r="BF87" s="115" t="str">
        <f>IFERROR(INDEX(TableWRVORP[WIDE RECEIVER],MATCH(TableWRTEMaster[[#This Row],[RK]],TableWRVORP[RK],0)),"")</f>
        <v>Jalen Tolbert</v>
      </c>
      <c r="BG87" s="115" t="str">
        <f>_xlfn.CONCAT(TableWRTEMaster[[#This Row],[POS]],TableWRTEMaster[[#This Row],[RK]])</f>
        <v>WR86</v>
      </c>
      <c r="BH87" s="115">
        <f>IFERROR(INDEX(TableWRVORP[BYE],MATCH(TableWRTEMaster[[#This Row],[RK]],TableWRVORP[RK],0)),"")</f>
        <v>7</v>
      </c>
      <c r="BI87" s="116">
        <f>IFERROR(INDEX(TableWRVORP[FPS],MATCH(TableWRTEMaster[[#This Row],[RK]],TableWRVORP[RK],0)),"")</f>
        <v>84.097540023587982</v>
      </c>
      <c r="BJ87" s="117">
        <f>IFERROR(INDEX(TableWRVORP[VORP],MATCH(TableWRTEMaster[[#This Row],[RK]],TableWRVORP[RK],0)),"")</f>
        <v>-0.41761782596347286</v>
      </c>
    </row>
    <row r="88" spans="1:62" x14ac:dyDescent="0.2">
      <c r="A88">
        <v>87</v>
      </c>
      <c r="B88" s="112" t="str">
        <f>IFERROR(INDEX(TableQBCalcPts[PLAYER],MATCH(TableQBVORP[[#This Row],[RK]],TableQBCalcPts[RK],0)),"")</f>
        <v/>
      </c>
      <c r="C88" s="112" t="str">
        <f>IFERROR(INDEX(TableQBCalcPts[TM],MATCH(TableQBVORP[[#This Row],[RK]],TableQBCalcPts[RK],0)),"")</f>
        <v/>
      </c>
      <c r="D88" s="112" t="str">
        <f>IFERROR(INDEX(TableQBCalcPts[BYE],MATCH(TableQBVORP[[#This Row],[RK]],TableQBCalcPts[RK],0)),"")</f>
        <v/>
      </c>
      <c r="E88" s="113" t="str">
        <f>IFERROR(INDEX(TableQBCalcPts[Custom],MATCH(TableQBVORP[[#This Row],[RK]],TableQBCalcPts[RK],0)),"")</f>
        <v/>
      </c>
      <c r="F8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8">
        <v>87</v>
      </c>
      <c r="I88" s="112" t="str">
        <f>IFERROR(INDEX(TableRBCalcPts[PLAYER],MATCH(TableRBVORP[[#This Row],[RK]],TableRBCalcPts[RK],0)),"")</f>
        <v>Michael Carter</v>
      </c>
      <c r="J88" s="112" t="str">
        <f>IFERROR(INDEX(TableRBCalcPts[TM],MATCH(TableRBVORP[[#This Row],[RK]],TableRBCalcPts[RK],0)),"")</f>
        <v>ARI</v>
      </c>
      <c r="K88" s="112">
        <f>IFERROR(INDEX(TableRBCalcPts[BYE],MATCH(TableRBVORP[[#This Row],[RK]],TableRBCalcPts[RK],0)),"")</f>
        <v>14</v>
      </c>
      <c r="L88" s="113">
        <f>IFERROR(INDEX(TableRBCalcPts[Custom],MATCH(TableRBVORP[[#This Row],[RK]],TableRBCalcPts[RK],0)),"")</f>
        <v>28.2512233269</v>
      </c>
      <c r="M88" s="114">
        <f>IFERROR((TableRBVORP[[#This Row],[FPS]]-INDEX(TableRBVORP[FPS],MATCH(RBVORPCalc,TableRBVORP[RK],0)))/INDEX(TableRBVORP[FPS],MATCH(RBVORPCalc,TableRBVORP[RK],0)),"")</f>
        <v>-0.74936386700055224</v>
      </c>
      <c r="O88">
        <v>87</v>
      </c>
      <c r="P88" s="112" t="str">
        <f>IFERROR(INDEX(TableWRCalcPts[PLAYER],MATCH(TableWRVORP[[#This Row],[RK]],TableWRCalcPts[RK],0)),"")</f>
        <v>Andrei Iosivas</v>
      </c>
      <c r="Q88" s="112" t="str">
        <f>IFERROR(INDEX(TableWRCalcPts[TM],MATCH(TableWRVORP[[#This Row],[RK]],TableWRCalcPts[RK],0)),"")</f>
        <v>CIN</v>
      </c>
      <c r="R88" s="112">
        <f>IFERROR(INDEX(TableWRCalcPts[BYE],MATCH(TableWRVORP[[#This Row],[RK]],TableWRCalcPts[RK],0)),"")</f>
        <v>7</v>
      </c>
      <c r="S88" s="113">
        <f>IFERROR(INDEX(TableWRCalcPts[Custom],MATCH(TableWRVORP[[#This Row],[RK]],TableWRCalcPts[RK],0)),"")</f>
        <v>83.809426032359994</v>
      </c>
      <c r="T88" s="114">
        <f>IFERROR((TableWRVORP[[#This Row],[FPS]]-INDEX(TableWRVORP[FPS],MATCH(WRVORPCalc,TableWRVORP[RK],0)))/INDEX(TableWRVORP[FPS],MATCH(WRVORPCalc,TableWRVORP[RK],0)),"")</f>
        <v>-0.41961303833870561</v>
      </c>
      <c r="V88">
        <v>87</v>
      </c>
      <c r="W88" s="112" t="str">
        <f>IFERROR(INDEX(TableTECalcPts[PLAYER],MATCH(TableTEVORP[[#This Row],[RK]],TableTECalcPts[RK],0)),"")</f>
        <v/>
      </c>
      <c r="X88" s="112" t="str">
        <f>IFERROR(INDEX(TableTECalcPts[TM],MATCH(TableTEVORP[[#This Row],[RK]],TableTECalcPts[RK],0)),"")</f>
        <v/>
      </c>
      <c r="Y88" s="112" t="str">
        <f>IFERROR(INDEX(TableTECalcPts[BYE],MATCH(TableTEVORP[[#This Row],[RK]],TableTECalcPts[RK],0)),"")</f>
        <v/>
      </c>
      <c r="Z88" s="113" t="str">
        <f>IFERROR(INDEX(TableTECalcPts[Custom],MATCH(TableTEVORP[[#This Row],[RK]],TableTECalcPts[RK],0)),"")</f>
        <v/>
      </c>
      <c r="AA88" s="114" t="str">
        <f>IFERROR((TableTEVORP[[#This Row],[FPS]]-INDEX(TableTEVORP[FPS],MATCH(TEVORPCalc,TableTEVORP[RK],0)))/INDEX(TableTEVORP[FPS],MATCH(TEVORPCalc,TableTEVORP[RK],0)),"")</f>
        <v/>
      </c>
      <c r="AF88" t="s">
        <v>222</v>
      </c>
      <c r="AG88">
        <v>47</v>
      </c>
      <c r="AH88" s="83">
        <f>RANK(TableOverallMaster[[#This Row],[VORP]],TableOverallMaster[VORP])+COUNTIF($AM$2:AM88,AM88)-1</f>
        <v>141</v>
      </c>
      <c r="AI88" s="115" t="str">
        <f>IFERROR(INDEX(TableRBVORP[RUNNING BACK],MATCH(TableOverallMaster[[#This Row],[RK]],TableRBVORP[RK],0)),"")</f>
        <v>J.K. Dobbins</v>
      </c>
      <c r="AJ88" s="115" t="str">
        <f t="shared" si="1"/>
        <v>RB47</v>
      </c>
      <c r="AK88" s="115">
        <f>IFERROR(INDEX(TableRBVORP[BYE],MATCH(TableOverallMaster[[#This Row],[RK]],TableRBVORP[RK],0)),"")</f>
        <v>5</v>
      </c>
      <c r="AL88" s="116">
        <f>IFERROR(INDEX(TableRBVORP[FPS],MATCH(TableOverallMaster[[#This Row],[RK]],TableRBVORP[RK],0)),"")</f>
        <v>110.24050291947</v>
      </c>
      <c r="AM88" s="117">
        <f>IFERROR(INDEX(TableRBVORP[VORP],MATCH(TableOverallMaster[[#This Row],[RK]],TableRBVORP[RK],0)),"")</f>
        <v>-2.1980286236257866E-2</v>
      </c>
      <c r="AO88">
        <v>87</v>
      </c>
      <c r="AP88" s="118" t="str">
        <f>IFERROR(INDEX(TableOverallMaster[OVERALL PLAYER],MATCH(TableOverallRank[[#This Row],[RK]],TableOverallMaster[OVR RK],0)),"")</f>
        <v>Kyler Murray</v>
      </c>
      <c r="AQ88" s="119" t="str">
        <f>IFERROR(INDEX(TableOverallMaster[POS RK],MATCH(TableOverallRank[[#This Row],[OVERALL PLAYER]],TableOverallMaster[OVERALL PLAYER],0)),"")</f>
        <v>QB12</v>
      </c>
      <c r="AR88" s="120">
        <f>IFERROR(INDEX(TableOverallMaster[BYE],MATCH(TableOverallRank[[#This Row],[OVERALL PLAYER]],TableOverallMaster[OVERALL PLAYER],0)),"")</f>
        <v>14</v>
      </c>
      <c r="AS88" s="119">
        <f>IFERROR(INDEX(TableOverallMaster[Custom],MATCH(TableOverallRank[[#This Row],[OVERALL PLAYER]],TableOverallMaster[OVERALL PLAYER],0)),"")</f>
        <v>313.96453693650005</v>
      </c>
      <c r="AT88" s="121">
        <f>IFERROR(INDEX(TableOverallMaster[VORP],MATCH(TableOverallRank[[#This Row],[OVERALL PLAYER]],TableOverallMaster[OVERALL PLAYER],0)),"")</f>
        <v>0.22059991727895947</v>
      </c>
      <c r="AV88">
        <v>87</v>
      </c>
      <c r="AW88" s="122" t="str">
        <f>IFERROR(INDEX(TableWRTECalcPts[PLAYER],MATCH(TableWRTERank[[#This Row],[RK]],TableWRTECalcPts[RK],0)),"")</f>
        <v>Cole Kmet</v>
      </c>
      <c r="AX88" s="122" t="str">
        <f>IFERROR(INDEX(TableWRTECalcPts[POS RK],MATCH(TableWRTERank[[#This Row],[WR and TE COMBINED]],TableWRTECalcPts[PLAYER],0)),"")</f>
        <v>TE14</v>
      </c>
      <c r="AY88" s="122">
        <f>IFERROR(INDEX(TableWRTECalcPts[BYE],MATCH(TableWRTERank[[#This Row],[RK]],TableWRTECalcPts[RK],0)),"")</f>
        <v>13</v>
      </c>
      <c r="AZ88" s="123">
        <f>IFERROR(INDEX(TableWRTECalcPts[Custom],MATCH(TableWRTERank[[#This Row],[RK]],TableWRTECalcPts[RK],0)),"")</f>
        <v>113.3588619576</v>
      </c>
      <c r="BA88" s="174">
        <f>IFERROR((TableWRTERank[[#This Row],[FPS]]-INDEX(TableWRTERank[FPS],MATCH(WRTEVORPCalc,TableWRTERank[RK],0)))/INDEX(TableWRTERank[FPS],MATCH(WRTEVORPCalc,TableWRTERank[RK],0)),"")</f>
        <v>-0.24065723423124474</v>
      </c>
      <c r="BC88" t="s">
        <v>223</v>
      </c>
      <c r="BD88">
        <v>87</v>
      </c>
      <c r="BE88" s="83">
        <f>RANK(TableWRTEMaster[[#This Row],[VORP]],TableWRTEMaster[VORP])+COUNTIF($BJ$2:BJ88,BJ88)-1</f>
        <v>114</v>
      </c>
      <c r="BF88" s="115" t="str">
        <f>IFERROR(INDEX(TableWRVORP[WIDE RECEIVER],MATCH(TableWRTEMaster[[#This Row],[RK]],TableWRVORP[RK],0)),"")</f>
        <v>Andrei Iosivas</v>
      </c>
      <c r="BG88" s="115" t="str">
        <f>_xlfn.CONCAT(TableWRTEMaster[[#This Row],[POS]],TableWRTEMaster[[#This Row],[RK]])</f>
        <v>WR87</v>
      </c>
      <c r="BH88" s="115">
        <f>IFERROR(INDEX(TableWRVORP[BYE],MATCH(TableWRTEMaster[[#This Row],[RK]],TableWRVORP[RK],0)),"")</f>
        <v>7</v>
      </c>
      <c r="BI88" s="116">
        <f>IFERROR(INDEX(TableWRVORP[FPS],MATCH(TableWRTEMaster[[#This Row],[RK]],TableWRVORP[RK],0)),"")</f>
        <v>83.809426032359994</v>
      </c>
      <c r="BJ88" s="117">
        <f>IFERROR(INDEX(TableWRVORP[VORP],MATCH(TableWRTEMaster[[#This Row],[RK]],TableWRVORP[RK],0)),"")</f>
        <v>-0.41961303833870561</v>
      </c>
    </row>
    <row r="89" spans="1:62" x14ac:dyDescent="0.2">
      <c r="A89">
        <v>88</v>
      </c>
      <c r="B89" s="112" t="str">
        <f>IFERROR(INDEX(TableQBCalcPts[PLAYER],MATCH(TableQBVORP[[#This Row],[RK]],TableQBCalcPts[RK],0)),"")</f>
        <v/>
      </c>
      <c r="C89" s="112" t="str">
        <f>IFERROR(INDEX(TableQBCalcPts[TM],MATCH(TableQBVORP[[#This Row],[RK]],TableQBCalcPts[RK],0)),"")</f>
        <v/>
      </c>
      <c r="D89" s="112" t="str">
        <f>IFERROR(INDEX(TableQBCalcPts[BYE],MATCH(TableQBVORP[[#This Row],[RK]],TableQBCalcPts[RK],0)),"")</f>
        <v/>
      </c>
      <c r="E89" s="113" t="str">
        <f>IFERROR(INDEX(TableQBCalcPts[Custom],MATCH(TableQBVORP[[#This Row],[RK]],TableQBCalcPts[RK],0)),"")</f>
        <v/>
      </c>
      <c r="F8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9">
        <v>88</v>
      </c>
      <c r="I89" s="112" t="str">
        <f>IFERROR(INDEX(TableRBCalcPts[PLAYER],MATCH(TableRBVORP[[#This Row],[RK]],TableRBCalcPts[RK],0)),"")</f>
        <v>Isaiah Spiller</v>
      </c>
      <c r="J89" s="112" t="str">
        <f>IFERROR(INDEX(TableRBCalcPts[TM],MATCH(TableRBVORP[[#This Row],[RK]],TableRBCalcPts[RK],0)),"")</f>
        <v>LAC</v>
      </c>
      <c r="K89" s="112">
        <f>IFERROR(INDEX(TableRBCalcPts[BYE],MATCH(TableRBVORP[[#This Row],[RK]],TableRBCalcPts[RK],0)),"")</f>
        <v>5</v>
      </c>
      <c r="L89" s="113">
        <f>IFERROR(INDEX(TableRBCalcPts[Custom],MATCH(TableRBVORP[[#This Row],[RK]],TableRBCalcPts[RK],0)),"")</f>
        <v>23.872239645878398</v>
      </c>
      <c r="M89" s="114">
        <f>IFERROR((TableRBVORP[[#This Row],[FPS]]-INDEX(TableRBVORP[FPS],MATCH(RBVORPCalc,TableRBVORP[RK],0)))/INDEX(TableRBVORP[FPS],MATCH(RBVORPCalc,TableRBVORP[RK],0)),"")</f>
        <v>-0.78821285854966883</v>
      </c>
      <c r="O89">
        <v>88</v>
      </c>
      <c r="P89" s="112" t="str">
        <f>IFERROR(INDEX(TableWRCalcPts[PLAYER],MATCH(TableWRVORP[[#This Row],[RK]],TableWRCalcPts[RK],0)),"")</f>
        <v>Luke McCaffrey</v>
      </c>
      <c r="Q89" s="112" t="str">
        <f>IFERROR(INDEX(TableWRCalcPts[TM],MATCH(TableWRVORP[[#This Row],[RK]],TableWRCalcPts[RK],0)),"")</f>
        <v>WSH</v>
      </c>
      <c r="R89" s="112">
        <f>IFERROR(INDEX(TableWRCalcPts[BYE],MATCH(TableWRVORP[[#This Row],[RK]],TableWRCalcPts[RK],0)),"")</f>
        <v>14</v>
      </c>
      <c r="S89" s="113">
        <f>IFERROR(INDEX(TableWRCalcPts[Custom],MATCH(TableWRVORP[[#This Row],[RK]],TableWRCalcPts[RK],0)),"")</f>
        <v>82.713069507515968</v>
      </c>
      <c r="T89" s="114">
        <f>IFERROR((TableWRVORP[[#This Row],[FPS]]-INDEX(TableWRVORP[FPS],MATCH(WRVORPCalc,TableWRVORP[RK],0)))/INDEX(TableWRVORP[FPS],MATCH(WRVORPCalc,TableWRVORP[RK],0)),"")</f>
        <v>-0.42720539474150537</v>
      </c>
      <c r="V89">
        <v>88</v>
      </c>
      <c r="W89" s="112" t="str">
        <f>IFERROR(INDEX(TableTECalcPts[PLAYER],MATCH(TableTEVORP[[#This Row],[RK]],TableTECalcPts[RK],0)),"")</f>
        <v/>
      </c>
      <c r="X89" s="112" t="str">
        <f>IFERROR(INDEX(TableTECalcPts[TM],MATCH(TableTEVORP[[#This Row],[RK]],TableTECalcPts[RK],0)),"")</f>
        <v/>
      </c>
      <c r="Y89" s="112" t="str">
        <f>IFERROR(INDEX(TableTECalcPts[BYE],MATCH(TableTEVORP[[#This Row],[RK]],TableTECalcPts[RK],0)),"")</f>
        <v/>
      </c>
      <c r="Z89" s="113" t="str">
        <f>IFERROR(INDEX(TableTECalcPts[Custom],MATCH(TableTEVORP[[#This Row],[RK]],TableTECalcPts[RK],0)),"")</f>
        <v/>
      </c>
      <c r="AA89" s="114" t="str">
        <f>IFERROR((TableTEVORP[[#This Row],[FPS]]-INDEX(TableTEVORP[FPS],MATCH(TEVORPCalc,TableTEVORP[RK],0)))/INDEX(TableTEVORP[FPS],MATCH(TEVORPCalc,TableTEVORP[RK],0)),"")</f>
        <v/>
      </c>
      <c r="AF89" t="s">
        <v>222</v>
      </c>
      <c r="AG89">
        <v>48</v>
      </c>
      <c r="AH89" s="83">
        <f>RANK(TableOverallMaster[[#This Row],[VORP]],TableOverallMaster[VORP])+COUNTIF($AM$2:AM89,AM89)-1</f>
        <v>144</v>
      </c>
      <c r="AI89" s="115" t="str">
        <f>IFERROR(INDEX(TableRBVORP[RUNNING BACK],MATCH(TableOverallMaster[[#This Row],[RK]],TableRBVORP[RK],0)),"")</f>
        <v>Blake Corum</v>
      </c>
      <c r="AJ89" s="115" t="str">
        <f t="shared" si="1"/>
        <v>RB48</v>
      </c>
      <c r="AK89" s="115">
        <f>IFERROR(INDEX(TableRBVORP[BYE],MATCH(TableOverallMaster[[#This Row],[RK]],TableRBVORP[RK],0)),"")</f>
        <v>10</v>
      </c>
      <c r="AL89" s="116">
        <f>IFERROR(INDEX(TableRBVORP[FPS],MATCH(TableOverallMaster[[#This Row],[RK]],TableRBVORP[RK],0)),"")</f>
        <v>107.8874054752704</v>
      </c>
      <c r="AM89" s="117">
        <f>IFERROR(INDEX(TableRBVORP[VORP],MATCH(TableOverallMaster[[#This Row],[RK]],TableRBVORP[RK],0)),"")</f>
        <v>-4.2856240426302074E-2</v>
      </c>
      <c r="AO89">
        <v>88</v>
      </c>
      <c r="AP89" s="118" t="str">
        <f>IFERROR(INDEX(TableOverallMaster[OVERALL PLAYER],MATCH(TableOverallRank[[#This Row],[RK]],TableOverallMaster[OVR RK],0)),"")</f>
        <v>Courtland Sutton</v>
      </c>
      <c r="AQ89" s="119" t="str">
        <f>IFERROR(INDEX(TableOverallMaster[POS RK],MATCH(TableOverallRank[[#This Row],[OVERALL PLAYER]],TableOverallMaster[OVERALL PLAYER],0)),"")</f>
        <v>WR33</v>
      </c>
      <c r="AR89" s="120">
        <f>IFERROR(INDEX(TableOverallMaster[BYE],MATCH(TableOverallRank[[#This Row],[OVERALL PLAYER]],TableOverallMaster[OVERALL PLAYER],0)),"")</f>
        <v>9</v>
      </c>
      <c r="AS89" s="119">
        <f>IFERROR(INDEX(TableOverallMaster[Custom],MATCH(TableOverallRank[[#This Row],[OVERALL PLAYER]],TableOverallMaster[OVERALL PLAYER],0)),"")</f>
        <v>176.02978377907999</v>
      </c>
      <c r="AT89" s="121">
        <f>IFERROR(INDEX(TableOverallMaster[VORP],MATCH(TableOverallRank[[#This Row],[OVERALL PLAYER]],TableOverallMaster[OVERALL PLAYER],0)),"")</f>
        <v>0.2190202964758087</v>
      </c>
      <c r="AV89">
        <v>88</v>
      </c>
      <c r="AW89" s="122" t="str">
        <f>IFERROR(INDEX(TableWRTECalcPts[PLAYER],MATCH(TableWRTERank[[#This Row],[RK]],TableWRTECalcPts[RK],0)),"")</f>
        <v>Pat Freiermuth</v>
      </c>
      <c r="AX89" s="122" t="str">
        <f>IFERROR(INDEX(TableWRTECalcPts[POS RK],MATCH(TableWRTERank[[#This Row],[WR and TE COMBINED]],TableWRTECalcPts[PLAYER],0)),"")</f>
        <v>TE15</v>
      </c>
      <c r="AY89" s="122">
        <f>IFERROR(INDEX(TableWRTECalcPts[BYE],MATCH(TableWRTERank[[#This Row],[RK]],TableWRTECalcPts[RK],0)),"")</f>
        <v>6</v>
      </c>
      <c r="AZ89" s="123">
        <f>IFERROR(INDEX(TableWRTECalcPts[Custom],MATCH(TableWRTERank[[#This Row],[RK]],TableWRTECalcPts[RK],0)),"")</f>
        <v>111.11222832065999</v>
      </c>
      <c r="BA89" s="174">
        <f>IFERROR((TableWRTERank[[#This Row],[FPS]]-INDEX(TableWRTERank[FPS],MATCH(WRTEVORPCalc,TableWRTERank[RK],0)))/INDEX(TableWRTERank[FPS],MATCH(WRTEVORPCalc,TableWRTERank[RK],0)),"")</f>
        <v>-0.25570647669965652</v>
      </c>
      <c r="BC89" t="s">
        <v>223</v>
      </c>
      <c r="BD89">
        <v>88</v>
      </c>
      <c r="BE89" s="83">
        <f>RANK(TableWRTEMaster[[#This Row],[VORP]],TableWRTEMaster[VORP])+COUNTIF($BJ$2:BJ89,BJ89)-1</f>
        <v>115</v>
      </c>
      <c r="BF89" s="115" t="str">
        <f>IFERROR(INDEX(TableWRVORP[WIDE RECEIVER],MATCH(TableWRTEMaster[[#This Row],[RK]],TableWRVORP[RK],0)),"")</f>
        <v>Luke McCaffrey</v>
      </c>
      <c r="BG89" s="115" t="str">
        <f>_xlfn.CONCAT(TableWRTEMaster[[#This Row],[POS]],TableWRTEMaster[[#This Row],[RK]])</f>
        <v>WR88</v>
      </c>
      <c r="BH89" s="115">
        <f>IFERROR(INDEX(TableWRVORP[BYE],MATCH(TableWRTEMaster[[#This Row],[RK]],TableWRVORP[RK],0)),"")</f>
        <v>14</v>
      </c>
      <c r="BI89" s="116">
        <f>IFERROR(INDEX(TableWRVORP[FPS],MATCH(TableWRTEMaster[[#This Row],[RK]],TableWRVORP[RK],0)),"")</f>
        <v>82.713069507515968</v>
      </c>
      <c r="BJ89" s="117">
        <f>IFERROR(INDEX(TableWRVORP[VORP],MATCH(TableWRTEMaster[[#This Row],[RK]],TableWRVORP[RK],0)),"")</f>
        <v>-0.42720539474150537</v>
      </c>
    </row>
    <row r="90" spans="1:62" x14ac:dyDescent="0.2">
      <c r="A90">
        <v>89</v>
      </c>
      <c r="B90" s="112" t="str">
        <f>IFERROR(INDEX(TableQBCalcPts[PLAYER],MATCH(TableQBVORP[[#This Row],[RK]],TableQBCalcPts[RK],0)),"")</f>
        <v/>
      </c>
      <c r="C90" s="112" t="str">
        <f>IFERROR(INDEX(TableQBCalcPts[TM],MATCH(TableQBVORP[[#This Row],[RK]],TableQBCalcPts[RK],0)),"")</f>
        <v/>
      </c>
      <c r="D90" s="112" t="str">
        <f>IFERROR(INDEX(TableQBCalcPts[BYE],MATCH(TableQBVORP[[#This Row],[RK]],TableQBCalcPts[RK],0)),"")</f>
        <v/>
      </c>
      <c r="E90" s="113" t="str">
        <f>IFERROR(INDEX(TableQBCalcPts[Custom],MATCH(TableQBVORP[[#This Row],[RK]],TableQBCalcPts[RK],0)),"")</f>
        <v/>
      </c>
      <c r="F9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0">
        <v>89</v>
      </c>
      <c r="I90" s="112" t="str">
        <f>IFERROR(INDEX(TableRBCalcPts[PLAYER],MATCH(TableRBVORP[[#This Row],[RK]],TableRBCalcPts[RK],0)),"")</f>
        <v>Kevin Harris</v>
      </c>
      <c r="J90" s="112" t="str">
        <f>IFERROR(INDEX(TableRBCalcPts[TM],MATCH(TableRBVORP[[#This Row],[RK]],TableRBCalcPts[RK],0)),"")</f>
        <v>NE</v>
      </c>
      <c r="K90" s="112">
        <f>IFERROR(INDEX(TableRBCalcPts[BYE],MATCH(TableRBVORP[[#This Row],[RK]],TableRBCalcPts[RK],0)),"")</f>
        <v>11</v>
      </c>
      <c r="L90" s="113">
        <f>IFERROR(INDEX(TableRBCalcPts[Custom],MATCH(TableRBVORP[[#This Row],[RK]],TableRBCalcPts[RK],0)),"")</f>
        <v>23.675142996988001</v>
      </c>
      <c r="M90" s="114">
        <f>IFERROR((TableRBVORP[[#This Row],[FPS]]-INDEX(TableRBVORP[FPS],MATCH(RBVORPCalc,TableRBVORP[RK],0)))/INDEX(TableRBVORP[FPS],MATCH(RBVORPCalc,TableRBVORP[RK],0)),"")</f>
        <v>-0.78996143918044104</v>
      </c>
      <c r="O90">
        <v>89</v>
      </c>
      <c r="P90" s="112" t="str">
        <f>IFERROR(INDEX(TableWRCalcPts[PLAYER],MATCH(TableWRVORP[[#This Row],[RK]],TableWRCalcPts[RK],0)),"")</f>
        <v>Van Jefferson</v>
      </c>
      <c r="Q90" s="112" t="str">
        <f>IFERROR(INDEX(TableWRCalcPts[TM],MATCH(TableWRVORP[[#This Row],[RK]],TableWRCalcPts[RK],0)),"")</f>
        <v>PIT</v>
      </c>
      <c r="R90" s="112">
        <f>IFERROR(INDEX(TableWRCalcPts[BYE],MATCH(TableWRVORP[[#This Row],[RK]],TableWRCalcPts[RK],0)),"")</f>
        <v>6</v>
      </c>
      <c r="S90" s="113">
        <f>IFERROR(INDEX(TableWRCalcPts[Custom],MATCH(TableWRVORP[[#This Row],[RK]],TableWRCalcPts[RK],0)),"")</f>
        <v>82.556850116160007</v>
      </c>
      <c r="T90" s="114">
        <f>IFERROR((TableWRVORP[[#This Row],[FPS]]-INDEX(TableWRVORP[FPS],MATCH(WRVORPCalc,TableWRVORP[RK],0)))/INDEX(TableWRVORP[FPS],MATCH(WRVORPCalc,TableWRVORP[RK],0)),"")</f>
        <v>-0.42828722648996115</v>
      </c>
      <c r="V90">
        <v>89</v>
      </c>
      <c r="W90" s="112" t="str">
        <f>IFERROR(INDEX(TableTECalcPts[PLAYER],MATCH(TableTEVORP[[#This Row],[RK]],TableTECalcPts[RK],0)),"")</f>
        <v/>
      </c>
      <c r="X90" s="112" t="str">
        <f>IFERROR(INDEX(TableTECalcPts[TM],MATCH(TableTEVORP[[#This Row],[RK]],TableTECalcPts[RK],0)),"")</f>
        <v/>
      </c>
      <c r="Y90" s="112" t="str">
        <f>IFERROR(INDEX(TableTECalcPts[BYE],MATCH(TableTEVORP[[#This Row],[RK]],TableTECalcPts[RK],0)),"")</f>
        <v/>
      </c>
      <c r="Z90" s="113" t="str">
        <f>IFERROR(INDEX(TableTECalcPts[Custom],MATCH(TableTEVORP[[#This Row],[RK]],TableTECalcPts[RK],0)),"")</f>
        <v/>
      </c>
      <c r="AA90" s="114" t="str">
        <f>IFERROR((TableTEVORP[[#This Row],[FPS]]-INDEX(TableTEVORP[FPS],MATCH(TEVORPCalc,TableTEVORP[RK],0)))/INDEX(TableTEVORP[FPS],MATCH(TEVORPCalc,TableTEVORP[RK],0)),"")</f>
        <v/>
      </c>
      <c r="AF90" t="s">
        <v>222</v>
      </c>
      <c r="AG90">
        <v>49</v>
      </c>
      <c r="AH90" s="83">
        <f>RANK(TableOverallMaster[[#This Row],[VORP]],TableOverallMaster[VORP])+COUNTIF($AM$2:AM90,AM90)-1</f>
        <v>149</v>
      </c>
      <c r="AI90" s="115" t="str">
        <f>IFERROR(INDEX(TableRBVORP[RUNNING BACK],MATCH(TableOverallMaster[[#This Row],[RK]],TableRBVORP[RK],0)),"")</f>
        <v>Kendre Miller</v>
      </c>
      <c r="AJ90" s="115" t="str">
        <f t="shared" si="1"/>
        <v>RB49</v>
      </c>
      <c r="AK90" s="115">
        <f>IFERROR(INDEX(TableRBVORP[BYE],MATCH(TableOverallMaster[[#This Row],[RK]],TableRBVORP[RK],0)),"")</f>
        <v>11</v>
      </c>
      <c r="AL90" s="116">
        <f>IFERROR(INDEX(TableRBVORP[FPS],MATCH(TableOverallMaster[[#This Row],[RK]],TableRBVORP[RK],0)),"")</f>
        <v>106.29797474510063</v>
      </c>
      <c r="AM90" s="117">
        <f>IFERROR(INDEX(TableRBVORP[VORP],MATCH(TableOverallMaster[[#This Row],[RK]],TableRBVORP[RK],0)),"")</f>
        <v>-5.6957179251875822E-2</v>
      </c>
      <c r="AO90">
        <v>89</v>
      </c>
      <c r="AP90" s="118" t="str">
        <f>IFERROR(INDEX(TableOverallMaster[OVERALL PLAYER],MATCH(TableOverallRank[[#This Row],[RK]],TableOverallMaster[OVR RK],0)),"")</f>
        <v>Rashee Rice</v>
      </c>
      <c r="AQ90" s="119" t="str">
        <f>IFERROR(INDEX(TableOverallMaster[POS RK],MATCH(TableOverallRank[[#This Row],[OVERALL PLAYER]],TableOverallMaster[OVERALL PLAYER],0)),"")</f>
        <v>WR34</v>
      </c>
      <c r="AR90" s="120">
        <f>IFERROR(INDEX(TableOverallMaster[BYE],MATCH(TableOverallRank[[#This Row],[OVERALL PLAYER]],TableOverallMaster[OVERALL PLAYER],0)),"")</f>
        <v>10</v>
      </c>
      <c r="AS90" s="119">
        <f>IFERROR(INDEX(TableOverallMaster[Custom],MATCH(TableOverallRank[[#This Row],[OVERALL PLAYER]],TableOverallMaster[OVERALL PLAYER],0)),"")</f>
        <v>174.33131313919995</v>
      </c>
      <c r="AT90" s="121">
        <f>IFERROR(INDEX(TableOverallMaster[VORP],MATCH(TableOverallRank[[#This Row],[OVERALL PLAYER]],TableOverallMaster[OVERALL PLAYER],0)),"")</f>
        <v>0.20725825178920898</v>
      </c>
      <c r="AV90">
        <v>89</v>
      </c>
      <c r="AW90" s="122" t="str">
        <f>IFERROR(INDEX(TableWRTECalcPts[PLAYER],MATCH(TableWRTERank[[#This Row],[RK]],TableWRTECalcPts[RK],0)),"")</f>
        <v>Taysom Hill</v>
      </c>
      <c r="AX90" s="122" t="str">
        <f>IFERROR(INDEX(TableWRTECalcPts[POS RK],MATCH(TableWRTERank[[#This Row],[WR and TE COMBINED]],TableWRTECalcPts[PLAYER],0)),"")</f>
        <v>TE16</v>
      </c>
      <c r="AY90" s="122">
        <f>IFERROR(INDEX(TableWRTECalcPts[BYE],MATCH(TableWRTERank[[#This Row],[RK]],TableWRTECalcPts[RK],0)),"")</f>
        <v>11</v>
      </c>
      <c r="AZ90" s="123">
        <f>IFERROR(INDEX(TableWRTECalcPts[Custom],MATCH(TableWRTERank[[#This Row],[RK]],TableWRTECalcPts[RK],0)),"")</f>
        <v>109.30098272834891</v>
      </c>
      <c r="BA90" s="174">
        <f>IFERROR((TableWRTERank[[#This Row],[FPS]]-INDEX(TableWRTERank[FPS],MATCH(WRTEVORPCalc,TableWRTERank[RK],0)))/INDEX(TableWRTERank[FPS],MATCH(WRTEVORPCalc,TableWRTERank[RK],0)),"")</f>
        <v>-0.26783923997727649</v>
      </c>
      <c r="BC90" t="s">
        <v>223</v>
      </c>
      <c r="BD90">
        <v>89</v>
      </c>
      <c r="BE90" s="83">
        <f>RANK(TableWRTEMaster[[#This Row],[VORP]],TableWRTEMaster[VORP])+COUNTIF($BJ$2:BJ90,BJ90)-1</f>
        <v>116</v>
      </c>
      <c r="BF90" s="115" t="str">
        <f>IFERROR(INDEX(TableWRVORP[WIDE RECEIVER],MATCH(TableWRTEMaster[[#This Row],[RK]],TableWRVORP[RK],0)),"")</f>
        <v>Van Jefferson</v>
      </c>
      <c r="BG90" s="115" t="str">
        <f>_xlfn.CONCAT(TableWRTEMaster[[#This Row],[POS]],TableWRTEMaster[[#This Row],[RK]])</f>
        <v>WR89</v>
      </c>
      <c r="BH90" s="115">
        <f>IFERROR(INDEX(TableWRVORP[BYE],MATCH(TableWRTEMaster[[#This Row],[RK]],TableWRVORP[RK],0)),"")</f>
        <v>6</v>
      </c>
      <c r="BI90" s="116">
        <f>IFERROR(INDEX(TableWRVORP[FPS],MATCH(TableWRTEMaster[[#This Row],[RK]],TableWRVORP[RK],0)),"")</f>
        <v>82.556850116160007</v>
      </c>
      <c r="BJ90" s="117">
        <f>IFERROR(INDEX(TableWRVORP[VORP],MATCH(TableWRTEMaster[[#This Row],[RK]],TableWRVORP[RK],0)),"")</f>
        <v>-0.42828722648996115</v>
      </c>
    </row>
    <row r="91" spans="1:62" x14ac:dyDescent="0.2">
      <c r="A91">
        <v>90</v>
      </c>
      <c r="B91" s="112" t="str">
        <f>IFERROR(INDEX(TableQBCalcPts[PLAYER],MATCH(TableQBVORP[[#This Row],[RK]],TableQBCalcPts[RK],0)),"")</f>
        <v/>
      </c>
      <c r="C91" s="112" t="str">
        <f>IFERROR(INDEX(TableQBCalcPts[TM],MATCH(TableQBVORP[[#This Row],[RK]],TableQBCalcPts[RK],0)),"")</f>
        <v/>
      </c>
      <c r="D91" s="112" t="str">
        <f>IFERROR(INDEX(TableQBCalcPts[BYE],MATCH(TableQBVORP[[#This Row],[RK]],TableQBCalcPts[RK],0)),"")</f>
        <v/>
      </c>
      <c r="E91" s="113" t="str">
        <f>IFERROR(INDEX(TableQBCalcPts[Custom],MATCH(TableQBVORP[[#This Row],[RK]],TableQBCalcPts[RK],0)),"")</f>
        <v/>
      </c>
      <c r="F9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1">
        <v>90</v>
      </c>
      <c r="I91" s="112" t="str">
        <f>IFERROR(INDEX(TableRBCalcPts[PLAYER],MATCH(TableRBVORP[[#This Row],[RK]],TableRBCalcPts[RK],0)),"")</f>
        <v>Hassan Haskins</v>
      </c>
      <c r="J91" s="112" t="str">
        <f>IFERROR(INDEX(TableRBCalcPts[TM],MATCH(TableRBVORP[[#This Row],[RK]],TableRBCalcPts[RK],0)),"")</f>
        <v>TEN</v>
      </c>
      <c r="K91" s="112">
        <f>IFERROR(INDEX(TableRBCalcPts[BYE],MATCH(TableRBVORP[[#This Row],[RK]],TableRBCalcPts[RK],0)),"")</f>
        <v>7</v>
      </c>
      <c r="L91" s="113">
        <f>IFERROR(INDEX(TableRBCalcPts[Custom],MATCH(TableRBVORP[[#This Row],[RK]],TableRBCalcPts[RK],0)),"")</f>
        <v>23.519939289</v>
      </c>
      <c r="M91" s="114">
        <f>IFERROR((TableRBVORP[[#This Row],[FPS]]-INDEX(TableRBVORP[FPS],MATCH(RBVORPCalc,TableRBVORP[RK],0)))/INDEX(TableRBVORP[FPS],MATCH(RBVORPCalc,TableRBVORP[RK],0)),"")</f>
        <v>-0.7913383585706979</v>
      </c>
      <c r="O91">
        <v>90</v>
      </c>
      <c r="P91" s="112" t="str">
        <f>IFERROR(INDEX(TableWRCalcPts[PLAYER],MATCH(TableWRVORP[[#This Row],[RK]],TableWRCalcPts[RK],0)),"")</f>
        <v>Trey Palmer</v>
      </c>
      <c r="Q91" s="112" t="str">
        <f>IFERROR(INDEX(TableWRCalcPts[TM],MATCH(TableWRVORP[[#This Row],[RK]],TableWRCalcPts[RK],0)),"")</f>
        <v>TB</v>
      </c>
      <c r="R91" s="112">
        <f>IFERROR(INDEX(TableWRCalcPts[BYE],MATCH(TableWRVORP[[#This Row],[RK]],TableWRCalcPts[RK],0)),"")</f>
        <v>5</v>
      </c>
      <c r="S91" s="113">
        <f>IFERROR(INDEX(TableWRCalcPts[Custom],MATCH(TableWRVORP[[#This Row],[RK]],TableWRCalcPts[RK],0)),"")</f>
        <v>76.730779467434402</v>
      </c>
      <c r="T91" s="114">
        <f>IFERROR((TableWRVORP[[#This Row],[FPS]]-INDEX(TableWRVORP[FPS],MATCH(WRVORPCalc,TableWRVORP[RK],0)))/INDEX(TableWRVORP[FPS],MATCH(WRVORPCalc,TableWRVORP[RK],0)),"")</f>
        <v>-0.46863323054125128</v>
      </c>
      <c r="V91">
        <v>90</v>
      </c>
      <c r="W91" s="112" t="str">
        <f>IFERROR(INDEX(TableTECalcPts[PLAYER],MATCH(TableTEVORP[[#This Row],[RK]],TableTECalcPts[RK],0)),"")</f>
        <v/>
      </c>
      <c r="X91" s="112" t="str">
        <f>IFERROR(INDEX(TableTECalcPts[TM],MATCH(TableTEVORP[[#This Row],[RK]],TableTECalcPts[RK],0)),"")</f>
        <v/>
      </c>
      <c r="Y91" s="112" t="str">
        <f>IFERROR(INDEX(TableTECalcPts[BYE],MATCH(TableTEVORP[[#This Row],[RK]],TableTECalcPts[RK],0)),"")</f>
        <v/>
      </c>
      <c r="Z91" s="113" t="str">
        <f>IFERROR(INDEX(TableTECalcPts[Custom],MATCH(TableTEVORP[[#This Row],[RK]],TableTECalcPts[RK],0)),"")</f>
        <v/>
      </c>
      <c r="AA91" s="114" t="str">
        <f>IFERROR((TableTEVORP[[#This Row],[FPS]]-INDEX(TableTEVORP[FPS],MATCH(TEVORPCalc,TableTEVORP[RK],0)))/INDEX(TableTEVORP[FPS],MATCH(TEVORPCalc,TableTEVORP[RK],0)),"")</f>
        <v/>
      </c>
      <c r="AF91" t="s">
        <v>222</v>
      </c>
      <c r="AG91">
        <v>50</v>
      </c>
      <c r="AH91" s="83">
        <f>RANK(TableOverallMaster[[#This Row],[VORP]],TableOverallMaster[VORP])+COUNTIF($AM$2:AM91,AM91)-1</f>
        <v>160</v>
      </c>
      <c r="AI91" s="115" t="str">
        <f>IFERROR(INDEX(TableRBVORP[RUNNING BACK],MATCH(TableOverallMaster[[#This Row],[RK]],TableRBVORP[RK],0)),"")</f>
        <v>Ray Davis</v>
      </c>
      <c r="AJ91" s="115" t="str">
        <f t="shared" si="1"/>
        <v>RB50</v>
      </c>
      <c r="AK91" s="115">
        <f>IFERROR(INDEX(TableRBVORP[BYE],MATCH(TableOverallMaster[[#This Row],[RK]],TableRBVORP[RK],0)),"")</f>
        <v>13</v>
      </c>
      <c r="AL91" s="116">
        <f>IFERROR(INDEX(TableRBVORP[FPS],MATCH(TableOverallMaster[[#This Row],[RK]],TableRBVORP[RK],0)),"")</f>
        <v>95.421957594163203</v>
      </c>
      <c r="AM91" s="117">
        <f>IFERROR(INDEX(TableRBVORP[VORP],MATCH(TableOverallMaster[[#This Row],[RK]],TableRBVORP[RK],0)),"")</f>
        <v>-0.15344584629487368</v>
      </c>
      <c r="AO91">
        <v>90</v>
      </c>
      <c r="AP91" s="118" t="str">
        <f>IFERROR(INDEX(TableOverallMaster[OVERALL PLAYER],MATCH(TableOverallRank[[#This Row],[RK]],TableOverallMaster[OVR RK],0)),"")</f>
        <v>Brock Purdy</v>
      </c>
      <c r="AQ91" s="119" t="str">
        <f>IFERROR(INDEX(TableOverallMaster[POS RK],MATCH(TableOverallRank[[#This Row],[OVERALL PLAYER]],TableOverallMaster[OVERALL PLAYER],0)),"")</f>
        <v>QB13</v>
      </c>
      <c r="AR91" s="120">
        <f>IFERROR(INDEX(TableOverallMaster[BYE],MATCH(TableOverallRank[[#This Row],[OVERALL PLAYER]],TableOverallMaster[OVERALL PLAYER],0)),"")</f>
        <v>9</v>
      </c>
      <c r="AS91" s="119">
        <f>IFERROR(INDEX(TableOverallMaster[Custom],MATCH(TableOverallRank[[#This Row],[OVERALL PLAYER]],TableOverallMaster[OVERALL PLAYER],0)),"")</f>
        <v>311.34483384782396</v>
      </c>
      <c r="AT91" s="121">
        <f>IFERROR(INDEX(TableOverallMaster[VORP],MATCH(TableOverallRank[[#This Row],[OVERALL PLAYER]],TableOverallMaster[OVERALL PLAYER],0)),"")</f>
        <v>0.20488777112677525</v>
      </c>
      <c r="AV91">
        <v>90</v>
      </c>
      <c r="AW91" s="122" t="str">
        <f>IFERROR(INDEX(TableWRTECalcPts[PLAYER],MATCH(TableWRTERank[[#This Row],[RK]],TableWRTECalcPts[RK],0)),"")</f>
        <v>Demario Douglas</v>
      </c>
      <c r="AX91" s="122" t="str">
        <f>IFERROR(INDEX(TableWRTECalcPts[POS RK],MATCH(TableWRTERank[[#This Row],[WR and TE COMBINED]],TableWRTECalcPts[PLAYER],0)),"")</f>
        <v>WR74</v>
      </c>
      <c r="AY91" s="122">
        <f>IFERROR(INDEX(TableWRTECalcPts[BYE],MATCH(TableWRTERank[[#This Row],[RK]],TableWRTECalcPts[RK],0)),"")</f>
        <v>11</v>
      </c>
      <c r="AZ91" s="123">
        <f>IFERROR(INDEX(TableWRTECalcPts[Custom],MATCH(TableWRTERank[[#This Row],[RK]],TableWRTECalcPts[RK],0)),"")</f>
        <v>106.29055499999998</v>
      </c>
      <c r="BA91" s="174">
        <f>IFERROR((TableWRTERank[[#This Row],[FPS]]-INDEX(TableWRTERank[FPS],MATCH(WRTEVORPCalc,TableWRTERank[RK],0)))/INDEX(TableWRTERank[FPS],MATCH(WRTEVORPCalc,TableWRTERank[RK],0)),"")</f>
        <v>-0.28800481395989508</v>
      </c>
      <c r="BC91" t="s">
        <v>223</v>
      </c>
      <c r="BD91">
        <v>90</v>
      </c>
      <c r="BE91" s="83">
        <f>RANK(TableWRTEMaster[[#This Row],[VORP]],TableWRTEMaster[VORP])+COUNTIF($BJ$2:BJ91,BJ91)-1</f>
        <v>117</v>
      </c>
      <c r="BF91" s="115" t="str">
        <f>IFERROR(INDEX(TableWRVORP[WIDE RECEIVER],MATCH(TableWRTEMaster[[#This Row],[RK]],TableWRVORP[RK],0)),"")</f>
        <v>Trey Palmer</v>
      </c>
      <c r="BG91" s="115" t="str">
        <f>_xlfn.CONCAT(TableWRTEMaster[[#This Row],[POS]],TableWRTEMaster[[#This Row],[RK]])</f>
        <v>WR90</v>
      </c>
      <c r="BH91" s="115">
        <f>IFERROR(INDEX(TableWRVORP[BYE],MATCH(TableWRTEMaster[[#This Row],[RK]],TableWRVORP[RK],0)),"")</f>
        <v>5</v>
      </c>
      <c r="BI91" s="116">
        <f>IFERROR(INDEX(TableWRVORP[FPS],MATCH(TableWRTEMaster[[#This Row],[RK]],TableWRVORP[RK],0)),"")</f>
        <v>76.730779467434402</v>
      </c>
      <c r="BJ91" s="117">
        <f>IFERROR(INDEX(TableWRVORP[VORP],MATCH(TableWRTEMaster[[#This Row],[RK]],TableWRVORP[RK],0)),"")</f>
        <v>-0.46863323054125128</v>
      </c>
    </row>
    <row r="92" spans="1:62" x14ac:dyDescent="0.2">
      <c r="A92">
        <v>91</v>
      </c>
      <c r="B92" s="112" t="str">
        <f>IFERROR(INDEX(TableQBCalcPts[PLAYER],MATCH(TableQBVORP[[#This Row],[RK]],TableQBCalcPts[RK],0)),"")</f>
        <v/>
      </c>
      <c r="C92" s="112" t="str">
        <f>IFERROR(INDEX(TableQBCalcPts[TM],MATCH(TableQBVORP[[#This Row],[RK]],TableQBCalcPts[RK],0)),"")</f>
        <v/>
      </c>
      <c r="D92" s="112" t="str">
        <f>IFERROR(INDEX(TableQBCalcPts[BYE],MATCH(TableQBVORP[[#This Row],[RK]],TableQBCalcPts[RK],0)),"")</f>
        <v/>
      </c>
      <c r="E92" s="113" t="str">
        <f>IFERROR(INDEX(TableQBCalcPts[Custom],MATCH(TableQBVORP[[#This Row],[RK]],TableQBCalcPts[RK],0)),"")</f>
        <v/>
      </c>
      <c r="F9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2">
        <v>91</v>
      </c>
      <c r="I92" s="112" t="str">
        <f>IFERROR(INDEX(TableRBCalcPts[PLAYER],MATCH(TableRBVORP[[#This Row],[RK]],TableRBCalcPts[RK],0)),"")</f>
        <v>Keaontay Ingram</v>
      </c>
      <c r="J92" s="112" t="str">
        <f>IFERROR(INDEX(TableRBCalcPts[TM],MATCH(TableRBVORP[[#This Row],[RK]],TableRBCalcPts[RK],0)),"")</f>
        <v>KC</v>
      </c>
      <c r="K92" s="112">
        <f>IFERROR(INDEX(TableRBCalcPts[BYE],MATCH(TableRBVORP[[#This Row],[RK]],TableRBCalcPts[RK],0)),"")</f>
        <v>10</v>
      </c>
      <c r="L92" s="113">
        <f>IFERROR(INDEX(TableRBCalcPts[Custom],MATCH(TableRBVORP[[#This Row],[RK]],TableRBCalcPts[RK],0)),"")</f>
        <v>23.444296960000003</v>
      </c>
      <c r="M92" s="114">
        <f>IFERROR((TableRBVORP[[#This Row],[FPS]]-INDEX(TableRBVORP[FPS],MATCH(RBVORPCalc,TableRBVORP[RK],0)))/INDEX(TableRBVORP[FPS],MATCH(RBVORPCalc,TableRBVORP[RK],0)),"")</f>
        <v>-0.79200943396492984</v>
      </c>
      <c r="O92">
        <v>91</v>
      </c>
      <c r="P92" s="112" t="str">
        <f>IFERROR(INDEX(TableWRCalcPts[PLAYER],MATCH(TableWRVORP[[#This Row],[RK]],TableWRCalcPts[RK],0)),"")</f>
        <v>Tyler Boyd</v>
      </c>
      <c r="Q92" s="112" t="str">
        <f>IFERROR(INDEX(TableWRCalcPts[TM],MATCH(TableWRVORP[[#This Row],[RK]],TableWRCalcPts[RK],0)),"")</f>
        <v>TEN</v>
      </c>
      <c r="R92" s="112">
        <f>IFERROR(INDEX(TableWRCalcPts[BYE],MATCH(TableWRVORP[[#This Row],[RK]],TableWRCalcPts[RK],0)),"")</f>
        <v>7</v>
      </c>
      <c r="S92" s="113">
        <f>IFERROR(INDEX(TableWRCalcPts[Custom],MATCH(TableWRVORP[[#This Row],[RK]],TableWRCalcPts[RK],0)),"")</f>
        <v>70.655056034062497</v>
      </c>
      <c r="T92" s="114">
        <f>IFERROR((TableWRVORP[[#This Row],[FPS]]-INDEX(TableWRVORP[FPS],MATCH(WRVORPCalc,TableWRVORP[RK],0)))/INDEX(TableWRVORP[FPS],MATCH(WRVORPCalc,TableWRVORP[RK],0)),"")</f>
        <v>-0.51070810004372835</v>
      </c>
      <c r="V92">
        <v>91</v>
      </c>
      <c r="W92" s="112" t="str">
        <f>IFERROR(INDEX(TableTECalcPts[PLAYER],MATCH(TableTEVORP[[#This Row],[RK]],TableTECalcPts[RK],0)),"")</f>
        <v/>
      </c>
      <c r="X92" s="112" t="str">
        <f>IFERROR(INDEX(TableTECalcPts[TM],MATCH(TableTEVORP[[#This Row],[RK]],TableTECalcPts[RK],0)),"")</f>
        <v/>
      </c>
      <c r="Y92" s="112" t="str">
        <f>IFERROR(INDEX(TableTECalcPts[BYE],MATCH(TableTEVORP[[#This Row],[RK]],TableTECalcPts[RK],0)),"")</f>
        <v/>
      </c>
      <c r="Z92" s="113" t="str">
        <f>IFERROR(INDEX(TableTECalcPts[Custom],MATCH(TableTEVORP[[#This Row],[RK]],TableTECalcPts[RK],0)),"")</f>
        <v/>
      </c>
      <c r="AA92" s="114" t="str">
        <f>IFERROR((TableTEVORP[[#This Row],[FPS]]-INDEX(TableTEVORP[FPS],MATCH(TEVORPCalc,TableTEVORP[RK],0)))/INDEX(TableTEVORP[FPS],MATCH(TEVORPCalc,TableTEVORP[RK],0)),"")</f>
        <v/>
      </c>
      <c r="AF92" t="s">
        <v>222</v>
      </c>
      <c r="AG92">
        <v>51</v>
      </c>
      <c r="AH92" s="83">
        <f>RANK(TableOverallMaster[[#This Row],[VORP]],TableOverallMaster[VORP])+COUNTIF($AM$2:AM92,AM92)-1</f>
        <v>162</v>
      </c>
      <c r="AI92" s="115" t="str">
        <f>IFERROR(INDEX(TableRBVORP[RUNNING BACK],MATCH(TableOverallMaster[[#This Row],[RK]],TableRBVORP[RK],0)),"")</f>
        <v>Samaje Perine</v>
      </c>
      <c r="AJ92" s="115" t="str">
        <f t="shared" si="1"/>
        <v>RB51</v>
      </c>
      <c r="AK92" s="115">
        <f>IFERROR(INDEX(TableRBVORP[BYE],MATCH(TableOverallMaster[[#This Row],[RK]],TableRBVORP[RK],0)),"")</f>
        <v>9</v>
      </c>
      <c r="AL92" s="116">
        <f>IFERROR(INDEX(TableRBVORP[FPS],MATCH(TableOverallMaster[[#This Row],[RK]],TableRBVORP[RK],0)),"")</f>
        <v>95.098238476724006</v>
      </c>
      <c r="AM92" s="117">
        <f>IFERROR(INDEX(TableRBVORP[VORP],MATCH(TableOverallMaster[[#This Row],[RK]],TableRBVORP[RK],0)),"")</f>
        <v>-0.15631778238182178</v>
      </c>
      <c r="AO92">
        <v>91</v>
      </c>
      <c r="AP92" s="118" t="str">
        <f>IFERROR(INDEX(TableOverallMaster[OVERALL PLAYER],MATCH(TableOverallRank[[#This Row],[RK]],TableOverallMaster[OVR RK],0)),"")</f>
        <v>Terry McLaurin</v>
      </c>
      <c r="AQ92" s="119" t="str">
        <f>IFERROR(INDEX(TableOverallMaster[POS RK],MATCH(TableOverallRank[[#This Row],[OVERALL PLAYER]],TableOverallMaster[OVERALL PLAYER],0)),"")</f>
        <v>WR35</v>
      </c>
      <c r="AR92" s="120">
        <f>IFERROR(INDEX(TableOverallMaster[BYE],MATCH(TableOverallRank[[#This Row],[OVERALL PLAYER]],TableOverallMaster[OVERALL PLAYER],0)),"")</f>
        <v>14</v>
      </c>
      <c r="AS92" s="119">
        <f>IFERROR(INDEX(TableOverallMaster[Custom],MATCH(TableOverallRank[[#This Row],[OVERALL PLAYER]],TableOverallMaster[OVERALL PLAYER],0)),"")</f>
        <v>172.97674860746699</v>
      </c>
      <c r="AT92" s="121">
        <f>IFERROR(INDEX(TableOverallMaster[VORP],MATCH(TableOverallRank[[#This Row],[OVERALL PLAYER]],TableOverallMaster[OVERALL PLAYER],0)),"")</f>
        <v>0.19787778433864922</v>
      </c>
      <c r="AV92">
        <v>91</v>
      </c>
      <c r="AW92" s="122" t="str">
        <f>IFERROR(INDEX(TableWRTECalcPts[PLAYER],MATCH(TableWRTERank[[#This Row],[RK]],TableWRTECalcPts[RK],0)),"")</f>
        <v>Chigoziem Okonkwo</v>
      </c>
      <c r="AX92" s="122" t="str">
        <f>IFERROR(INDEX(TableWRTECalcPts[POS RK],MATCH(TableWRTERank[[#This Row],[WR and TE COMBINED]],TableWRTECalcPts[PLAYER],0)),"")</f>
        <v>TE17</v>
      </c>
      <c r="AY92" s="122">
        <f>IFERROR(INDEX(TableWRTECalcPts[BYE],MATCH(TableWRTERank[[#This Row],[RK]],TableWRTECalcPts[RK],0)),"")</f>
        <v>7</v>
      </c>
      <c r="AZ92" s="123">
        <f>IFERROR(INDEX(TableWRTECalcPts[Custom],MATCH(TableWRTERank[[#This Row],[RK]],TableWRTECalcPts[RK],0)),"")</f>
        <v>105.83006106172496</v>
      </c>
      <c r="BA92" s="174">
        <f>IFERROR((TableWRTERank[[#This Row],[FPS]]-INDEX(TableWRTERank[FPS],MATCH(WRTEVORPCalc,TableWRTERank[RK],0)))/INDEX(TableWRTERank[FPS],MATCH(WRTEVORPCalc,TableWRTERank[RK],0)),"")</f>
        <v>-0.29108946684605663</v>
      </c>
      <c r="BC92" t="s">
        <v>223</v>
      </c>
      <c r="BD92">
        <v>91</v>
      </c>
      <c r="BE92" s="83">
        <f>RANK(TableWRTEMaster[[#This Row],[VORP]],TableWRTEMaster[VORP])+COUNTIF($BJ$2:BJ92,BJ92)-1</f>
        <v>122</v>
      </c>
      <c r="BF92" s="115" t="str">
        <f>IFERROR(INDEX(TableWRVORP[WIDE RECEIVER],MATCH(TableWRTEMaster[[#This Row],[RK]],TableWRVORP[RK],0)),"")</f>
        <v>Tyler Boyd</v>
      </c>
      <c r="BG92" s="115" t="str">
        <f>_xlfn.CONCAT(TableWRTEMaster[[#This Row],[POS]],TableWRTEMaster[[#This Row],[RK]])</f>
        <v>WR91</v>
      </c>
      <c r="BH92" s="115">
        <f>IFERROR(INDEX(TableWRVORP[BYE],MATCH(TableWRTEMaster[[#This Row],[RK]],TableWRVORP[RK],0)),"")</f>
        <v>7</v>
      </c>
      <c r="BI92" s="116">
        <f>IFERROR(INDEX(TableWRVORP[FPS],MATCH(TableWRTEMaster[[#This Row],[RK]],TableWRVORP[RK],0)),"")</f>
        <v>70.655056034062497</v>
      </c>
      <c r="BJ92" s="117">
        <f>IFERROR(INDEX(TableWRVORP[VORP],MATCH(TableWRTEMaster[[#This Row],[RK]],TableWRVORP[RK],0)),"")</f>
        <v>-0.51070810004372835</v>
      </c>
    </row>
    <row r="93" spans="1:62" x14ac:dyDescent="0.2">
      <c r="A93">
        <v>92</v>
      </c>
      <c r="B93" s="112" t="str">
        <f>IFERROR(INDEX(TableQBCalcPts[PLAYER],MATCH(TableQBVORP[[#This Row],[RK]],TableQBCalcPts[RK],0)),"")</f>
        <v/>
      </c>
      <c r="C93" s="112" t="str">
        <f>IFERROR(INDEX(TableQBCalcPts[TM],MATCH(TableQBVORP[[#This Row],[RK]],TableQBCalcPts[RK],0)),"")</f>
        <v/>
      </c>
      <c r="D93" s="112" t="str">
        <f>IFERROR(INDEX(TableQBCalcPts[BYE],MATCH(TableQBVORP[[#This Row],[RK]],TableQBCalcPts[RK],0)),"")</f>
        <v/>
      </c>
      <c r="E93" s="113" t="str">
        <f>IFERROR(INDEX(TableQBCalcPts[Custom],MATCH(TableQBVORP[[#This Row],[RK]],TableQBCalcPts[RK],0)),"")</f>
        <v/>
      </c>
      <c r="F9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3">
        <v>92</v>
      </c>
      <c r="I93" s="112" t="str">
        <f>IFERROR(INDEX(TableRBCalcPts[PLAYER],MATCH(TableRBVORP[[#This Row],[RK]],TableRBCalcPts[RK],0)),"")</f>
        <v>Evan Hull</v>
      </c>
      <c r="J93" s="112" t="str">
        <f>IFERROR(INDEX(TableRBCalcPts[TM],MATCH(TableRBVORP[[#This Row],[RK]],TableRBCalcPts[RK],0)),"")</f>
        <v>IND</v>
      </c>
      <c r="K93" s="112">
        <f>IFERROR(INDEX(TableRBCalcPts[BYE],MATCH(TableRBVORP[[#This Row],[RK]],TableRBCalcPts[RK],0)),"")</f>
        <v>11</v>
      </c>
      <c r="L93" s="113">
        <f>IFERROR(INDEX(TableRBCalcPts[Custom],MATCH(TableRBVORP[[#This Row],[RK]],TableRBCalcPts[RK],0)),"")</f>
        <v>22.991422196511998</v>
      </c>
      <c r="M93" s="114">
        <f>IFERROR((TableRBVORP[[#This Row],[FPS]]-INDEX(TableRBVORP[FPS],MATCH(RBVORPCalc,TableRBVORP[RK],0)))/INDEX(TableRBVORP[FPS],MATCH(RBVORPCalc,TableRBVORP[RK],0)),"")</f>
        <v>-0.79602719907691333</v>
      </c>
      <c r="O93">
        <v>92</v>
      </c>
      <c r="P93" s="112" t="str">
        <f>IFERROR(INDEX(TableWRCalcPts[PLAYER],MATCH(TableWRVORP[[#This Row],[RK]],TableWRCalcPts[RK],0)),"")</f>
        <v>Cedrick Wilson</v>
      </c>
      <c r="Q93" s="112" t="str">
        <f>IFERROR(INDEX(TableWRCalcPts[TM],MATCH(TableWRVORP[[#This Row],[RK]],TableWRCalcPts[RK],0)),"")</f>
        <v>NO</v>
      </c>
      <c r="R93" s="112">
        <f>IFERROR(INDEX(TableWRCalcPts[BYE],MATCH(TableWRVORP[[#This Row],[RK]],TableWRCalcPts[RK],0)),"")</f>
        <v>11</v>
      </c>
      <c r="S93" s="113">
        <f>IFERROR(INDEX(TableWRCalcPts[Custom],MATCH(TableWRVORP[[#This Row],[RK]],TableWRCalcPts[RK],0)),"")</f>
        <v>69.911023376409588</v>
      </c>
      <c r="T93" s="114">
        <f>IFERROR((TableWRVORP[[#This Row],[FPS]]-INDEX(TableWRVORP[FPS],MATCH(WRVORPCalc,TableWRVORP[RK],0)))/INDEX(TableWRVORP[FPS],MATCH(WRVORPCalc,TableWRVORP[RK],0)),"")</f>
        <v>-0.51586058555753223</v>
      </c>
      <c r="V93">
        <v>92</v>
      </c>
      <c r="W93" s="112" t="str">
        <f>IFERROR(INDEX(TableTECalcPts[PLAYER],MATCH(TableTEVORP[[#This Row],[RK]],TableTECalcPts[RK],0)),"")</f>
        <v/>
      </c>
      <c r="X93" s="112" t="str">
        <f>IFERROR(INDEX(TableTECalcPts[TM],MATCH(TableTEVORP[[#This Row],[RK]],TableTECalcPts[RK],0)),"")</f>
        <v/>
      </c>
      <c r="Y93" s="112" t="str">
        <f>IFERROR(INDEX(TableTECalcPts[BYE],MATCH(TableTEVORP[[#This Row],[RK]],TableTECalcPts[RK],0)),"")</f>
        <v/>
      </c>
      <c r="Z93" s="113" t="str">
        <f>IFERROR(INDEX(TableTECalcPts[Custom],MATCH(TableTEVORP[[#This Row],[RK]],TableTECalcPts[RK],0)),"")</f>
        <v/>
      </c>
      <c r="AA93" s="114" t="str">
        <f>IFERROR((TableTEVORP[[#This Row],[FPS]]-INDEX(TableTEVORP[FPS],MATCH(TEVORPCalc,TableTEVORP[RK],0)))/INDEX(TableTEVORP[FPS],MATCH(TEVORPCalc,TableTEVORP[RK],0)),"")</f>
        <v/>
      </c>
      <c r="AF93" t="s">
        <v>222</v>
      </c>
      <c r="AG93">
        <v>52</v>
      </c>
      <c r="AH93" s="83">
        <f>RANK(TableOverallMaster[[#This Row],[VORP]],TableOverallMaster[VORP])+COUNTIF($AM$2:AM93,AM93)-1</f>
        <v>166</v>
      </c>
      <c r="AI93" s="115" t="str">
        <f>IFERROR(INDEX(TableRBVORP[RUNNING BACK],MATCH(TableOverallMaster[[#This Row],[RK]],TableRBVORP[RK],0)),"")</f>
        <v>MarShawn Lloyd</v>
      </c>
      <c r="AJ93" s="115" t="str">
        <f t="shared" si="1"/>
        <v>RB52</v>
      </c>
      <c r="AK93" s="115">
        <f>IFERROR(INDEX(TableRBVORP[BYE],MATCH(TableOverallMaster[[#This Row],[RK]],TableRBVORP[RK],0)),"")</f>
        <v>6</v>
      </c>
      <c r="AL93" s="116">
        <f>IFERROR(INDEX(TableRBVORP[FPS],MATCH(TableOverallMaster[[#This Row],[RK]],TableRBVORP[RK],0)),"")</f>
        <v>92.192326900800012</v>
      </c>
      <c r="AM93" s="117">
        <f>IFERROR(INDEX(TableRBVORP[VORP],MATCH(TableOverallMaster[[#This Row],[RK]],TableRBVORP[RK],0)),"")</f>
        <v>-0.18209813291037499</v>
      </c>
      <c r="AO93">
        <v>92</v>
      </c>
      <c r="AP93" s="118" t="str">
        <f>IFERROR(INDEX(TableOverallMaster[OVERALL PLAYER],MATCH(TableOverallRank[[#This Row],[RK]],TableOverallMaster[OVR RK],0)),"")</f>
        <v>Chris Godwin</v>
      </c>
      <c r="AQ93" s="119" t="str">
        <f>IFERROR(INDEX(TableOverallMaster[POS RK],MATCH(TableOverallRank[[#This Row],[OVERALL PLAYER]],TableOverallMaster[OVERALL PLAYER],0)),"")</f>
        <v>WR36</v>
      </c>
      <c r="AR93" s="120">
        <f>IFERROR(INDEX(TableOverallMaster[BYE],MATCH(TableOverallRank[[#This Row],[OVERALL PLAYER]],TableOverallMaster[OVERALL PLAYER],0)),"")</f>
        <v>5</v>
      </c>
      <c r="AS93" s="119">
        <f>IFERROR(INDEX(TableOverallMaster[Custom],MATCH(TableOverallRank[[#This Row],[OVERALL PLAYER]],TableOverallMaster[OVERALL PLAYER],0)),"")</f>
        <v>172.82871671083197</v>
      </c>
      <c r="AT93" s="121">
        <f>IFERROR(INDEX(TableOverallMaster[VORP],MATCH(TableOverallRank[[#This Row],[OVERALL PLAYER]],TableOverallMaster[OVERALL PLAYER],0)),"")</f>
        <v>0.19685265164434126</v>
      </c>
      <c r="AV93">
        <v>92</v>
      </c>
      <c r="AW93" s="122" t="str">
        <f>IFERROR(INDEX(TableWRTECalcPts[PLAYER],MATCH(TableWRTERank[[#This Row],[RK]],TableWRTECalcPts[RK],0)),"")</f>
        <v>Josh Reynolds</v>
      </c>
      <c r="AX93" s="122" t="str">
        <f>IFERROR(INDEX(TableWRTECalcPts[POS RK],MATCH(TableWRTERank[[#This Row],[WR and TE COMBINED]],TableWRTECalcPts[PLAYER],0)),"")</f>
        <v>WR75</v>
      </c>
      <c r="AY93" s="122">
        <f>IFERROR(INDEX(TableWRTECalcPts[BYE],MATCH(TableWRTERank[[#This Row],[RK]],TableWRTECalcPts[RK],0)),"")</f>
        <v>9</v>
      </c>
      <c r="AZ93" s="123">
        <f>IFERROR(INDEX(TableWRTECalcPts[Custom],MATCH(TableWRTERank[[#This Row],[RK]],TableWRTECalcPts[RK],0)),"")</f>
        <v>105.31443284480997</v>
      </c>
      <c r="BA93" s="174">
        <f>IFERROR((TableWRTERank[[#This Row],[FPS]]-INDEX(TableWRTERank[FPS],MATCH(WRTEVORPCalc,TableWRTERank[RK],0)))/INDEX(TableWRTERank[FPS],MATCH(WRTEVORPCalc,TableWRTERank[RK],0)),"")</f>
        <v>-0.29454344079726907</v>
      </c>
      <c r="BC93" t="s">
        <v>223</v>
      </c>
      <c r="BD93">
        <v>92</v>
      </c>
      <c r="BE93" s="83">
        <f>RANK(TableWRTEMaster[[#This Row],[VORP]],TableWRTEMaster[VORP])+COUNTIF($BJ$2:BJ93,BJ93)-1</f>
        <v>123</v>
      </c>
      <c r="BF93" s="115" t="str">
        <f>IFERROR(INDEX(TableWRVORP[WIDE RECEIVER],MATCH(TableWRTEMaster[[#This Row],[RK]],TableWRVORP[RK],0)),"")</f>
        <v>Cedrick Wilson</v>
      </c>
      <c r="BG93" s="115" t="str">
        <f>_xlfn.CONCAT(TableWRTEMaster[[#This Row],[POS]],TableWRTEMaster[[#This Row],[RK]])</f>
        <v>WR92</v>
      </c>
      <c r="BH93" s="115">
        <f>IFERROR(INDEX(TableWRVORP[BYE],MATCH(TableWRTEMaster[[#This Row],[RK]],TableWRVORP[RK],0)),"")</f>
        <v>11</v>
      </c>
      <c r="BI93" s="116">
        <f>IFERROR(INDEX(TableWRVORP[FPS],MATCH(TableWRTEMaster[[#This Row],[RK]],TableWRVORP[RK],0)),"")</f>
        <v>69.911023376409588</v>
      </c>
      <c r="BJ93" s="117">
        <f>IFERROR(INDEX(TableWRVORP[VORP],MATCH(TableWRTEMaster[[#This Row],[RK]],TableWRVORP[RK],0)),"")</f>
        <v>-0.51586058555753223</v>
      </c>
    </row>
    <row r="94" spans="1:62" x14ac:dyDescent="0.2">
      <c r="A94">
        <v>93</v>
      </c>
      <c r="B94" s="112" t="str">
        <f>IFERROR(INDEX(TableQBCalcPts[PLAYER],MATCH(TableQBVORP[[#This Row],[RK]],TableQBCalcPts[RK],0)),"")</f>
        <v/>
      </c>
      <c r="C94" s="112" t="str">
        <f>IFERROR(INDEX(TableQBCalcPts[TM],MATCH(TableQBVORP[[#This Row],[RK]],TableQBCalcPts[RK],0)),"")</f>
        <v/>
      </c>
      <c r="D94" s="112" t="str">
        <f>IFERROR(INDEX(TableQBCalcPts[BYE],MATCH(TableQBVORP[[#This Row],[RK]],TableQBCalcPts[RK],0)),"")</f>
        <v/>
      </c>
      <c r="E94" s="113" t="str">
        <f>IFERROR(INDEX(TableQBCalcPts[Custom],MATCH(TableQBVORP[[#This Row],[RK]],TableQBCalcPts[RK],0)),"")</f>
        <v/>
      </c>
      <c r="F9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4">
        <v>93</v>
      </c>
      <c r="I94" s="112" t="str">
        <f>IFERROR(INDEX(TableRBCalcPts[PLAYER],MATCH(TableRBVORP[[#This Row],[RK]],TableRBCalcPts[RK],0)),"")</f>
        <v>Jaleel McLaughlin</v>
      </c>
      <c r="J94" s="112" t="str">
        <f>IFERROR(INDEX(TableRBCalcPts[TM],MATCH(TableRBVORP[[#This Row],[RK]],TableRBCalcPts[RK],0)),"")</f>
        <v>DEN</v>
      </c>
      <c r="K94" s="112">
        <f>IFERROR(INDEX(TableRBCalcPts[BYE],MATCH(TableRBVORP[[#This Row],[RK]],TableRBCalcPts[RK],0)),"")</f>
        <v>9</v>
      </c>
      <c r="L94" s="113">
        <f>IFERROR(INDEX(TableRBCalcPts[Custom],MATCH(TableRBVORP[[#This Row],[RK]],TableRBCalcPts[RK],0)),"")</f>
        <v>22.372623066780001</v>
      </c>
      <c r="M94" s="114">
        <f>IFERROR((TableRBVORP[[#This Row],[FPS]]-INDEX(TableRBVORP[FPS],MATCH(RBVORPCalc,TableRBVORP[RK],0)))/INDEX(TableRBVORP[FPS],MATCH(RBVORPCalc,TableRBVORP[RK],0)),"")</f>
        <v>-0.80151699395003573</v>
      </c>
      <c r="O94">
        <v>93</v>
      </c>
      <c r="P94" s="112" t="str">
        <f>IFERROR(INDEX(TableWRCalcPts[PLAYER],MATCH(TableWRVORP[[#This Row],[RK]],TableWRCalcPts[RK],0)),"")</f>
        <v>Jalen McMillan</v>
      </c>
      <c r="Q94" s="112" t="str">
        <f>IFERROR(INDEX(TableWRCalcPts[TM],MATCH(TableWRVORP[[#This Row],[RK]],TableWRCalcPts[RK],0)),"")</f>
        <v>TB</v>
      </c>
      <c r="R94" s="112">
        <f>IFERROR(INDEX(TableWRCalcPts[BYE],MATCH(TableWRVORP[[#This Row],[RK]],TableWRCalcPts[RK],0)),"")</f>
        <v>5</v>
      </c>
      <c r="S94" s="113">
        <f>IFERROR(INDEX(TableWRCalcPts[Custom],MATCH(TableWRVORP[[#This Row],[RK]],TableWRCalcPts[RK],0)),"")</f>
        <v>68.307723575783996</v>
      </c>
      <c r="T94" s="114">
        <f>IFERROR((TableWRVORP[[#This Row],[FPS]]-INDEX(TableWRVORP[FPS],MATCH(WRVORPCalc,TableWRVORP[RK],0)))/INDEX(TableWRVORP[FPS],MATCH(WRVORPCalc,TableWRVORP[RK],0)),"")</f>
        <v>-0.52696356458948446</v>
      </c>
      <c r="V94">
        <v>93</v>
      </c>
      <c r="W94" s="112" t="str">
        <f>IFERROR(INDEX(TableTECalcPts[PLAYER],MATCH(TableTEVORP[[#This Row],[RK]],TableTECalcPts[RK],0)),"")</f>
        <v/>
      </c>
      <c r="X94" s="112" t="str">
        <f>IFERROR(INDEX(TableTECalcPts[TM],MATCH(TableTEVORP[[#This Row],[RK]],TableTECalcPts[RK],0)),"")</f>
        <v/>
      </c>
      <c r="Y94" s="112" t="str">
        <f>IFERROR(INDEX(TableTECalcPts[BYE],MATCH(TableTEVORP[[#This Row],[RK]],TableTECalcPts[RK],0)),"")</f>
        <v/>
      </c>
      <c r="Z94" s="113" t="str">
        <f>IFERROR(INDEX(TableTECalcPts[Custom],MATCH(TableTEVORP[[#This Row],[RK]],TableTECalcPts[RK],0)),"")</f>
        <v/>
      </c>
      <c r="AA94" s="114" t="str">
        <f>IFERROR((TableTEVORP[[#This Row],[FPS]]-INDEX(TableTEVORP[FPS],MATCH(TEVORPCalc,TableTEVORP[RK],0)))/INDEX(TableTEVORP[FPS],MATCH(TEVORPCalc,TableTEVORP[RK],0)),"")</f>
        <v/>
      </c>
      <c r="AF94" t="s">
        <v>222</v>
      </c>
      <c r="AG94">
        <v>53</v>
      </c>
      <c r="AH94" s="83">
        <f>RANK(TableOverallMaster[[#This Row],[VORP]],TableOverallMaster[VORP])+COUNTIF($AM$2:AM94,AM94)-1</f>
        <v>168</v>
      </c>
      <c r="AI94" s="115" t="str">
        <f>IFERROR(INDEX(TableRBVORP[RUNNING BACK],MATCH(TableOverallMaster[[#This Row],[RK]],TableRBVORP[RK],0)),"")</f>
        <v>Jaylen Wright</v>
      </c>
      <c r="AJ94" s="115" t="str">
        <f t="shared" si="1"/>
        <v>RB53</v>
      </c>
      <c r="AK94" s="115">
        <f>IFERROR(INDEX(TableRBVORP[BYE],MATCH(TableOverallMaster[[#This Row],[RK]],TableRBVORP[RK],0)),"")</f>
        <v>10</v>
      </c>
      <c r="AL94" s="116">
        <f>IFERROR(INDEX(TableRBVORP[FPS],MATCH(TableOverallMaster[[#This Row],[RK]],TableRBVORP[RK],0)),"")</f>
        <v>91.322713680576001</v>
      </c>
      <c r="AM94" s="117">
        <f>IFERROR(INDEX(TableRBVORP[VORP],MATCH(TableOverallMaster[[#This Row],[RK]],TableRBVORP[RK],0)),"")</f>
        <v>-0.1898130729750982</v>
      </c>
      <c r="AO94">
        <v>93</v>
      </c>
      <c r="AP94" s="118" t="str">
        <f>IFERROR(INDEX(TableOverallMaster[OVERALL PLAYER],MATCH(TableOverallRank[[#This Row],[RK]],TableOverallMaster[OVR RK],0)),"")</f>
        <v>Zay Flowers</v>
      </c>
      <c r="AQ94" s="119" t="str">
        <f>IFERROR(INDEX(TableOverallMaster[POS RK],MATCH(TableOverallRank[[#This Row],[OVERALL PLAYER]],TableOverallMaster[OVERALL PLAYER],0)),"")</f>
        <v>WR37</v>
      </c>
      <c r="AR94" s="120">
        <f>IFERROR(INDEX(TableOverallMaster[BYE],MATCH(TableOverallRank[[#This Row],[OVERALL PLAYER]],TableOverallMaster[OVERALL PLAYER],0)),"")</f>
        <v>13</v>
      </c>
      <c r="AS94" s="119">
        <f>IFERROR(INDEX(TableOverallMaster[Custom],MATCH(TableOverallRank[[#This Row],[OVERALL PLAYER]],TableOverallMaster[OVERALL PLAYER],0)),"")</f>
        <v>171.6694996834272</v>
      </c>
      <c r="AT94" s="121">
        <f>IFERROR(INDEX(TableOverallMaster[VORP],MATCH(TableOverallRank[[#This Row],[OVERALL PLAYER]],TableOverallMaster[OVERALL PLAYER],0)),"")</f>
        <v>0.18882498124624411</v>
      </c>
      <c r="AV94">
        <v>93</v>
      </c>
      <c r="AW94" s="122" t="str">
        <f>IFERROR(INDEX(TableWRTECalcPts[PLAYER],MATCH(TableWRTERank[[#This Row],[RK]],TableWRTECalcPts[RK],0)),"")</f>
        <v>Marvin Mims</v>
      </c>
      <c r="AX94" s="122" t="str">
        <f>IFERROR(INDEX(TableWRTECalcPts[POS RK],MATCH(TableWRTERank[[#This Row],[WR and TE COMBINED]],TableWRTECalcPts[PLAYER],0)),"")</f>
        <v>WR76</v>
      </c>
      <c r="AY94" s="122">
        <f>IFERROR(INDEX(TableWRTECalcPts[BYE],MATCH(TableWRTERank[[#This Row],[RK]],TableWRTECalcPts[RK],0)),"")</f>
        <v>9</v>
      </c>
      <c r="AZ94" s="123">
        <f>IFERROR(INDEX(TableWRTECalcPts[Custom],MATCH(TableWRTERank[[#This Row],[RK]],TableWRTECalcPts[RK],0)),"")</f>
        <v>104.3449333248</v>
      </c>
      <c r="BA94" s="174">
        <f>IFERROR((TableWRTERank[[#This Row],[FPS]]-INDEX(TableWRTERank[FPS],MATCH(WRTEVORPCalc,TableWRTERank[RK],0)))/INDEX(TableWRTERank[FPS],MATCH(WRTEVORPCalc,TableWRTERank[RK],0)),"")</f>
        <v>-0.30103770542045499</v>
      </c>
      <c r="BC94" t="s">
        <v>223</v>
      </c>
      <c r="BD94">
        <v>93</v>
      </c>
      <c r="BE94" s="83">
        <f>RANK(TableWRTEMaster[[#This Row],[VORP]],TableWRTEMaster[VORP])+COUNTIF($BJ$2:BJ94,BJ94)-1</f>
        <v>124</v>
      </c>
      <c r="BF94" s="115" t="str">
        <f>IFERROR(INDEX(TableWRVORP[WIDE RECEIVER],MATCH(TableWRTEMaster[[#This Row],[RK]],TableWRVORP[RK],0)),"")</f>
        <v>Jalen McMillan</v>
      </c>
      <c r="BG94" s="115" t="str">
        <f>_xlfn.CONCAT(TableWRTEMaster[[#This Row],[POS]],TableWRTEMaster[[#This Row],[RK]])</f>
        <v>WR93</v>
      </c>
      <c r="BH94" s="115">
        <f>IFERROR(INDEX(TableWRVORP[BYE],MATCH(TableWRTEMaster[[#This Row],[RK]],TableWRVORP[RK],0)),"")</f>
        <v>5</v>
      </c>
      <c r="BI94" s="116">
        <f>IFERROR(INDEX(TableWRVORP[FPS],MATCH(TableWRTEMaster[[#This Row],[RK]],TableWRVORP[RK],0)),"")</f>
        <v>68.307723575783996</v>
      </c>
      <c r="BJ94" s="117">
        <f>IFERROR(INDEX(TableWRVORP[VORP],MATCH(TableWRTEMaster[[#This Row],[RK]],TableWRVORP[RK],0)),"")</f>
        <v>-0.52696356458948446</v>
      </c>
    </row>
    <row r="95" spans="1:62" x14ac:dyDescent="0.2">
      <c r="A95">
        <v>94</v>
      </c>
      <c r="B95" s="112" t="str">
        <f>IFERROR(INDEX(TableQBCalcPts[PLAYER],MATCH(TableQBVORP[[#This Row],[RK]],TableQBCalcPts[RK],0)),"")</f>
        <v/>
      </c>
      <c r="C95" s="112" t="str">
        <f>IFERROR(INDEX(TableQBCalcPts[TM],MATCH(TableQBVORP[[#This Row],[RK]],TableQBCalcPts[RK],0)),"")</f>
        <v/>
      </c>
      <c r="D95" s="112" t="str">
        <f>IFERROR(INDEX(TableQBCalcPts[BYE],MATCH(TableQBVORP[[#This Row],[RK]],TableQBCalcPts[RK],0)),"")</f>
        <v/>
      </c>
      <c r="E95" s="113" t="str">
        <f>IFERROR(INDEX(TableQBCalcPts[Custom],MATCH(TableQBVORP[[#This Row],[RK]],TableQBCalcPts[RK],0)),"")</f>
        <v/>
      </c>
      <c r="F9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5">
        <v>94</v>
      </c>
      <c r="I95" s="112" t="str">
        <f>IFERROR(INDEX(TableRBCalcPts[PLAYER],MATCH(TableRBVORP[[#This Row],[RK]],TableRBCalcPts[RK],0)),"")</f>
        <v>Royce Freeman</v>
      </c>
      <c r="J95" s="112" t="str">
        <f>IFERROR(INDEX(TableRBCalcPts[TM],MATCH(TableRBVORP[[#This Row],[RK]],TableRBCalcPts[RK],0)),"")</f>
        <v>DAL</v>
      </c>
      <c r="K95" s="112">
        <f>IFERROR(INDEX(TableRBCalcPts[BYE],MATCH(TableRBVORP[[#This Row],[RK]],TableRBCalcPts[RK],0)),"")</f>
        <v>7</v>
      </c>
      <c r="L95" s="113">
        <f>IFERROR(INDEX(TableRBCalcPts[Custom],MATCH(TableRBVORP[[#This Row],[RK]],TableRBCalcPts[RK],0)),"")</f>
        <v>22.019979806999999</v>
      </c>
      <c r="M95" s="114">
        <f>IFERROR((TableRBVORP[[#This Row],[FPS]]-INDEX(TableRBVORP[FPS],MATCH(RBVORPCalc,TableRBVORP[RK],0)))/INDEX(TableRBVORP[FPS],MATCH(RBVORPCalc,TableRBVORP[RK],0)),"")</f>
        <v>-0.80464553609976353</v>
      </c>
      <c r="O95">
        <v>94</v>
      </c>
      <c r="P95" s="112" t="str">
        <f>IFERROR(INDEX(TableWRCalcPts[PLAYER],MATCH(TableWRVORP[[#This Row],[RK]],TableWRCalcPts[RK],0)),"")</f>
        <v>JuJu Smith-Schuster</v>
      </c>
      <c r="Q95" s="112" t="str">
        <f>IFERROR(INDEX(TableWRCalcPts[TM],MATCH(TableWRVORP[[#This Row],[RK]],TableWRCalcPts[RK],0)),"")</f>
        <v>NE</v>
      </c>
      <c r="R95" s="112">
        <f>IFERROR(INDEX(TableWRCalcPts[BYE],MATCH(TableWRVORP[[#This Row],[RK]],TableWRCalcPts[RK],0)),"")</f>
        <v>11</v>
      </c>
      <c r="S95" s="113">
        <f>IFERROR(INDEX(TableWRCalcPts[Custom],MATCH(TableWRVORP[[#This Row],[RK]],TableWRCalcPts[RK],0)),"")</f>
        <v>64.556631484799979</v>
      </c>
      <c r="T95" s="114">
        <f>IFERROR((TableWRVORP[[#This Row],[FPS]]-INDEX(TableWRVORP[FPS],MATCH(WRVORPCalc,TableWRVORP[RK],0)))/INDEX(TableWRVORP[FPS],MATCH(WRVORPCalc,TableWRVORP[RK],0)),"")</f>
        <v>-0.55294017658486216</v>
      </c>
      <c r="V95">
        <v>94</v>
      </c>
      <c r="W95" s="112" t="str">
        <f>IFERROR(INDEX(TableTECalcPts[PLAYER],MATCH(TableTEVORP[[#This Row],[RK]],TableTECalcPts[RK],0)),"")</f>
        <v/>
      </c>
      <c r="X95" s="112" t="str">
        <f>IFERROR(INDEX(TableTECalcPts[TM],MATCH(TableTEVORP[[#This Row],[RK]],TableTECalcPts[RK],0)),"")</f>
        <v/>
      </c>
      <c r="Y95" s="112" t="str">
        <f>IFERROR(INDEX(TableTECalcPts[BYE],MATCH(TableTEVORP[[#This Row],[RK]],TableTECalcPts[RK],0)),"")</f>
        <v/>
      </c>
      <c r="Z95" s="113" t="str">
        <f>IFERROR(INDEX(TableTECalcPts[Custom],MATCH(TableTEVORP[[#This Row],[RK]],TableTECalcPts[RK],0)),"")</f>
        <v/>
      </c>
      <c r="AA95" s="114" t="str">
        <f>IFERROR((TableTEVORP[[#This Row],[FPS]]-INDEX(TableTEVORP[FPS],MATCH(TEVORPCalc,TableTEVORP[RK],0)))/INDEX(TableTEVORP[FPS],MATCH(TEVORPCalc,TableTEVORP[RK],0)),"")</f>
        <v/>
      </c>
      <c r="AF95" t="s">
        <v>222</v>
      </c>
      <c r="AG95">
        <v>54</v>
      </c>
      <c r="AH95" s="83">
        <f>RANK(TableOverallMaster[[#This Row],[VORP]],TableOverallMaster[VORP])+COUNTIF($AM$2:AM95,AM95)-1</f>
        <v>170</v>
      </c>
      <c r="AI95" s="115" t="str">
        <f>IFERROR(INDEX(TableRBVORP[RUNNING BACK],MATCH(TableOverallMaster[[#This Row],[RK]],TableRBVORP[RK],0)),"")</f>
        <v>Roschon Johnson</v>
      </c>
      <c r="AJ95" s="115" t="str">
        <f t="shared" si="1"/>
        <v>RB54</v>
      </c>
      <c r="AK95" s="115">
        <f>IFERROR(INDEX(TableRBVORP[BYE],MATCH(TableOverallMaster[[#This Row],[RK]],TableRBVORP[RK],0)),"")</f>
        <v>13</v>
      </c>
      <c r="AL95" s="116">
        <f>IFERROR(INDEX(TableRBVORP[FPS],MATCH(TableOverallMaster[[#This Row],[RK]],TableRBVORP[RK],0)),"")</f>
        <v>90.562940092799991</v>
      </c>
      <c r="AM95" s="117">
        <f>IFERROR(INDEX(TableRBVORP[VORP],MATCH(TableOverallMaster[[#This Row],[RK]],TableRBVORP[RK],0)),"")</f>
        <v>-0.19655354972514311</v>
      </c>
      <c r="AO95">
        <v>94</v>
      </c>
      <c r="AP95" s="118" t="str">
        <f>IFERROR(INDEX(TableOverallMaster[OVERALL PLAYER],MATCH(TableOverallRank[[#This Row],[RK]],TableOverallMaster[OVR RK],0)),"")</f>
        <v>Jameson Williams</v>
      </c>
      <c r="AQ95" s="119" t="str">
        <f>IFERROR(INDEX(TableOverallMaster[POS RK],MATCH(TableOverallRank[[#This Row],[OVERALL PLAYER]],TableOverallMaster[OVERALL PLAYER],0)),"")</f>
        <v>WR38</v>
      </c>
      <c r="AR95" s="120">
        <f>IFERROR(INDEX(TableOverallMaster[BYE],MATCH(TableOverallRank[[#This Row],[OVERALL PLAYER]],TableOverallMaster[OVERALL PLAYER],0)),"")</f>
        <v>9</v>
      </c>
      <c r="AS95" s="119">
        <f>IFERROR(INDEX(TableOverallMaster[Custom],MATCH(TableOverallRank[[#This Row],[OVERALL PLAYER]],TableOverallMaster[OVERALL PLAYER],0)),"")</f>
        <v>170.67243936779397</v>
      </c>
      <c r="AT95" s="121">
        <f>IFERROR(INDEX(TableOverallMaster[VORP],MATCH(TableOverallRank[[#This Row],[OVERALL PLAYER]],TableOverallMaster[OVERALL PLAYER],0)),"")</f>
        <v>0.18192025901416503</v>
      </c>
      <c r="AV95">
        <v>94</v>
      </c>
      <c r="AW95" s="122" t="str">
        <f>IFERROR(INDEX(TableWRTECalcPts[PLAYER],MATCH(TableWRTERank[[#This Row],[RK]],TableWRTECalcPts[RK],0)),"")</f>
        <v>Rashod Bateman</v>
      </c>
      <c r="AX95" s="122" t="str">
        <f>IFERROR(INDEX(TableWRTECalcPts[POS RK],MATCH(TableWRTERank[[#This Row],[WR and TE COMBINED]],TableWRTECalcPts[PLAYER],0)),"")</f>
        <v>WR77</v>
      </c>
      <c r="AY95" s="122">
        <f>IFERROR(INDEX(TableWRTECalcPts[BYE],MATCH(TableWRTERank[[#This Row],[RK]],TableWRTECalcPts[RK],0)),"")</f>
        <v>13</v>
      </c>
      <c r="AZ95" s="123">
        <f>IFERROR(INDEX(TableWRTECalcPts[Custom],MATCH(TableWRTERank[[#This Row],[RK]],TableWRTECalcPts[RK],0)),"")</f>
        <v>104.22113466408</v>
      </c>
      <c r="BA95" s="174">
        <f>IFERROR((TableWRTERank[[#This Row],[FPS]]-INDEX(TableWRTERank[FPS],MATCH(WRTEVORPCalc,TableWRTERank[RK],0)))/INDEX(TableWRTERank[FPS],MATCH(WRTEVORPCalc,TableWRTERank[RK],0)),"")</f>
        <v>-0.30186697995449852</v>
      </c>
      <c r="BC95" t="s">
        <v>223</v>
      </c>
      <c r="BD95">
        <v>94</v>
      </c>
      <c r="BE95" s="83">
        <f>RANK(TableWRTEMaster[[#This Row],[VORP]],TableWRTEMaster[VORP])+COUNTIF($BJ$2:BJ95,BJ95)-1</f>
        <v>128</v>
      </c>
      <c r="BF95" s="115" t="str">
        <f>IFERROR(INDEX(TableWRVORP[WIDE RECEIVER],MATCH(TableWRTEMaster[[#This Row],[RK]],TableWRVORP[RK],0)),"")</f>
        <v>JuJu Smith-Schuster</v>
      </c>
      <c r="BG95" s="115" t="str">
        <f>_xlfn.CONCAT(TableWRTEMaster[[#This Row],[POS]],TableWRTEMaster[[#This Row],[RK]])</f>
        <v>WR94</v>
      </c>
      <c r="BH95" s="115">
        <f>IFERROR(INDEX(TableWRVORP[BYE],MATCH(TableWRTEMaster[[#This Row],[RK]],TableWRVORP[RK],0)),"")</f>
        <v>11</v>
      </c>
      <c r="BI95" s="116">
        <f>IFERROR(INDEX(TableWRVORP[FPS],MATCH(TableWRTEMaster[[#This Row],[RK]],TableWRVORP[RK],0)),"")</f>
        <v>64.556631484799979</v>
      </c>
      <c r="BJ95" s="117">
        <f>IFERROR(INDEX(TableWRVORP[VORP],MATCH(TableWRTEMaster[[#This Row],[RK]],TableWRVORP[RK],0)),"")</f>
        <v>-0.55294017658486216</v>
      </c>
    </row>
    <row r="96" spans="1:62" x14ac:dyDescent="0.2">
      <c r="A96">
        <v>95</v>
      </c>
      <c r="B96" s="112" t="str">
        <f>IFERROR(INDEX(TableQBCalcPts[PLAYER],MATCH(TableQBVORP[[#This Row],[RK]],TableQBCalcPts[RK],0)),"")</f>
        <v/>
      </c>
      <c r="C96" s="112" t="str">
        <f>IFERROR(INDEX(TableQBCalcPts[TM],MATCH(TableQBVORP[[#This Row],[RK]],TableQBCalcPts[RK],0)),"")</f>
        <v/>
      </c>
      <c r="D96" s="112" t="str">
        <f>IFERROR(INDEX(TableQBCalcPts[BYE],MATCH(TableQBVORP[[#This Row],[RK]],TableQBCalcPts[RK],0)),"")</f>
        <v/>
      </c>
      <c r="E96" s="113" t="str">
        <f>IFERROR(INDEX(TableQBCalcPts[Custom],MATCH(TableQBVORP[[#This Row],[RK]],TableQBCalcPts[RK],0)),"")</f>
        <v/>
      </c>
      <c r="F9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6">
        <v>95</v>
      </c>
      <c r="I96" s="112" t="str">
        <f>IFERROR(INDEX(TableRBCalcPts[PLAYER],MATCH(TableRBVORP[[#This Row],[RK]],TableRBCalcPts[RK],0)),"")</f>
        <v>Chris Evans</v>
      </c>
      <c r="J96" s="112" t="str">
        <f>IFERROR(INDEX(TableRBCalcPts[TM],MATCH(TableRBVORP[[#This Row],[RK]],TableRBCalcPts[RK],0)),"")</f>
        <v>CIN</v>
      </c>
      <c r="K96" s="112">
        <f>IFERROR(INDEX(TableRBCalcPts[BYE],MATCH(TableRBVORP[[#This Row],[RK]],TableRBCalcPts[RK],0)),"")</f>
        <v>7</v>
      </c>
      <c r="L96" s="113">
        <f>IFERROR(INDEX(TableRBCalcPts[Custom],MATCH(TableRBVORP[[#This Row],[RK]],TableRBCalcPts[RK],0)),"")</f>
        <v>21.211792024415999</v>
      </c>
      <c r="M96" s="114">
        <f>IFERROR((TableRBVORP[[#This Row],[FPS]]-INDEX(TableRBVORP[FPS],MATCH(RBVORPCalc,TableRBVORP[RK],0)))/INDEX(TableRBVORP[FPS],MATCH(RBVORPCalc,TableRBVORP[RK],0)),"")</f>
        <v>-0.81181552864204676</v>
      </c>
      <c r="O96">
        <v>95</v>
      </c>
      <c r="P96" s="112" t="str">
        <f>IFERROR(INDEX(TableWRCalcPts[PLAYER],MATCH(TableWRVORP[[#This Row],[RK]],TableWRCalcPts[RK],0)),"")</f>
        <v>Ricky Pearsall</v>
      </c>
      <c r="Q96" s="112" t="str">
        <f>IFERROR(INDEX(TableWRCalcPts[TM],MATCH(TableWRVORP[[#This Row],[RK]],TableWRCalcPts[RK],0)),"")</f>
        <v>SF</v>
      </c>
      <c r="R96" s="112">
        <f>IFERROR(INDEX(TableWRCalcPts[BYE],MATCH(TableWRVORP[[#This Row],[RK]],TableWRCalcPts[RK],0)),"")</f>
        <v>9</v>
      </c>
      <c r="S96" s="113">
        <f>IFERROR(INDEX(TableWRCalcPts[Custom],MATCH(TableWRVORP[[#This Row],[RK]],TableWRCalcPts[RK],0)),"")</f>
        <v>63.409202041651184</v>
      </c>
      <c r="T96" s="114">
        <f>IFERROR((TableWRVORP[[#This Row],[FPS]]-INDEX(TableWRVORP[FPS],MATCH(WRVORPCalc,TableWRVORP[RK],0)))/INDEX(TableWRVORP[FPS],MATCH(WRVORPCalc,TableWRVORP[RK],0)),"")</f>
        <v>-0.56088621702156327</v>
      </c>
      <c r="V96">
        <v>95</v>
      </c>
      <c r="W96" s="112" t="str">
        <f>IFERROR(INDEX(TableTECalcPts[PLAYER],MATCH(TableTEVORP[[#This Row],[RK]],TableTECalcPts[RK],0)),"")</f>
        <v/>
      </c>
      <c r="X96" s="112" t="str">
        <f>IFERROR(INDEX(TableTECalcPts[TM],MATCH(TableTEVORP[[#This Row],[RK]],TableTECalcPts[RK],0)),"")</f>
        <v/>
      </c>
      <c r="Y96" s="112" t="str">
        <f>IFERROR(INDEX(TableTECalcPts[BYE],MATCH(TableTEVORP[[#This Row],[RK]],TableTECalcPts[RK],0)),"")</f>
        <v/>
      </c>
      <c r="Z96" s="113" t="str">
        <f>IFERROR(INDEX(TableTECalcPts[Custom],MATCH(TableTEVORP[[#This Row],[RK]],TableTECalcPts[RK],0)),"")</f>
        <v/>
      </c>
      <c r="AA96" s="114" t="str">
        <f>IFERROR((TableTEVORP[[#This Row],[FPS]]-INDEX(TableTEVORP[FPS],MATCH(TEVORPCalc,TableTEVORP[RK],0)))/INDEX(TableTEVORP[FPS],MATCH(TEVORPCalc,TableTEVORP[RK],0)),"")</f>
        <v/>
      </c>
      <c r="AF96" t="s">
        <v>222</v>
      </c>
      <c r="AG96">
        <v>55</v>
      </c>
      <c r="AH96" s="83">
        <f>RANK(TableOverallMaster[[#This Row],[VORP]],TableOverallMaster[VORP])+COUNTIF($AM$2:AM96,AM96)-1</f>
        <v>180</v>
      </c>
      <c r="AI96" s="115" t="str">
        <f>IFERROR(INDEX(TableRBVORP[RUNNING BACK],MATCH(TableOverallMaster[[#This Row],[RK]],TableRBVORP[RK],0)),"")</f>
        <v>Audric Estime</v>
      </c>
      <c r="AJ96" s="115" t="str">
        <f t="shared" si="1"/>
        <v>RB55</v>
      </c>
      <c r="AK96" s="115">
        <f>IFERROR(INDEX(TableRBVORP[BYE],MATCH(TableOverallMaster[[#This Row],[RK]],TableRBVORP[RK],0)),"")</f>
        <v>9</v>
      </c>
      <c r="AL96" s="116">
        <f>IFERROR(INDEX(TableRBVORP[FPS],MATCH(TableOverallMaster[[#This Row],[RK]],TableRBVORP[RK],0)),"")</f>
        <v>81.797843901900023</v>
      </c>
      <c r="AM96" s="117">
        <f>IFERROR(INDEX(TableRBVORP[VORP],MATCH(TableOverallMaster[[#This Row],[RK]],TableRBVORP[RK],0)),"")</f>
        <v>-0.27431477759252471</v>
      </c>
      <c r="AO96">
        <v>95</v>
      </c>
      <c r="AP96" s="118" t="str">
        <f>IFERROR(INDEX(TableOverallMaster[OVERALL PLAYER],MATCH(TableOverallRank[[#This Row],[RK]],TableOverallMaster[OVR RK],0)),"")</f>
        <v>Dalton Kincaid</v>
      </c>
      <c r="AQ96" s="119" t="str">
        <f>IFERROR(INDEX(TableOverallMaster[POS RK],MATCH(TableOverallRank[[#This Row],[OVERALL PLAYER]],TableOverallMaster[OVERALL PLAYER],0)),"")</f>
        <v>TE6</v>
      </c>
      <c r="AR96" s="120">
        <f>IFERROR(INDEX(TableOverallMaster[BYE],MATCH(TableOverallRank[[#This Row],[OVERALL PLAYER]],TableOverallMaster[OVERALL PLAYER],0)),"")</f>
        <v>13</v>
      </c>
      <c r="AS96" s="119">
        <f>IFERROR(INDEX(TableOverallMaster[Custom],MATCH(TableOverallRank[[#This Row],[OVERALL PLAYER]],TableOverallMaster[OVERALL PLAYER],0)),"")</f>
        <v>155.12491385395197</v>
      </c>
      <c r="AT96" s="121">
        <f>IFERROR(INDEX(TableOverallMaster[VORP],MATCH(TableOverallRank[[#This Row],[OVERALL PLAYER]],TableOverallMaster[OVERALL PLAYER],0)),"")</f>
        <v>0.18107107469558348</v>
      </c>
      <c r="AV96">
        <v>95</v>
      </c>
      <c r="AW96" s="122" t="str">
        <f>IFERROR(INDEX(TableWRTECalcPts[PLAYER],MATCH(TableWRTERank[[#This Row],[RK]],TableWRTECalcPts[RK],0)),"")</f>
        <v>Luke Musgrave</v>
      </c>
      <c r="AX96" s="122" t="str">
        <f>IFERROR(INDEX(TableWRTECalcPts[POS RK],MATCH(TableWRTERank[[#This Row],[WR and TE COMBINED]],TableWRTECalcPts[PLAYER],0)),"")</f>
        <v>TE18</v>
      </c>
      <c r="AY96" s="122">
        <f>IFERROR(INDEX(TableWRTECalcPts[BYE],MATCH(TableWRTERank[[#This Row],[RK]],TableWRTECalcPts[RK],0)),"")</f>
        <v>6</v>
      </c>
      <c r="AZ96" s="123">
        <f>IFERROR(INDEX(TableWRTECalcPts[Custom],MATCH(TableWRTERank[[#This Row],[RK]],TableWRTECalcPts[RK],0)),"")</f>
        <v>99.969667209216013</v>
      </c>
      <c r="BA96" s="174">
        <f>IFERROR((TableWRTERank[[#This Row],[FPS]]-INDEX(TableWRTERank[FPS],MATCH(WRTEVORPCalc,TableWRTERank[RK],0)))/INDEX(TableWRTERank[FPS],MATCH(WRTEVORPCalc,TableWRTERank[RK],0)),"")</f>
        <v>-0.33034575082430284</v>
      </c>
      <c r="BC96" t="s">
        <v>223</v>
      </c>
      <c r="BD96">
        <v>95</v>
      </c>
      <c r="BE96" s="83">
        <f>RANK(TableWRTEMaster[[#This Row],[VORP]],TableWRTEMaster[VORP])+COUNTIF($BJ$2:BJ96,BJ96)-1</f>
        <v>130</v>
      </c>
      <c r="BF96" s="115" t="str">
        <f>IFERROR(INDEX(TableWRVORP[WIDE RECEIVER],MATCH(TableWRTEMaster[[#This Row],[RK]],TableWRVORP[RK],0)),"")</f>
        <v>Ricky Pearsall</v>
      </c>
      <c r="BG96" s="115" t="str">
        <f>_xlfn.CONCAT(TableWRTEMaster[[#This Row],[POS]],TableWRTEMaster[[#This Row],[RK]])</f>
        <v>WR95</v>
      </c>
      <c r="BH96" s="115">
        <f>IFERROR(INDEX(TableWRVORP[BYE],MATCH(TableWRTEMaster[[#This Row],[RK]],TableWRVORP[RK],0)),"")</f>
        <v>9</v>
      </c>
      <c r="BI96" s="116">
        <f>IFERROR(INDEX(TableWRVORP[FPS],MATCH(TableWRTEMaster[[#This Row],[RK]],TableWRVORP[RK],0)),"")</f>
        <v>63.409202041651184</v>
      </c>
      <c r="BJ96" s="117">
        <f>IFERROR(INDEX(TableWRVORP[VORP],MATCH(TableWRTEMaster[[#This Row],[RK]],TableWRVORP[RK],0)),"")</f>
        <v>-0.56088621702156327</v>
      </c>
    </row>
    <row r="97" spans="1:62" x14ac:dyDescent="0.2">
      <c r="A97">
        <v>96</v>
      </c>
      <c r="B97" s="112" t="str">
        <f>IFERROR(INDEX(TableQBCalcPts[PLAYER],MATCH(TableQBVORP[[#This Row],[RK]],TableQBCalcPts[RK],0)),"")</f>
        <v/>
      </c>
      <c r="C97" s="112" t="str">
        <f>IFERROR(INDEX(TableQBCalcPts[TM],MATCH(TableQBVORP[[#This Row],[RK]],TableQBCalcPts[RK],0)),"")</f>
        <v/>
      </c>
      <c r="D97" s="112" t="str">
        <f>IFERROR(INDEX(TableQBCalcPts[BYE],MATCH(TableQBVORP[[#This Row],[RK]],TableQBCalcPts[RK],0)),"")</f>
        <v/>
      </c>
      <c r="E97" s="113" t="str">
        <f>IFERROR(INDEX(TableQBCalcPts[Custom],MATCH(TableQBVORP[[#This Row],[RK]],TableQBCalcPts[RK],0)),"")</f>
        <v/>
      </c>
      <c r="F9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7">
        <v>96</v>
      </c>
      <c r="I97" s="112" t="str">
        <f>IFERROR(INDEX(TableRBCalcPts[PLAYER],MATCH(TableRBVORP[[#This Row],[RK]],TableRBCalcPts[RK],0)),"")</f>
        <v>Justice Hill</v>
      </c>
      <c r="J97" s="112" t="str">
        <f>IFERROR(INDEX(TableRBCalcPts[TM],MATCH(TableRBVORP[[#This Row],[RK]],TableRBCalcPts[RK],0)),"")</f>
        <v>BAL</v>
      </c>
      <c r="K97" s="112">
        <f>IFERROR(INDEX(TableRBCalcPts[BYE],MATCH(TableRBVORP[[#This Row],[RK]],TableRBCalcPts[RK],0)),"")</f>
        <v>13</v>
      </c>
      <c r="L97" s="113">
        <f>IFERROR(INDEX(TableRBCalcPts[Custom],MATCH(TableRBVORP[[#This Row],[RK]],TableRBCalcPts[RK],0)),"")</f>
        <v>20.135598235760003</v>
      </c>
      <c r="M97" s="114">
        <f>IFERROR((TableRBVORP[[#This Row],[FPS]]-INDEX(TableRBVORP[FPS],MATCH(RBVORPCalc,TableRBVORP[RK],0)))/INDEX(TableRBVORP[FPS],MATCH(RBVORPCalc,TableRBVORP[RK],0)),"")</f>
        <v>-0.8213631877442964</v>
      </c>
      <c r="O97">
        <v>96</v>
      </c>
      <c r="P97" s="112" t="str">
        <f>IFERROR(INDEX(TableWRCalcPts[PLAYER],MATCH(TableWRVORP[[#This Row],[RK]],TableWRCalcPts[RK],0)),"")</f>
        <v>Brandon Powell</v>
      </c>
      <c r="Q97" s="112" t="str">
        <f>IFERROR(INDEX(TableWRCalcPts[TM],MATCH(TableWRVORP[[#This Row],[RK]],TableWRCalcPts[RK],0)),"")</f>
        <v>MIN</v>
      </c>
      <c r="R97" s="112">
        <f>IFERROR(INDEX(TableWRCalcPts[BYE],MATCH(TableWRVORP[[#This Row],[RK]],TableWRCalcPts[RK],0)),"")</f>
        <v>13</v>
      </c>
      <c r="S97" s="113">
        <f>IFERROR(INDEX(TableWRCalcPts[Custom],MATCH(TableWRVORP[[#This Row],[RK]],TableWRCalcPts[RK],0)),"")</f>
        <v>60.938819423999995</v>
      </c>
      <c r="T97" s="114">
        <f>IFERROR((TableWRVORP[[#This Row],[FPS]]-INDEX(TableWRVORP[FPS],MATCH(WRVORPCalc,TableWRVORP[RK],0)))/INDEX(TableWRVORP[FPS],MATCH(WRVORPCalc,TableWRVORP[RK],0)),"")</f>
        <v>-0.57799381373802139</v>
      </c>
      <c r="V97">
        <v>96</v>
      </c>
      <c r="W97" s="112" t="str">
        <f>IFERROR(INDEX(TableTECalcPts[PLAYER],MATCH(TableTEVORP[[#This Row],[RK]],TableTECalcPts[RK],0)),"")</f>
        <v/>
      </c>
      <c r="X97" s="112" t="str">
        <f>IFERROR(INDEX(TableTECalcPts[TM],MATCH(TableTEVORP[[#This Row],[RK]],TableTECalcPts[RK],0)),"")</f>
        <v/>
      </c>
      <c r="Y97" s="112" t="str">
        <f>IFERROR(INDEX(TableTECalcPts[BYE],MATCH(TableTEVORP[[#This Row],[RK]],TableTECalcPts[RK],0)),"")</f>
        <v/>
      </c>
      <c r="Z97" s="113" t="str">
        <f>IFERROR(INDEX(TableTECalcPts[Custom],MATCH(TableTEVORP[[#This Row],[RK]],TableTECalcPts[RK],0)),"")</f>
        <v/>
      </c>
      <c r="AA97" s="114" t="str">
        <f>IFERROR((TableTEVORP[[#This Row],[FPS]]-INDEX(TableTEVORP[FPS],MATCH(TEVORPCalc,TableTEVORP[RK],0)))/INDEX(TableTEVORP[FPS],MATCH(TEVORPCalc,TableTEVORP[RK],0)),"")</f>
        <v/>
      </c>
      <c r="AF97" t="s">
        <v>222</v>
      </c>
      <c r="AG97">
        <v>56</v>
      </c>
      <c r="AH97" s="83">
        <f>RANK(TableOverallMaster[[#This Row],[VORP]],TableOverallMaster[VORP])+COUNTIF($AM$2:AM97,AM97)-1</f>
        <v>184</v>
      </c>
      <c r="AI97" s="115" t="str">
        <f>IFERROR(INDEX(TableRBVORP[RUNNING BACK],MATCH(TableOverallMaster[[#This Row],[RK]],TableRBVORP[RK],0)),"")</f>
        <v>Cordarrelle Patterson</v>
      </c>
      <c r="AJ97" s="115" t="str">
        <f t="shared" si="1"/>
        <v>RB56</v>
      </c>
      <c r="AK97" s="115">
        <f>IFERROR(INDEX(TableRBVORP[BYE],MATCH(TableOverallMaster[[#This Row],[RK]],TableRBVORP[RK],0)),"")</f>
        <v>6</v>
      </c>
      <c r="AL97" s="116">
        <f>IFERROR(INDEX(TableRBVORP[FPS],MATCH(TableOverallMaster[[#This Row],[RK]],TableRBVORP[RK],0)),"")</f>
        <v>80.717055472620004</v>
      </c>
      <c r="AM97" s="117">
        <f>IFERROR(INDEX(TableRBVORP[VORP],MATCH(TableOverallMaster[[#This Row],[RK]],TableRBVORP[RK],0)),"")</f>
        <v>-0.28390319892815452</v>
      </c>
      <c r="AO97">
        <v>96</v>
      </c>
      <c r="AP97" s="118" t="str">
        <f>IFERROR(INDEX(TableOverallMaster[OVERALL PLAYER],MATCH(TableOverallRank[[#This Row],[RK]],TableOverallMaster[OVR RK],0)),"")</f>
        <v>George Kittle</v>
      </c>
      <c r="AQ97" s="119" t="str">
        <f>IFERROR(INDEX(TableOverallMaster[POS RK],MATCH(TableOverallRank[[#This Row],[OVERALL PLAYER]],TableOverallMaster[OVERALL PLAYER],0)),"")</f>
        <v>TE7</v>
      </c>
      <c r="AR97" s="120">
        <f>IFERROR(INDEX(TableOverallMaster[BYE],MATCH(TableOverallRank[[#This Row],[OVERALL PLAYER]],TableOverallMaster[OVERALL PLAYER],0)),"")</f>
        <v>9</v>
      </c>
      <c r="AS97" s="119">
        <f>IFERROR(INDEX(TableOverallMaster[Custom],MATCH(TableOverallRank[[#This Row],[OVERALL PLAYER]],TableOverallMaster[OVERALL PLAYER],0)),"")</f>
        <v>155.07776599922877</v>
      </c>
      <c r="AT97" s="121">
        <f>IFERROR(INDEX(TableOverallMaster[VORP],MATCH(TableOverallRank[[#This Row],[OVERALL PLAYER]],TableOverallMaster[OVERALL PLAYER],0)),"")</f>
        <v>0.18071210613235231</v>
      </c>
      <c r="AV97">
        <v>96</v>
      </c>
      <c r="AW97" s="122" t="str">
        <f>IFERROR(INDEX(TableWRTECalcPts[PLAYER],MATCH(TableWRTERank[[#This Row],[RK]],TableWRTECalcPts[RK],0)),"")</f>
        <v>Darius Slayton</v>
      </c>
      <c r="AX97" s="122" t="str">
        <f>IFERROR(INDEX(TableWRTECalcPts[POS RK],MATCH(TableWRTERank[[#This Row],[WR and TE COMBINED]],TableWRTECalcPts[PLAYER],0)),"")</f>
        <v>WR78</v>
      </c>
      <c r="AY97" s="122">
        <f>IFERROR(INDEX(TableWRTECalcPts[BYE],MATCH(TableWRTERank[[#This Row],[RK]],TableWRTECalcPts[RK],0)),"")</f>
        <v>13</v>
      </c>
      <c r="AZ97" s="123">
        <f>IFERROR(INDEX(TableWRTECalcPts[Custom],MATCH(TableWRTERank[[#This Row],[RK]],TableWRTECalcPts[RK],0)),"")</f>
        <v>99.916945872307195</v>
      </c>
      <c r="BA97" s="174">
        <f>IFERROR((TableWRTERank[[#This Row],[FPS]]-INDEX(TableWRTERank[FPS],MATCH(WRTEVORPCalc,TableWRTERank[RK],0)))/INDEX(TableWRTERank[FPS],MATCH(WRTEVORPCalc,TableWRTERank[RK],0)),"")</f>
        <v>-0.33069890861975021</v>
      </c>
      <c r="BC97" t="s">
        <v>223</v>
      </c>
      <c r="BD97">
        <v>96</v>
      </c>
      <c r="BE97" s="83">
        <f>RANK(TableWRTEMaster[[#This Row],[VORP]],TableWRTEMaster[VORP])+COUNTIF($BJ$2:BJ97,BJ97)-1</f>
        <v>133</v>
      </c>
      <c r="BF97" s="115" t="str">
        <f>IFERROR(INDEX(TableWRVORP[WIDE RECEIVER],MATCH(TableWRTEMaster[[#This Row],[RK]],TableWRVORP[RK],0)),"")</f>
        <v>Brandon Powell</v>
      </c>
      <c r="BG97" s="115" t="str">
        <f>_xlfn.CONCAT(TableWRTEMaster[[#This Row],[POS]],TableWRTEMaster[[#This Row],[RK]])</f>
        <v>WR96</v>
      </c>
      <c r="BH97" s="115">
        <f>IFERROR(INDEX(TableWRVORP[BYE],MATCH(TableWRTEMaster[[#This Row],[RK]],TableWRVORP[RK],0)),"")</f>
        <v>13</v>
      </c>
      <c r="BI97" s="116">
        <f>IFERROR(INDEX(TableWRVORP[FPS],MATCH(TableWRTEMaster[[#This Row],[RK]],TableWRVORP[RK],0)),"")</f>
        <v>60.938819423999995</v>
      </c>
      <c r="BJ97" s="117">
        <f>IFERROR(INDEX(TableWRVORP[VORP],MATCH(TableWRTEMaster[[#This Row],[RK]],TableWRVORP[RK],0)),"")</f>
        <v>-0.57799381373802139</v>
      </c>
    </row>
    <row r="98" spans="1:62" x14ac:dyDescent="0.2">
      <c r="A98">
        <v>97</v>
      </c>
      <c r="B98" s="112" t="str">
        <f>IFERROR(INDEX(TableQBCalcPts[PLAYER],MATCH(TableQBVORP[[#This Row],[RK]],TableQBCalcPts[RK],0)),"")</f>
        <v/>
      </c>
      <c r="C98" s="112" t="str">
        <f>IFERROR(INDEX(TableQBCalcPts[TM],MATCH(TableQBVORP[[#This Row],[RK]],TableQBCalcPts[RK],0)),"")</f>
        <v/>
      </c>
      <c r="D98" s="112" t="str">
        <f>IFERROR(INDEX(TableQBCalcPts[BYE],MATCH(TableQBVORP[[#This Row],[RK]],TableQBCalcPts[RK],0)),"")</f>
        <v/>
      </c>
      <c r="E98" s="113" t="str">
        <f>IFERROR(INDEX(TableQBCalcPts[Custom],MATCH(TableQBVORP[[#This Row],[RK]],TableQBCalcPts[RK],0)),"")</f>
        <v/>
      </c>
      <c r="F9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8">
        <v>97</v>
      </c>
      <c r="I98" s="112" t="str">
        <f>IFERROR(INDEX(TableRBCalcPts[PLAYER],MATCH(TableRBVORP[[#This Row],[RK]],TableRBCalcPts[RK],0)),"")</f>
        <v>Craig Reynolds</v>
      </c>
      <c r="J98" s="112" t="str">
        <f>IFERROR(INDEX(TableRBCalcPts[TM],MATCH(TableRBVORP[[#This Row],[RK]],TableRBCalcPts[RK],0)),"")</f>
        <v>DET</v>
      </c>
      <c r="K98" s="112">
        <f>IFERROR(INDEX(TableRBCalcPts[BYE],MATCH(TableRBVORP[[#This Row],[RK]],TableRBCalcPts[RK],0)),"")</f>
        <v>9</v>
      </c>
      <c r="L98" s="113">
        <f>IFERROR(INDEX(TableRBCalcPts[Custom],MATCH(TableRBVORP[[#This Row],[RK]],TableRBCalcPts[RK],0)),"")</f>
        <v>19.247159624000005</v>
      </c>
      <c r="M98" s="114">
        <f>IFERROR((TableRBVORP[[#This Row],[FPS]]-INDEX(TableRBVORP[FPS],MATCH(RBVORPCalc,TableRBVORP[RK],0)))/INDEX(TableRBVORP[FPS],MATCH(RBVORPCalc,TableRBVORP[RK],0)),"")</f>
        <v>-0.82924514087185874</v>
      </c>
      <c r="O98">
        <v>97</v>
      </c>
      <c r="P98" s="112" t="str">
        <f>IFERROR(INDEX(TableWRCalcPts[PLAYER],MATCH(TableWRVORP[[#This Row],[RK]],TableWRCalcPts[RK],0)),"")</f>
        <v>Kalif Raymond</v>
      </c>
      <c r="Q98" s="112" t="str">
        <f>IFERROR(INDEX(TableWRCalcPts[TM],MATCH(TableWRVORP[[#This Row],[RK]],TableWRCalcPts[RK],0)),"")</f>
        <v>DET</v>
      </c>
      <c r="R98" s="112">
        <f>IFERROR(INDEX(TableWRCalcPts[BYE],MATCH(TableWRVORP[[#This Row],[RK]],TableWRCalcPts[RK],0)),"")</f>
        <v>9</v>
      </c>
      <c r="S98" s="113">
        <f>IFERROR(INDEX(TableWRCalcPts[Custom],MATCH(TableWRVORP[[#This Row],[RK]],TableWRCalcPts[RK],0)),"")</f>
        <v>60.254049846143992</v>
      </c>
      <c r="T98" s="114">
        <f>IFERROR((TableWRVORP[[#This Row],[FPS]]-INDEX(TableWRVORP[FPS],MATCH(WRVORPCalc,TableWRVORP[RK],0)))/INDEX(TableWRVORP[FPS],MATCH(WRVORPCalc,TableWRVORP[RK],0)),"")</f>
        <v>-0.58273589769617284</v>
      </c>
      <c r="V98">
        <v>97</v>
      </c>
      <c r="W98" s="112" t="str">
        <f>IFERROR(INDEX(TableTECalcPts[PLAYER],MATCH(TableTEVORP[[#This Row],[RK]],TableTECalcPts[RK],0)),"")</f>
        <v/>
      </c>
      <c r="X98" s="112" t="str">
        <f>IFERROR(INDEX(TableTECalcPts[TM],MATCH(TableTEVORP[[#This Row],[RK]],TableTECalcPts[RK],0)),"")</f>
        <v/>
      </c>
      <c r="Y98" s="112" t="str">
        <f>IFERROR(INDEX(TableTECalcPts[BYE],MATCH(TableTEVORP[[#This Row],[RK]],TableTECalcPts[RK],0)),"")</f>
        <v/>
      </c>
      <c r="Z98" s="113" t="str">
        <f>IFERROR(INDEX(TableTECalcPts[Custom],MATCH(TableTEVORP[[#This Row],[RK]],TableTECalcPts[RK],0)),"")</f>
        <v/>
      </c>
      <c r="AA98" s="114" t="str">
        <f>IFERROR((TableTEVORP[[#This Row],[FPS]]-INDEX(TableTEVORP[FPS],MATCH(TEVORPCalc,TableTEVORP[RK],0)))/INDEX(TableTEVORP[FPS],MATCH(TEVORPCalc,TableTEVORP[RK],0)),"")</f>
        <v/>
      </c>
      <c r="AF98" t="s">
        <v>222</v>
      </c>
      <c r="AG98">
        <v>57</v>
      </c>
      <c r="AH98" s="83">
        <f>RANK(TableOverallMaster[[#This Row],[VORP]],TableOverallMaster[VORP])+COUNTIF($AM$2:AM98,AM98)-1</f>
        <v>185</v>
      </c>
      <c r="AI98" s="115" t="str">
        <f>IFERROR(INDEX(TableRBVORP[RUNNING BACK],MATCH(TableOverallMaster[[#This Row],[RK]],TableRBVORP[RK],0)),"")</f>
        <v>Bucky Irving</v>
      </c>
      <c r="AJ98" s="115" t="str">
        <f t="shared" si="1"/>
        <v>RB57</v>
      </c>
      <c r="AK98" s="115">
        <f>IFERROR(INDEX(TableRBVORP[BYE],MATCH(TableOverallMaster[[#This Row],[RK]],TableRBVORP[RK],0)),"")</f>
        <v>5</v>
      </c>
      <c r="AL98" s="116">
        <f>IFERROR(INDEX(TableRBVORP[FPS],MATCH(TableOverallMaster[[#This Row],[RK]],TableRBVORP[RK],0)),"")</f>
        <v>80.274500634451215</v>
      </c>
      <c r="AM98" s="117">
        <f>IFERROR(INDEX(TableRBVORP[VORP],MATCH(TableOverallMaster[[#This Row],[RK]],TableRBVORP[RK],0)),"")</f>
        <v>-0.28782940884817615</v>
      </c>
      <c r="AO98">
        <v>97</v>
      </c>
      <c r="AP98" s="118" t="str">
        <f>IFERROR(INDEX(TableOverallMaster[OVERALL PLAYER],MATCH(TableOverallRank[[#This Row],[RK]],TableOverallMaster[OVR RK],0)),"")</f>
        <v>Trevor Lawrence</v>
      </c>
      <c r="AQ98" s="119" t="str">
        <f>IFERROR(INDEX(TableOverallMaster[POS RK],MATCH(TableOverallRank[[#This Row],[OVERALL PLAYER]],TableOverallMaster[OVERALL PLAYER],0)),"")</f>
        <v>QB14</v>
      </c>
      <c r="AR98" s="120">
        <f>IFERROR(INDEX(TableOverallMaster[BYE],MATCH(TableOverallRank[[#This Row],[OVERALL PLAYER]],TableOverallMaster[OVERALL PLAYER],0)),"")</f>
        <v>9</v>
      </c>
      <c r="AS98" s="119">
        <f>IFERROR(INDEX(TableOverallMaster[Custom],MATCH(TableOverallRank[[#This Row],[OVERALL PLAYER]],TableOverallMaster[OVERALL PLAYER],0)),"")</f>
        <v>309.60138209180002</v>
      </c>
      <c r="AT98" s="121">
        <f>IFERROR(INDEX(TableOverallMaster[VORP],MATCH(TableOverallRank[[#This Row],[OVERALL PLAYER]],TableOverallMaster[OVERALL PLAYER],0)),"")</f>
        <v>0.16586217617811572</v>
      </c>
      <c r="AV98">
        <v>97</v>
      </c>
      <c r="AW98" s="122" t="str">
        <f>IFERROR(INDEX(TableWRTECalcPts[PLAYER],MATCH(TableWRTERank[[#This Row],[RK]],TableWRTECalcPts[RK],0)),"")</f>
        <v>Kendrick Bourne</v>
      </c>
      <c r="AX98" s="122" t="str">
        <f>IFERROR(INDEX(TableWRTECalcPts[POS RK],MATCH(TableWRTERank[[#This Row],[WR and TE COMBINED]],TableWRTECalcPts[PLAYER],0)),"")</f>
        <v>WR79</v>
      </c>
      <c r="AY98" s="122">
        <f>IFERROR(INDEX(TableWRTECalcPts[BYE],MATCH(TableWRTERank[[#This Row],[RK]],TableWRTECalcPts[RK],0)),"")</f>
        <v>11</v>
      </c>
      <c r="AZ98" s="123">
        <f>IFERROR(INDEX(TableWRTECalcPts[Custom],MATCH(TableWRTERank[[#This Row],[RK]],TableWRTECalcPts[RK],0)),"")</f>
        <v>98.874365364095979</v>
      </c>
      <c r="BA98" s="174">
        <f>IFERROR((TableWRTERank[[#This Row],[FPS]]-INDEX(TableWRTERank[FPS],MATCH(WRTEVORPCalc,TableWRTERank[RK],0)))/INDEX(TableWRTERank[FPS],MATCH(WRTEVORPCalc,TableWRTERank[RK],0)),"")</f>
        <v>-0.3376827116764341</v>
      </c>
      <c r="BC98" t="s">
        <v>223</v>
      </c>
      <c r="BD98">
        <v>97</v>
      </c>
      <c r="BE98" s="83">
        <f>RANK(TableWRTEMaster[[#This Row],[VORP]],TableWRTEMaster[VORP])+COUNTIF($BJ$2:BJ98,BJ98)-1</f>
        <v>136</v>
      </c>
      <c r="BF98" s="115" t="str">
        <f>IFERROR(INDEX(TableWRVORP[WIDE RECEIVER],MATCH(TableWRTEMaster[[#This Row],[RK]],TableWRVORP[RK],0)),"")</f>
        <v>Kalif Raymond</v>
      </c>
      <c r="BG98" s="115" t="str">
        <f>_xlfn.CONCAT(TableWRTEMaster[[#This Row],[POS]],TableWRTEMaster[[#This Row],[RK]])</f>
        <v>WR97</v>
      </c>
      <c r="BH98" s="115">
        <f>IFERROR(INDEX(TableWRVORP[BYE],MATCH(TableWRTEMaster[[#This Row],[RK]],TableWRVORP[RK],0)),"")</f>
        <v>9</v>
      </c>
      <c r="BI98" s="116">
        <f>IFERROR(INDEX(TableWRVORP[FPS],MATCH(TableWRTEMaster[[#This Row],[RK]],TableWRVORP[RK],0)),"")</f>
        <v>60.254049846143992</v>
      </c>
      <c r="BJ98" s="117">
        <f>IFERROR(INDEX(TableWRVORP[VORP],MATCH(TableWRTEMaster[[#This Row],[RK]],TableWRVORP[RK],0)),"")</f>
        <v>-0.58273589769617284</v>
      </c>
    </row>
    <row r="99" spans="1:62" x14ac:dyDescent="0.2">
      <c r="A99">
        <v>98</v>
      </c>
      <c r="B99" s="112" t="str">
        <f>IFERROR(INDEX(TableQBCalcPts[PLAYER],MATCH(TableQBVORP[[#This Row],[RK]],TableQBCalcPts[RK],0)),"")</f>
        <v/>
      </c>
      <c r="C99" s="112" t="str">
        <f>IFERROR(INDEX(TableQBCalcPts[TM],MATCH(TableQBVORP[[#This Row],[RK]],TableQBCalcPts[RK],0)),"")</f>
        <v/>
      </c>
      <c r="D99" s="112" t="str">
        <f>IFERROR(INDEX(TableQBCalcPts[BYE],MATCH(TableQBVORP[[#This Row],[RK]],TableQBCalcPts[RK],0)),"")</f>
        <v/>
      </c>
      <c r="E99" s="113" t="str">
        <f>IFERROR(INDEX(TableQBCalcPts[Custom],MATCH(TableQBVORP[[#This Row],[RK]],TableQBCalcPts[RK],0)),"")</f>
        <v/>
      </c>
      <c r="F9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9">
        <v>98</v>
      </c>
      <c r="I99" s="112" t="str">
        <f>IFERROR(INDEX(TableRBCalcPts[PLAYER],MATCH(TableRBVORP[[#This Row],[RK]],TableRBCalcPts[RK],0)),"")</f>
        <v>Deon Jackson</v>
      </c>
      <c r="J99" s="112" t="str">
        <f>IFERROR(INDEX(TableRBCalcPts[TM],MATCH(TableRBVORP[[#This Row],[RK]],TableRBCalcPts[RK],0)),"")</f>
        <v>NYG</v>
      </c>
      <c r="K99" s="112">
        <f>IFERROR(INDEX(TableRBCalcPts[BYE],MATCH(TableRBVORP[[#This Row],[RK]],TableRBCalcPts[RK],0)),"")</f>
        <v>13</v>
      </c>
      <c r="L99" s="113">
        <f>IFERROR(INDEX(TableRBCalcPts[Custom],MATCH(TableRBVORP[[#This Row],[RK]],TableRBCalcPts[RK],0)),"")</f>
        <v>19.134680254928</v>
      </c>
      <c r="M99" s="114">
        <f>IFERROR((TableRBVORP[[#This Row],[FPS]]-INDEX(TableRBVORP[FPS],MATCH(RBVORPCalc,TableRBVORP[RK],0)))/INDEX(TableRBVORP[FPS],MATCH(RBVORPCalc,TableRBVORP[RK],0)),"")</f>
        <v>-0.83024302311505294</v>
      </c>
      <c r="O99">
        <v>98</v>
      </c>
      <c r="P99" s="112" t="str">
        <f>IFERROR(INDEX(TableWRCalcPts[PLAYER],MATCH(TableWRVORP[[#This Row],[RK]],TableWRCalcPts[RK],0)),"")</f>
        <v>Dontayvion Wicks</v>
      </c>
      <c r="Q99" s="112" t="str">
        <f>IFERROR(INDEX(TableWRCalcPts[TM],MATCH(TableWRVORP[[#This Row],[RK]],TableWRCalcPts[RK],0)),"")</f>
        <v>GB</v>
      </c>
      <c r="R99" s="112">
        <f>IFERROR(INDEX(TableWRCalcPts[BYE],MATCH(TableWRVORP[[#This Row],[RK]],TableWRCalcPts[RK],0)),"")</f>
        <v>6</v>
      </c>
      <c r="S99" s="113">
        <f>IFERROR(INDEX(TableWRCalcPts[Custom],MATCH(TableWRVORP[[#This Row],[RK]],TableWRCalcPts[RK],0)),"")</f>
        <v>59.706570083328018</v>
      </c>
      <c r="T99" s="114">
        <f>IFERROR((TableWRVORP[[#This Row],[FPS]]-INDEX(TableWRVORP[FPS],MATCH(WRVORPCalc,TableWRVORP[RK],0)))/INDEX(TableWRVORP[FPS],MATCH(WRVORPCalc,TableWRVORP[RK],0)),"")</f>
        <v>-0.58652723873207402</v>
      </c>
      <c r="V99">
        <v>98</v>
      </c>
      <c r="W99" s="112" t="str">
        <f>IFERROR(INDEX(TableTECalcPts[PLAYER],MATCH(TableTEVORP[[#This Row],[RK]],TableTECalcPts[RK],0)),"")</f>
        <v/>
      </c>
      <c r="X99" s="112" t="str">
        <f>IFERROR(INDEX(TableTECalcPts[TM],MATCH(TableTEVORP[[#This Row],[RK]],TableTECalcPts[RK],0)),"")</f>
        <v/>
      </c>
      <c r="Y99" s="112" t="str">
        <f>IFERROR(INDEX(TableTECalcPts[BYE],MATCH(TableTEVORP[[#This Row],[RK]],TableTECalcPts[RK],0)),"")</f>
        <v/>
      </c>
      <c r="Z99" s="113" t="str">
        <f>IFERROR(INDEX(TableTECalcPts[Custom],MATCH(TableTEVORP[[#This Row],[RK]],TableTECalcPts[RK],0)),"")</f>
        <v/>
      </c>
      <c r="AA99" s="114" t="str">
        <f>IFERROR((TableTEVORP[[#This Row],[FPS]]-INDEX(TableTEVORP[FPS],MATCH(TEVORPCalc,TableTEVORP[RK],0)))/INDEX(TableTEVORP[FPS],MATCH(TEVORPCalc,TableTEVORP[RK],0)),"")</f>
        <v/>
      </c>
      <c r="AF99" t="s">
        <v>222</v>
      </c>
      <c r="AG99">
        <v>58</v>
      </c>
      <c r="AH99" s="83">
        <f>RANK(TableOverallMaster[[#This Row],[VORP]],TableOverallMaster[VORP])+COUNTIF($AM$2:AM99,AM99)-1</f>
        <v>186</v>
      </c>
      <c r="AI99" s="115" t="str">
        <f>IFERROR(INDEX(TableRBVORP[RUNNING BACK],MATCH(TableOverallMaster[[#This Row],[RK]],TableRBVORP[RK],0)),"")</f>
        <v>Tank Bigsby</v>
      </c>
      <c r="AJ99" s="115" t="str">
        <f t="shared" si="1"/>
        <v>RB58</v>
      </c>
      <c r="AK99" s="115">
        <f>IFERROR(INDEX(TableRBVORP[BYE],MATCH(TableOverallMaster[[#This Row],[RK]],TableRBVORP[RK],0)),"")</f>
        <v>9</v>
      </c>
      <c r="AL99" s="116">
        <f>IFERROR(INDEX(TableRBVORP[FPS],MATCH(TableOverallMaster[[#This Row],[RK]],TableRBVORP[RK],0)),"")</f>
        <v>79.728725952917998</v>
      </c>
      <c r="AM99" s="117">
        <f>IFERROR(INDEX(TableRBVORP[VORP],MATCH(TableOverallMaster[[#This Row],[RK]],TableRBVORP[RK],0)),"")</f>
        <v>-0.29267135335746908</v>
      </c>
      <c r="AO99">
        <v>98</v>
      </c>
      <c r="AP99" s="118" t="str">
        <f>IFERROR(INDEX(TableOverallMaster[OVERALL PLAYER],MATCH(TableOverallRank[[#This Row],[RK]],TableOverallMaster[OVR RK],0)),"")</f>
        <v>Curtis Samuel</v>
      </c>
      <c r="AQ99" s="119" t="str">
        <f>IFERROR(INDEX(TableOverallMaster[POS RK],MATCH(TableOverallRank[[#This Row],[OVERALL PLAYER]],TableOverallMaster[OVERALL PLAYER],0)),"")</f>
        <v>WR39</v>
      </c>
      <c r="AR99" s="120">
        <f>IFERROR(INDEX(TableOverallMaster[BYE],MATCH(TableOverallRank[[#This Row],[OVERALL PLAYER]],TableOverallMaster[OVERALL PLAYER],0)),"")</f>
        <v>13</v>
      </c>
      <c r="AS99" s="119">
        <f>IFERROR(INDEX(TableOverallMaster[Custom],MATCH(TableOverallRank[[#This Row],[OVERALL PLAYER]],TableOverallMaster[OVERALL PLAYER],0)),"")</f>
        <v>167.65626644121596</v>
      </c>
      <c r="AT99" s="121">
        <f>IFERROR(INDEX(TableOverallMaster[VORP],MATCH(TableOverallRank[[#This Row],[OVERALL PLAYER]],TableOverallMaster[OVERALL PLAYER],0)),"")</f>
        <v>0.16103302086477414</v>
      </c>
      <c r="AV99">
        <v>98</v>
      </c>
      <c r="AW99" s="122" t="str">
        <f>IFERROR(INDEX(TableWRTECalcPts[PLAYER],MATCH(TableWRTERank[[#This Row],[RK]],TableWRTECalcPts[RK],0)),"")</f>
        <v>Hunter Henry</v>
      </c>
      <c r="AX99" s="122" t="str">
        <f>IFERROR(INDEX(TableWRTECalcPts[POS RK],MATCH(TableWRTERank[[#This Row],[WR and TE COMBINED]],TableWRTECalcPts[PLAYER],0)),"")</f>
        <v>TE19</v>
      </c>
      <c r="AY99" s="122">
        <f>IFERROR(INDEX(TableWRTECalcPts[BYE],MATCH(TableWRTERank[[#This Row],[RK]],TableWRTECalcPts[RK],0)),"")</f>
        <v>11</v>
      </c>
      <c r="AZ99" s="123">
        <f>IFERROR(INDEX(TableWRTECalcPts[Custom],MATCH(TableWRTERank[[#This Row],[RK]],TableWRTECalcPts[RK],0)),"")</f>
        <v>96.809080357735198</v>
      </c>
      <c r="BA99" s="174">
        <f>IFERROR((TableWRTERank[[#This Row],[FPS]]-INDEX(TableWRTERank[FPS],MATCH(WRTEVORPCalc,TableWRTERank[RK],0)))/INDEX(TableWRTERank[FPS],MATCH(WRTEVORPCalc,TableWRTERank[RK],0)),"")</f>
        <v>-0.35151717685849743</v>
      </c>
      <c r="BC99" t="s">
        <v>223</v>
      </c>
      <c r="BD99">
        <v>98</v>
      </c>
      <c r="BE99" s="83">
        <f>RANK(TableWRTEMaster[[#This Row],[VORP]],TableWRTEMaster[VORP])+COUNTIF($BJ$2:BJ99,BJ99)-1</f>
        <v>137</v>
      </c>
      <c r="BF99" s="115" t="str">
        <f>IFERROR(INDEX(TableWRVORP[WIDE RECEIVER],MATCH(TableWRTEMaster[[#This Row],[RK]],TableWRVORP[RK],0)),"")</f>
        <v>Dontayvion Wicks</v>
      </c>
      <c r="BG99" s="115" t="str">
        <f>_xlfn.CONCAT(TableWRTEMaster[[#This Row],[POS]],TableWRTEMaster[[#This Row],[RK]])</f>
        <v>WR98</v>
      </c>
      <c r="BH99" s="115">
        <f>IFERROR(INDEX(TableWRVORP[BYE],MATCH(TableWRTEMaster[[#This Row],[RK]],TableWRVORP[RK],0)),"")</f>
        <v>6</v>
      </c>
      <c r="BI99" s="116">
        <f>IFERROR(INDEX(TableWRVORP[FPS],MATCH(TableWRTEMaster[[#This Row],[RK]],TableWRVORP[RK],0)),"")</f>
        <v>59.706570083328018</v>
      </c>
      <c r="BJ99" s="117">
        <f>IFERROR(INDEX(TableWRVORP[VORP],MATCH(TableWRTEMaster[[#This Row],[RK]],TableWRVORP[RK],0)),"")</f>
        <v>-0.58652723873207402</v>
      </c>
    </row>
    <row r="100" spans="1:62" x14ac:dyDescent="0.2">
      <c r="A100">
        <v>99</v>
      </c>
      <c r="B100" s="112" t="str">
        <f>IFERROR(INDEX(TableQBCalcPts[PLAYER],MATCH(TableQBVORP[[#This Row],[RK]],TableQBCalcPts[RK],0)),"")</f>
        <v/>
      </c>
      <c r="C100" s="112" t="str">
        <f>IFERROR(INDEX(TableQBCalcPts[TM],MATCH(TableQBVORP[[#This Row],[RK]],TableQBCalcPts[RK],0)),"")</f>
        <v/>
      </c>
      <c r="D100" s="112" t="str">
        <f>IFERROR(INDEX(TableQBCalcPts[BYE],MATCH(TableQBVORP[[#This Row],[RK]],TableQBCalcPts[RK],0)),"")</f>
        <v/>
      </c>
      <c r="E100" s="113" t="str">
        <f>IFERROR(INDEX(TableQBCalcPts[Custom],MATCH(TableQBVORP[[#This Row],[RK]],TableQBCalcPts[RK],0)),"")</f>
        <v/>
      </c>
      <c r="F10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100">
        <v>99</v>
      </c>
      <c r="I100" s="112" t="str">
        <f>IFERROR(INDEX(TableRBCalcPts[PLAYER],MATCH(TableRBVORP[[#This Row],[RK]],TableRBCalcPts[RK],0)),"")</f>
        <v>Raheem Blackshear</v>
      </c>
      <c r="J100" s="112" t="str">
        <f>IFERROR(INDEX(TableRBCalcPts[TM],MATCH(TableRBVORP[[#This Row],[RK]],TableRBCalcPts[RK],0)),"")</f>
        <v>CAR</v>
      </c>
      <c r="K100" s="112">
        <f>IFERROR(INDEX(TableRBCalcPts[BYE],MATCH(TableRBVORP[[#This Row],[RK]],TableRBCalcPts[RK],0)),"")</f>
        <v>7</v>
      </c>
      <c r="L100" s="113">
        <f>IFERROR(INDEX(TableRBCalcPts[Custom],MATCH(TableRBVORP[[#This Row],[RK]],TableRBCalcPts[RK],0)),"")</f>
        <v>17.937397642752</v>
      </c>
      <c r="M100" s="114">
        <f>IFERROR((TableRBVORP[[#This Row],[FPS]]-INDEX(TableRBVORP[FPS],MATCH(RBVORPCalc,TableRBVORP[RK],0)))/INDEX(TableRBVORP[FPS],MATCH(RBVORPCalc,TableRBVORP[RK],0)),"")</f>
        <v>-0.84086494488286323</v>
      </c>
      <c r="O100">
        <v>99</v>
      </c>
      <c r="P100" s="112" t="str">
        <f>IFERROR(INDEX(TableWRCalcPts[PLAYER],MATCH(TableWRVORP[[#This Row],[RK]],TableWRCalcPts[RK],0)),"")</f>
        <v>Odell Beckham</v>
      </c>
      <c r="Q100" s="112" t="str">
        <f>IFERROR(INDEX(TableWRCalcPts[TM],MATCH(TableWRVORP[[#This Row],[RK]],TableWRCalcPts[RK],0)),"")</f>
        <v>MIA</v>
      </c>
      <c r="R100" s="112">
        <f>IFERROR(INDEX(TableWRCalcPts[BYE],MATCH(TableWRVORP[[#This Row],[RK]],TableWRCalcPts[RK],0)),"")</f>
        <v>10</v>
      </c>
      <c r="S100" s="113">
        <f>IFERROR(INDEX(TableWRCalcPts[Custom],MATCH(TableWRVORP[[#This Row],[RK]],TableWRCalcPts[RK],0)),"")</f>
        <v>57.496219514294395</v>
      </c>
      <c r="T100" s="114">
        <f>IFERROR((TableWRVORP[[#This Row],[FPS]]-INDEX(TableWRVORP[FPS],MATCH(WRVORPCalc,TableWRVORP[RK],0)))/INDEX(TableWRVORP[FPS],MATCH(WRVORPCalc,TableWRVORP[RK],0)),"")</f>
        <v>-0.60183409276627786</v>
      </c>
      <c r="V100">
        <v>99</v>
      </c>
      <c r="W100" s="112" t="str">
        <f>IFERROR(INDEX(TableTECalcPts[PLAYER],MATCH(TableTEVORP[[#This Row],[RK]],TableTECalcPts[RK],0)),"")</f>
        <v/>
      </c>
      <c r="X100" s="112" t="str">
        <f>IFERROR(INDEX(TableTECalcPts[TM],MATCH(TableTEVORP[[#This Row],[RK]],TableTECalcPts[RK],0)),"")</f>
        <v/>
      </c>
      <c r="Y100" s="112" t="str">
        <f>IFERROR(INDEX(TableTECalcPts[BYE],MATCH(TableTEVORP[[#This Row],[RK]],TableTECalcPts[RK],0)),"")</f>
        <v/>
      </c>
      <c r="Z100" s="113" t="str">
        <f>IFERROR(INDEX(TableTECalcPts[Custom],MATCH(TableTEVORP[[#This Row],[RK]],TableTECalcPts[RK],0)),"")</f>
        <v/>
      </c>
      <c r="AA100" s="114" t="str">
        <f>IFERROR((TableTEVORP[[#This Row],[FPS]]-INDEX(TableTEVORP[FPS],MATCH(TEVORPCalc,TableTEVORP[RK],0)))/INDEX(TableTEVORP[FPS],MATCH(TEVORPCalc,TableTEVORP[RK],0)),"")</f>
        <v/>
      </c>
      <c r="AF100" t="s">
        <v>222</v>
      </c>
      <c r="AG100">
        <v>59</v>
      </c>
      <c r="AH100" s="83">
        <f>RANK(TableOverallMaster[[#This Row],[VORP]],TableOverallMaster[VORP])+COUNTIF($AM$2:AM100,AM100)-1</f>
        <v>190</v>
      </c>
      <c r="AI100" s="115" t="str">
        <f>IFERROR(INDEX(TableRBVORP[RUNNING BACK],MATCH(TableOverallMaster[[#This Row],[RK]],TableRBVORP[RK],0)),"")</f>
        <v>Khalil Herbert</v>
      </c>
      <c r="AJ100" s="115" t="str">
        <f t="shared" si="1"/>
        <v>RB59</v>
      </c>
      <c r="AK100" s="115">
        <f>IFERROR(INDEX(TableRBVORP[BYE],MATCH(TableOverallMaster[[#This Row],[RK]],TableRBVORP[RK],0)),"")</f>
        <v>13</v>
      </c>
      <c r="AL100" s="116">
        <f>IFERROR(INDEX(TableRBVORP[FPS],MATCH(TableOverallMaster[[#This Row],[RK]],TableRBVORP[RK],0)),"")</f>
        <v>76.037838458399975</v>
      </c>
      <c r="AM100" s="117">
        <f>IFERROR(INDEX(TableRBVORP[VORP],MATCH(TableOverallMaster[[#This Row],[RK]],TableRBVORP[RK],0)),"")</f>
        <v>-0.32541576793583504</v>
      </c>
      <c r="AO100">
        <v>99</v>
      </c>
      <c r="AP100" s="118" t="str">
        <f>IFERROR(INDEX(TableOverallMaster[OVERALL PLAYER],MATCH(TableOverallRank[[#This Row],[RK]],TableOverallMaster[OVR RK],0)),"")</f>
        <v>Justin Herbert</v>
      </c>
      <c r="AQ100" s="119" t="str">
        <f>IFERROR(INDEX(TableOverallMaster[POS RK],MATCH(TableOverallRank[[#This Row],[OVERALL PLAYER]],TableOverallMaster[OVERALL PLAYER],0)),"")</f>
        <v>QB15</v>
      </c>
      <c r="AR100" s="120">
        <f>IFERROR(INDEX(TableOverallMaster[BYE],MATCH(TableOverallRank[[#This Row],[OVERALL PLAYER]],TableOverallMaster[OVERALL PLAYER],0)),"")</f>
        <v>5</v>
      </c>
      <c r="AS100" s="119">
        <f>IFERROR(INDEX(TableOverallMaster[Custom],MATCH(TableOverallRank[[#This Row],[OVERALL PLAYER]],TableOverallMaster[OVERALL PLAYER],0)),"")</f>
        <v>309.26148084574157</v>
      </c>
      <c r="AT100" s="121">
        <f>IFERROR(INDEX(TableOverallMaster[VORP],MATCH(TableOverallRank[[#This Row],[OVERALL PLAYER]],TableOverallMaster[OVERALL PLAYER],0)),"")</f>
        <v>0.154510434578815</v>
      </c>
      <c r="AV100">
        <v>99</v>
      </c>
      <c r="AW100" s="122" t="str">
        <f>IFERROR(INDEX(TableWRTECalcPts[PLAYER],MATCH(TableWRTERank[[#This Row],[RK]],TableWRTECalcPts[RK],0)),"")</f>
        <v>Ja'Lynn Polk</v>
      </c>
      <c r="AX100" s="122" t="str">
        <f>IFERROR(INDEX(TableWRTECalcPts[POS RK],MATCH(TableWRTERank[[#This Row],[WR and TE COMBINED]],TableWRTECalcPts[PLAYER],0)),"")</f>
        <v>WR80</v>
      </c>
      <c r="AY100" s="122">
        <f>IFERROR(INDEX(TableWRTECalcPts[BYE],MATCH(TableWRTERank[[#This Row],[RK]],TableWRTECalcPts[RK],0)),"")</f>
        <v>11</v>
      </c>
      <c r="AZ100" s="123">
        <f>IFERROR(INDEX(TableWRTECalcPts[Custom],MATCH(TableWRTERank[[#This Row],[RK]],TableWRTECalcPts[RK],0)),"")</f>
        <v>96.756904450096812</v>
      </c>
      <c r="BA100" s="174">
        <f>IFERROR((TableWRTERank[[#This Row],[FPS]]-INDEX(TableWRTERank[FPS],MATCH(WRTEVORPCalc,TableWRTERank[RK],0)))/INDEX(TableWRTERank[FPS],MATCH(WRTEVORPCalc,TableWRTERank[RK],0)),"")</f>
        <v>-0.35186668105542068</v>
      </c>
      <c r="BC100" t="s">
        <v>223</v>
      </c>
      <c r="BD100">
        <v>99</v>
      </c>
      <c r="BE100" s="83">
        <f>RANK(TableWRTEMaster[[#This Row],[VORP]],TableWRTEMaster[VORP])+COUNTIF($BJ$2:BJ100,BJ100)-1</f>
        <v>139</v>
      </c>
      <c r="BF100" s="115" t="str">
        <f>IFERROR(INDEX(TableWRVORP[WIDE RECEIVER],MATCH(TableWRTEMaster[[#This Row],[RK]],TableWRVORP[RK],0)),"")</f>
        <v>Odell Beckham</v>
      </c>
      <c r="BG100" s="115" t="str">
        <f>_xlfn.CONCAT(TableWRTEMaster[[#This Row],[POS]],TableWRTEMaster[[#This Row],[RK]])</f>
        <v>WR99</v>
      </c>
      <c r="BH100" s="115">
        <f>IFERROR(INDEX(TableWRVORP[BYE],MATCH(TableWRTEMaster[[#This Row],[RK]],TableWRVORP[RK],0)),"")</f>
        <v>10</v>
      </c>
      <c r="BI100" s="116">
        <f>IFERROR(INDEX(TableWRVORP[FPS],MATCH(TableWRTEMaster[[#This Row],[RK]],TableWRVORP[RK],0)),"")</f>
        <v>57.496219514294395</v>
      </c>
      <c r="BJ100" s="117">
        <f>IFERROR(INDEX(TableWRVORP[VORP],MATCH(TableWRTEMaster[[#This Row],[RK]],TableWRVORP[RK],0)),"")</f>
        <v>-0.60183409276627786</v>
      </c>
    </row>
    <row r="101" spans="1:62" x14ac:dyDescent="0.2">
      <c r="A101">
        <v>100</v>
      </c>
      <c r="B101" s="112" t="str">
        <f>IFERROR(INDEX(TableQBCalcPts[PLAYER],MATCH(TableQBVORP[[#This Row],[RK]],TableQBCalcPts[RK],0)),"")</f>
        <v/>
      </c>
      <c r="C101" s="112" t="str">
        <f>IFERROR(INDEX(TableQBCalcPts[TM],MATCH(TableQBVORP[[#This Row],[RK]],TableQBCalcPts[RK],0)),"")</f>
        <v/>
      </c>
      <c r="D101" s="112" t="str">
        <f>IFERROR(INDEX(TableQBCalcPts[BYE],MATCH(TableQBVORP[[#This Row],[RK]],TableQBCalcPts[RK],0)),"")</f>
        <v/>
      </c>
      <c r="E101" s="113" t="str">
        <f>IFERROR(INDEX(TableQBCalcPts[Custom],MATCH(TableQBVORP[[#This Row],[RK]],TableQBCalcPts[RK],0)),"")</f>
        <v/>
      </c>
      <c r="F10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101">
        <v>100</v>
      </c>
      <c r="I101" s="112" t="str">
        <f>IFERROR(INDEX(TableRBCalcPts[PLAYER],MATCH(TableRBVORP[[#This Row],[RK]],TableRBCalcPts[RK],0)),"")</f>
        <v>Chris Rodriguez</v>
      </c>
      <c r="J101" s="112" t="str">
        <f>IFERROR(INDEX(TableRBCalcPts[TM],MATCH(TableRBVORP[[#This Row],[RK]],TableRBCalcPts[RK],0)),"")</f>
        <v>WSH</v>
      </c>
      <c r="K101" s="112">
        <f>IFERROR(INDEX(TableRBCalcPts[BYE],MATCH(TableRBVORP[[#This Row],[RK]],TableRBCalcPts[RK],0)),"")</f>
        <v>14</v>
      </c>
      <c r="L101" s="113">
        <f>IFERROR(INDEX(TableRBCalcPts[Custom],MATCH(TableRBVORP[[#This Row],[RK]],TableRBCalcPts[RK],0)),"")</f>
        <v>17.589380964834</v>
      </c>
      <c r="M101" s="114">
        <f>IFERROR((TableRBVORP[[#This Row],[FPS]]-INDEX(TableRBVORP[FPS],MATCH(RBVORPCalc,TableRBVORP[RK],0)))/INDEX(TableRBVORP[FPS],MATCH(RBVORPCalc,TableRBVORP[RK],0)),"")</f>
        <v>-0.84395244142640691</v>
      </c>
      <c r="O101">
        <v>100</v>
      </c>
      <c r="P101" s="112" t="str">
        <f>IFERROR(INDEX(TableWRCalcPts[PLAYER],MATCH(TableWRVORP[[#This Row],[RK]],TableWRCalcPts[RK],0)),"")</f>
        <v>DeVante Parker</v>
      </c>
      <c r="Q101" s="112" t="str">
        <f>IFERROR(INDEX(TableWRCalcPts[TM],MATCH(TableWRVORP[[#This Row],[RK]],TableWRCalcPts[RK],0)),"")</f>
        <v>PHI</v>
      </c>
      <c r="R101" s="112">
        <f>IFERROR(INDEX(TableWRCalcPts[BYE],MATCH(TableWRVORP[[#This Row],[RK]],TableWRCalcPts[RK],0)),"")</f>
        <v>10</v>
      </c>
      <c r="S101" s="113">
        <f>IFERROR(INDEX(TableWRCalcPts[Custom],MATCH(TableWRVORP[[#This Row],[RK]],TableWRCalcPts[RK],0)),"")</f>
        <v>56.040648476400008</v>
      </c>
      <c r="T101" s="114">
        <f>IFERROR((TableWRVORP[[#This Row],[FPS]]-INDEX(TableWRVORP[FPS],MATCH(WRVORPCalc,TableWRVORP[RK],0)))/INDEX(TableWRVORP[FPS],MATCH(WRVORPCalc,TableWRVORP[RK],0)),"")</f>
        <v>-0.61191403833039038</v>
      </c>
      <c r="V101">
        <v>100</v>
      </c>
      <c r="W101" s="112" t="str">
        <f>IFERROR(INDEX(TableTECalcPts[PLAYER],MATCH(TableTEVORP[[#This Row],[RK]],TableTECalcPts[RK],0)),"")</f>
        <v/>
      </c>
      <c r="X101" s="112" t="str">
        <f>IFERROR(INDEX(TableTECalcPts[TM],MATCH(TableTEVORP[[#This Row],[RK]],TableTECalcPts[RK],0)),"")</f>
        <v/>
      </c>
      <c r="Y101" s="112" t="str">
        <f>IFERROR(INDEX(TableTECalcPts[BYE],MATCH(TableTEVORP[[#This Row],[RK]],TableTECalcPts[RK],0)),"")</f>
        <v/>
      </c>
      <c r="Z101" s="113" t="str">
        <f>IFERROR(INDEX(TableTECalcPts[Custom],MATCH(TableTEVORP[[#This Row],[RK]],TableTECalcPts[RK],0)),"")</f>
        <v/>
      </c>
      <c r="AA101" s="114" t="str">
        <f>IFERROR((TableTEVORP[[#This Row],[FPS]]-INDEX(TableTEVORP[FPS],MATCH(TEVORPCalc,TableTEVORP[RK],0)))/INDEX(TableTEVORP[FPS],MATCH(TEVORPCalc,TableTEVORP[RK],0)),"")</f>
        <v/>
      </c>
      <c r="AF101" t="s">
        <v>222</v>
      </c>
      <c r="AG101">
        <v>60</v>
      </c>
      <c r="AH101" s="83">
        <f>RANK(TableOverallMaster[[#This Row],[VORP]],TableOverallMaster[VORP])+COUNTIF($AM$2:AM101,AM101)-1</f>
        <v>196</v>
      </c>
      <c r="AI101" s="115" t="str">
        <f>IFERROR(INDEX(TableRBVORP[RUNNING BACK],MATCH(TableOverallMaster[[#This Row],[RK]],TableRBVORP[RK],0)),"")</f>
        <v>Alexander Mattison</v>
      </c>
      <c r="AJ101" s="115" t="str">
        <f t="shared" si="1"/>
        <v>RB60</v>
      </c>
      <c r="AK101" s="115">
        <f>IFERROR(INDEX(TableRBVORP[BYE],MATCH(TableOverallMaster[[#This Row],[RK]],TableRBVORP[RK],0)),"")</f>
        <v>13</v>
      </c>
      <c r="AL101" s="116">
        <f>IFERROR(INDEX(TableRBVORP[FPS],MATCH(TableOverallMaster[[#This Row],[RK]],TableRBVORP[RK],0)),"")</f>
        <v>73.474373489999991</v>
      </c>
      <c r="AM101" s="117">
        <f>IFERROR(INDEX(TableRBVORP[VORP],MATCH(TableOverallMaster[[#This Row],[RK]],TableRBVORP[RK],0)),"")</f>
        <v>-0.34815803786605631</v>
      </c>
      <c r="AO101">
        <v>100</v>
      </c>
      <c r="AP101" s="118" t="str">
        <f>IFERROR(INDEX(TableOverallMaster[OVERALL PLAYER],MATCH(TableOverallRank[[#This Row],[RK]],TableOverallMaster[OVR RK],0)),"")</f>
        <v>Keon Coleman</v>
      </c>
      <c r="AQ101" s="119" t="str">
        <f>IFERROR(INDEX(TableOverallMaster[POS RK],MATCH(TableOverallRank[[#This Row],[OVERALL PLAYER]],TableOverallMaster[OVERALL PLAYER],0)),"")</f>
        <v>WR40</v>
      </c>
      <c r="AR101" s="120">
        <f>IFERROR(INDEX(TableOverallMaster[BYE],MATCH(TableOverallRank[[#This Row],[OVERALL PLAYER]],TableOverallMaster[OVERALL PLAYER],0)),"")</f>
        <v>13</v>
      </c>
      <c r="AS101" s="119">
        <f>IFERROR(INDEX(TableOverallMaster[Custom],MATCH(TableOverallRank[[#This Row],[OVERALL PLAYER]],TableOverallMaster[OVERALL PLAYER],0)),"")</f>
        <v>166.64394539519995</v>
      </c>
      <c r="AT101" s="121">
        <f>IFERROR(INDEX(TableOverallMaster[VORP],MATCH(TableOverallRank[[#This Row],[OVERALL PLAYER]],TableOverallMaster[OVERALL PLAYER],0)),"")</f>
        <v>0.15402261685728028</v>
      </c>
      <c r="AV101">
        <v>100</v>
      </c>
      <c r="AW101" s="122" t="str">
        <f>IFERROR(INDEX(TableWRTECalcPts[PLAYER],MATCH(TableWRTERank[[#This Row],[RK]],TableWRTECalcPts[RK],0)),"")</f>
        <v>Tyler Higbee</v>
      </c>
      <c r="AX101" s="122" t="str">
        <f>IFERROR(INDEX(TableWRTECalcPts[POS RK],MATCH(TableWRTERank[[#This Row],[WR and TE COMBINED]],TableWRTECalcPts[PLAYER],0)),"")</f>
        <v>TE20</v>
      </c>
      <c r="AY101" s="122">
        <f>IFERROR(INDEX(TableWRTECalcPts[BYE],MATCH(TableWRTERank[[#This Row],[RK]],TableWRTECalcPts[RK],0)),"")</f>
        <v>10</v>
      </c>
      <c r="AZ101" s="123">
        <f>IFERROR(INDEX(TableWRTECalcPts[Custom],MATCH(TableWRTERank[[#This Row],[RK]],TableWRTECalcPts[RK],0)),"")</f>
        <v>94.274959189353581</v>
      </c>
      <c r="BA101" s="174">
        <f>IFERROR((TableWRTERank[[#This Row],[FPS]]-INDEX(TableWRTERank[FPS],MATCH(WRTEVORPCalc,TableWRTERank[RK],0)))/INDEX(TableWRTERank[FPS],MATCH(WRTEVORPCalc,TableWRTERank[RK],0)),"")</f>
        <v>-0.36849217593278055</v>
      </c>
      <c r="BC101" t="s">
        <v>223</v>
      </c>
      <c r="BD101">
        <v>100</v>
      </c>
      <c r="BE101" s="83">
        <f>RANK(TableWRTEMaster[[#This Row],[VORP]],TableWRTEMaster[VORP])+COUNTIF($BJ$2:BJ101,BJ101)-1</f>
        <v>140</v>
      </c>
      <c r="BF101" s="115" t="str">
        <f>IFERROR(INDEX(TableWRVORP[WIDE RECEIVER],MATCH(TableWRTEMaster[[#This Row],[RK]],TableWRVORP[RK],0)),"")</f>
        <v>DeVante Parker</v>
      </c>
      <c r="BG101" s="115" t="str">
        <f>_xlfn.CONCAT(TableWRTEMaster[[#This Row],[POS]],TableWRTEMaster[[#This Row],[RK]])</f>
        <v>WR100</v>
      </c>
      <c r="BH101" s="115">
        <f>IFERROR(INDEX(TableWRVORP[BYE],MATCH(TableWRTEMaster[[#This Row],[RK]],TableWRVORP[RK],0)),"")</f>
        <v>10</v>
      </c>
      <c r="BI101" s="116">
        <f>IFERROR(INDEX(TableWRVORP[FPS],MATCH(TableWRTEMaster[[#This Row],[RK]],TableWRVORP[RK],0)),"")</f>
        <v>56.040648476400008</v>
      </c>
      <c r="BJ101" s="117">
        <f>IFERROR(INDEX(TableWRVORP[VORP],MATCH(TableWRTEMaster[[#This Row],[RK]],TableWRVORP[RK],0)),"")</f>
        <v>-0.61191403833039038</v>
      </c>
    </row>
    <row r="102" spans="1:62" x14ac:dyDescent="0.2">
      <c r="H102">
        <v>101</v>
      </c>
      <c r="I102" s="112" t="str">
        <f>IFERROR(INDEX(TableRBCalcPts[PLAYER],MATCH(TableRBVORP[[#This Row],[RK]],TableRBCalcPts[RK],0)),"")</f>
        <v>Zach Evans</v>
      </c>
      <c r="J102" s="112" t="str">
        <f>IFERROR(INDEX(TableRBCalcPts[TM],MATCH(TableRBVORP[[#This Row],[RK]],TableRBCalcPts[RK],0)),"")</f>
        <v>LAR</v>
      </c>
      <c r="K102" s="112">
        <f>IFERROR(INDEX(TableRBCalcPts[BYE],MATCH(TableRBVORP[[#This Row],[RK]],TableRBCalcPts[RK],0)),"")</f>
        <v>10</v>
      </c>
      <c r="L102" s="113">
        <f>IFERROR(INDEX(TableRBCalcPts[Custom],MATCH(TableRBVORP[[#This Row],[RK]],TableRBCalcPts[RK],0)),"")</f>
        <v>16.630721401223997</v>
      </c>
      <c r="M102" s="114">
        <f>IFERROR((TableRBVORP[[#This Row],[FPS]]-INDEX(TableRBVORP[FPS],MATCH(RBVORPCalc,TableRBVORP[RK],0)))/INDEX(TableRBVORP[FPS],MATCH(RBVORPCalc,TableRBVORP[RK],0)),"")</f>
        <v>-0.85245737316355275</v>
      </c>
      <c r="O102">
        <v>101</v>
      </c>
      <c r="P102" s="112" t="str">
        <f>IFERROR(INDEX(TableWRCalcPts[PLAYER],MATCH(TableWRVORP[[#This Row],[RK]],TableWRCalcPts[RK],0)),"")</f>
        <v>Kadarius Toney</v>
      </c>
      <c r="Q102" s="112" t="str">
        <f>IFERROR(INDEX(TableWRCalcPts[TM],MATCH(TableWRVORP[[#This Row],[RK]],TableWRCalcPts[RK],0)),"")</f>
        <v>KC</v>
      </c>
      <c r="R102" s="112">
        <f>IFERROR(INDEX(TableWRCalcPts[BYE],MATCH(TableWRVORP[[#This Row],[RK]],TableWRCalcPts[RK],0)),"")</f>
        <v>10</v>
      </c>
      <c r="S102" s="113">
        <f>IFERROR(INDEX(TableWRCalcPts[Custom],MATCH(TableWRVORP[[#This Row],[RK]],TableWRCalcPts[RK],0)),"")</f>
        <v>54.303811994879979</v>
      </c>
      <c r="T102" s="114">
        <f>IFERROR((TableWRVORP[[#This Row],[FPS]]-INDEX(TableWRVORP[FPS],MATCH(WRVORPCalc,TableWRVORP[RK],0)))/INDEX(TableWRVORP[FPS],MATCH(WRVORPCalc,TableWRVORP[RK],0)),"")</f>
        <v>-0.62394176953120639</v>
      </c>
      <c r="AF102" t="s">
        <v>222</v>
      </c>
      <c r="AG102">
        <v>61</v>
      </c>
      <c r="AH102" s="83">
        <f>RANK(TableOverallMaster[[#This Row],[VORP]],TableOverallMaster[VORP])+COUNTIF($AM$2:AM102,AM102)-1</f>
        <v>197</v>
      </c>
      <c r="AI102" s="115" t="str">
        <f>IFERROR(INDEX(TableRBVORP[RUNNING BACK],MATCH(TableOverallMaster[[#This Row],[RK]],TableRBVORP[RK],0)),"")</f>
        <v>Braelon Allen</v>
      </c>
      <c r="AJ102" s="115" t="str">
        <f t="shared" si="1"/>
        <v>RB61</v>
      </c>
      <c r="AK102" s="115">
        <f>IFERROR(INDEX(TableRBVORP[BYE],MATCH(TableOverallMaster[[#This Row],[RK]],TableRBVORP[RK],0)),"")</f>
        <v>7</v>
      </c>
      <c r="AL102" s="116">
        <f>IFERROR(INDEX(TableRBVORP[FPS],MATCH(TableOverallMaster[[#This Row],[RK]],TableRBVORP[RK],0)),"")</f>
        <v>72.605119912371222</v>
      </c>
      <c r="AM102" s="117">
        <f>IFERROR(INDEX(TableRBVORP[VORP],MATCH(TableOverallMaster[[#This Row],[RK]],TableRBVORP[RK],0)),"")</f>
        <v>-0.35586978729268604</v>
      </c>
      <c r="AO102">
        <v>101</v>
      </c>
      <c r="AP102" s="118" t="str">
        <f>IFERROR(INDEX(TableOverallMaster[OVERALL PLAYER],MATCH(TableOverallRank[[#This Row],[RK]],TableOverallMaster[OVR RK],0)),"")</f>
        <v>Ladd McConkey</v>
      </c>
      <c r="AQ102" s="119" t="str">
        <f>IFERROR(INDEX(TableOverallMaster[POS RK],MATCH(TableOverallRank[[#This Row],[OVERALL PLAYER]],TableOverallMaster[OVERALL PLAYER],0)),"")</f>
        <v>WR41</v>
      </c>
      <c r="AR102" s="120">
        <f>IFERROR(INDEX(TableOverallMaster[BYE],MATCH(TableOverallRank[[#This Row],[OVERALL PLAYER]],TableOverallMaster[OVERALL PLAYER],0)),"")</f>
        <v>5</v>
      </c>
      <c r="AS102" s="119">
        <f>IFERROR(INDEX(TableOverallMaster[Custom],MATCH(TableOverallRank[[#This Row],[OVERALL PLAYER]],TableOverallMaster[OVERALL PLAYER],0)),"")</f>
        <v>166.25112709127995</v>
      </c>
      <c r="AT102" s="121">
        <f>IFERROR(INDEX(TableOverallMaster[VORP],MATCH(TableOverallRank[[#This Row],[OVERALL PLAYER]],TableOverallMaster[OVERALL PLAYER],0)),"")</f>
        <v>0.15130231876325634</v>
      </c>
      <c r="AV102">
        <v>101</v>
      </c>
      <c r="AW102" s="122" t="str">
        <f>IFERROR(INDEX(TableWRTECalcPts[PLAYER],MATCH(TableWRTERank[[#This Row],[RK]],TableWRTECalcPts[RK],0)),"")</f>
        <v>Rondale Moore</v>
      </c>
      <c r="AX102" s="122" t="str">
        <f>IFERROR(INDEX(TableWRTECalcPts[POS RK],MATCH(TableWRTERank[[#This Row],[WR and TE COMBINED]],TableWRTECalcPts[PLAYER],0)),"")</f>
        <v>WR81</v>
      </c>
      <c r="AY102" s="122">
        <f>IFERROR(INDEX(TableWRTECalcPts[BYE],MATCH(TableWRTERank[[#This Row],[RK]],TableWRTECalcPts[RK],0)),"")</f>
        <v>11</v>
      </c>
      <c r="AZ102" s="123">
        <f>IFERROR(INDEX(TableWRTECalcPts[Custom],MATCH(TableWRTERank[[#This Row],[RK]],TableWRTECalcPts[RK],0)),"")</f>
        <v>90.224337624220794</v>
      </c>
      <c r="BA102" s="174">
        <f>IFERROR((TableWRTERank[[#This Row],[FPS]]-INDEX(TableWRTERank[FPS],MATCH(WRTEVORPCalc,TableWRTERank[RK],0)))/INDEX(TableWRTERank[FPS],MATCH(WRTEVORPCalc,TableWRTERank[RK],0)),"")</f>
        <v>-0.39562556567606277</v>
      </c>
      <c r="BC102" t="s">
        <v>223</v>
      </c>
      <c r="BD102">
        <v>101</v>
      </c>
      <c r="BE102" s="83">
        <f>RANK(TableWRTEMaster[[#This Row],[VORP]],TableWRTEMaster[VORP])+COUNTIF($BJ$2:BJ102,BJ102)-1</f>
        <v>141</v>
      </c>
      <c r="BF102" s="115" t="str">
        <f>IFERROR(INDEX(TableWRVORP[WIDE RECEIVER],MATCH(TableWRTEMaster[[#This Row],[RK]],TableWRVORP[RK],0)),"")</f>
        <v>Kadarius Toney</v>
      </c>
      <c r="BG102" s="115" t="str">
        <f>_xlfn.CONCAT(TableWRTEMaster[[#This Row],[POS]],TableWRTEMaster[[#This Row],[RK]])</f>
        <v>WR101</v>
      </c>
      <c r="BH102" s="115">
        <f>IFERROR(INDEX(TableWRVORP[BYE],MATCH(TableWRTEMaster[[#This Row],[RK]],TableWRVORP[RK],0)),"")</f>
        <v>10</v>
      </c>
      <c r="BI102" s="116">
        <f>IFERROR(INDEX(TableWRVORP[FPS],MATCH(TableWRTEMaster[[#This Row],[RK]],TableWRVORP[RK],0)),"")</f>
        <v>54.303811994879979</v>
      </c>
      <c r="BJ102" s="117">
        <f>IFERROR(INDEX(TableWRVORP[VORP],MATCH(TableWRTEMaster[[#This Row],[RK]],TableWRVORP[RK],0)),"")</f>
        <v>-0.62394176953120639</v>
      </c>
    </row>
    <row r="103" spans="1:62" x14ac:dyDescent="0.2">
      <c r="H103">
        <v>102</v>
      </c>
      <c r="I103" s="112" t="str">
        <f>IFERROR(INDEX(TableRBCalcPts[PLAYER],MATCH(TableRBVORP[[#This Row],[RK]],TableRBCalcPts[RK],0)),"")</f>
        <v>Sean Tucker</v>
      </c>
      <c r="J103" s="112" t="str">
        <f>IFERROR(INDEX(TableRBCalcPts[TM],MATCH(TableRBVORP[[#This Row],[RK]],TableRBCalcPts[RK],0)),"")</f>
        <v>TB</v>
      </c>
      <c r="K103" s="112">
        <f>IFERROR(INDEX(TableRBCalcPts[BYE],MATCH(TableRBVORP[[#This Row],[RK]],TableRBCalcPts[RK],0)),"")</f>
        <v>5</v>
      </c>
      <c r="L103" s="113">
        <f>IFERROR(INDEX(TableRBCalcPts[Custom],MATCH(TableRBVORP[[#This Row],[RK]],TableRBCalcPts[RK],0)),"")</f>
        <v>15.938611166570402</v>
      </c>
      <c r="M103" s="114">
        <f>IFERROR((TableRBVORP[[#This Row],[FPS]]-INDEX(TableRBVORP[FPS],MATCH(RBVORPCalc,TableRBVORP[RK],0)))/INDEX(TableRBVORP[FPS],MATCH(RBVORPCalc,TableRBVORP[RK],0)),"")</f>
        <v>-0.85859756153046674</v>
      </c>
      <c r="O103">
        <v>102</v>
      </c>
      <c r="P103" s="112" t="str">
        <f>IFERROR(INDEX(TableWRCalcPts[PLAYER],MATCH(TableWRVORP[[#This Row],[RK]],TableWRCalcPts[RK],0)),"")</f>
        <v>Michael Gallup</v>
      </c>
      <c r="Q103" s="112" t="str">
        <f>IFERROR(INDEX(TableWRCalcPts[TM],MATCH(TableWRVORP[[#This Row],[RK]],TableWRCalcPts[RK],0)),"")</f>
        <v>LV</v>
      </c>
      <c r="R103" s="112">
        <f>IFERROR(INDEX(TableWRCalcPts[BYE],MATCH(TableWRVORP[[#This Row],[RK]],TableWRCalcPts[RK],0)),"")</f>
        <v>13</v>
      </c>
      <c r="S103" s="113">
        <f>IFERROR(INDEX(TableWRCalcPts[Custom],MATCH(TableWRVORP[[#This Row],[RK]],TableWRCalcPts[RK],0)),"")</f>
        <v>48.195139829759995</v>
      </c>
      <c r="T103" s="114">
        <f>IFERROR((TableWRVORP[[#This Row],[FPS]]-INDEX(TableWRVORP[FPS],MATCH(WRVORPCalc,TableWRVORP[RK],0)))/INDEX(TableWRVORP[FPS],MATCH(WRVORPCalc,TableWRVORP[RK],0)),"")</f>
        <v>-0.66624481162971672</v>
      </c>
      <c r="AF103" t="s">
        <v>222</v>
      </c>
      <c r="AG103">
        <v>62</v>
      </c>
      <c r="AH103" s="83">
        <f>RANK(TableOverallMaster[[#This Row],[VORP]],TableOverallMaster[VORP])+COUNTIF($AM$2:AM103,AM103)-1</f>
        <v>198</v>
      </c>
      <c r="AI103" s="115" t="str">
        <f>IFERROR(INDEX(TableRBVORP[RUNNING BACK],MATCH(TableOverallMaster[[#This Row],[RK]],TableRBVORP[RK],0)),"")</f>
        <v>Kenneth Gainwell</v>
      </c>
      <c r="AJ103" s="115" t="str">
        <f t="shared" si="1"/>
        <v>RB62</v>
      </c>
      <c r="AK103" s="115">
        <f>IFERROR(INDEX(TableRBVORP[BYE],MATCH(TableOverallMaster[[#This Row],[RK]],TableRBVORP[RK],0)),"")</f>
        <v>10</v>
      </c>
      <c r="AL103" s="116">
        <f>IFERROR(INDEX(TableRBVORP[FPS],MATCH(TableOverallMaster[[#This Row],[RK]],TableRBVORP[RK],0)),"")</f>
        <v>70.970163755904011</v>
      </c>
      <c r="AM103" s="117">
        <f>IFERROR(INDEX(TableRBVORP[VORP],MATCH(TableOverallMaster[[#This Row],[RK]],TableRBVORP[RK],0)),"")</f>
        <v>-0.3703746136479541</v>
      </c>
      <c r="AO103">
        <v>102</v>
      </c>
      <c r="AP103" s="118" t="str">
        <f>IFERROR(INDEX(TableOverallMaster[OVERALL PLAYER],MATCH(TableOverallRank[[#This Row],[RK]],TableOverallMaster[OVR RK],0)),"")</f>
        <v>Christian Watson</v>
      </c>
      <c r="AQ103" s="119" t="str">
        <f>IFERROR(INDEX(TableOverallMaster[POS RK],MATCH(TableOverallRank[[#This Row],[OVERALL PLAYER]],TableOverallMaster[OVERALL PLAYER],0)),"")</f>
        <v>WR42</v>
      </c>
      <c r="AR103" s="120">
        <f>IFERROR(INDEX(TableOverallMaster[BYE],MATCH(TableOverallRank[[#This Row],[OVERALL PLAYER]],TableOverallMaster[OVERALL PLAYER],0)),"")</f>
        <v>6</v>
      </c>
      <c r="AS103" s="119">
        <f>IFERROR(INDEX(TableOverallMaster[Custom],MATCH(TableOverallRank[[#This Row],[OVERALL PLAYER]],TableOverallMaster[OVERALL PLAYER],0)),"")</f>
        <v>165.95201752729599</v>
      </c>
      <c r="AT103" s="121">
        <f>IFERROR(INDEX(TableOverallMaster[VORP],MATCH(TableOverallRank[[#This Row],[OVERALL PLAYER]],TableOverallMaster[OVERALL PLAYER],0)),"")</f>
        <v>0.14923096116945231</v>
      </c>
      <c r="AV103">
        <v>102</v>
      </c>
      <c r="AW103" s="122" t="str">
        <f>IFERROR(INDEX(TableWRTECalcPts[PLAYER],MATCH(TableWRTERank[[#This Row],[RK]],TableWRTECalcPts[RK],0)),"")</f>
        <v>Troy Franklin</v>
      </c>
      <c r="AX103" s="122" t="str">
        <f>IFERROR(INDEX(TableWRTECalcPts[POS RK],MATCH(TableWRTERank[[#This Row],[WR and TE COMBINED]],TableWRTECalcPts[PLAYER],0)),"")</f>
        <v>WR82</v>
      </c>
      <c r="AY103" s="122">
        <f>IFERROR(INDEX(TableWRTECalcPts[BYE],MATCH(TableWRTERank[[#This Row],[RK]],TableWRTECalcPts[RK],0)),"")</f>
        <v>9</v>
      </c>
      <c r="AZ103" s="123">
        <f>IFERROR(INDEX(TableWRTECalcPts[Custom],MATCH(TableWRTERank[[#This Row],[RK]],TableWRTECalcPts[RK],0)),"")</f>
        <v>90.119784211379994</v>
      </c>
      <c r="BA103" s="174">
        <f>IFERROR((TableWRTERank[[#This Row],[FPS]]-INDEX(TableWRTERank[FPS],MATCH(WRTEVORPCalc,TableWRTERank[RK],0)))/INDEX(TableWRTERank[FPS],MATCH(WRTEVORPCalc,TableWRTERank[RK],0)),"")</f>
        <v>-0.39632592448618204</v>
      </c>
      <c r="BC103" t="s">
        <v>223</v>
      </c>
      <c r="BD103">
        <v>102</v>
      </c>
      <c r="BE103" s="83">
        <f>RANK(TableWRTEMaster[[#This Row],[VORP]],TableWRTEMaster[VORP])+COUNTIF($BJ$2:BJ103,BJ103)-1</f>
        <v>146</v>
      </c>
      <c r="BF103" s="115" t="str">
        <f>IFERROR(INDEX(TableWRVORP[WIDE RECEIVER],MATCH(TableWRTEMaster[[#This Row],[RK]],TableWRVORP[RK],0)),"")</f>
        <v>Michael Gallup</v>
      </c>
      <c r="BG103" s="115" t="str">
        <f>_xlfn.CONCAT(TableWRTEMaster[[#This Row],[POS]],TableWRTEMaster[[#This Row],[RK]])</f>
        <v>WR102</v>
      </c>
      <c r="BH103" s="115">
        <f>IFERROR(INDEX(TableWRVORP[BYE],MATCH(TableWRTEMaster[[#This Row],[RK]],TableWRVORP[RK],0)),"")</f>
        <v>13</v>
      </c>
      <c r="BI103" s="116">
        <f>IFERROR(INDEX(TableWRVORP[FPS],MATCH(TableWRTEMaster[[#This Row],[RK]],TableWRVORP[RK],0)),"")</f>
        <v>48.195139829759995</v>
      </c>
      <c r="BJ103" s="117">
        <f>IFERROR(INDEX(TableWRVORP[VORP],MATCH(TableWRTEMaster[[#This Row],[RK]],TableWRVORP[RK],0)),"")</f>
        <v>-0.66624481162971672</v>
      </c>
    </row>
    <row r="104" spans="1:62" x14ac:dyDescent="0.2">
      <c r="H104">
        <v>103</v>
      </c>
      <c r="I104" s="112" t="str">
        <f>IFERROR(INDEX(TableRBCalcPts[PLAYER],MATCH(TableRBVORP[[#This Row],[RK]],TableRBCalcPts[RK],0)),"")</f>
        <v>Ty Johnson</v>
      </c>
      <c r="J104" s="112" t="str">
        <f>IFERROR(INDEX(TableRBCalcPts[TM],MATCH(TableRBVORP[[#This Row],[RK]],TableRBCalcPts[RK],0)),"")</f>
        <v>BUF</v>
      </c>
      <c r="K104" s="112">
        <f>IFERROR(INDEX(TableRBCalcPts[BYE],MATCH(TableRBVORP[[#This Row],[RK]],TableRBCalcPts[RK],0)),"")</f>
        <v>13</v>
      </c>
      <c r="L104" s="113">
        <f>IFERROR(INDEX(TableRBCalcPts[Custom],MATCH(TableRBVORP[[#This Row],[RK]],TableRBCalcPts[RK],0)),"")</f>
        <v>15.235430730239997</v>
      </c>
      <c r="M104" s="114">
        <f>IFERROR((TableRBVORP[[#This Row],[FPS]]-INDEX(TableRBVORP[FPS],MATCH(RBVORPCalc,TableRBVORP[RK],0)))/INDEX(TableRBVORP[FPS],MATCH(RBVORPCalc,TableRBVORP[RK],0)),"")</f>
        <v>-0.86483596130959772</v>
      </c>
      <c r="O104">
        <v>103</v>
      </c>
      <c r="P104" s="112" t="str">
        <f>IFERROR(INDEX(TableWRCalcPts[PLAYER],MATCH(TableWRVORP[[#This Row],[RK]],TableWRCalcPts[RK],0)),"")</f>
        <v>Jamison Crowder</v>
      </c>
      <c r="Q104" s="112" t="str">
        <f>IFERROR(INDEX(TableWRCalcPts[TM],MATCH(TableWRVORP[[#This Row],[RK]],TableWRCalcPts[RK],0)),"")</f>
        <v>WSH</v>
      </c>
      <c r="R104" s="112">
        <f>IFERROR(INDEX(TableWRCalcPts[BYE],MATCH(TableWRVORP[[#This Row],[RK]],TableWRCalcPts[RK],0)),"")</f>
        <v>14</v>
      </c>
      <c r="S104" s="113">
        <f>IFERROR(INDEX(TableWRCalcPts[Custom],MATCH(TableWRVORP[[#This Row],[RK]],TableWRCalcPts[RK],0)),"")</f>
        <v>45.974796266700011</v>
      </c>
      <c r="T104" s="114">
        <f>IFERROR((TableWRVORP[[#This Row],[FPS]]-INDEX(TableWRVORP[FPS],MATCH(WRVORPCalc,TableWRVORP[RK],0)))/INDEX(TableWRVORP[FPS],MATCH(WRVORPCalc,TableWRVORP[RK],0)),"")</f>
        <v>-0.68162086794480259</v>
      </c>
      <c r="AF104" t="s">
        <v>222</v>
      </c>
      <c r="AG104">
        <v>63</v>
      </c>
      <c r="AH104" s="83">
        <f>RANK(TableOverallMaster[[#This Row],[VORP]],TableOverallMaster[VORP])+COUNTIF($AM$2:AM104,AM104)-1</f>
        <v>202</v>
      </c>
      <c r="AI104" s="115" t="str">
        <f>IFERROR(INDEX(TableRBVORP[RUNNING BACK],MATCH(TableOverallMaster[[#This Row],[RK]],TableRBVORP[RK],0)),"")</f>
        <v>Clyde Edwards-Helaire</v>
      </c>
      <c r="AJ104" s="115" t="str">
        <f t="shared" si="1"/>
        <v>RB63</v>
      </c>
      <c r="AK104" s="115">
        <f>IFERROR(INDEX(TableRBVORP[BYE],MATCH(TableOverallMaster[[#This Row],[RK]],TableRBVORP[RK],0)),"")</f>
        <v>10</v>
      </c>
      <c r="AL104" s="116">
        <f>IFERROR(INDEX(TableRBVORP[FPS],MATCH(TableOverallMaster[[#This Row],[RK]],TableRBVORP[RK],0)),"")</f>
        <v>70.102759408639983</v>
      </c>
      <c r="AM104" s="117">
        <f>IFERROR(INDEX(TableRBVORP[VORP],MATCH(TableOverallMaster[[#This Row],[RK]],TableRBVORP[RK],0)),"")</f>
        <v>-0.37806995727359316</v>
      </c>
      <c r="AO104">
        <v>103</v>
      </c>
      <c r="AP104" s="118" t="str">
        <f>IFERROR(INDEX(TableOverallMaster[OVERALL PLAYER],MATCH(TableOverallRank[[#This Row],[RK]],TableOverallMaster[OVR RK],0)),"")</f>
        <v>Xavier Legette</v>
      </c>
      <c r="AQ104" s="119" t="str">
        <f>IFERROR(INDEX(TableOverallMaster[POS RK],MATCH(TableOverallRank[[#This Row],[OVERALL PLAYER]],TableOverallMaster[OVERALL PLAYER],0)),"")</f>
        <v>WR43</v>
      </c>
      <c r="AR104" s="120">
        <f>IFERROR(INDEX(TableOverallMaster[BYE],MATCH(TableOverallRank[[#This Row],[OVERALL PLAYER]],TableOverallMaster[OVERALL PLAYER],0)),"")</f>
        <v>7</v>
      </c>
      <c r="AS104" s="119">
        <f>IFERROR(INDEX(TableOverallMaster[Custom],MATCH(TableOverallRank[[#This Row],[OVERALL PLAYER]],TableOverallMaster[OVERALL PLAYER],0)),"")</f>
        <v>163.16862053171394</v>
      </c>
      <c r="AT104" s="121">
        <f>IFERROR(INDEX(TableOverallMaster[VORP],MATCH(TableOverallRank[[#This Row],[OVERALL PLAYER]],TableOverallMaster[OVERALL PLAYER],0)),"")</f>
        <v>0.1299557149132699</v>
      </c>
      <c r="AV104">
        <v>103</v>
      </c>
      <c r="AW104" s="122" t="str">
        <f>IFERROR(INDEX(TableWRTECalcPts[PLAYER],MATCH(TableWRTERank[[#This Row],[RK]],TableWRTECalcPts[RK],0)),"")</f>
        <v>Jelani Woods</v>
      </c>
      <c r="AX104" s="122" t="str">
        <f>IFERROR(INDEX(TableWRTECalcPts[POS RK],MATCH(TableWRTERank[[#This Row],[WR and TE COMBINED]],TableWRTECalcPts[PLAYER],0)),"")</f>
        <v>TE21</v>
      </c>
      <c r="AY104" s="122">
        <f>IFERROR(INDEX(TableWRTECalcPts[BYE],MATCH(TableWRTERank[[#This Row],[RK]],TableWRTECalcPts[RK],0)),"")</f>
        <v>11</v>
      </c>
      <c r="AZ104" s="123">
        <f>IFERROR(INDEX(TableWRTECalcPts[Custom],MATCH(TableWRTERank[[#This Row],[RK]],TableWRTECalcPts[RK],0)),"")</f>
        <v>89.963733537216015</v>
      </c>
      <c r="BA104" s="174">
        <f>IFERROR((TableWRTERank[[#This Row],[FPS]]-INDEX(TableWRTERank[FPS],MATCH(WRTEVORPCalc,TableWRTERank[RK],0)))/INDEX(TableWRTERank[FPS],MATCH(WRTEVORPCalc,TableWRTERank[RK],0)),"")</f>
        <v>-0.39737124153042053</v>
      </c>
      <c r="BC104" t="s">
        <v>223</v>
      </c>
      <c r="BD104">
        <v>103</v>
      </c>
      <c r="BE104" s="83">
        <f>RANK(TableWRTEMaster[[#This Row],[VORP]],TableWRTEMaster[VORP])+COUNTIF($BJ$2:BJ104,BJ104)-1</f>
        <v>148</v>
      </c>
      <c r="BF104" s="115" t="str">
        <f>IFERROR(INDEX(TableWRVORP[WIDE RECEIVER],MATCH(TableWRTEMaster[[#This Row],[RK]],TableWRVORP[RK],0)),"")</f>
        <v>Jamison Crowder</v>
      </c>
      <c r="BG104" s="115" t="str">
        <f>_xlfn.CONCAT(TableWRTEMaster[[#This Row],[POS]],TableWRTEMaster[[#This Row],[RK]])</f>
        <v>WR103</v>
      </c>
      <c r="BH104" s="115">
        <f>IFERROR(INDEX(TableWRVORP[BYE],MATCH(TableWRTEMaster[[#This Row],[RK]],TableWRVORP[RK],0)),"")</f>
        <v>14</v>
      </c>
      <c r="BI104" s="116">
        <f>IFERROR(INDEX(TableWRVORP[FPS],MATCH(TableWRTEMaster[[#This Row],[RK]],TableWRVORP[RK],0)),"")</f>
        <v>45.974796266700011</v>
      </c>
      <c r="BJ104" s="117">
        <f>IFERROR(INDEX(TableWRVORP[VORP],MATCH(TableWRTEMaster[[#This Row],[RK]],TableWRVORP[RK],0)),"")</f>
        <v>-0.68162086794480259</v>
      </c>
    </row>
    <row r="105" spans="1:62" x14ac:dyDescent="0.2">
      <c r="H105">
        <v>104</v>
      </c>
      <c r="I105" s="112" t="str">
        <f>IFERROR(INDEX(TableRBCalcPts[PLAYER],MATCH(TableRBVORP[[#This Row],[RK]],TableRBCalcPts[RK],0)),"")</f>
        <v>Jordan Mason</v>
      </c>
      <c r="J105" s="112" t="str">
        <f>IFERROR(INDEX(TableRBCalcPts[TM],MATCH(TableRBVORP[[#This Row],[RK]],TableRBCalcPts[RK],0)),"")</f>
        <v>SF</v>
      </c>
      <c r="K105" s="112">
        <f>IFERROR(INDEX(TableRBCalcPts[BYE],MATCH(TableRBVORP[[#This Row],[RK]],TableRBCalcPts[RK],0)),"")</f>
        <v>9</v>
      </c>
      <c r="L105" s="113">
        <f>IFERROR(INDEX(TableRBCalcPts[Custom],MATCH(TableRBVORP[[#This Row],[RK]],TableRBCalcPts[RK],0)),"")</f>
        <v>14.324998254839997</v>
      </c>
      <c r="M105" s="114">
        <f>IFERROR((TableRBVORP[[#This Row],[FPS]]-INDEX(TableRBVORP[FPS],MATCH(RBVORPCalc,TableRBVORP[RK],0)))/INDEX(TableRBVORP[FPS],MATCH(RBVORPCalc,TableRBVORP[RK],0)),"")</f>
        <v>-0.87291303720648816</v>
      </c>
      <c r="O105">
        <v>104</v>
      </c>
      <c r="P105" s="112" t="str">
        <f>IFERROR(INDEX(TableWRCalcPts[PLAYER],MATCH(TableWRVORP[[#This Row],[RK]],TableWRCalcPts[RK],0)),"")</f>
        <v>A.T. Perry</v>
      </c>
      <c r="Q105" s="112" t="str">
        <f>IFERROR(INDEX(TableWRCalcPts[TM],MATCH(TableWRVORP[[#This Row],[RK]],TableWRCalcPts[RK],0)),"")</f>
        <v>NO</v>
      </c>
      <c r="R105" s="112">
        <f>IFERROR(INDEX(TableWRCalcPts[BYE],MATCH(TableWRVORP[[#This Row],[RK]],TableWRCalcPts[RK],0)),"")</f>
        <v>11</v>
      </c>
      <c r="S105" s="113">
        <f>IFERROR(INDEX(TableWRCalcPts[Custom],MATCH(TableWRVORP[[#This Row],[RK]],TableWRCalcPts[RK],0)),"")</f>
        <v>45.816955573996985</v>
      </c>
      <c r="T105" s="114">
        <f>IFERROR((TableWRVORP[[#This Row],[FPS]]-INDEX(TableWRVORP[FPS],MATCH(WRVORPCalc,TableWRVORP[RK],0)))/INDEX(TableWRVORP[FPS],MATCH(WRVORPCalc,TableWRVORP[RK],0)),"")</f>
        <v>-0.6827139273344357</v>
      </c>
      <c r="AF105" t="s">
        <v>222</v>
      </c>
      <c r="AG105">
        <v>64</v>
      </c>
      <c r="AH105" s="83">
        <f>RANK(TableOverallMaster[[#This Row],[VORP]],TableOverallMaster[VORP])+COUNTIF($AM$2:AM105,AM105)-1</f>
        <v>204</v>
      </c>
      <c r="AI105" s="115" t="str">
        <f>IFERROR(INDEX(TableRBVORP[RUNNING BACK],MATCH(TableOverallMaster[[#This Row],[RK]],TableRBVORP[RK],0)),"")</f>
        <v>Elijah Mitchell</v>
      </c>
      <c r="AJ105" s="115" t="str">
        <f t="shared" si="1"/>
        <v>RB64</v>
      </c>
      <c r="AK105" s="115">
        <f>IFERROR(INDEX(TableRBVORP[BYE],MATCH(TableOverallMaster[[#This Row],[RK]],TableRBVORP[RK],0)),"")</f>
        <v>9</v>
      </c>
      <c r="AL105" s="116">
        <f>IFERROR(INDEX(TableRBVORP[FPS],MATCH(TableOverallMaster[[#This Row],[RK]],TableRBVORP[RK],0)),"")</f>
        <v>68.224312325870386</v>
      </c>
      <c r="AM105" s="117">
        <f>IFERROR(INDEX(TableRBVORP[VORP],MATCH(TableOverallMaster[[#This Row],[RK]],TableRBVORP[RK],0)),"")</f>
        <v>-0.39473495996822611</v>
      </c>
      <c r="AO105">
        <v>104</v>
      </c>
      <c r="AP105" s="118" t="str">
        <f>IFERROR(INDEX(TableOverallMaster[OVERALL PLAYER],MATCH(TableOverallRank[[#This Row],[RK]],TableOverallMaster[OVR RK],0)),"")</f>
        <v>Jared Goff</v>
      </c>
      <c r="AQ105" s="119" t="str">
        <f>IFERROR(INDEX(TableOverallMaster[POS RK],MATCH(TableOverallRank[[#This Row],[OVERALL PLAYER]],TableOverallMaster[OVERALL PLAYER],0)),"")</f>
        <v>QB16</v>
      </c>
      <c r="AR105" s="120">
        <f>IFERROR(INDEX(TableOverallMaster[BYE],MATCH(TableOverallRank[[#This Row],[OVERALL PLAYER]],TableOverallMaster[OVERALL PLAYER],0)),"")</f>
        <v>9</v>
      </c>
      <c r="AS105" s="119">
        <f>IFERROR(INDEX(TableOverallMaster[Custom],MATCH(TableOverallRank[[#This Row],[OVERALL PLAYER]],TableOverallMaster[OVERALL PLAYER],0)),"")</f>
        <v>306.24531786967998</v>
      </c>
      <c r="AT105" s="121">
        <f>IFERROR(INDEX(TableOverallMaster[VORP],MATCH(TableOverallRank[[#This Row],[OVERALL PLAYER]],TableOverallMaster[OVERALL PLAYER],0)),"")</f>
        <v>0.12792709895291127</v>
      </c>
      <c r="AV105">
        <v>104</v>
      </c>
      <c r="AW105" s="122" t="str">
        <f>IFERROR(INDEX(TableWRTECalcPts[PLAYER],MATCH(TableWRTERank[[#This Row],[RK]],TableWRTECalcPts[RK],0)),"")</f>
        <v>Juwan Johnson</v>
      </c>
      <c r="AX105" s="122" t="str">
        <f>IFERROR(INDEX(TableWRTECalcPts[POS RK],MATCH(TableWRTERank[[#This Row],[WR and TE COMBINED]],TableWRTECalcPts[PLAYER],0)),"")</f>
        <v>TE22</v>
      </c>
      <c r="AY105" s="122">
        <f>IFERROR(INDEX(TableWRTECalcPts[BYE],MATCH(TableWRTERank[[#This Row],[RK]],TableWRTECalcPts[RK],0)),"")</f>
        <v>11</v>
      </c>
      <c r="AZ105" s="123">
        <f>IFERROR(INDEX(TableWRTECalcPts[Custom],MATCH(TableWRTERank[[#This Row],[RK]],TableWRTECalcPts[RK],0)),"")</f>
        <v>88.505673243704607</v>
      </c>
      <c r="BA105" s="174">
        <f>IFERROR((TableWRTERank[[#This Row],[FPS]]-INDEX(TableWRTERank[FPS],MATCH(WRTEVORPCalc,TableWRTERank[RK],0)))/INDEX(TableWRTERank[FPS],MATCH(WRTEVORPCalc,TableWRTERank[RK],0)),"")</f>
        <v>-0.40713816682247816</v>
      </c>
      <c r="BC105" t="s">
        <v>223</v>
      </c>
      <c r="BD105">
        <v>104</v>
      </c>
      <c r="BE105" s="83">
        <f>RANK(TableWRTEMaster[[#This Row],[VORP]],TableWRTEMaster[VORP])+COUNTIF($BJ$2:BJ105,BJ105)-1</f>
        <v>149</v>
      </c>
      <c r="BF105" s="115" t="str">
        <f>IFERROR(INDEX(TableWRVORP[WIDE RECEIVER],MATCH(TableWRTEMaster[[#This Row],[RK]],TableWRVORP[RK],0)),"")</f>
        <v>A.T. Perry</v>
      </c>
      <c r="BG105" s="115" t="str">
        <f>_xlfn.CONCAT(TableWRTEMaster[[#This Row],[POS]],TableWRTEMaster[[#This Row],[RK]])</f>
        <v>WR104</v>
      </c>
      <c r="BH105" s="115">
        <f>IFERROR(INDEX(TableWRVORP[BYE],MATCH(TableWRTEMaster[[#This Row],[RK]],TableWRVORP[RK],0)),"")</f>
        <v>11</v>
      </c>
      <c r="BI105" s="116">
        <f>IFERROR(INDEX(TableWRVORP[FPS],MATCH(TableWRTEMaster[[#This Row],[RK]],TableWRVORP[RK],0)),"")</f>
        <v>45.816955573996985</v>
      </c>
      <c r="BJ105" s="117">
        <f>IFERROR(INDEX(TableWRVORP[VORP],MATCH(TableWRTEMaster[[#This Row],[RK]],TableWRVORP[RK],0)),"")</f>
        <v>-0.6827139273344357</v>
      </c>
    </row>
    <row r="106" spans="1:62" x14ac:dyDescent="0.2">
      <c r="H106">
        <v>105</v>
      </c>
      <c r="I106" s="112" t="str">
        <f>IFERROR(INDEX(TableRBCalcPts[PLAYER],MATCH(TableRBVORP[[#This Row],[RK]],TableRBCalcPts[RK],0)),"")</f>
        <v>Trayveon Williams</v>
      </c>
      <c r="J106" s="112" t="str">
        <f>IFERROR(INDEX(TableRBCalcPts[TM],MATCH(TableRBVORP[[#This Row],[RK]],TableRBCalcPts[RK],0)),"")</f>
        <v>CIN</v>
      </c>
      <c r="K106" s="112">
        <f>IFERROR(INDEX(TableRBCalcPts[BYE],MATCH(TableRBVORP[[#This Row],[RK]],TableRBCalcPts[RK],0)),"")</f>
        <v>7</v>
      </c>
      <c r="L106" s="113">
        <f>IFERROR(INDEX(TableRBCalcPts[Custom],MATCH(TableRBVORP[[#This Row],[RK]],TableRBCalcPts[RK],0)),"")</f>
        <v>14.0733526416</v>
      </c>
      <c r="M106" s="114">
        <f>IFERROR((TableRBVORP[[#This Row],[FPS]]-INDEX(TableRBVORP[FPS],MATCH(RBVORPCalc,TableRBVORP[RK],0)))/INDEX(TableRBVORP[FPS],MATCH(RBVORPCalc,TableRBVORP[RK],0)),"")</f>
        <v>-0.87514555941124139</v>
      </c>
      <c r="O106">
        <v>105</v>
      </c>
      <c r="P106" s="112" t="str">
        <f>IFERROR(INDEX(TableWRCalcPts[PLAYER],MATCH(TableWRVORP[[#This Row],[RK]],TableWRCalcPts[RK],0)),"")</f>
        <v>Devontez Walker</v>
      </c>
      <c r="Q106" s="112" t="str">
        <f>IFERROR(INDEX(TableWRCalcPts[TM],MATCH(TableWRVORP[[#This Row],[RK]],TableWRCalcPts[RK],0)),"")</f>
        <v>BAL</v>
      </c>
      <c r="R106" s="112">
        <f>IFERROR(INDEX(TableWRCalcPts[BYE],MATCH(TableWRVORP[[#This Row],[RK]],TableWRCalcPts[RK],0)),"")</f>
        <v>13</v>
      </c>
      <c r="S106" s="113">
        <f>IFERROR(INDEX(TableWRCalcPts[Custom],MATCH(TableWRVORP[[#This Row],[RK]],TableWRCalcPts[RK],0)),"")</f>
        <v>41.847989055196805</v>
      </c>
      <c r="T106" s="114">
        <f>IFERROR((TableWRVORP[[#This Row],[FPS]]-INDEX(TableWRVORP[FPS],MATCH(WRVORPCalc,TableWRVORP[RK],0)))/INDEX(TableWRVORP[FPS],MATCH(WRVORPCalc,TableWRVORP[RK],0)),"")</f>
        <v>-0.71019933712464722</v>
      </c>
      <c r="AF106" t="s">
        <v>222</v>
      </c>
      <c r="AG106">
        <v>65</v>
      </c>
      <c r="AH106" s="83">
        <f>RANK(TableOverallMaster[[#This Row],[VORP]],TableOverallMaster[VORP])+COUNTIF($AM$2:AM106,AM106)-1</f>
        <v>208</v>
      </c>
      <c r="AI106" s="115" t="str">
        <f>IFERROR(INDEX(TableRBVORP[RUNNING BACK],MATCH(TableOverallMaster[[#This Row],[RK]],TableRBVORP[RK],0)),"")</f>
        <v>Jawhar Jordan</v>
      </c>
      <c r="AJ106" s="115" t="str">
        <f t="shared" si="1"/>
        <v>RB65</v>
      </c>
      <c r="AK106" s="115">
        <f>IFERROR(INDEX(TableRBVORP[BYE],MATCH(TableOverallMaster[[#This Row],[RK]],TableRBVORP[RK],0)),"")</f>
        <v>7</v>
      </c>
      <c r="AL106" s="116">
        <f>IFERROR(INDEX(TableRBVORP[FPS],MATCH(TableOverallMaster[[#This Row],[RK]],TableRBVORP[RK],0)),"")</f>
        <v>66.159671968000012</v>
      </c>
      <c r="AM106" s="117">
        <f>IFERROR(INDEX(TableRBVORP[VORP],MATCH(TableOverallMaster[[#This Row],[RK]],TableRBVORP[RK],0)),"")</f>
        <v>-0.41305181192693413</v>
      </c>
      <c r="AO106">
        <v>105</v>
      </c>
      <c r="AP106" s="118" t="str">
        <f>IFERROR(INDEX(TableOverallMaster[OVERALL PLAYER],MATCH(TableOverallRank[[#This Row],[RK]],TableOverallMaster[OVR RK],0)),"")</f>
        <v>Michael Pittman</v>
      </c>
      <c r="AQ106" s="119" t="str">
        <f>IFERROR(INDEX(TableOverallMaster[POS RK],MATCH(TableOverallRank[[#This Row],[OVERALL PLAYER]],TableOverallMaster[OVERALL PLAYER],0)),"")</f>
        <v>WR44</v>
      </c>
      <c r="AR106" s="120">
        <f>IFERROR(INDEX(TableOverallMaster[BYE],MATCH(TableOverallRank[[#This Row],[OVERALL PLAYER]],TableOverallMaster[OVERALL PLAYER],0)),"")</f>
        <v>11</v>
      </c>
      <c r="AS106" s="119">
        <f>IFERROR(INDEX(TableOverallMaster[Custom],MATCH(TableOverallRank[[#This Row],[OVERALL PLAYER]],TableOverallMaster[OVERALL PLAYER],0)),"")</f>
        <v>161.37858230487842</v>
      </c>
      <c r="AT106" s="121">
        <f>IFERROR(INDEX(TableOverallMaster[VORP],MATCH(TableOverallRank[[#This Row],[OVERALL PLAYER]],TableOverallMaster[OVERALL PLAYER],0)),"")</f>
        <v>0.11755955738166363</v>
      </c>
      <c r="AV106">
        <v>105</v>
      </c>
      <c r="AW106" s="122" t="str">
        <f>IFERROR(INDEX(TableWRTECalcPts[PLAYER],MATCH(TableWRTERank[[#This Row],[RK]],TableWRTECalcPts[RK],0)),"")</f>
        <v>Daniel Bellinger</v>
      </c>
      <c r="AX106" s="122" t="str">
        <f>IFERROR(INDEX(TableWRTECalcPts[POS RK],MATCH(TableWRTERank[[#This Row],[WR and TE COMBINED]],TableWRTECalcPts[PLAYER],0)),"")</f>
        <v>TE23</v>
      </c>
      <c r="AY106" s="122">
        <f>IFERROR(INDEX(TableWRTECalcPts[BYE],MATCH(TableWRTERank[[#This Row],[RK]],TableWRTECalcPts[RK],0)),"")</f>
        <v>13</v>
      </c>
      <c r="AZ106" s="123">
        <f>IFERROR(INDEX(TableWRTECalcPts[Custom],MATCH(TableWRTERank[[#This Row],[RK]],TableWRTECalcPts[RK],0)),"")</f>
        <v>87.870440020271985</v>
      </c>
      <c r="BA106" s="174">
        <f>IFERROR((TableWRTERank[[#This Row],[FPS]]-INDEX(TableWRTERank[FPS],MATCH(WRTEVORPCalc,TableWRTERank[RK],0)))/INDEX(TableWRTERank[FPS],MATCH(WRTEVORPCalc,TableWRTERank[RK],0)),"")</f>
        <v>-0.41139332380323496</v>
      </c>
      <c r="BC106" t="s">
        <v>223</v>
      </c>
      <c r="BD106">
        <v>105</v>
      </c>
      <c r="BE106" s="83">
        <f>RANK(TableWRTEMaster[[#This Row],[VORP]],TableWRTEMaster[VORP])+COUNTIF($BJ$2:BJ106,BJ106)-1</f>
        <v>150</v>
      </c>
      <c r="BF106" s="115" t="str">
        <f>IFERROR(INDEX(TableWRVORP[WIDE RECEIVER],MATCH(TableWRTEMaster[[#This Row],[RK]],TableWRVORP[RK],0)),"")</f>
        <v>Devontez Walker</v>
      </c>
      <c r="BG106" s="115" t="str">
        <f>_xlfn.CONCAT(TableWRTEMaster[[#This Row],[POS]],TableWRTEMaster[[#This Row],[RK]])</f>
        <v>WR105</v>
      </c>
      <c r="BH106" s="115">
        <f>IFERROR(INDEX(TableWRVORP[BYE],MATCH(TableWRTEMaster[[#This Row],[RK]],TableWRVORP[RK],0)),"")</f>
        <v>13</v>
      </c>
      <c r="BI106" s="116">
        <f>IFERROR(INDEX(TableWRVORP[FPS],MATCH(TableWRTEMaster[[#This Row],[RK]],TableWRVORP[RK],0)),"")</f>
        <v>41.847989055196805</v>
      </c>
      <c r="BJ106" s="117">
        <f>IFERROR(INDEX(TableWRVORP[VORP],MATCH(TableWRTEMaster[[#This Row],[RK]],TableWRVORP[RK],0)),"")</f>
        <v>-0.71019933712464722</v>
      </c>
    </row>
    <row r="107" spans="1:62" x14ac:dyDescent="0.2">
      <c r="H107">
        <v>106</v>
      </c>
      <c r="I107" s="112" t="str">
        <f>IFERROR(INDEX(TableRBCalcPts[PLAYER],MATCH(TableRBVORP[[#This Row],[RK]],TableRBCalcPts[RK],0)),"")</f>
        <v>Kene Nwangwu</v>
      </c>
      <c r="J107" s="112" t="str">
        <f>IFERROR(INDEX(TableRBCalcPts[TM],MATCH(TableRBVORP[[#This Row],[RK]],TableRBCalcPts[RK],0)),"")</f>
        <v>MIN</v>
      </c>
      <c r="K107" s="112">
        <f>IFERROR(INDEX(TableRBCalcPts[BYE],MATCH(TableRBVORP[[#This Row],[RK]],TableRBCalcPts[RK],0)),"")</f>
        <v>13</v>
      </c>
      <c r="L107" s="113">
        <f>IFERROR(INDEX(TableRBCalcPts[Custom],MATCH(TableRBVORP[[#This Row],[RK]],TableRBCalcPts[RK],0)),"")</f>
        <v>12.987665208000001</v>
      </c>
      <c r="M107" s="114">
        <f>IFERROR((TableRBVORP[[#This Row],[FPS]]-INDEX(TableRBVORP[FPS],MATCH(RBVORPCalc,TableRBVORP[RK],0)))/INDEX(TableRBVORP[FPS],MATCH(RBVORPCalc,TableRBVORP[RK],0)),"")</f>
        <v>-0.88477744320101348</v>
      </c>
      <c r="O107">
        <v>106</v>
      </c>
      <c r="P107" s="112" t="str">
        <f>IFERROR(INDEX(TableWRCalcPts[PLAYER],MATCH(TableWRVORP[[#This Row],[RK]],TableWRCalcPts[RK],0)),"")</f>
        <v>Allen Lazard</v>
      </c>
      <c r="Q107" s="112" t="str">
        <f>IFERROR(INDEX(TableWRCalcPts[TM],MATCH(TableWRVORP[[#This Row],[RK]],TableWRCalcPts[RK],0)),"")</f>
        <v>NYJ</v>
      </c>
      <c r="R107" s="112">
        <f>IFERROR(INDEX(TableWRCalcPts[BYE],MATCH(TableWRVORP[[#This Row],[RK]],TableWRCalcPts[RK],0)),"")</f>
        <v>7</v>
      </c>
      <c r="S107" s="113">
        <f>IFERROR(INDEX(TableWRCalcPts[Custom],MATCH(TableWRVORP[[#This Row],[RK]],TableWRCalcPts[RK],0)),"")</f>
        <v>41.839992226031995</v>
      </c>
      <c r="T107" s="114">
        <f>IFERROR((TableWRVORP[[#This Row],[FPS]]-INDEX(TableWRVORP[FPS],MATCH(WRVORPCalc,TableWRVORP[RK],0)))/INDEX(TableWRVORP[FPS],MATCH(WRVORPCalc,TableWRVORP[RK],0)),"")</f>
        <v>-0.71025471580460731</v>
      </c>
      <c r="AF107" t="s">
        <v>222</v>
      </c>
      <c r="AG107">
        <v>66</v>
      </c>
      <c r="AH107" s="83">
        <f>RANK(TableOverallMaster[[#This Row],[VORP]],TableOverallMaster[VORP])+COUNTIF($AM$2:AM107,AM107)-1</f>
        <v>210</v>
      </c>
      <c r="AI107" s="115" t="str">
        <f>IFERROR(INDEX(TableRBVORP[RUNNING BACK],MATCH(TableOverallMaster[[#This Row],[RK]],TableRBVORP[RK],0)),"")</f>
        <v>Isaac Guerendo</v>
      </c>
      <c r="AJ107" s="115" t="str">
        <f t="shared" si="1"/>
        <v>RB66</v>
      </c>
      <c r="AK107" s="115">
        <f>IFERROR(INDEX(TableRBVORP[BYE],MATCH(TableOverallMaster[[#This Row],[RK]],TableRBVORP[RK],0)),"")</f>
        <v>9</v>
      </c>
      <c r="AL107" s="116">
        <f>IFERROR(INDEX(TableRBVORP[FPS],MATCH(TableOverallMaster[[#This Row],[RK]],TableRBVORP[RK],0)),"")</f>
        <v>65.973710530123185</v>
      </c>
      <c r="AM107" s="117">
        <f>IFERROR(INDEX(TableRBVORP[VORP],MATCH(TableOverallMaster[[#This Row],[RK]],TableRBVORP[RK],0)),"")</f>
        <v>-0.41470160440271997</v>
      </c>
      <c r="AO107">
        <v>106</v>
      </c>
      <c r="AP107" s="118" t="str">
        <f>IFERROR(INDEX(TableOverallMaster[OVERALL PLAYER],MATCH(TableOverallRank[[#This Row],[RK]],TableOverallMaster[OVR RK],0)),"")</f>
        <v>Tua Tagovailoa</v>
      </c>
      <c r="AQ107" s="119" t="str">
        <f>IFERROR(INDEX(TableOverallMaster[POS RK],MATCH(TableOverallRank[[#This Row],[OVERALL PLAYER]],TableOverallMaster[OVERALL PLAYER],0)),"")</f>
        <v>QB17</v>
      </c>
      <c r="AR107" s="120">
        <f>IFERROR(INDEX(TableOverallMaster[BYE],MATCH(TableOverallRank[[#This Row],[OVERALL PLAYER]],TableOverallMaster[OVERALL PLAYER],0)),"")</f>
        <v>10</v>
      </c>
      <c r="AS107" s="119">
        <f>IFERROR(INDEX(TableOverallMaster[Custom],MATCH(TableOverallRank[[#This Row],[OVERALL PLAYER]],TableOverallMaster[OVERALL PLAYER],0)),"")</f>
        <v>302.2407970072</v>
      </c>
      <c r="AT107" s="121">
        <f>IFERROR(INDEX(TableOverallMaster[VORP],MATCH(TableOverallRank[[#This Row],[OVERALL PLAYER]],TableOverallMaster[OVERALL PLAYER],0)),"")</f>
        <v>0.11584976964720434</v>
      </c>
      <c r="AV107">
        <v>106</v>
      </c>
      <c r="AW107" s="122" t="str">
        <f>IFERROR(INDEX(TableWRTECalcPts[PLAYER],MATCH(TableWRTERank[[#This Row],[RK]],TableWRTECalcPts[RK],0)),"")</f>
        <v>Cade Otton</v>
      </c>
      <c r="AX107" s="122" t="str">
        <f>IFERROR(INDEX(TableWRTECalcPts[POS RK],MATCH(TableWRTERank[[#This Row],[WR and TE COMBINED]],TableWRTECalcPts[PLAYER],0)),"")</f>
        <v>TE24</v>
      </c>
      <c r="AY107" s="122">
        <f>IFERROR(INDEX(TableWRTECalcPts[BYE],MATCH(TableWRTERank[[#This Row],[RK]],TableWRTECalcPts[RK],0)),"")</f>
        <v>5</v>
      </c>
      <c r="AZ107" s="123">
        <f>IFERROR(INDEX(TableWRTECalcPts[Custom],MATCH(TableWRTERank[[#This Row],[RK]],TableWRTECalcPts[RK],0)),"")</f>
        <v>87.511587115490997</v>
      </c>
      <c r="BA107" s="174">
        <f>IFERROR((TableWRTERank[[#This Row],[FPS]]-INDEX(TableWRTERank[FPS],MATCH(WRTEVORPCalc,TableWRTERank[RK],0)))/INDEX(TableWRTERank[FPS],MATCH(WRTEVORPCalc,TableWRTERank[RK],0)),"")</f>
        <v>-0.41379712666888535</v>
      </c>
      <c r="BC107" t="s">
        <v>223</v>
      </c>
      <c r="BD107">
        <v>106</v>
      </c>
      <c r="BE107" s="83">
        <f>RANK(TableWRTEMaster[[#This Row],[VORP]],TableWRTEMaster[VORP])+COUNTIF($BJ$2:BJ107,BJ107)-1</f>
        <v>151</v>
      </c>
      <c r="BF107" s="115" t="str">
        <f>IFERROR(INDEX(TableWRVORP[WIDE RECEIVER],MATCH(TableWRTEMaster[[#This Row],[RK]],TableWRVORP[RK],0)),"")</f>
        <v>Allen Lazard</v>
      </c>
      <c r="BG107" s="115" t="str">
        <f>_xlfn.CONCAT(TableWRTEMaster[[#This Row],[POS]],TableWRTEMaster[[#This Row],[RK]])</f>
        <v>WR106</v>
      </c>
      <c r="BH107" s="115">
        <f>IFERROR(INDEX(TableWRVORP[BYE],MATCH(TableWRTEMaster[[#This Row],[RK]],TableWRVORP[RK],0)),"")</f>
        <v>7</v>
      </c>
      <c r="BI107" s="116">
        <f>IFERROR(INDEX(TableWRVORP[FPS],MATCH(TableWRTEMaster[[#This Row],[RK]],TableWRVORP[RK],0)),"")</f>
        <v>41.839992226031995</v>
      </c>
      <c r="BJ107" s="117">
        <f>IFERROR(INDEX(TableWRVORP[VORP],MATCH(TableWRTEMaster[[#This Row],[RK]],TableWRVORP[RK],0)),"")</f>
        <v>-0.71025471580460731</v>
      </c>
    </row>
    <row r="108" spans="1:62" x14ac:dyDescent="0.2">
      <c r="H108">
        <v>107</v>
      </c>
      <c r="I108" s="112" t="str">
        <f>IFERROR(INDEX(TableRBCalcPts[PLAYER],MATCH(TableRBVORP[[#This Row],[RK]],TableRBCalcPts[RK],0)),"")</f>
        <v>Jeff Wilson</v>
      </c>
      <c r="J108" s="112" t="str">
        <f>IFERROR(INDEX(TableRBCalcPts[TM],MATCH(TableRBVORP[[#This Row],[RK]],TableRBCalcPts[RK],0)),"")</f>
        <v>MIA</v>
      </c>
      <c r="K108" s="112">
        <f>IFERROR(INDEX(TableRBCalcPts[BYE],MATCH(TableRBVORP[[#This Row],[RK]],TableRBCalcPts[RK],0)),"")</f>
        <v>10</v>
      </c>
      <c r="L108" s="113">
        <f>IFERROR(INDEX(TableRBCalcPts[Custom],MATCH(TableRBVORP[[#This Row],[RK]],TableRBCalcPts[RK],0)),"")</f>
        <v>12.085693513600001</v>
      </c>
      <c r="M108" s="114">
        <f>IFERROR((TableRBVORP[[#This Row],[FPS]]-INDEX(TableRBVORP[FPS],MATCH(RBVORPCalc,TableRBVORP[RK],0)))/INDEX(TableRBVORP[FPS],MATCH(RBVORPCalc,TableRBVORP[RK],0)),"")</f>
        <v>-0.89277945766047651</v>
      </c>
      <c r="O108">
        <v>107</v>
      </c>
      <c r="P108" s="112" t="str">
        <f>IFERROR(INDEX(TableWRCalcPts[PLAYER],MATCH(TableWRVORP[[#This Row],[RK]],TableWRCalcPts[RK],0)),"")</f>
        <v>Cedric Tillman</v>
      </c>
      <c r="Q108" s="112" t="str">
        <f>IFERROR(INDEX(TableWRCalcPts[TM],MATCH(TableWRVORP[[#This Row],[RK]],TableWRCalcPts[RK],0)),"")</f>
        <v>CLE</v>
      </c>
      <c r="R108" s="112">
        <f>IFERROR(INDEX(TableWRCalcPts[BYE],MATCH(TableWRVORP[[#This Row],[RK]],TableWRCalcPts[RK],0)),"")</f>
        <v>5</v>
      </c>
      <c r="S108" s="113">
        <f>IFERROR(INDEX(TableWRCalcPts[Custom],MATCH(TableWRVORP[[#This Row],[RK]],TableWRCalcPts[RK],0)),"")</f>
        <v>40.104575279999999</v>
      </c>
      <c r="T108" s="114">
        <f>IFERROR((TableWRVORP[[#This Row],[FPS]]-INDEX(TableWRVORP[FPS],MATCH(WRVORPCalc,TableWRVORP[RK],0)))/INDEX(TableWRVORP[FPS],MATCH(WRVORPCalc,TableWRVORP[RK],0)),"")</f>
        <v>-0.72227261660891695</v>
      </c>
      <c r="AF108" t="s">
        <v>222</v>
      </c>
      <c r="AG108">
        <v>67</v>
      </c>
      <c r="AH108" s="83">
        <f>RANK(TableOverallMaster[[#This Row],[VORP]],TableOverallMaster[VORP])+COUNTIF($AM$2:AM108,AM108)-1</f>
        <v>211</v>
      </c>
      <c r="AI108" s="115" t="str">
        <f>IFERROR(INDEX(TableRBVORP[RUNNING BACK],MATCH(TableOverallMaster[[#This Row],[RK]],TableRBVORP[RK],0)),"")</f>
        <v>Dylan Laube</v>
      </c>
      <c r="AJ108" s="115" t="str">
        <f t="shared" si="1"/>
        <v>RB67</v>
      </c>
      <c r="AK108" s="115">
        <f>IFERROR(INDEX(TableRBVORP[BYE],MATCH(TableOverallMaster[[#This Row],[RK]],TableRBVORP[RK],0)),"")</f>
        <v>13</v>
      </c>
      <c r="AL108" s="116">
        <f>IFERROR(INDEX(TableRBVORP[FPS],MATCH(TableOverallMaster[[#This Row],[RK]],TableRBVORP[RK],0)),"")</f>
        <v>65.827752244799996</v>
      </c>
      <c r="AM108" s="117">
        <f>IFERROR(INDEX(TableRBVORP[VORP],MATCH(TableOverallMaster[[#This Row],[RK]],TableRBVORP[RK],0)),"")</f>
        <v>-0.41599650125689625</v>
      </c>
      <c r="AO108">
        <v>107</v>
      </c>
      <c r="AP108" s="118" t="str">
        <f>IFERROR(INDEX(TableOverallMaster[OVERALL PLAYER],MATCH(TableOverallRank[[#This Row],[RK]],TableOverallMaster[OVR RK],0)),"")</f>
        <v>David Njoku</v>
      </c>
      <c r="AQ108" s="119" t="str">
        <f>IFERROR(INDEX(TableOverallMaster[POS RK],MATCH(TableOverallRank[[#This Row],[OVERALL PLAYER]],TableOverallMaster[OVERALL PLAYER],0)),"")</f>
        <v>TE8</v>
      </c>
      <c r="AR108" s="120">
        <f>IFERROR(INDEX(TableOverallMaster[BYE],MATCH(TableOverallRank[[#This Row],[OVERALL PLAYER]],TableOverallMaster[OVERALL PLAYER],0)),"")</f>
        <v>5</v>
      </c>
      <c r="AS108" s="119">
        <f>IFERROR(INDEX(TableOverallMaster[Custom],MATCH(TableOverallRank[[#This Row],[OVERALL PLAYER]],TableOverallMaster[OVERALL PLAYER],0)),"")</f>
        <v>146.32427848500004</v>
      </c>
      <c r="AT108" s="121">
        <f>IFERROR(INDEX(TableOverallMaster[VORP],MATCH(TableOverallRank[[#This Row],[OVERALL PLAYER]],TableOverallMaster[OVERALL PLAYER],0)),"")</f>
        <v>0.11406587472494564</v>
      </c>
      <c r="AV108">
        <v>107</v>
      </c>
      <c r="AW108" s="122" t="str">
        <f>IFERROR(INDEX(TableWRTECalcPts[PLAYER],MATCH(TableWRTERank[[#This Row],[RK]],TableWRTECalcPts[RK],0)),"")</f>
        <v>Dalton Schultz</v>
      </c>
      <c r="AX108" s="122" t="str">
        <f>IFERROR(INDEX(TableWRTECalcPts[POS RK],MATCH(TableWRTERank[[#This Row],[WR and TE COMBINED]],TableWRTECalcPts[PLAYER],0)),"")</f>
        <v>TE25</v>
      </c>
      <c r="AY108" s="122">
        <f>IFERROR(INDEX(TableWRTECalcPts[BYE],MATCH(TableWRTERank[[#This Row],[RK]],TableWRTECalcPts[RK],0)),"")</f>
        <v>7</v>
      </c>
      <c r="AZ108" s="123">
        <f>IFERROR(INDEX(TableWRTECalcPts[Custom],MATCH(TableWRTERank[[#This Row],[RK]],TableWRTECalcPts[RK],0)),"")</f>
        <v>86.800296892108804</v>
      </c>
      <c r="BA108" s="174">
        <f>IFERROR((TableWRTERank[[#This Row],[FPS]]-INDEX(TableWRTERank[FPS],MATCH(WRTEVORPCalc,TableWRTERank[RK],0)))/INDEX(TableWRTERank[FPS],MATCH(WRTEVORPCalc,TableWRTERank[RK],0)),"")</f>
        <v>-0.41856175711912164</v>
      </c>
      <c r="BC108" t="s">
        <v>223</v>
      </c>
      <c r="BD108">
        <v>107</v>
      </c>
      <c r="BE108" s="83">
        <f>RANK(TableWRTEMaster[[#This Row],[VORP]],TableWRTEMaster[VORP])+COUNTIF($BJ$2:BJ108,BJ108)-1</f>
        <v>153</v>
      </c>
      <c r="BF108" s="115" t="str">
        <f>IFERROR(INDEX(TableWRVORP[WIDE RECEIVER],MATCH(TableWRTEMaster[[#This Row],[RK]],TableWRVORP[RK],0)),"")</f>
        <v>Cedric Tillman</v>
      </c>
      <c r="BG108" s="115" t="str">
        <f>_xlfn.CONCAT(TableWRTEMaster[[#This Row],[POS]],TableWRTEMaster[[#This Row],[RK]])</f>
        <v>WR107</v>
      </c>
      <c r="BH108" s="115">
        <f>IFERROR(INDEX(TableWRVORP[BYE],MATCH(TableWRTEMaster[[#This Row],[RK]],TableWRVORP[RK],0)),"")</f>
        <v>5</v>
      </c>
      <c r="BI108" s="116">
        <f>IFERROR(INDEX(TableWRVORP[FPS],MATCH(TableWRTEMaster[[#This Row],[RK]],TableWRVORP[RK],0)),"")</f>
        <v>40.104575279999999</v>
      </c>
      <c r="BJ108" s="117">
        <f>IFERROR(INDEX(TableWRVORP[VORP],MATCH(TableWRTEMaster[[#This Row],[RK]],TableWRVORP[RK],0)),"")</f>
        <v>-0.72227261660891695</v>
      </c>
    </row>
    <row r="109" spans="1:62" x14ac:dyDescent="0.2">
      <c r="H109">
        <v>108</v>
      </c>
      <c r="I109" s="112" t="str">
        <f>IFERROR(INDEX(TableRBCalcPts[PLAYER],MATCH(TableRBVORP[[#This Row],[RK]],TableRBCalcPts[RK],0)),"")</f>
        <v>DeeJay Dallas</v>
      </c>
      <c r="J109" s="112" t="str">
        <f>IFERROR(INDEX(TableRBCalcPts[TM],MATCH(TableRBVORP[[#This Row],[RK]],TableRBCalcPts[RK],0)),"")</f>
        <v>ARI</v>
      </c>
      <c r="K109" s="112">
        <f>IFERROR(INDEX(TableRBCalcPts[BYE],MATCH(TableRBVORP[[#This Row],[RK]],TableRBCalcPts[RK],0)),"")</f>
        <v>14</v>
      </c>
      <c r="L109" s="113">
        <f>IFERROR(INDEX(TableRBCalcPts[Custom],MATCH(TableRBVORP[[#This Row],[RK]],TableRBCalcPts[RK],0)),"")</f>
        <v>10.875601878749999</v>
      </c>
      <c r="M109" s="114">
        <f>IFERROR((TableRBVORP[[#This Row],[FPS]]-INDEX(TableRBVORP[FPS],MATCH(RBVORPCalc,TableRBVORP[RK],0)))/INDEX(TableRBVORP[FPS],MATCH(RBVORPCalc,TableRBVORP[RK],0)),"")</f>
        <v>-0.90351501712366611</v>
      </c>
      <c r="O109">
        <v>108</v>
      </c>
      <c r="P109" s="112" t="str">
        <f>IFERROR(INDEX(TableWRCalcPts[PLAYER],MATCH(TableWRVORP[[#This Row],[RK]],TableWRCalcPts[RK],0)),"")</f>
        <v>Tre Tucker</v>
      </c>
      <c r="Q109" s="112" t="str">
        <f>IFERROR(INDEX(TableWRCalcPts[TM],MATCH(TableWRVORP[[#This Row],[RK]],TableWRCalcPts[RK],0)),"")</f>
        <v>LV</v>
      </c>
      <c r="R109" s="112">
        <f>IFERROR(INDEX(TableWRCalcPts[BYE],MATCH(TableWRVORP[[#This Row],[RK]],TableWRCalcPts[RK],0)),"")</f>
        <v>13</v>
      </c>
      <c r="S109" s="113">
        <f>IFERROR(INDEX(TableWRCalcPts[Custom],MATCH(TableWRVORP[[#This Row],[RK]],TableWRCalcPts[RK],0)),"")</f>
        <v>38.374922018159985</v>
      </c>
      <c r="T109" s="114">
        <f>IFERROR((TableWRVORP[[#This Row],[FPS]]-INDEX(TableWRVORP[FPS],MATCH(WRVORPCalc,TableWRVORP[RK],0)))/INDEX(TableWRVORP[FPS],MATCH(WRVORPCalc,TableWRVORP[RK],0)),"")</f>
        <v>-0.73425060344036552</v>
      </c>
      <c r="AF109" t="s">
        <v>222</v>
      </c>
      <c r="AG109">
        <v>68</v>
      </c>
      <c r="AH109" s="83">
        <f>RANK(TableOverallMaster[[#This Row],[VORP]],TableOverallMaster[VORP])+COUNTIF($AM$2:AM109,AM109)-1</f>
        <v>216</v>
      </c>
      <c r="AI109" s="115" t="str">
        <f>IFERROR(INDEX(TableRBVORP[RUNNING BACK],MATCH(TableOverallMaster[[#This Row],[RK]],TableRBVORP[RK],0)),"")</f>
        <v>Eric Gray</v>
      </c>
      <c r="AJ109" s="115" t="str">
        <f t="shared" si="1"/>
        <v>RB68</v>
      </c>
      <c r="AK109" s="115">
        <f>IFERROR(INDEX(TableRBVORP[BYE],MATCH(TableOverallMaster[[#This Row],[RK]],TableRBVORP[RK],0)),"")</f>
        <v>13</v>
      </c>
      <c r="AL109" s="116">
        <f>IFERROR(INDEX(TableRBVORP[FPS],MATCH(TableOverallMaster[[#This Row],[RK]],TableRBVORP[RK],0)),"")</f>
        <v>62.589561267430412</v>
      </c>
      <c r="AM109" s="117">
        <f>IFERROR(INDEX(TableRBVORP[VORP],MATCH(TableOverallMaster[[#This Row],[RK]],TableRBVORP[RK],0)),"")</f>
        <v>-0.44472473206978375</v>
      </c>
      <c r="AO109">
        <v>108</v>
      </c>
      <c r="AP109" s="118" t="str">
        <f>IFERROR(INDEX(TableOverallMaster[OVERALL PLAYER],MATCH(TableOverallRank[[#This Row],[RK]],TableOverallMaster[OVR RK],0)),"")</f>
        <v>Jake Ferguson</v>
      </c>
      <c r="AQ109" s="119" t="str">
        <f>IFERROR(INDEX(TableOverallMaster[POS RK],MATCH(TableOverallRank[[#This Row],[OVERALL PLAYER]],TableOverallMaster[OVERALL PLAYER],0)),"")</f>
        <v>TE9</v>
      </c>
      <c r="AR109" s="120">
        <f>IFERROR(INDEX(TableOverallMaster[BYE],MATCH(TableOverallRank[[#This Row],[OVERALL PLAYER]],TableOverallMaster[OVERALL PLAYER],0)),"")</f>
        <v>7</v>
      </c>
      <c r="AS109" s="119">
        <f>IFERROR(INDEX(TableOverallMaster[Custom],MATCH(TableOverallRank[[#This Row],[OVERALL PLAYER]],TableOverallMaster[OVERALL PLAYER],0)),"")</f>
        <v>145.89143428607994</v>
      </c>
      <c r="AT109" s="121">
        <f>IFERROR(INDEX(TableOverallMaster[VORP],MATCH(TableOverallRank[[#This Row],[OVERALL PLAYER]],TableOverallMaster[OVERALL PLAYER],0)),"")</f>
        <v>0.11077033856319402</v>
      </c>
      <c r="AV109">
        <v>108</v>
      </c>
      <c r="AW109" s="122" t="str">
        <f>IFERROR(INDEX(TableWRTECalcPts[PLAYER],MATCH(TableWRTERank[[#This Row],[RK]],TableWRTECalcPts[RK],0)),"")</f>
        <v>Nelson Agholor</v>
      </c>
      <c r="AX109" s="122" t="str">
        <f>IFERROR(INDEX(TableWRTECalcPts[POS RK],MATCH(TableWRTERank[[#This Row],[WR and TE COMBINED]],TableWRTECalcPts[PLAYER],0)),"")</f>
        <v>WR83</v>
      </c>
      <c r="AY109" s="122">
        <f>IFERROR(INDEX(TableWRTECalcPts[BYE],MATCH(TableWRTERank[[#This Row],[RK]],TableWRTECalcPts[RK],0)),"")</f>
        <v>13</v>
      </c>
      <c r="AZ109" s="123">
        <f>IFERROR(INDEX(TableWRTECalcPts[Custom],MATCH(TableWRTERank[[#This Row],[RK]],TableWRTECalcPts[RK],0)),"")</f>
        <v>85.575717441312008</v>
      </c>
      <c r="BA109" s="174">
        <f>IFERROR((TableWRTERank[[#This Row],[FPS]]-INDEX(TableWRTERank[FPS],MATCH(WRTEVORPCalc,TableWRTERank[RK],0)))/INDEX(TableWRTERank[FPS],MATCH(WRTEVORPCalc,TableWRTERank[RK],0)),"")</f>
        <v>-0.42676469362548342</v>
      </c>
      <c r="BC109" t="s">
        <v>223</v>
      </c>
      <c r="BD109">
        <v>108</v>
      </c>
      <c r="BE109" s="83">
        <f>RANK(TableWRTEMaster[[#This Row],[VORP]],TableWRTEMaster[VORP])+COUNTIF($BJ$2:BJ109,BJ109)-1</f>
        <v>154</v>
      </c>
      <c r="BF109" s="115" t="str">
        <f>IFERROR(INDEX(TableWRVORP[WIDE RECEIVER],MATCH(TableWRTEMaster[[#This Row],[RK]],TableWRVORP[RK],0)),"")</f>
        <v>Tre Tucker</v>
      </c>
      <c r="BG109" s="115" t="str">
        <f>_xlfn.CONCAT(TableWRTEMaster[[#This Row],[POS]],TableWRTEMaster[[#This Row],[RK]])</f>
        <v>WR108</v>
      </c>
      <c r="BH109" s="115">
        <f>IFERROR(INDEX(TableWRVORP[BYE],MATCH(TableWRTEMaster[[#This Row],[RK]],TableWRVORP[RK],0)),"")</f>
        <v>13</v>
      </c>
      <c r="BI109" s="116">
        <f>IFERROR(INDEX(TableWRVORP[FPS],MATCH(TableWRTEMaster[[#This Row],[RK]],TableWRVORP[RK],0)),"")</f>
        <v>38.374922018159985</v>
      </c>
      <c r="BJ109" s="117">
        <f>IFERROR(INDEX(TableWRVORP[VORP],MATCH(TableWRTEMaster[[#This Row],[RK]],TableWRVORP[RK],0)),"")</f>
        <v>-0.73425060344036552</v>
      </c>
    </row>
    <row r="110" spans="1:62" x14ac:dyDescent="0.2">
      <c r="H110">
        <v>109</v>
      </c>
      <c r="I110" s="112" t="str">
        <f>IFERROR(INDEX(TableRBCalcPts[PLAYER],MATCH(TableRBVORP[[#This Row],[RK]],TableRBCalcPts[RK],0)),"")</f>
        <v>Kellan Robinson</v>
      </c>
      <c r="J110" s="112" t="str">
        <f>IFERROR(INDEX(TableRBCalcPts[TM],MATCH(TableRBVORP[[#This Row],[RK]],TableRBCalcPts[RK],0)),"")</f>
        <v>JAX</v>
      </c>
      <c r="K110" s="112">
        <f>IFERROR(INDEX(TableRBCalcPts[BYE],MATCH(TableRBVORP[[#This Row],[RK]],TableRBCalcPts[RK],0)),"")</f>
        <v>9</v>
      </c>
      <c r="L110" s="113">
        <f>IFERROR(INDEX(TableRBCalcPts[Custom],MATCH(TableRBVORP[[#This Row],[RK]],TableRBCalcPts[RK],0)),"")</f>
        <v>4.9467571719999999</v>
      </c>
      <c r="M110" s="114">
        <f>IFERROR((TableRBVORP[[#This Row],[FPS]]-INDEX(TableRBVORP[FPS],MATCH(RBVORPCalc,TableRBVORP[RK],0)))/INDEX(TableRBVORP[FPS],MATCH(RBVORPCalc,TableRBVORP[RK],0)),"")</f>
        <v>-0.95611389729460572</v>
      </c>
      <c r="O110">
        <v>109</v>
      </c>
      <c r="P110" s="112" t="str">
        <f>IFERROR(INDEX(TableWRCalcPts[PLAYER],MATCH(TableWRVORP[[#This Row],[RK]],TableWRCalcPts[RK],0)),"")</f>
        <v>Jake Bobo</v>
      </c>
      <c r="Q110" s="112" t="str">
        <f>IFERROR(INDEX(TableWRCalcPts[TM],MATCH(TableWRVORP[[#This Row],[RK]],TableWRCalcPts[RK],0)),"")</f>
        <v>SEA</v>
      </c>
      <c r="R110" s="112">
        <f>IFERROR(INDEX(TableWRCalcPts[BYE],MATCH(TableWRVORP[[#This Row],[RK]],TableWRCalcPts[RK],0)),"")</f>
        <v>5</v>
      </c>
      <c r="S110" s="113">
        <f>IFERROR(INDEX(TableWRCalcPts[Custom],MATCH(TableWRVORP[[#This Row],[RK]],TableWRCalcPts[RK],0)),"")</f>
        <v>38.272134722472003</v>
      </c>
      <c r="T110" s="114">
        <f>IFERROR((TableWRVORP[[#This Row],[FPS]]-INDEX(TableWRVORP[FPS],MATCH(WRVORPCalc,TableWRVORP[RK],0)))/INDEX(TableWRVORP[FPS],MATCH(WRVORPCalc,TableWRVORP[RK],0)),"")</f>
        <v>-0.73496241366346271</v>
      </c>
      <c r="AF110" t="s">
        <v>222</v>
      </c>
      <c r="AG110">
        <v>69</v>
      </c>
      <c r="AH110" s="83">
        <f>RANK(TableOverallMaster[[#This Row],[VORP]],TableOverallMaster[VORP])+COUNTIF($AM$2:AM110,AM110)-1</f>
        <v>218</v>
      </c>
      <c r="AI110" s="115" t="str">
        <f>IFERROR(INDEX(TableRBVORP[RUNNING BACK],MATCH(TableOverallMaster[[#This Row],[RK]],TableRBVORP[RK],0)),"")</f>
        <v>Tyrone Tracy</v>
      </c>
      <c r="AJ110" s="115" t="str">
        <f t="shared" si="1"/>
        <v>RB69</v>
      </c>
      <c r="AK110" s="115">
        <f>IFERROR(INDEX(TableRBVORP[BYE],MATCH(TableOverallMaster[[#This Row],[RK]],TableRBVORP[RK],0)),"")</f>
        <v>13</v>
      </c>
      <c r="AL110" s="116">
        <f>IFERROR(INDEX(TableRBVORP[FPS],MATCH(TableOverallMaster[[#This Row],[RK]],TableRBVORP[RK],0)),"")</f>
        <v>59.648622234331199</v>
      </c>
      <c r="AM110" s="117">
        <f>IFERROR(INDEX(TableRBVORP[VORP],MATCH(TableOverallMaster[[#This Row],[RK]],TableRBVORP[RK],0)),"")</f>
        <v>-0.4708158353864062</v>
      </c>
      <c r="AO110">
        <v>109</v>
      </c>
      <c r="AP110" s="118" t="str">
        <f>IFERROR(INDEX(TableOverallMaster[OVERALL PLAYER],MATCH(TableOverallRank[[#This Row],[RK]],TableOverallMaster[OVR RK],0)),"")</f>
        <v>Brandin Cooks</v>
      </c>
      <c r="AQ110" s="119" t="str">
        <f>IFERROR(INDEX(TableOverallMaster[POS RK],MATCH(TableOverallRank[[#This Row],[OVERALL PLAYER]],TableOverallMaster[OVERALL PLAYER],0)),"")</f>
        <v>WR45</v>
      </c>
      <c r="AR110" s="120">
        <f>IFERROR(INDEX(TableOverallMaster[BYE],MATCH(TableOverallRank[[#This Row],[OVERALL PLAYER]],TableOverallMaster[OVERALL PLAYER],0)),"")</f>
        <v>7</v>
      </c>
      <c r="AS110" s="119">
        <f>IFERROR(INDEX(TableOverallMaster[Custom],MATCH(TableOverallRank[[#This Row],[OVERALL PLAYER]],TableOverallMaster[OVERALL PLAYER],0)),"")</f>
        <v>159.86001222374398</v>
      </c>
      <c r="AT110" s="121">
        <f>IFERROR(INDEX(TableOverallMaster[VORP],MATCH(TableOverallRank[[#This Row],[OVERALL PLAYER]],TableOverallMaster[OVERALL PLAYER],0)),"")</f>
        <v>0.10704333841699659</v>
      </c>
      <c r="AV110">
        <v>109</v>
      </c>
      <c r="AW110" s="122" t="str">
        <f>IFERROR(INDEX(TableWRTECalcPts[PLAYER],MATCH(TableWRTERank[[#This Row],[RK]],TableWRTECalcPts[RK],0)),"")</f>
        <v>Greg Dortch</v>
      </c>
      <c r="AX110" s="122" t="str">
        <f>IFERROR(INDEX(TableWRTECalcPts[POS RK],MATCH(TableWRTERank[[#This Row],[WR and TE COMBINED]],TableWRTECalcPts[PLAYER],0)),"")</f>
        <v>WR84</v>
      </c>
      <c r="AY110" s="122">
        <f>IFERROR(INDEX(TableWRTECalcPts[BYE],MATCH(TableWRTERank[[#This Row],[RK]],TableWRTECalcPts[RK],0)),"")</f>
        <v>14</v>
      </c>
      <c r="AZ110" s="123">
        <f>IFERROR(INDEX(TableWRTECalcPts[Custom],MATCH(TableWRTERank[[#This Row],[RK]],TableWRTECalcPts[RK],0)),"")</f>
        <v>85.462192509750011</v>
      </c>
      <c r="BA110" s="174">
        <f>IFERROR((TableWRTERank[[#This Row],[FPS]]-INDEX(TableWRTERank[FPS],MATCH(WRTEVORPCalc,TableWRTERank[RK],0)))/INDEX(TableWRTERank[FPS],MATCH(WRTEVORPCalc,TableWRTERank[RK],0)),"")</f>
        <v>-0.42752514882084552</v>
      </c>
      <c r="BC110" t="s">
        <v>223</v>
      </c>
      <c r="BD110">
        <v>109</v>
      </c>
      <c r="BE110" s="83">
        <f>RANK(TableWRTEMaster[[#This Row],[VORP]],TableWRTEMaster[VORP])+COUNTIF($BJ$2:BJ110,BJ110)-1</f>
        <v>155</v>
      </c>
      <c r="BF110" s="115" t="str">
        <f>IFERROR(INDEX(TableWRVORP[WIDE RECEIVER],MATCH(TableWRTEMaster[[#This Row],[RK]],TableWRVORP[RK],0)),"")</f>
        <v>Jake Bobo</v>
      </c>
      <c r="BG110" s="115" t="str">
        <f>_xlfn.CONCAT(TableWRTEMaster[[#This Row],[POS]],TableWRTEMaster[[#This Row],[RK]])</f>
        <v>WR109</v>
      </c>
      <c r="BH110" s="115">
        <f>IFERROR(INDEX(TableWRVORP[BYE],MATCH(TableWRTEMaster[[#This Row],[RK]],TableWRVORP[RK],0)),"")</f>
        <v>5</v>
      </c>
      <c r="BI110" s="116">
        <f>IFERROR(INDEX(TableWRVORP[FPS],MATCH(TableWRTEMaster[[#This Row],[RK]],TableWRVORP[RK],0)),"")</f>
        <v>38.272134722472003</v>
      </c>
      <c r="BJ110" s="117">
        <f>IFERROR(INDEX(TableWRVORP[VORP],MATCH(TableWRTEMaster[[#This Row],[RK]],TableWRVORP[RK],0)),"")</f>
        <v>-0.73496241366346271</v>
      </c>
    </row>
    <row r="111" spans="1:62" x14ac:dyDescent="0.2">
      <c r="H111">
        <v>110</v>
      </c>
      <c r="I111" s="112" t="str">
        <f>IFERROR(INDEX(TableRBCalcPts[PLAYER],MATCH(TableRBVORP[[#This Row],[RK]],TableRBCalcPts[RK],0)),"")</f>
        <v/>
      </c>
      <c r="J111" s="112" t="str">
        <f>IFERROR(INDEX(TableRBCalcPts[TM],MATCH(TableRBVORP[[#This Row],[RK]],TableRBCalcPts[RK],0)),"")</f>
        <v/>
      </c>
      <c r="K111" s="112" t="str">
        <f>IFERROR(INDEX(TableRBCalcPts[BYE],MATCH(TableRBVORP[[#This Row],[RK]],TableRBCalcPts[RK],0)),"")</f>
        <v/>
      </c>
      <c r="L111" s="113" t="str">
        <f>IFERROR(INDEX(TableRBCalcPts[Custom],MATCH(TableRBVORP[[#This Row],[RK]],TableRBCalcPts[RK],0)),"")</f>
        <v/>
      </c>
      <c r="M111" s="114" t="str">
        <f>IFERROR((TableRBVORP[[#This Row],[FPS]]-INDEX(TableRBVORP[FPS],MATCH(RBVORPCalc,TableRBVORP[RK],0)))/INDEX(TableRBVORP[FPS],MATCH(RBVORPCalc,TableRBVORP[RK],0)),"")</f>
        <v/>
      </c>
      <c r="O111">
        <v>110</v>
      </c>
      <c r="P111" s="112" t="str">
        <f>IFERROR(INDEX(TableWRCalcPts[PLAYER],MATCH(TableWRVORP[[#This Row],[RK]],TableWRCalcPts[RK],0)),"")</f>
        <v>Justin Watson</v>
      </c>
      <c r="Q111" s="112" t="str">
        <f>IFERROR(INDEX(TableWRCalcPts[TM],MATCH(TableWRVORP[[#This Row],[RK]],TableWRCalcPts[RK],0)),"")</f>
        <v>KC</v>
      </c>
      <c r="R111" s="112">
        <f>IFERROR(INDEX(TableWRCalcPts[BYE],MATCH(TableWRVORP[[#This Row],[RK]],TableWRCalcPts[RK],0)),"")</f>
        <v>10</v>
      </c>
      <c r="S111" s="113">
        <f>IFERROR(INDEX(TableWRCalcPts[Custom],MATCH(TableWRVORP[[#This Row],[RK]],TableWRCalcPts[RK],0)),"")</f>
        <v>37.446326628479994</v>
      </c>
      <c r="T111" s="114">
        <f>IFERROR((TableWRVORP[[#This Row],[FPS]]-INDEX(TableWRVORP[FPS],MATCH(WRVORPCalc,TableWRVORP[RK],0)))/INDEX(TableWRVORP[FPS],MATCH(WRVORPCalc,TableWRVORP[RK],0)),"")</f>
        <v>-0.74068120059802856</v>
      </c>
      <c r="AF111" t="s">
        <v>222</v>
      </c>
      <c r="AG111">
        <v>70</v>
      </c>
      <c r="AH111" s="83">
        <f>RANK(TableOverallMaster[[#This Row],[VORP]],TableOverallMaster[VORP])+COUNTIF($AM$2:AM111,AM111)-1</f>
        <v>221</v>
      </c>
      <c r="AI111" s="115" t="str">
        <f>IFERROR(INDEX(TableRBVORP[RUNNING BACK],MATCH(TableOverallMaster[[#This Row],[RK]],TableRBVORP[RK],0)),"")</f>
        <v>Chase Edmonds</v>
      </c>
      <c r="AJ111" s="115" t="str">
        <f t="shared" si="1"/>
        <v>RB70</v>
      </c>
      <c r="AK111" s="115">
        <f>IFERROR(INDEX(TableRBVORP[BYE],MATCH(TableOverallMaster[[#This Row],[RK]],TableRBVORP[RK],0)),"")</f>
        <v>5</v>
      </c>
      <c r="AL111" s="116">
        <f>IFERROR(INDEX(TableRBVORP[FPS],MATCH(TableOverallMaster[[#This Row],[RK]],TableRBVORP[RK],0)),"")</f>
        <v>58.608012904245008</v>
      </c>
      <c r="AM111" s="117">
        <f>IFERROR(INDEX(TableRBVORP[VORP],MATCH(TableOverallMaster[[#This Row],[RK]],TableRBVORP[RK],0)),"")</f>
        <v>-0.48004780015614446</v>
      </c>
      <c r="AO111">
        <v>110</v>
      </c>
      <c r="AP111" s="118" t="str">
        <f>IFERROR(INDEX(TableOverallMaster[OVERALL PLAYER],MATCH(TableOverallRank[[#This Row],[RK]],TableOverallMaster[OVR RK],0)),"")</f>
        <v>Jaxon Smith-Njigba</v>
      </c>
      <c r="AQ111" s="119" t="str">
        <f>IFERROR(INDEX(TableOverallMaster[POS RK],MATCH(TableOverallRank[[#This Row],[OVERALL PLAYER]],TableOverallMaster[OVERALL PLAYER],0)),"")</f>
        <v>WR46</v>
      </c>
      <c r="AR111" s="120">
        <f>IFERROR(INDEX(TableOverallMaster[BYE],MATCH(TableOverallRank[[#This Row],[OVERALL PLAYER]],TableOverallMaster[OVERALL PLAYER],0)),"")</f>
        <v>5</v>
      </c>
      <c r="AS111" s="119">
        <f>IFERROR(INDEX(TableOverallMaster[Custom],MATCH(TableOverallRank[[#This Row],[OVERALL PLAYER]],TableOverallMaster[OVERALL PLAYER],0)),"")</f>
        <v>159.726471459072</v>
      </c>
      <c r="AT111" s="121">
        <f>IFERROR(INDEX(TableOverallMaster[VORP],MATCH(TableOverallRank[[#This Row],[OVERALL PLAYER]],TableOverallMaster[OVERALL PLAYER],0)),"")</f>
        <v>0.10611855796764751</v>
      </c>
      <c r="AV111">
        <v>110</v>
      </c>
      <c r="AW111" s="122" t="str">
        <f>IFERROR(INDEX(TableWRTECalcPts[PLAYER],MATCH(TableWRTERank[[#This Row],[RK]],TableWRTECalcPts[RK],0)),"")</f>
        <v>Elijah Moore</v>
      </c>
      <c r="AX111" s="122" t="str">
        <f>IFERROR(INDEX(TableWRTECalcPts[POS RK],MATCH(TableWRTERank[[#This Row],[WR and TE COMBINED]],TableWRTECalcPts[PLAYER],0)),"")</f>
        <v>WR85</v>
      </c>
      <c r="AY111" s="122">
        <f>IFERROR(INDEX(TableWRTECalcPts[BYE],MATCH(TableWRTERank[[#This Row],[RK]],TableWRTECalcPts[RK],0)),"")</f>
        <v>5</v>
      </c>
      <c r="AZ111" s="123">
        <f>IFERROR(INDEX(TableWRTECalcPts[Custom],MATCH(TableWRTERank[[#This Row],[RK]],TableWRTECalcPts[RK],0)),"")</f>
        <v>84.639138333749997</v>
      </c>
      <c r="BA111" s="174">
        <f>IFERROR((TableWRTERank[[#This Row],[FPS]]-INDEX(TableWRTERank[FPS],MATCH(WRTEVORPCalc,TableWRTERank[RK],0)))/INDEX(TableWRTERank[FPS],MATCH(WRTEVORPCalc,TableWRTERank[RK],0)),"")</f>
        <v>-0.43303843841804651</v>
      </c>
      <c r="BC111" t="s">
        <v>223</v>
      </c>
      <c r="BD111">
        <v>110</v>
      </c>
      <c r="BE111" s="83">
        <f>RANK(TableWRTEMaster[[#This Row],[VORP]],TableWRTEMaster[VORP])+COUNTIF($BJ$2:BJ111,BJ111)-1</f>
        <v>156</v>
      </c>
      <c r="BF111" s="115" t="str">
        <f>IFERROR(INDEX(TableWRVORP[WIDE RECEIVER],MATCH(TableWRTEMaster[[#This Row],[RK]],TableWRVORP[RK],0)),"")</f>
        <v>Justin Watson</v>
      </c>
      <c r="BG111" s="115" t="str">
        <f>_xlfn.CONCAT(TableWRTEMaster[[#This Row],[POS]],TableWRTEMaster[[#This Row],[RK]])</f>
        <v>WR110</v>
      </c>
      <c r="BH111" s="115">
        <f>IFERROR(INDEX(TableWRVORP[BYE],MATCH(TableWRTEMaster[[#This Row],[RK]],TableWRVORP[RK],0)),"")</f>
        <v>10</v>
      </c>
      <c r="BI111" s="116">
        <f>IFERROR(INDEX(TableWRVORP[FPS],MATCH(TableWRTEMaster[[#This Row],[RK]],TableWRVORP[RK],0)),"")</f>
        <v>37.446326628479994</v>
      </c>
      <c r="BJ111" s="117">
        <f>IFERROR(INDEX(TableWRVORP[VORP],MATCH(TableWRTEMaster[[#This Row],[RK]],TableWRVORP[RK],0)),"")</f>
        <v>-0.74068120059802856</v>
      </c>
    </row>
    <row r="112" spans="1:62" x14ac:dyDescent="0.2">
      <c r="H112">
        <v>111</v>
      </c>
      <c r="I112" s="112" t="str">
        <f>IFERROR(INDEX(TableRBCalcPts[PLAYER],MATCH(TableRBVORP[[#This Row],[RK]],TableRBCalcPts[RK],0)),"")</f>
        <v/>
      </c>
      <c r="J112" s="112" t="str">
        <f>IFERROR(INDEX(TableRBCalcPts[TM],MATCH(TableRBVORP[[#This Row],[RK]],TableRBCalcPts[RK],0)),"")</f>
        <v/>
      </c>
      <c r="K112" s="112" t="str">
        <f>IFERROR(INDEX(TableRBCalcPts[BYE],MATCH(TableRBVORP[[#This Row],[RK]],TableRBCalcPts[RK],0)),"")</f>
        <v/>
      </c>
      <c r="L112" s="113" t="str">
        <f>IFERROR(INDEX(TableRBCalcPts[Custom],MATCH(TableRBVORP[[#This Row],[RK]],TableRBCalcPts[RK],0)),"")</f>
        <v/>
      </c>
      <c r="M112" s="114" t="str">
        <f>IFERROR((TableRBVORP[[#This Row],[FPS]]-INDEX(TableRBVORP[FPS],MATCH(RBVORPCalc,TableRBVORP[RK],0)))/INDEX(TableRBVORP[FPS],MATCH(RBVORPCalc,TableRBVORP[RK],0)),"")</f>
        <v/>
      </c>
      <c r="O112">
        <v>111</v>
      </c>
      <c r="P112" s="112" t="str">
        <f>IFERROR(INDEX(TableWRCalcPts[PLAYER],MATCH(TableWRVORP[[#This Row],[RK]],TableWRCalcPts[RK],0)),"")</f>
        <v>Derius Davis</v>
      </c>
      <c r="Q112" s="112" t="str">
        <f>IFERROR(INDEX(TableWRCalcPts[TM],MATCH(TableWRVORP[[#This Row],[RK]],TableWRCalcPts[RK],0)),"")</f>
        <v>LAC</v>
      </c>
      <c r="R112" s="112">
        <f>IFERROR(INDEX(TableWRCalcPts[BYE],MATCH(TableWRVORP[[#This Row],[RK]],TableWRCalcPts[RK],0)),"")</f>
        <v>5</v>
      </c>
      <c r="S112" s="113">
        <f>IFERROR(INDEX(TableWRCalcPts[Custom],MATCH(TableWRVORP[[#This Row],[RK]],TableWRCalcPts[RK],0)),"")</f>
        <v>37.035053368172989</v>
      </c>
      <c r="T112" s="114">
        <f>IFERROR((TableWRVORP[[#This Row],[FPS]]-INDEX(TableWRVORP[FPS],MATCH(WRVORPCalc,TableWRVORP[RK],0)))/INDEX(TableWRVORP[FPS],MATCH(WRVORPCalc,TableWRVORP[RK],0)),"")</f>
        <v>-0.74352930073738466</v>
      </c>
      <c r="AF112" t="s">
        <v>222</v>
      </c>
      <c r="AG112">
        <v>71</v>
      </c>
      <c r="AH112" s="83">
        <f>RANK(TableOverallMaster[[#This Row],[VORP]],TableOverallMaster[VORP])+COUNTIF($AM$2:AM112,AM112)-1</f>
        <v>223</v>
      </c>
      <c r="AI112" s="115" t="str">
        <f>IFERROR(INDEX(TableRBVORP[RUNNING BACK],MATCH(TableOverallMaster[[#This Row],[RK]],TableRBVORP[RK],0)),"")</f>
        <v>Kimani Vidal</v>
      </c>
      <c r="AJ112" s="115" t="str">
        <f t="shared" si="1"/>
        <v>RB71</v>
      </c>
      <c r="AK112" s="115">
        <f>IFERROR(INDEX(TableRBVORP[BYE],MATCH(TableOverallMaster[[#This Row],[RK]],TableRBVORP[RK],0)),"")</f>
        <v>5</v>
      </c>
      <c r="AL112" s="116">
        <f>IFERROR(INDEX(TableRBVORP[FPS],MATCH(TableOverallMaster[[#This Row],[RK]],TableRBVORP[RK],0)),"")</f>
        <v>57.720941137439993</v>
      </c>
      <c r="AM112" s="117">
        <f>IFERROR(INDEX(TableRBVORP[VORP],MATCH(TableOverallMaster[[#This Row],[RK]],TableRBVORP[RK],0)),"")</f>
        <v>-0.48791762705717279</v>
      </c>
      <c r="AO112">
        <v>111</v>
      </c>
      <c r="AP112" s="118" t="str">
        <f>IFERROR(INDEX(TableOverallMaster[OVERALL PLAYER],MATCH(TableOverallRank[[#This Row],[RK]],TableOverallMaster[OVR RK],0)),"")</f>
        <v>Aaron Rodgers</v>
      </c>
      <c r="AQ112" s="119" t="str">
        <f>IFERROR(INDEX(TableOverallMaster[POS RK],MATCH(TableOverallRank[[#This Row],[OVERALL PLAYER]],TableOverallMaster[OVERALL PLAYER],0)),"")</f>
        <v>QB18</v>
      </c>
      <c r="AR112" s="120">
        <f>IFERROR(INDEX(TableOverallMaster[BYE],MATCH(TableOverallRank[[#This Row],[OVERALL PLAYER]],TableOverallMaster[OVERALL PLAYER],0)),"")</f>
        <v>7</v>
      </c>
      <c r="AS112" s="119">
        <f>IFERROR(INDEX(TableOverallMaster[Custom],MATCH(TableOverallRank[[#This Row],[OVERALL PLAYER]],TableOverallMaster[OVERALL PLAYER],0)),"")</f>
        <v>299.34462933983997</v>
      </c>
      <c r="AT112" s="121">
        <f>IFERROR(INDEX(TableOverallMaster[VORP],MATCH(TableOverallRank[[#This Row],[OVERALL PLAYER]],TableOverallMaster[OVERALL PLAYER],0)),"")</f>
        <v>0.10544144898038862</v>
      </c>
      <c r="AV112">
        <v>111</v>
      </c>
      <c r="AW112" s="122" t="str">
        <f>IFERROR(INDEX(TableWRTECalcPts[PLAYER],MATCH(TableWRTERank[[#This Row],[RK]],TableWRTECalcPts[RK],0)),"")</f>
        <v>Jalen Tolbert</v>
      </c>
      <c r="AX112" s="122" t="str">
        <f>IFERROR(INDEX(TableWRTECalcPts[POS RK],MATCH(TableWRTERank[[#This Row],[WR and TE COMBINED]],TableWRTECalcPts[PLAYER],0)),"")</f>
        <v>WR86</v>
      </c>
      <c r="AY112" s="122">
        <f>IFERROR(INDEX(TableWRTECalcPts[BYE],MATCH(TableWRTERank[[#This Row],[RK]],TableWRTECalcPts[RK],0)),"")</f>
        <v>7</v>
      </c>
      <c r="AZ112" s="123">
        <f>IFERROR(INDEX(TableWRTECalcPts[Custom],MATCH(TableWRTERank[[#This Row],[RK]],TableWRTECalcPts[RK],0)),"")</f>
        <v>84.097540023587982</v>
      </c>
      <c r="BA112" s="174">
        <f>IFERROR((TableWRTERank[[#This Row],[FPS]]-INDEX(TableWRTERank[FPS],MATCH(WRTEVORPCalc,TableWRTERank[RK],0)))/INDEX(TableWRTERank[FPS],MATCH(WRTEVORPCalc,TableWRTERank[RK],0)),"")</f>
        <v>-0.43666637496991423</v>
      </c>
      <c r="BC112" t="s">
        <v>223</v>
      </c>
      <c r="BD112">
        <v>111</v>
      </c>
      <c r="BE112" s="83">
        <f>RANK(TableWRTEMaster[[#This Row],[VORP]],TableWRTEMaster[VORP])+COUNTIF($BJ$2:BJ112,BJ112)-1</f>
        <v>157</v>
      </c>
      <c r="BF112" s="115" t="str">
        <f>IFERROR(INDEX(TableWRVORP[WIDE RECEIVER],MATCH(TableWRTEMaster[[#This Row],[RK]],TableWRVORP[RK],0)),"")</f>
        <v>Derius Davis</v>
      </c>
      <c r="BG112" s="115" t="str">
        <f>_xlfn.CONCAT(TableWRTEMaster[[#This Row],[POS]],TableWRTEMaster[[#This Row],[RK]])</f>
        <v>WR111</v>
      </c>
      <c r="BH112" s="115">
        <f>IFERROR(INDEX(TableWRVORP[BYE],MATCH(TableWRTEMaster[[#This Row],[RK]],TableWRVORP[RK],0)),"")</f>
        <v>5</v>
      </c>
      <c r="BI112" s="116">
        <f>IFERROR(INDEX(TableWRVORP[FPS],MATCH(TableWRTEMaster[[#This Row],[RK]],TableWRVORP[RK],0)),"")</f>
        <v>37.035053368172989</v>
      </c>
      <c r="BJ112" s="117">
        <f>IFERROR(INDEX(TableWRVORP[VORP],MATCH(TableWRTEMaster[[#This Row],[RK]],TableWRVORP[RK],0)),"")</f>
        <v>-0.74352930073738466</v>
      </c>
    </row>
    <row r="113" spans="8:62" x14ac:dyDescent="0.2">
      <c r="H113">
        <v>112</v>
      </c>
      <c r="I113" s="112" t="str">
        <f>IFERROR(INDEX(TableRBCalcPts[PLAYER],MATCH(TableRBVORP[[#This Row],[RK]],TableRBCalcPts[RK],0)),"")</f>
        <v/>
      </c>
      <c r="J113" s="112" t="str">
        <f>IFERROR(INDEX(TableRBCalcPts[TM],MATCH(TableRBVORP[[#This Row],[RK]],TableRBCalcPts[RK],0)),"")</f>
        <v/>
      </c>
      <c r="K113" s="112" t="str">
        <f>IFERROR(INDEX(TableRBCalcPts[BYE],MATCH(TableRBVORP[[#This Row],[RK]],TableRBCalcPts[RK],0)),"")</f>
        <v/>
      </c>
      <c r="L113" s="113" t="str">
        <f>IFERROR(INDEX(TableRBCalcPts[Custom],MATCH(TableRBVORP[[#This Row],[RK]],TableRBCalcPts[RK],0)),"")</f>
        <v/>
      </c>
      <c r="M113" s="114" t="str">
        <f>IFERROR((TableRBVORP[[#This Row],[FPS]]-INDEX(TableRBVORP[FPS],MATCH(RBVORPCalc,TableRBVORP[RK],0)))/INDEX(TableRBVORP[FPS],MATCH(RBVORPCalc,TableRBVORP[RK],0)),"")</f>
        <v/>
      </c>
      <c r="O113">
        <v>112</v>
      </c>
      <c r="P113" s="112" t="str">
        <f>IFERROR(INDEX(TableWRCalcPts[PLAYER],MATCH(TableWRVORP[[#This Row],[RK]],TableWRCalcPts[RK],0)),"")</f>
        <v>Jalin Hyatt</v>
      </c>
      <c r="Q113" s="112" t="str">
        <f>IFERROR(INDEX(TableWRCalcPts[TM],MATCH(TableWRVORP[[#This Row],[RK]],TableWRCalcPts[RK],0)),"")</f>
        <v>NYG</v>
      </c>
      <c r="R113" s="112">
        <f>IFERROR(INDEX(TableWRCalcPts[BYE],MATCH(TableWRVORP[[#This Row],[RK]],TableWRCalcPts[RK],0)),"")</f>
        <v>13</v>
      </c>
      <c r="S113" s="113">
        <f>IFERROR(INDEX(TableWRCalcPts[Custom],MATCH(TableWRVORP[[#This Row],[RK]],TableWRCalcPts[RK],0)),"")</f>
        <v>36.976249981439992</v>
      </c>
      <c r="T113" s="114">
        <f>IFERROR((TableWRVORP[[#This Row],[FPS]]-INDEX(TableWRVORP[FPS],MATCH(WRVORPCalc,TableWRVORP[RK],0)))/INDEX(TableWRVORP[FPS],MATCH(WRVORPCalc,TableWRVORP[RK],0)),"")</f>
        <v>-0.74393651888189483</v>
      </c>
      <c r="AF113" t="s">
        <v>222</v>
      </c>
      <c r="AG113">
        <v>72</v>
      </c>
      <c r="AH113" s="83">
        <f>RANK(TableOverallMaster[[#This Row],[VORP]],TableOverallMaster[VORP])+COUNTIF($AM$2:AM113,AM113)-1</f>
        <v>225</v>
      </c>
      <c r="AI113" s="115" t="str">
        <f>IFERROR(INDEX(TableRBVORP[RUNNING BACK],MATCH(TableOverallMaster[[#This Row],[RK]],TableRBVORP[RK],0)),"")</f>
        <v>Rasheen Ali</v>
      </c>
      <c r="AJ113" s="115" t="str">
        <f t="shared" si="1"/>
        <v>RB72</v>
      </c>
      <c r="AK113" s="115">
        <f>IFERROR(INDEX(TableRBVORP[BYE],MATCH(TableOverallMaster[[#This Row],[RK]],TableRBVORP[RK],0)),"")</f>
        <v>13</v>
      </c>
      <c r="AL113" s="116">
        <f>IFERROR(INDEX(TableRBVORP[FPS],MATCH(TableOverallMaster[[#This Row],[RK]],TableRBVORP[RK],0)),"")</f>
        <v>56.086905436799995</v>
      </c>
      <c r="AM113" s="117">
        <f>IFERROR(INDEX(TableRBVORP[VORP],MATCH(TableOverallMaster[[#This Row],[RK]],TableRBVORP[RK],0)),"")</f>
        <v>-0.50241428741246053</v>
      </c>
      <c r="AO113">
        <v>112</v>
      </c>
      <c r="AP113" s="118" t="str">
        <f>IFERROR(INDEX(TableOverallMaster[OVERALL PLAYER],MATCH(TableOverallRank[[#This Row],[RK]],TableOverallMaster[OVR RK],0)),"")</f>
        <v>Xavier Worthy</v>
      </c>
      <c r="AQ113" s="119" t="str">
        <f>IFERROR(INDEX(TableOverallMaster[POS RK],MATCH(TableOverallRank[[#This Row],[OVERALL PLAYER]],TableOverallMaster[OVERALL PLAYER],0)),"")</f>
        <v>WR47</v>
      </c>
      <c r="AR113" s="120">
        <f>IFERROR(INDEX(TableOverallMaster[BYE],MATCH(TableOverallRank[[#This Row],[OVERALL PLAYER]],TableOverallMaster[OVERALL PLAYER],0)),"")</f>
        <v>10</v>
      </c>
      <c r="AS113" s="119">
        <f>IFERROR(INDEX(TableOverallMaster[Custom],MATCH(TableOverallRank[[#This Row],[OVERALL PLAYER]],TableOverallMaster[OVERALL PLAYER],0)),"")</f>
        <v>159.24169963519995</v>
      </c>
      <c r="AT113" s="121">
        <f>IFERROR(INDEX(TableOverallMaster[VORP],MATCH(TableOverallRank[[#This Row],[OVERALL PLAYER]],TableOverallMaster[OVERALL PLAYER],0)),"")</f>
        <v>0.10276147441182565</v>
      </c>
      <c r="AV113">
        <v>112</v>
      </c>
      <c r="AW113" s="122" t="str">
        <f>IFERROR(INDEX(TableWRTECalcPts[PLAYER],MATCH(TableWRTERank[[#This Row],[RK]],TableWRTECalcPts[RK],0)),"")</f>
        <v>Andrei Iosivas</v>
      </c>
      <c r="AX113" s="122" t="str">
        <f>IFERROR(INDEX(TableWRTECalcPts[POS RK],MATCH(TableWRTERank[[#This Row],[WR and TE COMBINED]],TableWRTECalcPts[PLAYER],0)),"")</f>
        <v>WR87</v>
      </c>
      <c r="AY113" s="122">
        <f>IFERROR(INDEX(TableWRTECalcPts[BYE],MATCH(TableWRTERank[[#This Row],[RK]],TableWRTECalcPts[RK],0)),"")</f>
        <v>7</v>
      </c>
      <c r="AZ113" s="123">
        <f>IFERROR(INDEX(TableWRTECalcPts[Custom],MATCH(TableWRTERank[[#This Row],[RK]],TableWRTECalcPts[RK],0)),"")</f>
        <v>83.809426032359994</v>
      </c>
      <c r="BA113" s="174">
        <f>IFERROR((TableWRTERank[[#This Row],[FPS]]-INDEX(TableWRTERank[FPS],MATCH(WRTEVORPCalc,TableWRTERank[RK],0)))/INDEX(TableWRTERank[FPS],MATCH(WRTEVORPCalc,TableWRTERank[RK],0)),"")</f>
        <v>-0.43859632796324588</v>
      </c>
      <c r="BC113" t="s">
        <v>223</v>
      </c>
      <c r="BD113">
        <v>112</v>
      </c>
      <c r="BE113" s="83">
        <f>RANK(TableWRTEMaster[[#This Row],[VORP]],TableWRTEMaster[VORP])+COUNTIF($BJ$2:BJ113,BJ113)-1</f>
        <v>158</v>
      </c>
      <c r="BF113" s="115" t="str">
        <f>IFERROR(INDEX(TableWRVORP[WIDE RECEIVER],MATCH(TableWRTEMaster[[#This Row],[RK]],TableWRVORP[RK],0)),"")</f>
        <v>Jalin Hyatt</v>
      </c>
      <c r="BG113" s="115" t="str">
        <f>_xlfn.CONCAT(TableWRTEMaster[[#This Row],[POS]],TableWRTEMaster[[#This Row],[RK]])</f>
        <v>WR112</v>
      </c>
      <c r="BH113" s="115">
        <f>IFERROR(INDEX(TableWRVORP[BYE],MATCH(TableWRTEMaster[[#This Row],[RK]],TableWRVORP[RK],0)),"")</f>
        <v>13</v>
      </c>
      <c r="BI113" s="116">
        <f>IFERROR(INDEX(TableWRVORP[FPS],MATCH(TableWRTEMaster[[#This Row],[RK]],TableWRVORP[RK],0)),"")</f>
        <v>36.976249981439992</v>
      </c>
      <c r="BJ113" s="117">
        <f>IFERROR(INDEX(TableWRVORP[VORP],MATCH(TableWRTEMaster[[#This Row],[RK]],TableWRVORP[RK],0)),"")</f>
        <v>-0.74393651888189483</v>
      </c>
    </row>
    <row r="114" spans="8:62" x14ac:dyDescent="0.2">
      <c r="H114">
        <v>113</v>
      </c>
      <c r="I114" s="112" t="str">
        <f>IFERROR(INDEX(TableRBCalcPts[PLAYER],MATCH(TableRBVORP[[#This Row],[RK]],TableRBCalcPts[RK],0)),"")</f>
        <v/>
      </c>
      <c r="J114" s="112" t="str">
        <f>IFERROR(INDEX(TableRBCalcPts[TM],MATCH(TableRBVORP[[#This Row],[RK]],TableRBCalcPts[RK],0)),"")</f>
        <v/>
      </c>
      <c r="K114" s="112" t="str">
        <f>IFERROR(INDEX(TableRBCalcPts[BYE],MATCH(TableRBVORP[[#This Row],[RK]],TableRBCalcPts[RK],0)),"")</f>
        <v/>
      </c>
      <c r="L114" s="113" t="str">
        <f>IFERROR(INDEX(TableRBCalcPts[Custom],MATCH(TableRBVORP[[#This Row],[RK]],TableRBCalcPts[RK],0)),"")</f>
        <v/>
      </c>
      <c r="M114" s="114" t="str">
        <f>IFERROR((TableRBVORP[[#This Row],[FPS]]-INDEX(TableRBVORP[FPS],MATCH(RBVORPCalc,TableRBVORP[RK],0)))/INDEX(TableRBVORP[FPS],MATCH(RBVORPCalc,TableRBVORP[RK],0)),"")</f>
        <v/>
      </c>
      <c r="O114">
        <v>113</v>
      </c>
      <c r="P114" s="112" t="str">
        <f>IFERROR(INDEX(TableWRCalcPts[PLAYER],MATCH(TableWRVORP[[#This Row],[RK]],TableWRCalcPts[RK],0)),"")</f>
        <v>Cornelius Johnson</v>
      </c>
      <c r="Q114" s="112" t="str">
        <f>IFERROR(INDEX(TableWRCalcPts[TM],MATCH(TableWRVORP[[#This Row],[RK]],TableWRCalcPts[RK],0)),"")</f>
        <v>LAC</v>
      </c>
      <c r="R114" s="112">
        <f>IFERROR(INDEX(TableWRCalcPts[BYE],MATCH(TableWRVORP[[#This Row],[RK]],TableWRCalcPts[RK],0)),"")</f>
        <v>5</v>
      </c>
      <c r="S114" s="113">
        <f>IFERROR(INDEX(TableWRCalcPts[Custom],MATCH(TableWRVORP[[#This Row],[RK]],TableWRCalcPts[RK],0)),"")</f>
        <v>36.689399458739992</v>
      </c>
      <c r="T114" s="114">
        <f>IFERROR((TableWRVORP[[#This Row],[FPS]]-INDEX(TableWRVORP[FPS],MATCH(WRVORPCalc,TableWRVORP[RK],0)))/INDEX(TableWRVORP[FPS],MATCH(WRVORPCalc,TableWRVORP[RK],0)),"")</f>
        <v>-0.74592298163677073</v>
      </c>
      <c r="AF114" t="s">
        <v>222</v>
      </c>
      <c r="AG114">
        <v>73</v>
      </c>
      <c r="AH114" s="83">
        <f>RANK(TableOverallMaster[[#This Row],[VORP]],TableOverallMaster[VORP])+COUNTIF($AM$2:AM114,AM114)-1</f>
        <v>234</v>
      </c>
      <c r="AI114" s="115" t="str">
        <f>IFERROR(INDEX(TableRBVORP[RUNNING BACK],MATCH(TableOverallMaster[[#This Row],[RK]],TableRBVORP[RK],0)),"")</f>
        <v>D'Onta Foreman</v>
      </c>
      <c r="AJ114" s="115" t="str">
        <f t="shared" si="1"/>
        <v>RB73</v>
      </c>
      <c r="AK114" s="115">
        <f>IFERROR(INDEX(TableRBVORP[BYE],MATCH(TableOverallMaster[[#This Row],[RK]],TableRBVORP[RK],0)),"")</f>
        <v>5</v>
      </c>
      <c r="AL114" s="116">
        <f>IFERROR(INDEX(TableRBVORP[FPS],MATCH(TableOverallMaster[[#This Row],[RK]],TableRBVORP[RK],0)),"")</f>
        <v>49.677862080000004</v>
      </c>
      <c r="AM114" s="117">
        <f>IFERROR(INDEX(TableRBVORP[VORP],MATCH(TableOverallMaster[[#This Row],[RK]],TableRBVORP[RK],0)),"")</f>
        <v>-0.55927334178284749</v>
      </c>
      <c r="AO114">
        <v>113</v>
      </c>
      <c r="AP114" s="118" t="str">
        <f>IFERROR(INDEX(TableOverallMaster[OVERALL PLAYER],MATCH(TableOverallRank[[#This Row],[RK]],TableOverallMaster[OVR RK],0)),"")</f>
        <v>Evan Engram</v>
      </c>
      <c r="AQ114" s="119" t="str">
        <f>IFERROR(INDEX(TableOverallMaster[POS RK],MATCH(TableOverallRank[[#This Row],[OVERALL PLAYER]],TableOverallMaster[OVERALL PLAYER],0)),"")</f>
        <v>TE10</v>
      </c>
      <c r="AR114" s="120">
        <f>IFERROR(INDEX(TableOverallMaster[BYE],MATCH(TableOverallRank[[#This Row],[OVERALL PLAYER]],TableOverallMaster[OVERALL PLAYER],0)),"")</f>
        <v>9</v>
      </c>
      <c r="AS114" s="119">
        <f>IFERROR(INDEX(TableOverallMaster[Custom],MATCH(TableOverallRank[[#This Row],[OVERALL PLAYER]],TableOverallMaster[OVERALL PLAYER],0)),"")</f>
        <v>142.99224053587196</v>
      </c>
      <c r="AT114" s="121">
        <f>IFERROR(INDEX(TableOverallMaster[VORP],MATCH(TableOverallRank[[#This Row],[OVERALL PLAYER]],TableOverallMaster[OVERALL PLAYER],0)),"")</f>
        <v>8.8696812182172735E-2</v>
      </c>
      <c r="AV114">
        <v>113</v>
      </c>
      <c r="AW114" s="122" t="str">
        <f>IFERROR(INDEX(TableWRTECalcPts[PLAYER],MATCH(TableWRTERank[[#This Row],[RK]],TableWRTECalcPts[RK],0)),"")</f>
        <v>Luke McCaffrey</v>
      </c>
      <c r="AX114" s="122" t="str">
        <f>IFERROR(INDEX(TableWRTECalcPts[POS RK],MATCH(TableWRTERank[[#This Row],[WR and TE COMBINED]],TableWRTECalcPts[PLAYER],0)),"")</f>
        <v>WR88</v>
      </c>
      <c r="AY114" s="122">
        <f>IFERROR(INDEX(TableWRTECalcPts[BYE],MATCH(TableWRTERank[[#This Row],[RK]],TableWRTECalcPts[RK],0)),"")</f>
        <v>14</v>
      </c>
      <c r="AZ114" s="123">
        <f>IFERROR(INDEX(TableWRTECalcPts[Custom],MATCH(TableWRTERank[[#This Row],[RK]],TableWRTECalcPts[RK],0)),"")</f>
        <v>82.713069507515968</v>
      </c>
      <c r="BA114" s="174">
        <f>IFERROR((TableWRTERank[[#This Row],[FPS]]-INDEX(TableWRTERank[FPS],MATCH(WRTEVORPCalc,TableWRTERank[RK],0)))/INDEX(TableWRTERank[FPS],MATCH(WRTEVORPCalc,TableWRTERank[RK],0)),"")</f>
        <v>-0.44594035366593043</v>
      </c>
      <c r="BC114" t="s">
        <v>223</v>
      </c>
      <c r="BD114">
        <v>113</v>
      </c>
      <c r="BE114" s="83">
        <f>RANK(TableWRTEMaster[[#This Row],[VORP]],TableWRTEMaster[VORP])+COUNTIF($BJ$2:BJ114,BJ114)-1</f>
        <v>159</v>
      </c>
      <c r="BF114" s="115" t="str">
        <f>IFERROR(INDEX(TableWRVORP[WIDE RECEIVER],MATCH(TableWRTEMaster[[#This Row],[RK]],TableWRVORP[RK],0)),"")</f>
        <v>Cornelius Johnson</v>
      </c>
      <c r="BG114" s="115" t="str">
        <f>_xlfn.CONCAT(TableWRTEMaster[[#This Row],[POS]],TableWRTEMaster[[#This Row],[RK]])</f>
        <v>WR113</v>
      </c>
      <c r="BH114" s="115">
        <f>IFERROR(INDEX(TableWRVORP[BYE],MATCH(TableWRTEMaster[[#This Row],[RK]],TableWRVORP[RK],0)),"")</f>
        <v>5</v>
      </c>
      <c r="BI114" s="116">
        <f>IFERROR(INDEX(TableWRVORP[FPS],MATCH(TableWRTEMaster[[#This Row],[RK]],TableWRVORP[RK],0)),"")</f>
        <v>36.689399458739992</v>
      </c>
      <c r="BJ114" s="117">
        <f>IFERROR(INDEX(TableWRVORP[VORP],MATCH(TableWRTEMaster[[#This Row],[RK]],TableWRVORP[RK],0)),"")</f>
        <v>-0.74592298163677073</v>
      </c>
    </row>
    <row r="115" spans="8:62" x14ac:dyDescent="0.2">
      <c r="H115">
        <v>114</v>
      </c>
      <c r="I115" s="112" t="str">
        <f>IFERROR(INDEX(TableRBCalcPts[PLAYER],MATCH(TableRBVORP[[#This Row],[RK]],TableRBCalcPts[RK],0)),"")</f>
        <v/>
      </c>
      <c r="J115" s="112" t="str">
        <f>IFERROR(INDEX(TableRBCalcPts[TM],MATCH(TableRBVORP[[#This Row],[RK]],TableRBCalcPts[RK],0)),"")</f>
        <v/>
      </c>
      <c r="K115" s="112" t="str">
        <f>IFERROR(INDEX(TableRBCalcPts[BYE],MATCH(TableRBVORP[[#This Row],[RK]],TableRBCalcPts[RK],0)),"")</f>
        <v/>
      </c>
      <c r="L115" s="113" t="str">
        <f>IFERROR(INDEX(TableRBCalcPts[Custom],MATCH(TableRBVORP[[#This Row],[RK]],TableRBCalcPts[RK],0)),"")</f>
        <v/>
      </c>
      <c r="M115" s="114" t="str">
        <f>IFERROR((TableRBVORP[[#This Row],[FPS]]-INDEX(TableRBVORP[FPS],MATCH(RBVORPCalc,TableRBVORP[RK],0)))/INDEX(TableRBVORP[FPS],MATCH(RBVORPCalc,TableRBVORP[RK],0)),"")</f>
        <v/>
      </c>
      <c r="O115">
        <v>114</v>
      </c>
      <c r="P115" s="112" t="str">
        <f>IFERROR(INDEX(TableWRCalcPts[PLAYER],MATCH(TableWRVORP[[#This Row],[RK]],TableWRCalcPts[RK],0)),"")</f>
        <v>Javon Baker</v>
      </c>
      <c r="Q115" s="112" t="str">
        <f>IFERROR(INDEX(TableWRCalcPts[TM],MATCH(TableWRVORP[[#This Row],[RK]],TableWRCalcPts[RK],0)),"")</f>
        <v>NE</v>
      </c>
      <c r="R115" s="112">
        <f>IFERROR(INDEX(TableWRCalcPts[BYE],MATCH(TableWRVORP[[#This Row],[RK]],TableWRCalcPts[RK],0)),"")</f>
        <v>11</v>
      </c>
      <c r="S115" s="113">
        <f>IFERROR(INDEX(TableWRCalcPts[Custom],MATCH(TableWRVORP[[#This Row],[RK]],TableWRCalcPts[RK],0)),"")</f>
        <v>36.585038966111988</v>
      </c>
      <c r="T115" s="114">
        <f>IFERROR((TableWRVORP[[#This Row],[FPS]]-INDEX(TableWRVORP[FPS],MATCH(WRVORPCalc,TableWRVORP[RK],0)))/INDEX(TableWRVORP[FPS],MATCH(WRVORPCalc,TableWRVORP[RK],0)),"")</f>
        <v>-0.74664568637418827</v>
      </c>
      <c r="AF115" t="s">
        <v>222</v>
      </c>
      <c r="AG115">
        <v>74</v>
      </c>
      <c r="AH115" s="83">
        <f>RANK(TableOverallMaster[[#This Row],[VORP]],TableOverallMaster[VORP])+COUNTIF($AM$2:AM115,AM115)-1</f>
        <v>244</v>
      </c>
      <c r="AI115" s="115" t="str">
        <f>IFERROR(INDEX(TableRBVORP[RUNNING BACK],MATCH(TableOverallMaster[[#This Row],[RK]],TableRBVORP[RK],0)),"")</f>
        <v>Jamaal Williams</v>
      </c>
      <c r="AJ115" s="115" t="str">
        <f t="shared" si="1"/>
        <v>RB74</v>
      </c>
      <c r="AK115" s="115">
        <f>IFERROR(INDEX(TableRBVORP[BYE],MATCH(TableOverallMaster[[#This Row],[RK]],TableRBVORP[RK],0)),"")</f>
        <v>11</v>
      </c>
      <c r="AL115" s="116">
        <f>IFERROR(INDEX(TableRBVORP[FPS],MATCH(TableOverallMaster[[#This Row],[RK]],TableRBVORP[RK],0)),"")</f>
        <v>47.008275267918272</v>
      </c>
      <c r="AM115" s="117">
        <f>IFERROR(INDEX(TableRBVORP[VORP],MATCH(TableOverallMaster[[#This Row],[RK]],TableRBVORP[RK],0)),"")</f>
        <v>-0.58295709195338952</v>
      </c>
      <c r="AO115">
        <v>114</v>
      </c>
      <c r="AP115" s="118" t="str">
        <f>IFERROR(INDEX(TableOverallMaster[OVERALL PLAYER],MATCH(TableOverallRank[[#This Row],[RK]],TableOverallMaster[OVR RK],0)),"")</f>
        <v>Diontae Johnson</v>
      </c>
      <c r="AQ115" s="119" t="str">
        <f>IFERROR(INDEX(TableOverallMaster[POS RK],MATCH(TableOverallRank[[#This Row],[OVERALL PLAYER]],TableOverallMaster[OVERALL PLAYER],0)),"")</f>
        <v>WR48</v>
      </c>
      <c r="AR115" s="120">
        <f>IFERROR(INDEX(TableOverallMaster[BYE],MATCH(TableOverallRank[[#This Row],[OVERALL PLAYER]],TableOverallMaster[OVERALL PLAYER],0)),"")</f>
        <v>7</v>
      </c>
      <c r="AS115" s="119">
        <f>IFERROR(INDEX(TableOverallMaster[Custom],MATCH(TableOverallRank[[#This Row],[OVERALL PLAYER]],TableOverallMaster[OVERALL PLAYER],0)),"")</f>
        <v>157.09497063649198</v>
      </c>
      <c r="AT115" s="121">
        <f>IFERROR(INDEX(TableOverallMaster[VORP],MATCH(TableOverallRank[[#This Row],[OVERALL PLAYER]],TableOverallMaster[OVERALL PLAYER],0)),"")</f>
        <v>8.789520482790987E-2</v>
      </c>
      <c r="AV115">
        <v>114</v>
      </c>
      <c r="AW115" s="122" t="str">
        <f>IFERROR(INDEX(TableWRTECalcPts[PLAYER],MATCH(TableWRTERank[[#This Row],[RK]],TableWRTECalcPts[RK],0)),"")</f>
        <v>Tyler Conklin</v>
      </c>
      <c r="AX115" s="122" t="str">
        <f>IFERROR(INDEX(TableWRTECalcPts[POS RK],MATCH(TableWRTERank[[#This Row],[WR and TE COMBINED]],TableWRTECalcPts[PLAYER],0)),"")</f>
        <v>TE26</v>
      </c>
      <c r="AY115" s="122">
        <f>IFERROR(INDEX(TableWRTECalcPts[BYE],MATCH(TableWRTERank[[#This Row],[RK]],TableWRTECalcPts[RK],0)),"")</f>
        <v>7</v>
      </c>
      <c r="AZ115" s="123">
        <f>IFERROR(INDEX(TableWRTECalcPts[Custom],MATCH(TableWRTERank[[#This Row],[RK]],TableWRTECalcPts[RK],0)),"")</f>
        <v>82.599242709983983</v>
      </c>
      <c r="BA115" s="174">
        <f>IFERROR((TableWRTERank[[#This Row],[FPS]]-INDEX(TableWRTERank[FPS],MATCH(WRTEVORPCalc,TableWRTERank[RK],0)))/INDEX(TableWRTERank[FPS],MATCH(WRTEVORPCalc,TableWRTERank[RK],0)),"")</f>
        <v>-0.44670283093293817</v>
      </c>
      <c r="BC115" t="s">
        <v>223</v>
      </c>
      <c r="BD115">
        <v>114</v>
      </c>
      <c r="BE115" s="83">
        <f>RANK(TableWRTEMaster[[#This Row],[VORP]],TableWRTEMaster[VORP])+COUNTIF($BJ$2:BJ115,BJ115)-1</f>
        <v>160</v>
      </c>
      <c r="BF115" s="115" t="str">
        <f>IFERROR(INDEX(TableWRVORP[WIDE RECEIVER],MATCH(TableWRTEMaster[[#This Row],[RK]],TableWRVORP[RK],0)),"")</f>
        <v>Javon Baker</v>
      </c>
      <c r="BG115" s="115" t="str">
        <f>_xlfn.CONCAT(TableWRTEMaster[[#This Row],[POS]],TableWRTEMaster[[#This Row],[RK]])</f>
        <v>WR114</v>
      </c>
      <c r="BH115" s="115">
        <f>IFERROR(INDEX(TableWRVORP[BYE],MATCH(TableWRTEMaster[[#This Row],[RK]],TableWRVORP[RK],0)),"")</f>
        <v>11</v>
      </c>
      <c r="BI115" s="116">
        <f>IFERROR(INDEX(TableWRVORP[FPS],MATCH(TableWRTEMaster[[#This Row],[RK]],TableWRVORP[RK],0)),"")</f>
        <v>36.585038966111988</v>
      </c>
      <c r="BJ115" s="117">
        <f>IFERROR(INDEX(TableWRVORP[VORP],MATCH(TableWRTEMaster[[#This Row],[RK]],TableWRVORP[RK],0)),"")</f>
        <v>-0.74664568637418827</v>
      </c>
    </row>
    <row r="116" spans="8:62" x14ac:dyDescent="0.2">
      <c r="H116">
        <v>115</v>
      </c>
      <c r="I116" s="112" t="str">
        <f>IFERROR(INDEX(TableRBCalcPts[PLAYER],MATCH(TableRBVORP[[#This Row],[RK]],TableRBCalcPts[RK],0)),"")</f>
        <v/>
      </c>
      <c r="J116" s="112" t="str">
        <f>IFERROR(INDEX(TableRBCalcPts[TM],MATCH(TableRBVORP[[#This Row],[RK]],TableRBCalcPts[RK],0)),"")</f>
        <v/>
      </c>
      <c r="K116" s="112" t="str">
        <f>IFERROR(INDEX(TableRBCalcPts[BYE],MATCH(TableRBVORP[[#This Row],[RK]],TableRBCalcPts[RK],0)),"")</f>
        <v/>
      </c>
      <c r="L116" s="113" t="str">
        <f>IFERROR(INDEX(TableRBCalcPts[Custom],MATCH(TableRBVORP[[#This Row],[RK]],TableRBCalcPts[RK],0)),"")</f>
        <v/>
      </c>
      <c r="M116" s="114" t="str">
        <f>IFERROR((TableRBVORP[[#This Row],[FPS]]-INDEX(TableRBVORP[FPS],MATCH(RBVORPCalc,TableRBVORP[RK],0)))/INDEX(TableRBVORP[FPS],MATCH(RBVORPCalc,TableRBVORP[RK],0)),"")</f>
        <v/>
      </c>
      <c r="O116">
        <v>115</v>
      </c>
      <c r="P116" s="112" t="str">
        <f>IFERROR(INDEX(TableWRCalcPts[PLAYER],MATCH(TableWRVORP[[#This Row],[RK]],TableWRCalcPts[RK],0)),"")</f>
        <v>Mack Hollins</v>
      </c>
      <c r="Q116" s="112" t="str">
        <f>IFERROR(INDEX(TableWRCalcPts[TM],MATCH(TableWRVORP[[#This Row],[RK]],TableWRCalcPts[RK],0)),"")</f>
        <v>BUF</v>
      </c>
      <c r="R116" s="112">
        <f>IFERROR(INDEX(TableWRCalcPts[BYE],MATCH(TableWRVORP[[#This Row],[RK]],TableWRCalcPts[RK],0)),"")</f>
        <v>13</v>
      </c>
      <c r="S116" s="113">
        <f>IFERROR(INDEX(TableWRCalcPts[Custom],MATCH(TableWRVORP[[#This Row],[RK]],TableWRCalcPts[RK],0)),"")</f>
        <v>35.190761181183994</v>
      </c>
      <c r="T116" s="114">
        <f>IFERROR((TableWRVORP[[#This Row],[FPS]]-INDEX(TableWRVORP[FPS],MATCH(WRVORPCalc,TableWRVORP[RK],0)))/INDEX(TableWRVORP[FPS],MATCH(WRVORPCalc,TableWRVORP[RK],0)),"")</f>
        <v>-0.75630117127148067</v>
      </c>
      <c r="AF116" t="s">
        <v>222</v>
      </c>
      <c r="AG116">
        <v>75</v>
      </c>
      <c r="AH116" s="83">
        <f>RANK(TableOverallMaster[[#This Row],[VORP]],TableOverallMaster[VORP])+COUNTIF($AM$2:AM116,AM116)-1</f>
        <v>245</v>
      </c>
      <c r="AI116" s="115" t="str">
        <f>IFERROR(INDEX(TableRBVORP[RUNNING BACK],MATCH(TableOverallMaster[[#This Row],[RK]],TableRBVORP[RK],0)),"")</f>
        <v>AJ Dillon</v>
      </c>
      <c r="AJ116" s="115" t="str">
        <f t="shared" si="1"/>
        <v>RB75</v>
      </c>
      <c r="AK116" s="115">
        <f>IFERROR(INDEX(TableRBVORP[BYE],MATCH(TableOverallMaster[[#This Row],[RK]],TableRBVORP[RK],0)),"")</f>
        <v>6</v>
      </c>
      <c r="AL116" s="116">
        <f>IFERROR(INDEX(TableRBVORP[FPS],MATCH(TableOverallMaster[[#This Row],[RK]],TableRBVORP[RK],0)),"")</f>
        <v>46.699534555968008</v>
      </c>
      <c r="AM116" s="117">
        <f>IFERROR(INDEX(TableRBVORP[VORP],MATCH(TableOverallMaster[[#This Row],[RK]],TableRBVORP[RK],0)),"")</f>
        <v>-0.58569614425025174</v>
      </c>
      <c r="AO116">
        <v>115</v>
      </c>
      <c r="AP116" s="118" t="str">
        <f>IFERROR(INDEX(TableOverallMaster[OVERALL PLAYER],MATCH(TableOverallRank[[#This Row],[RK]],TableOverallMaster[OVR RK],0)),"")</f>
        <v>Rico Dowdle</v>
      </c>
      <c r="AQ116" s="119" t="str">
        <f>IFERROR(INDEX(TableOverallMaster[POS RK],MATCH(TableOverallRank[[#This Row],[OVERALL PLAYER]],TableOverallMaster[OVERALL PLAYER],0)),"")</f>
        <v>RB39</v>
      </c>
      <c r="AR116" s="120">
        <f>IFERROR(INDEX(TableOverallMaster[BYE],MATCH(TableOverallRank[[#This Row],[OVERALL PLAYER]],TableOverallMaster[OVERALL PLAYER],0)),"")</f>
        <v>7</v>
      </c>
      <c r="AS116" s="119">
        <f>IFERROR(INDEX(TableOverallMaster[Custom],MATCH(TableOverallRank[[#This Row],[OVERALL PLAYER]],TableOverallMaster[OVERALL PLAYER],0)),"")</f>
        <v>122.60550555187201</v>
      </c>
      <c r="AT116" s="121">
        <f>IFERROR(INDEX(TableOverallMaster[VORP],MATCH(TableOverallRank[[#This Row],[OVERALL PLAYER]],TableOverallMaster[OVERALL PLAYER],0)),"")</f>
        <v>8.7718200390420095E-2</v>
      </c>
      <c r="AV116">
        <v>115</v>
      </c>
      <c r="AW116" s="122" t="str">
        <f>IFERROR(INDEX(TableWRTECalcPts[PLAYER],MATCH(TableWRTERank[[#This Row],[RK]],TableWRTECalcPts[RK],0)),"")</f>
        <v>Van Jefferson</v>
      </c>
      <c r="AX116" s="122" t="str">
        <f>IFERROR(INDEX(TableWRTECalcPts[POS RK],MATCH(TableWRTERank[[#This Row],[WR and TE COMBINED]],TableWRTECalcPts[PLAYER],0)),"")</f>
        <v>WR89</v>
      </c>
      <c r="AY116" s="122">
        <f>IFERROR(INDEX(TableWRTECalcPts[BYE],MATCH(TableWRTERank[[#This Row],[RK]],TableWRTECalcPts[RK],0)),"")</f>
        <v>6</v>
      </c>
      <c r="AZ116" s="123">
        <f>IFERROR(INDEX(TableWRTECalcPts[Custom],MATCH(TableWRTERank[[#This Row],[RK]],TableWRTECalcPts[RK],0)),"")</f>
        <v>82.556850116160007</v>
      </c>
      <c r="BA116" s="174">
        <f>IFERROR((TableWRTERank[[#This Row],[FPS]]-INDEX(TableWRTERank[FPS],MATCH(WRTEVORPCalc,TableWRTERank[RK],0)))/INDEX(TableWRTERank[FPS],MATCH(WRTEVORPCalc,TableWRTERank[RK],0)),"")</f>
        <v>-0.44698680087482456</v>
      </c>
      <c r="BC116" t="s">
        <v>223</v>
      </c>
      <c r="BD116">
        <v>115</v>
      </c>
      <c r="BE116" s="83">
        <f>RANK(TableWRTEMaster[[#This Row],[VORP]],TableWRTEMaster[VORP])+COUNTIF($BJ$2:BJ116,BJ116)-1</f>
        <v>161</v>
      </c>
      <c r="BF116" s="115" t="str">
        <f>IFERROR(INDEX(TableWRVORP[WIDE RECEIVER],MATCH(TableWRTEMaster[[#This Row],[RK]],TableWRVORP[RK],0)),"")</f>
        <v>Mack Hollins</v>
      </c>
      <c r="BG116" s="115" t="str">
        <f>_xlfn.CONCAT(TableWRTEMaster[[#This Row],[POS]],TableWRTEMaster[[#This Row],[RK]])</f>
        <v>WR115</v>
      </c>
      <c r="BH116" s="115">
        <f>IFERROR(INDEX(TableWRVORP[BYE],MATCH(TableWRTEMaster[[#This Row],[RK]],TableWRVORP[RK],0)),"")</f>
        <v>13</v>
      </c>
      <c r="BI116" s="116">
        <f>IFERROR(INDEX(TableWRVORP[FPS],MATCH(TableWRTEMaster[[#This Row],[RK]],TableWRVORP[RK],0)),"")</f>
        <v>35.190761181183994</v>
      </c>
      <c r="BJ116" s="117">
        <f>IFERROR(INDEX(TableWRVORP[VORP],MATCH(TableWRTEMaster[[#This Row],[RK]],TableWRVORP[RK],0)),"")</f>
        <v>-0.75630117127148067</v>
      </c>
    </row>
    <row r="117" spans="8:62" x14ac:dyDescent="0.2">
      <c r="H117">
        <v>116</v>
      </c>
      <c r="I117" s="112" t="str">
        <f>IFERROR(INDEX(TableRBCalcPts[PLAYER],MATCH(TableRBVORP[[#This Row],[RK]],TableRBCalcPts[RK],0)),"")</f>
        <v/>
      </c>
      <c r="J117" s="112" t="str">
        <f>IFERROR(INDEX(TableRBCalcPts[TM],MATCH(TableRBVORP[[#This Row],[RK]],TableRBCalcPts[RK],0)),"")</f>
        <v/>
      </c>
      <c r="K117" s="112" t="str">
        <f>IFERROR(INDEX(TableRBCalcPts[BYE],MATCH(TableRBVORP[[#This Row],[RK]],TableRBCalcPts[RK],0)),"")</f>
        <v/>
      </c>
      <c r="L117" s="113" t="str">
        <f>IFERROR(INDEX(TableRBCalcPts[Custom],MATCH(TableRBVORP[[#This Row],[RK]],TableRBCalcPts[RK],0)),"")</f>
        <v/>
      </c>
      <c r="M117" s="114" t="str">
        <f>IFERROR((TableRBVORP[[#This Row],[FPS]]-INDEX(TableRBVORP[FPS],MATCH(RBVORPCalc,TableRBVORP[RK],0)))/INDEX(TableRBVORP[FPS],MATCH(RBVORPCalc,TableRBVORP[RK],0)),"")</f>
        <v/>
      </c>
      <c r="O117">
        <v>116</v>
      </c>
      <c r="P117" s="112" t="str">
        <f>IFERROR(INDEX(TableWRCalcPts[PLAYER],MATCH(TableWRVORP[[#This Row],[RK]],TableWRCalcPts[RK],0)),"")</f>
        <v>K.J. Osborn</v>
      </c>
      <c r="Q117" s="112" t="str">
        <f>IFERROR(INDEX(TableWRCalcPts[TM],MATCH(TableWRVORP[[#This Row],[RK]],TableWRCalcPts[RK],0)),"")</f>
        <v>NE</v>
      </c>
      <c r="R117" s="112">
        <f>IFERROR(INDEX(TableWRCalcPts[BYE],MATCH(TableWRVORP[[#This Row],[RK]],TableWRCalcPts[RK],0)),"")</f>
        <v>11</v>
      </c>
      <c r="S117" s="113">
        <f>IFERROR(INDEX(TableWRCalcPts[Custom],MATCH(TableWRVORP[[#This Row],[RK]],TableWRCalcPts[RK],0)),"")</f>
        <v>34.604123150687997</v>
      </c>
      <c r="T117" s="114">
        <f>IFERROR((TableWRVORP[[#This Row],[FPS]]-INDEX(TableWRVORP[FPS],MATCH(WRVORPCalc,TableWRVORP[RK],0)))/INDEX(TableWRVORP[FPS],MATCH(WRVORPCalc,TableWRVORP[RK],0)),"")</f>
        <v>-0.76036368643514596</v>
      </c>
      <c r="AF117" t="s">
        <v>222</v>
      </c>
      <c r="AG117">
        <v>76</v>
      </c>
      <c r="AH117" s="83">
        <f>RANK(TableOverallMaster[[#This Row],[VORP]],TableOverallMaster[VORP])+COUNTIF($AM$2:AM117,AM117)-1</f>
        <v>247</v>
      </c>
      <c r="AI117" s="115" t="str">
        <f>IFERROR(INDEX(TableRBVORP[RUNNING BACK],MATCH(TableOverallMaster[[#This Row],[RK]],TableRBVORP[RK],0)),"")</f>
        <v>Isaiah Davis</v>
      </c>
      <c r="AJ117" s="115" t="str">
        <f t="shared" si="1"/>
        <v>RB76</v>
      </c>
      <c r="AK117" s="115">
        <f>IFERROR(INDEX(TableRBVORP[BYE],MATCH(TableOverallMaster[[#This Row],[RK]],TableRBVORP[RK],0)),"")</f>
        <v>7</v>
      </c>
      <c r="AL117" s="116">
        <f>IFERROR(INDEX(TableRBVORP[FPS],MATCH(TableOverallMaster[[#This Row],[RK]],TableRBVORP[RK],0)),"")</f>
        <v>46.256093781296009</v>
      </c>
      <c r="AM117" s="117">
        <f>IFERROR(INDEX(TableRBVORP[VORP],MATCH(TableOverallMaster[[#This Row],[RK]],TableRBVORP[RK],0)),"")</f>
        <v>-0.589630213925466</v>
      </c>
      <c r="AO117">
        <v>116</v>
      </c>
      <c r="AP117" s="118" t="str">
        <f>IFERROR(INDEX(TableOverallMaster[OVERALL PLAYER],MATCH(TableOverallRank[[#This Row],[RK]],TableOverallMaster[OVR RK],0)),"")</f>
        <v>Kirk Cousins</v>
      </c>
      <c r="AQ117" s="119" t="str">
        <f>IFERROR(INDEX(TableOverallMaster[POS RK],MATCH(TableOverallRank[[#This Row],[OVERALL PLAYER]],TableOverallMaster[OVERALL PLAYER],0)),"")</f>
        <v>QB19</v>
      </c>
      <c r="AR117" s="120">
        <f>IFERROR(INDEX(TableOverallMaster[BYE],MATCH(TableOverallRank[[#This Row],[OVERALL PLAYER]],TableOverallMaster[OVERALL PLAYER],0)),"")</f>
        <v>11</v>
      </c>
      <c r="AS117" s="119">
        <f>IFERROR(INDEX(TableOverallMaster[Custom],MATCH(TableOverallRank[[#This Row],[OVERALL PLAYER]],TableOverallMaster[OVERALL PLAYER],0)),"")</f>
        <v>296.18510429087996</v>
      </c>
      <c r="AT117" s="121">
        <f>IFERROR(INDEX(TableOverallMaster[VORP],MATCH(TableOverallRank[[#This Row],[OVERALL PLAYER]],TableOverallMaster[OVERALL PLAYER],0)),"")</f>
        <v>8.3016999110641504E-2</v>
      </c>
      <c r="AV117">
        <v>116</v>
      </c>
      <c r="AW117" s="122" t="str">
        <f>IFERROR(INDEX(TableWRTECalcPts[PLAYER],MATCH(TableWRTERank[[#This Row],[RK]],TableWRTECalcPts[RK],0)),"")</f>
        <v>Noah Fant</v>
      </c>
      <c r="AX117" s="122" t="str">
        <f>IFERROR(INDEX(TableWRTECalcPts[POS RK],MATCH(TableWRTERank[[#This Row],[WR and TE COMBINED]],TableWRTECalcPts[PLAYER],0)),"")</f>
        <v>TE27</v>
      </c>
      <c r="AY117" s="122">
        <f>IFERROR(INDEX(TableWRTECalcPts[BYE],MATCH(TableWRTERank[[#This Row],[RK]],TableWRTECalcPts[RK],0)),"")</f>
        <v>5</v>
      </c>
      <c r="AZ117" s="123">
        <f>IFERROR(INDEX(TableWRTECalcPts[Custom],MATCH(TableWRTERank[[#This Row],[RK]],TableWRTECalcPts[RK],0)),"")</f>
        <v>77.518260897461985</v>
      </c>
      <c r="BA117" s="174">
        <f>IFERROR((TableWRTERank[[#This Row],[FPS]]-INDEX(TableWRTERank[FPS],MATCH(WRTEVORPCalc,TableWRTERank[RK],0)))/INDEX(TableWRTERank[FPS],MATCH(WRTEVORPCalc,TableWRTERank[RK],0)),"")</f>
        <v>-0.48073816540713477</v>
      </c>
      <c r="BC117" t="s">
        <v>223</v>
      </c>
      <c r="BD117">
        <v>116</v>
      </c>
      <c r="BE117" s="83">
        <f>RANK(TableWRTEMaster[[#This Row],[VORP]],TableWRTEMaster[VORP])+COUNTIF($BJ$2:BJ117,BJ117)-1</f>
        <v>163</v>
      </c>
      <c r="BF117" s="115" t="str">
        <f>IFERROR(INDEX(TableWRVORP[WIDE RECEIVER],MATCH(TableWRTEMaster[[#This Row],[RK]],TableWRVORP[RK],0)),"")</f>
        <v>K.J. Osborn</v>
      </c>
      <c r="BG117" s="115" t="str">
        <f>_xlfn.CONCAT(TableWRTEMaster[[#This Row],[POS]],TableWRTEMaster[[#This Row],[RK]])</f>
        <v>WR116</v>
      </c>
      <c r="BH117" s="115">
        <f>IFERROR(INDEX(TableWRVORP[BYE],MATCH(TableWRTEMaster[[#This Row],[RK]],TableWRVORP[RK],0)),"")</f>
        <v>11</v>
      </c>
      <c r="BI117" s="116">
        <f>IFERROR(INDEX(TableWRVORP[FPS],MATCH(TableWRTEMaster[[#This Row],[RK]],TableWRVORP[RK],0)),"")</f>
        <v>34.604123150687997</v>
      </c>
      <c r="BJ117" s="117">
        <f>IFERROR(INDEX(TableWRVORP[VORP],MATCH(TableWRTEMaster[[#This Row],[RK]],TableWRVORP[RK],0)),"")</f>
        <v>-0.76036368643514596</v>
      </c>
    </row>
    <row r="118" spans="8:62" x14ac:dyDescent="0.2">
      <c r="H118">
        <v>117</v>
      </c>
      <c r="I118" s="112" t="str">
        <f>IFERROR(INDEX(TableRBCalcPts[PLAYER],MATCH(TableRBVORP[[#This Row],[RK]],TableRBCalcPts[RK],0)),"")</f>
        <v/>
      </c>
      <c r="J118" s="112" t="str">
        <f>IFERROR(INDEX(TableRBCalcPts[TM],MATCH(TableRBVORP[[#This Row],[RK]],TableRBCalcPts[RK],0)),"")</f>
        <v/>
      </c>
      <c r="K118" s="112" t="str">
        <f>IFERROR(INDEX(TableRBCalcPts[BYE],MATCH(TableRBVORP[[#This Row],[RK]],TableRBCalcPts[RK],0)),"")</f>
        <v/>
      </c>
      <c r="L118" s="113" t="str">
        <f>IFERROR(INDEX(TableRBCalcPts[Custom],MATCH(TableRBVORP[[#This Row],[RK]],TableRBCalcPts[RK],0)),"")</f>
        <v/>
      </c>
      <c r="M118" s="114" t="str">
        <f>IFERROR((TableRBVORP[[#This Row],[FPS]]-INDEX(TableRBVORP[FPS],MATCH(RBVORPCalc,TableRBVORP[RK],0)))/INDEX(TableRBVORP[FPS],MATCH(RBVORPCalc,TableRBVORP[RK],0)),"")</f>
        <v/>
      </c>
      <c r="O118">
        <v>117</v>
      </c>
      <c r="P118" s="112" t="str">
        <f>IFERROR(INDEX(TableWRCalcPts[PLAYER],MATCH(TableWRVORP[[#This Row],[RK]],TableWRCalcPts[RK],0)),"")</f>
        <v>Brenden Rice</v>
      </c>
      <c r="Q118" s="112" t="str">
        <f>IFERROR(INDEX(TableWRCalcPts[TM],MATCH(TableWRVORP[[#This Row],[RK]],TableWRCalcPts[RK],0)),"")</f>
        <v>LAC</v>
      </c>
      <c r="R118" s="112">
        <f>IFERROR(INDEX(TableWRCalcPts[BYE],MATCH(TableWRVORP[[#This Row],[RK]],TableWRCalcPts[RK],0)),"")</f>
        <v>5</v>
      </c>
      <c r="S118" s="113">
        <f>IFERROR(INDEX(TableWRCalcPts[Custom],MATCH(TableWRVORP[[#This Row],[RK]],TableWRCalcPts[RK],0)),"")</f>
        <v>33.838571310137993</v>
      </c>
      <c r="T118" s="114">
        <f>IFERROR((TableWRVORP[[#This Row],[FPS]]-INDEX(TableWRVORP[FPS],MATCH(WRVORPCalc,TableWRVORP[RK],0)))/INDEX(TableWRVORP[FPS],MATCH(WRVORPCalc,TableWRVORP[RK],0)),"")</f>
        <v>-0.7656651940073308</v>
      </c>
      <c r="AF118" t="s">
        <v>222</v>
      </c>
      <c r="AG118">
        <v>77</v>
      </c>
      <c r="AH118" s="83">
        <f>RANK(TableOverallMaster[[#This Row],[VORP]],TableOverallMaster[VORP])+COUNTIF($AM$2:AM118,AM118)-1</f>
        <v>248</v>
      </c>
      <c r="AI118" s="115" t="str">
        <f>IFERROR(INDEX(TableRBVORP[RUNNING BACK],MATCH(TableOverallMaster[[#This Row],[RK]],TableRBVORP[RK],0)),"")</f>
        <v>Will Shipley</v>
      </c>
      <c r="AJ118" s="115" t="str">
        <f t="shared" si="1"/>
        <v>RB77</v>
      </c>
      <c r="AK118" s="115">
        <f>IFERROR(INDEX(TableRBVORP[BYE],MATCH(TableOverallMaster[[#This Row],[RK]],TableRBVORP[RK],0)),"")</f>
        <v>10</v>
      </c>
      <c r="AL118" s="116">
        <f>IFERROR(INDEX(TableRBVORP[FPS],MATCH(TableOverallMaster[[#This Row],[RK]],TableRBVORP[RK],0)),"")</f>
        <v>46.071657628416006</v>
      </c>
      <c r="AM118" s="117">
        <f>IFERROR(INDEX(TableRBVORP[VORP],MATCH(TableOverallMaster[[#This Row],[RK]],TableRBVORP[RK],0)),"")</f>
        <v>-0.59126647454357262</v>
      </c>
      <c r="AO118">
        <v>117</v>
      </c>
      <c r="AP118" s="118" t="str">
        <f>IFERROR(INDEX(TableOverallMaster[OVERALL PLAYER],MATCH(TableOverallRank[[#This Row],[RK]],TableOverallMaster[OVR RK],0)),"")</f>
        <v>Deshaun Watson</v>
      </c>
      <c r="AQ118" s="119" t="str">
        <f>IFERROR(INDEX(TableOverallMaster[POS RK],MATCH(TableOverallRank[[#This Row],[OVERALL PLAYER]],TableOverallMaster[OVERALL PLAYER],0)),"")</f>
        <v>QB20</v>
      </c>
      <c r="AR118" s="120">
        <f>IFERROR(INDEX(TableOverallMaster[BYE],MATCH(TableOverallRank[[#This Row],[OVERALL PLAYER]],TableOverallMaster[OVERALL PLAYER],0)),"")</f>
        <v>5</v>
      </c>
      <c r="AS118" s="119">
        <f>IFERROR(INDEX(TableOverallMaster[Custom],MATCH(TableOverallRank[[#This Row],[OVERALL PLAYER]],TableOverallMaster[OVERALL PLAYER],0)),"")</f>
        <v>292.97794439760003</v>
      </c>
      <c r="AT118" s="121">
        <f>IFERROR(INDEX(TableOverallMaster[VORP],MATCH(TableOverallRank[[#This Row],[OVERALL PLAYER]],TableOverallMaster[OVERALL PLAYER],0)),"")</f>
        <v>7.3756936642192517E-2</v>
      </c>
      <c r="AV118">
        <v>117</v>
      </c>
      <c r="AW118" s="122" t="str">
        <f>IFERROR(INDEX(TableWRTECalcPts[PLAYER],MATCH(TableWRTERank[[#This Row],[RK]],TableWRTECalcPts[RK],0)),"")</f>
        <v>Trey Palmer</v>
      </c>
      <c r="AX118" s="122" t="str">
        <f>IFERROR(INDEX(TableWRTECalcPts[POS RK],MATCH(TableWRTERank[[#This Row],[WR and TE COMBINED]],TableWRTECalcPts[PLAYER],0)),"")</f>
        <v>WR90</v>
      </c>
      <c r="AY118" s="122">
        <f>IFERROR(INDEX(TableWRTECalcPts[BYE],MATCH(TableWRTERank[[#This Row],[RK]],TableWRTECalcPts[RK],0)),"")</f>
        <v>5</v>
      </c>
      <c r="AZ118" s="123">
        <f>IFERROR(INDEX(TableWRTECalcPts[Custom],MATCH(TableWRTERank[[#This Row],[RK]],TableWRTECalcPts[RK],0)),"")</f>
        <v>76.730779467434402</v>
      </c>
      <c r="BA118" s="174">
        <f>IFERROR((TableWRTERank[[#This Row],[FPS]]-INDEX(TableWRTERank[FPS],MATCH(WRTEVORPCalc,TableWRTERank[RK],0)))/INDEX(TableWRTERank[FPS],MATCH(WRTEVORPCalc,TableWRTERank[RK],0)),"")</f>
        <v>-0.48601316832038149</v>
      </c>
      <c r="BC118" t="s">
        <v>223</v>
      </c>
      <c r="BD118">
        <v>117</v>
      </c>
      <c r="BE118" s="83">
        <f>RANK(TableWRTEMaster[[#This Row],[VORP]],TableWRTEMaster[VORP])+COUNTIF($BJ$2:BJ118,BJ118)-1</f>
        <v>165</v>
      </c>
      <c r="BF118" s="115" t="str">
        <f>IFERROR(INDEX(TableWRVORP[WIDE RECEIVER],MATCH(TableWRTEMaster[[#This Row],[RK]],TableWRVORP[RK],0)),"")</f>
        <v>Brenden Rice</v>
      </c>
      <c r="BG118" s="115" t="str">
        <f>_xlfn.CONCAT(TableWRTEMaster[[#This Row],[POS]],TableWRTEMaster[[#This Row],[RK]])</f>
        <v>WR117</v>
      </c>
      <c r="BH118" s="115">
        <f>IFERROR(INDEX(TableWRVORP[BYE],MATCH(TableWRTEMaster[[#This Row],[RK]],TableWRVORP[RK],0)),"")</f>
        <v>5</v>
      </c>
      <c r="BI118" s="116">
        <f>IFERROR(INDEX(TableWRVORP[FPS],MATCH(TableWRTEMaster[[#This Row],[RK]],TableWRVORP[RK],0)),"")</f>
        <v>33.838571310137993</v>
      </c>
      <c r="BJ118" s="117">
        <f>IFERROR(INDEX(TableWRVORP[VORP],MATCH(TableWRTEMaster[[#This Row],[RK]],TableWRVORP[RK],0)),"")</f>
        <v>-0.7656651940073308</v>
      </c>
    </row>
    <row r="119" spans="8:62" x14ac:dyDescent="0.2">
      <c r="H119">
        <v>118</v>
      </c>
      <c r="I119" s="112" t="str">
        <f>IFERROR(INDEX(TableRBCalcPts[PLAYER],MATCH(TableRBVORP[[#This Row],[RK]],TableRBCalcPts[RK],0)),"")</f>
        <v/>
      </c>
      <c r="J119" s="112" t="str">
        <f>IFERROR(INDEX(TableRBCalcPts[TM],MATCH(TableRBVORP[[#This Row],[RK]],TableRBCalcPts[RK],0)),"")</f>
        <v/>
      </c>
      <c r="K119" s="112" t="str">
        <f>IFERROR(INDEX(TableRBCalcPts[BYE],MATCH(TableRBVORP[[#This Row],[RK]],TableRBCalcPts[RK],0)),"")</f>
        <v/>
      </c>
      <c r="L119" s="113" t="str">
        <f>IFERROR(INDEX(TableRBCalcPts[Custom],MATCH(TableRBVORP[[#This Row],[RK]],TableRBCalcPts[RK],0)),"")</f>
        <v/>
      </c>
      <c r="M119" s="114" t="str">
        <f>IFERROR((TableRBVORP[[#This Row],[FPS]]-INDEX(TableRBVORP[FPS],MATCH(RBVORPCalc,TableRBVORP[RK],0)))/INDEX(TableRBVORP[FPS],MATCH(RBVORPCalc,TableRBVORP[RK],0)),"")</f>
        <v/>
      </c>
      <c r="O119">
        <v>118</v>
      </c>
      <c r="P119" s="112" t="str">
        <f>IFERROR(INDEX(TableWRCalcPts[PLAYER],MATCH(TableWRVORP[[#This Row],[RK]],TableWRCalcPts[RK],0)),"")</f>
        <v>KaVontae Turpin</v>
      </c>
      <c r="Q119" s="112" t="str">
        <f>IFERROR(INDEX(TableWRCalcPts[TM],MATCH(TableWRVORP[[#This Row],[RK]],TableWRCalcPts[RK],0)),"")</f>
        <v>DAL</v>
      </c>
      <c r="R119" s="112">
        <f>IFERROR(INDEX(TableWRCalcPts[BYE],MATCH(TableWRVORP[[#This Row],[RK]],TableWRCalcPts[RK],0)),"")</f>
        <v>7</v>
      </c>
      <c r="S119" s="113">
        <f>IFERROR(INDEX(TableWRCalcPts[Custom],MATCH(TableWRVORP[[#This Row],[RK]],TableWRCalcPts[RK],0)),"")</f>
        <v>33.663409307035188</v>
      </c>
      <c r="T119" s="114">
        <f>IFERROR((TableWRVORP[[#This Row],[FPS]]-INDEX(TableWRVORP[FPS],MATCH(WRVORPCalc,TableWRVORP[RK],0)))/INDEX(TableWRVORP[FPS],MATCH(WRVORPCalc,TableWRVORP[RK],0)),"")</f>
        <v>-0.7668782048533912</v>
      </c>
      <c r="AF119" t="s">
        <v>222</v>
      </c>
      <c r="AG119">
        <v>78</v>
      </c>
      <c r="AH119" s="83">
        <f>RANK(TableOverallMaster[[#This Row],[VORP]],TableOverallMaster[VORP])+COUNTIF($AM$2:AM119,AM119)-1</f>
        <v>249</v>
      </c>
      <c r="AI119" s="115" t="str">
        <f>IFERROR(INDEX(TableRBVORP[RUNNING BACK],MATCH(TableOverallMaster[[#This Row],[RK]],TableRBVORP[RK],0)),"")</f>
        <v>Deuce Vaughn</v>
      </c>
      <c r="AJ119" s="115" t="str">
        <f t="shared" si="1"/>
        <v>RB78</v>
      </c>
      <c r="AK119" s="115">
        <f>IFERROR(INDEX(TableRBVORP[BYE],MATCH(TableOverallMaster[[#This Row],[RK]],TableRBVORP[RK],0)),"")</f>
        <v>7</v>
      </c>
      <c r="AL119" s="116">
        <f>IFERROR(INDEX(TableRBVORP[FPS],MATCH(TableOverallMaster[[#This Row],[RK]],TableRBVORP[RK],0)),"")</f>
        <v>45.58296467793599</v>
      </c>
      <c r="AM119" s="117">
        <f>IFERROR(INDEX(TableRBVORP[VORP],MATCH(TableOverallMaster[[#This Row],[RK]],TableRBVORP[RK],0)),"")</f>
        <v>-0.59560200755448389</v>
      </c>
      <c r="AO119">
        <v>118</v>
      </c>
      <c r="AP119" s="118" t="str">
        <f>IFERROR(INDEX(TableOverallMaster[OVERALL PLAYER],MATCH(TableOverallRank[[#This Row],[RK]],TableOverallMaster[OVR RK],0)),"")</f>
        <v>Calvin Ridley</v>
      </c>
      <c r="AQ119" s="119" t="str">
        <f>IFERROR(INDEX(TableOverallMaster[POS RK],MATCH(TableOverallRank[[#This Row],[OVERALL PLAYER]],TableOverallMaster[OVERALL PLAYER],0)),"")</f>
        <v>WR49</v>
      </c>
      <c r="AR119" s="120">
        <f>IFERROR(INDEX(TableOverallMaster[BYE],MATCH(TableOverallRank[[#This Row],[OVERALL PLAYER]],TableOverallMaster[OVERALL PLAYER],0)),"")</f>
        <v>7</v>
      </c>
      <c r="AS119" s="119">
        <f>IFERROR(INDEX(TableOverallMaster[Custom],MATCH(TableOverallRank[[#This Row],[OVERALL PLAYER]],TableOverallMaster[OVERALL PLAYER],0)),"")</f>
        <v>154.50712981703998</v>
      </c>
      <c r="AT119" s="121">
        <f>IFERROR(INDEX(TableOverallMaster[VORP],MATCH(TableOverallRank[[#This Row],[OVERALL PLAYER]],TableOverallMaster[OVERALL PLAYER],0)),"")</f>
        <v>6.9974200693065952E-2</v>
      </c>
      <c r="AV119">
        <v>118</v>
      </c>
      <c r="AW119" s="122" t="str">
        <f>IFERROR(INDEX(TableWRTECalcPts[PLAYER],MATCH(TableWRTERank[[#This Row],[RK]],TableWRTECalcPts[RK],0)),"")</f>
        <v>Tyler Boyd</v>
      </c>
      <c r="AX119" s="122" t="str">
        <f>IFERROR(INDEX(TableWRTECalcPts[POS RK],MATCH(TableWRTERank[[#This Row],[WR and TE COMBINED]],TableWRTECalcPts[PLAYER],0)),"")</f>
        <v>WR91</v>
      </c>
      <c r="AY119" s="122">
        <f>IFERROR(INDEX(TableWRTECalcPts[BYE],MATCH(TableWRTERank[[#This Row],[RK]],TableWRTECalcPts[RK],0)),"")</f>
        <v>7</v>
      </c>
      <c r="AZ119" s="123">
        <f>IFERROR(INDEX(TableWRTECalcPts[Custom],MATCH(TableWRTERank[[#This Row],[RK]],TableWRTECalcPts[RK],0)),"")</f>
        <v>70.655056034062497</v>
      </c>
      <c r="BA119" s="174">
        <f>IFERROR((TableWRTERank[[#This Row],[FPS]]-INDEX(TableWRTERank[FPS],MATCH(WRTEVORPCalc,TableWRTERank[RK],0)))/INDEX(TableWRTERank[FPS],MATCH(WRTEVORPCalc,TableWRTERank[RK],0)),"")</f>
        <v>-0.52671185350714955</v>
      </c>
      <c r="BC119" t="s">
        <v>223</v>
      </c>
      <c r="BD119">
        <v>118</v>
      </c>
      <c r="BE119" s="83">
        <f>RANK(TableWRTEMaster[[#This Row],[VORP]],TableWRTEMaster[VORP])+COUNTIF($BJ$2:BJ119,BJ119)-1</f>
        <v>166</v>
      </c>
      <c r="BF119" s="115" t="str">
        <f>IFERROR(INDEX(TableWRVORP[WIDE RECEIVER],MATCH(TableWRTEMaster[[#This Row],[RK]],TableWRVORP[RK],0)),"")</f>
        <v>KaVontae Turpin</v>
      </c>
      <c r="BG119" s="115" t="str">
        <f>_xlfn.CONCAT(TableWRTEMaster[[#This Row],[POS]],TableWRTEMaster[[#This Row],[RK]])</f>
        <v>WR118</v>
      </c>
      <c r="BH119" s="115">
        <f>IFERROR(INDEX(TableWRVORP[BYE],MATCH(TableWRTEMaster[[#This Row],[RK]],TableWRVORP[RK],0)),"")</f>
        <v>7</v>
      </c>
      <c r="BI119" s="116">
        <f>IFERROR(INDEX(TableWRVORP[FPS],MATCH(TableWRTEMaster[[#This Row],[RK]],TableWRVORP[RK],0)),"")</f>
        <v>33.663409307035188</v>
      </c>
      <c r="BJ119" s="117">
        <f>IFERROR(INDEX(TableWRVORP[VORP],MATCH(TableWRTEMaster[[#This Row],[RK]],TableWRVORP[RK],0)),"")</f>
        <v>-0.7668782048533912</v>
      </c>
    </row>
    <row r="120" spans="8:62" x14ac:dyDescent="0.2">
      <c r="H120">
        <v>119</v>
      </c>
      <c r="I120" s="112" t="str">
        <f>IFERROR(INDEX(TableRBCalcPts[PLAYER],MATCH(TableRBVORP[[#This Row],[RK]],TableRBCalcPts[RK],0)),"")</f>
        <v/>
      </c>
      <c r="J120" s="112" t="str">
        <f>IFERROR(INDEX(TableRBCalcPts[TM],MATCH(TableRBVORP[[#This Row],[RK]],TableRBCalcPts[RK],0)),"")</f>
        <v/>
      </c>
      <c r="K120" s="112" t="str">
        <f>IFERROR(INDEX(TableRBCalcPts[BYE],MATCH(TableRBVORP[[#This Row],[RK]],TableRBCalcPts[RK],0)),"")</f>
        <v/>
      </c>
      <c r="L120" s="113" t="str">
        <f>IFERROR(INDEX(TableRBCalcPts[Custom],MATCH(TableRBVORP[[#This Row],[RK]],TableRBCalcPts[RK],0)),"")</f>
        <v/>
      </c>
      <c r="M120" s="114" t="str">
        <f>IFERROR((TableRBVORP[[#This Row],[FPS]]-INDEX(TableRBVORP[FPS],MATCH(RBVORPCalc,TableRBVORP[RK],0)))/INDEX(TableRBVORP[FPS],MATCH(RBVORPCalc,TableRBVORP[RK],0)),"")</f>
        <v/>
      </c>
      <c r="O120">
        <v>119</v>
      </c>
      <c r="P120" s="112" t="str">
        <f>IFERROR(INDEX(TableWRCalcPts[PLAYER],MATCH(TableWRVORP[[#This Row],[RK]],TableWRCalcPts[RK],0)),"")</f>
        <v>Alec Pierce</v>
      </c>
      <c r="Q120" s="112" t="str">
        <f>IFERROR(INDEX(TableWRCalcPts[TM],MATCH(TableWRVORP[[#This Row],[RK]],TableWRCalcPts[RK],0)),"")</f>
        <v>IND</v>
      </c>
      <c r="R120" s="112">
        <f>IFERROR(INDEX(TableWRCalcPts[BYE],MATCH(TableWRVORP[[#This Row],[RK]],TableWRCalcPts[RK],0)),"")</f>
        <v>11</v>
      </c>
      <c r="S120" s="113">
        <f>IFERROR(INDEX(TableWRCalcPts[Custom],MATCH(TableWRVORP[[#This Row],[RK]],TableWRCalcPts[RK],0)),"")</f>
        <v>32.196362429000004</v>
      </c>
      <c r="T120" s="114">
        <f>IFERROR((TableWRVORP[[#This Row],[FPS]]-INDEX(TableWRVORP[FPS],MATCH(WRVORPCalc,TableWRVORP[RK],0)))/INDEX(TableWRVORP[FPS],MATCH(WRVORPCalc,TableWRVORP[RK],0)),"")</f>
        <v>-0.77703762152603095</v>
      </c>
      <c r="AF120" t="s">
        <v>222</v>
      </c>
      <c r="AG120">
        <v>79</v>
      </c>
      <c r="AH120" s="83">
        <f>RANK(TableOverallMaster[[#This Row],[VORP]],TableOverallMaster[VORP])+COUNTIF($AM$2:AM120,AM120)-1</f>
        <v>250</v>
      </c>
      <c r="AI120" s="115" t="str">
        <f>IFERROR(INDEX(TableRBVORP[RUNNING BACK],MATCH(TableOverallMaster[[#This Row],[RK]],TableRBVORP[RK],0)),"")</f>
        <v>Dameon Pierce</v>
      </c>
      <c r="AJ120" s="115" t="str">
        <f t="shared" si="1"/>
        <v>RB79</v>
      </c>
      <c r="AK120" s="115">
        <f>IFERROR(INDEX(TableRBVORP[BYE],MATCH(TableOverallMaster[[#This Row],[RK]],TableRBVORP[RK],0)),"")</f>
        <v>7</v>
      </c>
      <c r="AL120" s="116">
        <f>IFERROR(INDEX(TableRBVORP[FPS],MATCH(TableOverallMaster[[#This Row],[RK]],TableRBVORP[RK],0)),"")</f>
        <v>45.497728859648007</v>
      </c>
      <c r="AM120" s="117">
        <f>IFERROR(INDEX(TableRBVORP[VORP],MATCH(TableOverallMaster[[#This Row],[RK]],TableRBVORP[RK],0)),"")</f>
        <v>-0.59635819342443885</v>
      </c>
      <c r="AO120">
        <v>119</v>
      </c>
      <c r="AP120" s="118" t="str">
        <f>IFERROR(INDEX(TableOverallMaster[OVERALL PLAYER],MATCH(TableOverallRank[[#This Row],[RK]],TableOverallMaster[OVR RK],0)),"")</f>
        <v>Mike Williams</v>
      </c>
      <c r="AQ120" s="119" t="str">
        <f>IFERROR(INDEX(TableOverallMaster[POS RK],MATCH(TableOverallRank[[#This Row],[OVERALL PLAYER]],TableOverallMaster[OVERALL PLAYER],0)),"")</f>
        <v>WR50</v>
      </c>
      <c r="AR120" s="120">
        <f>IFERROR(INDEX(TableOverallMaster[BYE],MATCH(TableOverallRank[[#This Row],[OVERALL PLAYER]],TableOverallMaster[OVERALL PLAYER],0)),"")</f>
        <v>7</v>
      </c>
      <c r="AS120" s="119">
        <f>IFERROR(INDEX(TableOverallMaster[Custom],MATCH(TableOverallRank[[#This Row],[OVERALL PLAYER]],TableOverallMaster[OVERALL PLAYER],0)),"")</f>
        <v>154.22685332053999</v>
      </c>
      <c r="AT120" s="121">
        <f>IFERROR(INDEX(TableOverallMaster[VORP],MATCH(TableOverallRank[[#This Row],[OVERALL PLAYER]],TableOverallMaster[OVERALL PLAYER],0)),"")</f>
        <v>6.8033263594106524E-2</v>
      </c>
      <c r="AV120">
        <v>119</v>
      </c>
      <c r="AW120" s="122" t="str">
        <f>IFERROR(INDEX(TableWRTECalcPts[PLAYER],MATCH(TableWRTERank[[#This Row],[RK]],TableWRTECalcPts[RK],0)),"")</f>
        <v>Cedrick Wilson</v>
      </c>
      <c r="AX120" s="122" t="str">
        <f>IFERROR(INDEX(TableWRTECalcPts[POS RK],MATCH(TableWRTERank[[#This Row],[WR and TE COMBINED]],TableWRTECalcPts[PLAYER],0)),"")</f>
        <v>WR92</v>
      </c>
      <c r="AY120" s="122">
        <f>IFERROR(INDEX(TableWRTECalcPts[BYE],MATCH(TableWRTERank[[#This Row],[RK]],TableWRTECalcPts[RK],0)),"")</f>
        <v>11</v>
      </c>
      <c r="AZ120" s="123">
        <f>IFERROR(INDEX(TableWRTECalcPts[Custom],MATCH(TableWRTERank[[#This Row],[RK]],TableWRTECalcPts[RK],0)),"")</f>
        <v>69.911023376409588</v>
      </c>
      <c r="BA120" s="174">
        <f>IFERROR((TableWRTERank[[#This Row],[FPS]]-INDEX(TableWRTERank[FPS],MATCH(WRTEVORPCalc,TableWRTERank[RK],0)))/INDEX(TableWRTERank[FPS],MATCH(WRTEVORPCalc,TableWRTERank[RK],0)),"")</f>
        <v>-0.53169581158795454</v>
      </c>
      <c r="BC120" t="s">
        <v>223</v>
      </c>
      <c r="BD120">
        <v>119</v>
      </c>
      <c r="BE120" s="83">
        <f>RANK(TableWRTEMaster[[#This Row],[VORP]],TableWRTEMaster[VORP])+COUNTIF($BJ$2:BJ120,BJ120)-1</f>
        <v>167</v>
      </c>
      <c r="BF120" s="115" t="str">
        <f>IFERROR(INDEX(TableWRVORP[WIDE RECEIVER],MATCH(TableWRTEMaster[[#This Row],[RK]],TableWRVORP[RK],0)),"")</f>
        <v>Alec Pierce</v>
      </c>
      <c r="BG120" s="115" t="str">
        <f>_xlfn.CONCAT(TableWRTEMaster[[#This Row],[POS]],TableWRTEMaster[[#This Row],[RK]])</f>
        <v>WR119</v>
      </c>
      <c r="BH120" s="115">
        <f>IFERROR(INDEX(TableWRVORP[BYE],MATCH(TableWRTEMaster[[#This Row],[RK]],TableWRVORP[RK],0)),"")</f>
        <v>11</v>
      </c>
      <c r="BI120" s="116">
        <f>IFERROR(INDEX(TableWRVORP[FPS],MATCH(TableWRTEMaster[[#This Row],[RK]],TableWRVORP[RK],0)),"")</f>
        <v>32.196362429000004</v>
      </c>
      <c r="BJ120" s="117">
        <f>IFERROR(INDEX(TableWRVORP[VORP],MATCH(TableWRTEMaster[[#This Row],[RK]],TableWRVORP[RK],0)),"")</f>
        <v>-0.77703762152603095</v>
      </c>
    </row>
    <row r="121" spans="8:62" x14ac:dyDescent="0.2">
      <c r="H121">
        <v>120</v>
      </c>
      <c r="I121" s="112" t="str">
        <f>IFERROR(INDEX(TableRBCalcPts[PLAYER],MATCH(TableRBVORP[[#This Row],[RK]],TableRBCalcPts[RK],0)),"")</f>
        <v/>
      </c>
      <c r="J121" s="112" t="str">
        <f>IFERROR(INDEX(TableRBCalcPts[TM],MATCH(TableRBVORP[[#This Row],[RK]],TableRBCalcPts[RK],0)),"")</f>
        <v/>
      </c>
      <c r="K121" s="112" t="str">
        <f>IFERROR(INDEX(TableRBCalcPts[BYE],MATCH(TableRBVORP[[#This Row],[RK]],TableRBCalcPts[RK],0)),"")</f>
        <v/>
      </c>
      <c r="L121" s="113" t="str">
        <f>IFERROR(INDEX(TableRBCalcPts[Custom],MATCH(TableRBVORP[[#This Row],[RK]],TableRBCalcPts[RK],0)),"")</f>
        <v/>
      </c>
      <c r="M121" s="114" t="str">
        <f>IFERROR((TableRBVORP[[#This Row],[FPS]]-INDEX(TableRBVORP[FPS],MATCH(RBVORPCalc,TableRBVORP[RK],0)))/INDEX(TableRBVORP[FPS],MATCH(RBVORPCalc,TableRBVORP[RK],0)),"")</f>
        <v/>
      </c>
      <c r="O121">
        <v>120</v>
      </c>
      <c r="P121" s="112" t="str">
        <f>IFERROR(INDEX(TableWRCalcPts[PLAYER],MATCH(TableWRVORP[[#This Row],[RK]],TableWRCalcPts[RK],0)),"")</f>
        <v>Treylon Burks</v>
      </c>
      <c r="Q121" s="112" t="str">
        <f>IFERROR(INDEX(TableWRCalcPts[TM],MATCH(TableWRVORP[[#This Row],[RK]],TableWRCalcPts[RK],0)),"")</f>
        <v>TEN</v>
      </c>
      <c r="R121" s="112">
        <f>IFERROR(INDEX(TableWRCalcPts[BYE],MATCH(TableWRVORP[[#This Row],[RK]],TableWRCalcPts[RK],0)),"")</f>
        <v>7</v>
      </c>
      <c r="S121" s="113">
        <f>IFERROR(INDEX(TableWRCalcPts[Custom],MATCH(TableWRVORP[[#This Row],[RK]],TableWRCalcPts[RK],0)),"")</f>
        <v>31.770527688899989</v>
      </c>
      <c r="T121" s="114">
        <f>IFERROR((TableWRVORP[[#This Row],[FPS]]-INDEX(TableWRVORP[FPS],MATCH(WRVORPCalc,TableWRVORP[RK],0)))/INDEX(TableWRVORP[FPS],MATCH(WRVORPCalc,TableWRVORP[RK],0)),"")</f>
        <v>-0.77998656107468078</v>
      </c>
      <c r="AF121" t="s">
        <v>222</v>
      </c>
      <c r="AG121">
        <v>80</v>
      </c>
      <c r="AH121" s="83">
        <f>RANK(TableOverallMaster[[#This Row],[VORP]],TableOverallMaster[VORP])+COUNTIF($AM$2:AM121,AM121)-1</f>
        <v>254</v>
      </c>
      <c r="AI121" s="115" t="str">
        <f>IFERROR(INDEX(TableRBVORP[RUNNING BACK],MATCH(TableOverallMaster[[#This Row],[RK]],TableRBVORP[RK],0)),"")</f>
        <v>Jase McClellan</v>
      </c>
      <c r="AJ121" s="115" t="str">
        <f t="shared" si="1"/>
        <v>RB80</v>
      </c>
      <c r="AK121" s="115">
        <f>IFERROR(INDEX(TableRBVORP[BYE],MATCH(TableOverallMaster[[#This Row],[RK]],TableRBVORP[RK],0)),"")</f>
        <v>11</v>
      </c>
      <c r="AL121" s="116">
        <f>IFERROR(INDEX(TableRBVORP[FPS],MATCH(TableOverallMaster[[#This Row],[RK]],TableRBVORP[RK],0)),"")</f>
        <v>42.690711185337598</v>
      </c>
      <c r="AM121" s="117">
        <f>IFERROR(INDEX(TableRBVORP[VORP],MATCH(TableOverallMaster[[#This Row],[RK]],TableRBVORP[RK],0)),"")</f>
        <v>-0.62126118778363804</v>
      </c>
      <c r="AO121">
        <v>120</v>
      </c>
      <c r="AP121" s="118" t="str">
        <f>IFERROR(INDEX(TableOverallMaster[OVERALL PLAYER],MATCH(TableOverallRank[[#This Row],[RK]],TableOverallMaster[OVR RK],0)),"")</f>
        <v>Jakobi Meyers</v>
      </c>
      <c r="AQ121" s="119" t="str">
        <f>IFERROR(INDEX(TableOverallMaster[POS RK],MATCH(TableOverallRank[[#This Row],[OVERALL PLAYER]],TableOverallMaster[OVERALL PLAYER],0)),"")</f>
        <v>WR51</v>
      </c>
      <c r="AR121" s="120">
        <f>IFERROR(INDEX(TableOverallMaster[BYE],MATCH(TableOverallRank[[#This Row],[OVERALL PLAYER]],TableOverallMaster[OVERALL PLAYER],0)),"")</f>
        <v>13</v>
      </c>
      <c r="AS121" s="119">
        <f>IFERROR(INDEX(TableOverallMaster[Custom],MATCH(TableOverallRank[[#This Row],[OVERALL PLAYER]],TableOverallMaster[OVERALL PLAYER],0)),"")</f>
        <v>152.92230757999994</v>
      </c>
      <c r="AT121" s="121">
        <f>IFERROR(INDEX(TableOverallMaster[VORP],MATCH(TableOverallRank[[#This Row],[OVERALL PLAYER]],TableOverallMaster[OVERALL PLAYER],0)),"")</f>
        <v>5.8999180263099339E-2</v>
      </c>
      <c r="AV121">
        <v>120</v>
      </c>
      <c r="AW121" s="122" t="str">
        <f>IFERROR(INDEX(TableWRTECalcPts[PLAYER],MATCH(TableWRTERank[[#This Row],[RK]],TableWRTECalcPts[RK],0)),"")</f>
        <v>Jonnu Smith</v>
      </c>
      <c r="AX121" s="122" t="str">
        <f>IFERROR(INDEX(TableWRTECalcPts[POS RK],MATCH(TableWRTERank[[#This Row],[WR and TE COMBINED]],TableWRTECalcPts[PLAYER],0)),"")</f>
        <v>TE28</v>
      </c>
      <c r="AY121" s="122">
        <f>IFERROR(INDEX(TableWRTECalcPts[BYE],MATCH(TableWRTERank[[#This Row],[RK]],TableWRTECalcPts[RK],0)),"")</f>
        <v>10</v>
      </c>
      <c r="AZ121" s="123">
        <f>IFERROR(INDEX(TableWRTECalcPts[Custom],MATCH(TableWRTERank[[#This Row],[RK]],TableWRTECalcPts[RK],0)),"")</f>
        <v>69.270961745512807</v>
      </c>
      <c r="BA121" s="174">
        <f>IFERROR((TableWRTERank[[#This Row],[FPS]]-INDEX(TableWRTERank[FPS],MATCH(WRTEVORPCalc,TableWRTERank[RK],0)))/INDEX(TableWRTERank[FPS],MATCH(WRTEVORPCalc,TableWRTERank[RK],0)),"")</f>
        <v>-0.53598331201513261</v>
      </c>
      <c r="BC121" t="s">
        <v>223</v>
      </c>
      <c r="BD121">
        <v>120</v>
      </c>
      <c r="BE121" s="83">
        <f>RANK(TableWRTEMaster[[#This Row],[VORP]],TableWRTEMaster[VORP])+COUNTIF($BJ$2:BJ121,BJ121)-1</f>
        <v>168</v>
      </c>
      <c r="BF121" s="115" t="str">
        <f>IFERROR(INDEX(TableWRVORP[WIDE RECEIVER],MATCH(TableWRTEMaster[[#This Row],[RK]],TableWRVORP[RK],0)),"")</f>
        <v>Treylon Burks</v>
      </c>
      <c r="BG121" s="115" t="str">
        <f>_xlfn.CONCAT(TableWRTEMaster[[#This Row],[POS]],TableWRTEMaster[[#This Row],[RK]])</f>
        <v>WR120</v>
      </c>
      <c r="BH121" s="115">
        <f>IFERROR(INDEX(TableWRVORP[BYE],MATCH(TableWRTEMaster[[#This Row],[RK]],TableWRVORP[RK],0)),"")</f>
        <v>7</v>
      </c>
      <c r="BI121" s="116">
        <f>IFERROR(INDEX(TableWRVORP[FPS],MATCH(TableWRTEMaster[[#This Row],[RK]],TableWRVORP[RK],0)),"")</f>
        <v>31.770527688899989</v>
      </c>
      <c r="BJ121" s="117">
        <f>IFERROR(INDEX(TableWRVORP[VORP],MATCH(TableWRTEMaster[[#This Row],[RK]],TableWRVORP[RK],0)),"")</f>
        <v>-0.77998656107468078</v>
      </c>
    </row>
    <row r="122" spans="8:62" x14ac:dyDescent="0.2">
      <c r="H122">
        <v>121</v>
      </c>
      <c r="I122" s="112" t="str">
        <f>IFERROR(INDEX(TableRBCalcPts[PLAYER],MATCH(TableRBVORP[[#This Row],[RK]],TableRBCalcPts[RK],0)),"")</f>
        <v/>
      </c>
      <c r="J122" s="112" t="str">
        <f>IFERROR(INDEX(TableRBCalcPts[TM],MATCH(TableRBVORP[[#This Row],[RK]],TableRBCalcPts[RK],0)),"")</f>
        <v/>
      </c>
      <c r="K122" s="112" t="str">
        <f>IFERROR(INDEX(TableRBCalcPts[BYE],MATCH(TableRBVORP[[#This Row],[RK]],TableRBCalcPts[RK],0)),"")</f>
        <v/>
      </c>
      <c r="L122" s="113" t="str">
        <f>IFERROR(INDEX(TableRBCalcPts[Custom],MATCH(TableRBVORP[[#This Row],[RK]],TableRBCalcPts[RK],0)),"")</f>
        <v/>
      </c>
      <c r="M122" s="114" t="str">
        <f>IFERROR((TableRBVORP[[#This Row],[FPS]]-INDEX(TableRBVORP[FPS],MATCH(RBVORPCalc,TableRBVORP[RK],0)))/INDEX(TableRBVORP[FPS],MATCH(RBVORPCalc,TableRBVORP[RK],0)),"")</f>
        <v/>
      </c>
      <c r="O122">
        <v>121</v>
      </c>
      <c r="P122" s="112" t="str">
        <f>IFERROR(INDEX(TableWRCalcPts[PLAYER],MATCH(TableWRVORP[[#This Row],[RK]],TableWRCalcPts[RK],0)),"")</f>
        <v>Parker Washington</v>
      </c>
      <c r="Q122" s="112" t="str">
        <f>IFERROR(INDEX(TableWRCalcPts[TM],MATCH(TableWRVORP[[#This Row],[RK]],TableWRCalcPts[RK],0)),"")</f>
        <v>JAX</v>
      </c>
      <c r="R122" s="112">
        <f>IFERROR(INDEX(TableWRCalcPts[BYE],MATCH(TableWRVORP[[#This Row],[RK]],TableWRCalcPts[RK],0)),"")</f>
        <v>9</v>
      </c>
      <c r="S122" s="113">
        <f>IFERROR(INDEX(TableWRCalcPts[Custom],MATCH(TableWRVORP[[#This Row],[RK]],TableWRCalcPts[RK],0)),"")</f>
        <v>30.994095000959987</v>
      </c>
      <c r="T122" s="114">
        <f>IFERROR((TableWRVORP[[#This Row],[FPS]]-INDEX(TableWRVORP[FPS],MATCH(WRVORPCalc,TableWRVORP[RK],0)))/INDEX(TableWRVORP[FPS],MATCH(WRVORPCalc,TableWRVORP[RK],0)),"")</f>
        <v>-0.78536341938312471</v>
      </c>
      <c r="AF122" t="s">
        <v>222</v>
      </c>
      <c r="AG122">
        <v>81</v>
      </c>
      <c r="AH122" s="83">
        <f>RANK(TableOverallMaster[[#This Row],[VORP]],TableOverallMaster[VORP])+COUNTIF($AM$2:AM122,AM122)-1</f>
        <v>257</v>
      </c>
      <c r="AI122" s="115" t="str">
        <f>IFERROR(INDEX(TableRBVORP[RUNNING BACK],MATCH(TableOverallMaster[[#This Row],[RK]],TableRBVORP[RK],0)),"")</f>
        <v>Keaton Mitchell</v>
      </c>
      <c r="AJ122" s="115" t="str">
        <f t="shared" si="1"/>
        <v>RB81</v>
      </c>
      <c r="AK122" s="115">
        <f>IFERROR(INDEX(TableRBVORP[BYE],MATCH(TableOverallMaster[[#This Row],[RK]],TableRBVORP[RK],0)),"")</f>
        <v>13</v>
      </c>
      <c r="AL122" s="116">
        <f>IFERROR(INDEX(TableRBVORP[FPS],MATCH(TableOverallMaster[[#This Row],[RK]],TableRBVORP[RK],0)),"")</f>
        <v>41.590578107601594</v>
      </c>
      <c r="AM122" s="117">
        <f>IFERROR(INDEX(TableRBVORP[VORP],MATCH(TableOverallMaster[[#This Row],[RK]],TableRBVORP[RK],0)),"")</f>
        <v>-0.63102122886922118</v>
      </c>
      <c r="AO122">
        <v>121</v>
      </c>
      <c r="AP122" s="118" t="str">
        <f>IFERROR(INDEX(TableOverallMaster[OVERALL PLAYER],MATCH(TableOverallRank[[#This Row],[RK]],TableOverallMaster[OVR RK],0)),"")</f>
        <v>Matthew Stafford</v>
      </c>
      <c r="AQ122" s="119" t="str">
        <f>IFERROR(INDEX(TableOverallMaster[POS RK],MATCH(TableOverallRank[[#This Row],[OVERALL PLAYER]],TableOverallMaster[OVERALL PLAYER],0)),"")</f>
        <v>QB21</v>
      </c>
      <c r="AR122" s="120">
        <f>IFERROR(INDEX(TableOverallMaster[BYE],MATCH(TableOverallRank[[#This Row],[OVERALL PLAYER]],TableOverallMaster[OVERALL PLAYER],0)),"")</f>
        <v>10</v>
      </c>
      <c r="AS122" s="119">
        <f>IFERROR(INDEX(TableOverallMaster[Custom],MATCH(TableOverallRank[[#This Row],[OVERALL PLAYER]],TableOverallMaster[OVERALL PLAYER],0)),"")</f>
        <v>290.96319501864951</v>
      </c>
      <c r="AT122" s="121">
        <f>IFERROR(INDEX(TableOverallMaster[VORP],MATCH(TableOverallRank[[#This Row],[OVERALL PLAYER]],TableOverallMaster[OVERALL PLAYER],0)),"")</f>
        <v>5.686087760758804E-2</v>
      </c>
      <c r="AV122">
        <v>121</v>
      </c>
      <c r="AW122" s="122" t="str">
        <f>IFERROR(INDEX(TableWRTECalcPts[PLAYER],MATCH(TableWRTERank[[#This Row],[RK]],TableWRTECalcPts[RK],0)),"")</f>
        <v>Zach Ertz</v>
      </c>
      <c r="AX122" s="122" t="str">
        <f>IFERROR(INDEX(TableWRTECalcPts[POS RK],MATCH(TableWRTERank[[#This Row],[WR and TE COMBINED]],TableWRTECalcPts[PLAYER],0)),"")</f>
        <v>TE29</v>
      </c>
      <c r="AY122" s="122">
        <f>IFERROR(INDEX(TableWRTECalcPts[BYE],MATCH(TableWRTERank[[#This Row],[RK]],TableWRTECalcPts[RK],0)),"")</f>
        <v>14</v>
      </c>
      <c r="AZ122" s="123">
        <f>IFERROR(INDEX(TableWRTECalcPts[Custom],MATCH(TableWRTERank[[#This Row],[RK]],TableWRTECalcPts[RK],0)),"")</f>
        <v>68.546385770939992</v>
      </c>
      <c r="BA122" s="174">
        <f>IFERROR((TableWRTERank[[#This Row],[FPS]]-INDEX(TableWRTERank[FPS],MATCH(WRTEVORPCalc,TableWRTERank[RK],0)))/INDEX(TableWRTERank[FPS],MATCH(WRTEVORPCalc,TableWRTERank[RK],0)),"")</f>
        <v>-0.54083693805759858</v>
      </c>
      <c r="BC122" t="s">
        <v>223</v>
      </c>
      <c r="BD122">
        <v>121</v>
      </c>
      <c r="BE122" s="83">
        <f>RANK(TableWRTEMaster[[#This Row],[VORP]],TableWRTEMaster[VORP])+COUNTIF($BJ$2:BJ122,BJ122)-1</f>
        <v>169</v>
      </c>
      <c r="BF122" s="115" t="str">
        <f>IFERROR(INDEX(TableWRVORP[WIDE RECEIVER],MATCH(TableWRTEMaster[[#This Row],[RK]],TableWRVORP[RK],0)),"")</f>
        <v>Parker Washington</v>
      </c>
      <c r="BG122" s="115" t="str">
        <f>_xlfn.CONCAT(TableWRTEMaster[[#This Row],[POS]],TableWRTEMaster[[#This Row],[RK]])</f>
        <v>WR121</v>
      </c>
      <c r="BH122" s="115">
        <f>IFERROR(INDEX(TableWRVORP[BYE],MATCH(TableWRTEMaster[[#This Row],[RK]],TableWRVORP[RK],0)),"")</f>
        <v>9</v>
      </c>
      <c r="BI122" s="116">
        <f>IFERROR(INDEX(TableWRVORP[FPS],MATCH(TableWRTEMaster[[#This Row],[RK]],TableWRVORP[RK],0)),"")</f>
        <v>30.994095000959987</v>
      </c>
      <c r="BJ122" s="117">
        <f>IFERROR(INDEX(TableWRVORP[VORP],MATCH(TableWRTEMaster[[#This Row],[RK]],TableWRVORP[RK],0)),"")</f>
        <v>-0.78536341938312471</v>
      </c>
    </row>
    <row r="123" spans="8:62" x14ac:dyDescent="0.2">
      <c r="H123">
        <v>122</v>
      </c>
      <c r="I123" s="112" t="str">
        <f>IFERROR(INDEX(TableRBCalcPts[PLAYER],MATCH(TableRBVORP[[#This Row],[RK]],TableRBCalcPts[RK],0)),"")</f>
        <v/>
      </c>
      <c r="J123" s="112" t="str">
        <f>IFERROR(INDEX(TableRBCalcPts[TM],MATCH(TableRBVORP[[#This Row],[RK]],TableRBCalcPts[RK],0)),"")</f>
        <v/>
      </c>
      <c r="K123" s="112" t="str">
        <f>IFERROR(INDEX(TableRBCalcPts[BYE],MATCH(TableRBVORP[[#This Row],[RK]],TableRBCalcPts[RK],0)),"")</f>
        <v/>
      </c>
      <c r="L123" s="113" t="str">
        <f>IFERROR(INDEX(TableRBCalcPts[Custom],MATCH(TableRBVORP[[#This Row],[RK]],TableRBCalcPts[RK],0)),"")</f>
        <v/>
      </c>
      <c r="M123" s="114" t="str">
        <f>IFERROR((TableRBVORP[[#This Row],[FPS]]-INDEX(TableRBVORP[FPS],MATCH(RBVORPCalc,TableRBVORP[RK],0)))/INDEX(TableRBVORP[FPS],MATCH(RBVORPCalc,TableRBVORP[RK],0)),"")</f>
        <v/>
      </c>
      <c r="O123">
        <v>122</v>
      </c>
      <c r="P123" s="112" t="str">
        <f>IFERROR(INDEX(TableWRCalcPts[PLAYER],MATCH(TableWRVORP[[#This Row],[RK]],TableWRCalcPts[RK],0)),"")</f>
        <v>Calvin Austin</v>
      </c>
      <c r="Q123" s="112" t="str">
        <f>IFERROR(INDEX(TableWRCalcPts[TM],MATCH(TableWRVORP[[#This Row],[RK]],TableWRCalcPts[RK],0)),"")</f>
        <v>PIT</v>
      </c>
      <c r="R123" s="112">
        <f>IFERROR(INDEX(TableWRCalcPts[BYE],MATCH(TableWRVORP[[#This Row],[RK]],TableWRCalcPts[RK],0)),"")</f>
        <v>6</v>
      </c>
      <c r="S123" s="113">
        <f>IFERROR(INDEX(TableWRCalcPts[Custom],MATCH(TableWRVORP[[#This Row],[RK]],TableWRCalcPts[RK],0)),"")</f>
        <v>30.921326519999997</v>
      </c>
      <c r="T123" s="114">
        <f>IFERROR((TableWRVORP[[#This Row],[FPS]]-INDEX(TableWRVORP[FPS],MATCH(WRVORPCalc,TableWRVORP[RK],0)))/INDEX(TableWRVORP[FPS],MATCH(WRVORPCalc,TableWRVORP[RK],0)),"")</f>
        <v>-0.78586734691930393</v>
      </c>
      <c r="AF123" t="s">
        <v>222</v>
      </c>
      <c r="AG123">
        <v>82</v>
      </c>
      <c r="AH123" s="83">
        <f>RANK(TableOverallMaster[[#This Row],[VORP]],TableOverallMaster[VORP])+COUNTIF($AM$2:AM123,AM123)-1</f>
        <v>260</v>
      </c>
      <c r="AI123" s="115" t="str">
        <f>IFERROR(INDEX(TableRBVORP[RUNNING BACK],MATCH(TableOverallMaster[[#This Row],[RK]],TableRBVORP[RK],0)),"")</f>
        <v>Trey Sermon</v>
      </c>
      <c r="AJ123" s="115" t="str">
        <f t="shared" si="1"/>
        <v>RB82</v>
      </c>
      <c r="AK123" s="115">
        <f>IFERROR(INDEX(TableRBVORP[BYE],MATCH(TableOverallMaster[[#This Row],[RK]],TableRBVORP[RK],0)),"")</f>
        <v>11</v>
      </c>
      <c r="AL123" s="116">
        <f>IFERROR(INDEX(TableRBVORP[FPS],MATCH(TableOverallMaster[[#This Row],[RK]],TableRBVORP[RK],0)),"")</f>
        <v>40.170814067999999</v>
      </c>
      <c r="AM123" s="117">
        <f>IFERROR(INDEX(TableRBVORP[VORP],MATCH(TableOverallMaster[[#This Row],[RK]],TableRBVORP[RK],0)),"")</f>
        <v>-0.64361693718740209</v>
      </c>
      <c r="AO123">
        <v>122</v>
      </c>
      <c r="AP123" s="118" t="str">
        <f>IFERROR(INDEX(TableOverallMaster[OVERALL PLAYER],MATCH(TableOverallRank[[#This Row],[RK]],TableOverallMaster[OVR RK],0)),"")</f>
        <v>Keenan Allen</v>
      </c>
      <c r="AQ123" s="119" t="str">
        <f>IFERROR(INDEX(TableOverallMaster[POS RK],MATCH(TableOverallRank[[#This Row],[OVERALL PLAYER]],TableOverallMaster[OVERALL PLAYER],0)),"")</f>
        <v>WR52</v>
      </c>
      <c r="AR123" s="120">
        <f>IFERROR(INDEX(TableOverallMaster[BYE],MATCH(TableOverallRank[[#This Row],[OVERALL PLAYER]],TableOverallMaster[OVERALL PLAYER],0)),"")</f>
        <v>13</v>
      </c>
      <c r="AS123" s="119">
        <f>IFERROR(INDEX(TableOverallMaster[Custom],MATCH(TableOverallRank[[#This Row],[OVERALL PLAYER]],TableOverallMaster[OVERALL PLAYER],0)),"")</f>
        <v>151.05445991999994</v>
      </c>
      <c r="AT123" s="121">
        <f>IFERROR(INDEX(TableOverallMaster[VORP],MATCH(TableOverallRank[[#This Row],[OVERALL PLAYER]],TableOverallMaster[OVERALL PLAYER],0)),"")</f>
        <v>4.6064186199126396E-2</v>
      </c>
      <c r="AV123">
        <v>122</v>
      </c>
      <c r="AW123" s="122" t="str">
        <f>IFERROR(INDEX(TableWRTECalcPts[PLAYER],MATCH(TableWRTERank[[#This Row],[RK]],TableWRTECalcPts[RK],0)),"")</f>
        <v>Jalen McMillan</v>
      </c>
      <c r="AX123" s="122" t="str">
        <f>IFERROR(INDEX(TableWRTECalcPts[POS RK],MATCH(TableWRTERank[[#This Row],[WR and TE COMBINED]],TableWRTECalcPts[PLAYER],0)),"")</f>
        <v>WR93</v>
      </c>
      <c r="AY123" s="122">
        <f>IFERROR(INDEX(TableWRTECalcPts[BYE],MATCH(TableWRTERank[[#This Row],[RK]],TableWRTECalcPts[RK],0)),"")</f>
        <v>5</v>
      </c>
      <c r="AZ123" s="123">
        <f>IFERROR(INDEX(TableWRTECalcPts[Custom],MATCH(TableWRTERank[[#This Row],[RK]],TableWRTECalcPts[RK],0)),"")</f>
        <v>68.307723575783996</v>
      </c>
      <c r="BA123" s="174">
        <f>IFERROR((TableWRTERank[[#This Row],[FPS]]-INDEX(TableWRTERank[FPS],MATCH(WRTEVORPCalc,TableWRTERank[RK],0)))/INDEX(TableWRTERank[FPS],MATCH(WRTEVORPCalc,TableWRTERank[RK],0)),"")</f>
        <v>-0.54243563451788923</v>
      </c>
      <c r="BC123" t="s">
        <v>223</v>
      </c>
      <c r="BD123">
        <v>122</v>
      </c>
      <c r="BE123" s="83">
        <f>RANK(TableWRTEMaster[[#This Row],[VORP]],TableWRTEMaster[VORP])+COUNTIF($BJ$2:BJ123,BJ123)-1</f>
        <v>170</v>
      </c>
      <c r="BF123" s="115" t="str">
        <f>IFERROR(INDEX(TableWRVORP[WIDE RECEIVER],MATCH(TableWRTEMaster[[#This Row],[RK]],TableWRVORP[RK],0)),"")</f>
        <v>Calvin Austin</v>
      </c>
      <c r="BG123" s="115" t="str">
        <f>_xlfn.CONCAT(TableWRTEMaster[[#This Row],[POS]],TableWRTEMaster[[#This Row],[RK]])</f>
        <v>WR122</v>
      </c>
      <c r="BH123" s="115">
        <f>IFERROR(INDEX(TableWRVORP[BYE],MATCH(TableWRTEMaster[[#This Row],[RK]],TableWRVORP[RK],0)),"")</f>
        <v>6</v>
      </c>
      <c r="BI123" s="116">
        <f>IFERROR(INDEX(TableWRVORP[FPS],MATCH(TableWRTEMaster[[#This Row],[RK]],TableWRVORP[RK],0)),"")</f>
        <v>30.921326519999997</v>
      </c>
      <c r="BJ123" s="117">
        <f>IFERROR(INDEX(TableWRVORP[VORP],MATCH(TableWRTEMaster[[#This Row],[RK]],TableWRVORP[RK],0)),"")</f>
        <v>-0.78586734691930393</v>
      </c>
    </row>
    <row r="124" spans="8:62" x14ac:dyDescent="0.2">
      <c r="H124">
        <v>123</v>
      </c>
      <c r="I124" s="112" t="str">
        <f>IFERROR(INDEX(TableRBCalcPts[PLAYER],MATCH(TableRBVORP[[#This Row],[RK]],TableRBCalcPts[RK],0)),"")</f>
        <v/>
      </c>
      <c r="J124" s="112" t="str">
        <f>IFERROR(INDEX(TableRBCalcPts[TM],MATCH(TableRBVORP[[#This Row],[RK]],TableRBCalcPts[RK],0)),"")</f>
        <v/>
      </c>
      <c r="K124" s="112" t="str">
        <f>IFERROR(INDEX(TableRBCalcPts[BYE],MATCH(TableRBVORP[[#This Row],[RK]],TableRBCalcPts[RK],0)),"")</f>
        <v/>
      </c>
      <c r="L124" s="113" t="str">
        <f>IFERROR(INDEX(TableRBCalcPts[Custom],MATCH(TableRBVORP[[#This Row],[RK]],TableRBCalcPts[RK],0)),"")</f>
        <v/>
      </c>
      <c r="M124" s="114" t="str">
        <f>IFERROR((TableRBVORP[[#This Row],[FPS]]-INDEX(TableRBVORP[FPS],MATCH(RBVORPCalc,TableRBVORP[RK],0)))/INDEX(TableRBVORP[FPS],MATCH(RBVORPCalc,TableRBVORP[RK],0)),"")</f>
        <v/>
      </c>
      <c r="O124">
        <v>123</v>
      </c>
      <c r="P124" s="112" t="str">
        <f>IFERROR(INDEX(TableWRCalcPts[PLAYER],MATCH(TableWRVORP[[#This Row],[RK]],TableWRCalcPts[RK],0)),"")</f>
        <v>Noah Brown</v>
      </c>
      <c r="Q124" s="112" t="str">
        <f>IFERROR(INDEX(TableWRCalcPts[TM],MATCH(TableWRVORP[[#This Row],[RK]],TableWRCalcPts[RK],0)),"")</f>
        <v>HOU</v>
      </c>
      <c r="R124" s="112">
        <f>IFERROR(INDEX(TableWRCalcPts[BYE],MATCH(TableWRVORP[[#This Row],[RK]],TableWRCalcPts[RK],0)),"")</f>
        <v>7</v>
      </c>
      <c r="S124" s="113">
        <f>IFERROR(INDEX(TableWRCalcPts[Custom],MATCH(TableWRVORP[[#This Row],[RK]],TableWRCalcPts[RK],0)),"")</f>
        <v>30.799941070080006</v>
      </c>
      <c r="T124" s="114">
        <f>IFERROR((TableWRVORP[[#This Row],[FPS]]-INDEX(TableWRVORP[FPS],MATCH(WRVORPCalc,TableWRVORP[RK],0)))/INDEX(TableWRVORP[FPS],MATCH(WRVORPCalc,TableWRVORP[RK],0)),"")</f>
        <v>-0.78670795084423406</v>
      </c>
      <c r="AF124" t="s">
        <v>222</v>
      </c>
      <c r="AG124">
        <v>83</v>
      </c>
      <c r="AH124" s="83">
        <f>RANK(TableOverallMaster[[#This Row],[VORP]],TableOverallMaster[VORP])+COUNTIF($AM$2:AM124,AM124)-1</f>
        <v>264</v>
      </c>
      <c r="AI124" s="115" t="str">
        <f>IFERROR(INDEX(TableRBVORP[RUNNING BACK],MATCH(TableOverallMaster[[#This Row],[RK]],TableRBVORP[RK],0)),"")</f>
        <v>Miles Sanders</v>
      </c>
      <c r="AJ124" s="115" t="str">
        <f t="shared" si="1"/>
        <v>RB83</v>
      </c>
      <c r="AK124" s="115">
        <f>IFERROR(INDEX(TableRBVORP[BYE],MATCH(TableOverallMaster[[#This Row],[RK]],TableRBVORP[RK],0)),"")</f>
        <v>7</v>
      </c>
      <c r="AL124" s="116">
        <f>IFERROR(INDEX(TableRBVORP[FPS],MATCH(TableOverallMaster[[#This Row],[RK]],TableRBVORP[RK],0)),"")</f>
        <v>37.084329000767994</v>
      </c>
      <c r="AM124" s="117">
        <f>IFERROR(INDEX(TableRBVORP[VORP],MATCH(TableOverallMaster[[#This Row],[RK]],TableRBVORP[RK],0)),"")</f>
        <v>-0.67099927999288989</v>
      </c>
      <c r="AO124">
        <v>123</v>
      </c>
      <c r="AP124" s="118" t="str">
        <f>IFERROR(INDEX(TableOverallMaster[OVERALL PLAYER],MATCH(TableOverallRank[[#This Row],[RK]],TableOverallMaster[OVR RK],0)),"")</f>
        <v>Tyler Allgeier</v>
      </c>
      <c r="AQ124" s="119" t="str">
        <f>IFERROR(INDEX(TableOverallMaster[POS RK],MATCH(TableOverallRank[[#This Row],[OVERALL PLAYER]],TableOverallMaster[OVERALL PLAYER],0)),"")</f>
        <v>RB40</v>
      </c>
      <c r="AR124" s="120">
        <f>IFERROR(INDEX(TableOverallMaster[BYE],MATCH(TableOverallRank[[#This Row],[OVERALL PLAYER]],TableOverallMaster[OVERALL PLAYER],0)),"")</f>
        <v>11</v>
      </c>
      <c r="AS124" s="119">
        <f>IFERROR(INDEX(TableOverallMaster[Custom],MATCH(TableOverallRank[[#This Row],[OVERALL PLAYER]],TableOverallMaster[OVERALL PLAYER],0)),"")</f>
        <v>117.2617367326272</v>
      </c>
      <c r="AT124" s="121">
        <f>IFERROR(INDEX(TableOverallMaster[VORP],MATCH(TableOverallRank[[#This Row],[OVERALL PLAYER]],TableOverallMaster[OVERALL PLAYER],0)),"")</f>
        <v>4.0309932896981572E-2</v>
      </c>
      <c r="AV124">
        <v>123</v>
      </c>
      <c r="AW124" s="122" t="str">
        <f>IFERROR(INDEX(TableWRTECalcPts[PLAYER],MATCH(TableWRTERank[[#This Row],[RK]],TableWRTECalcPts[RK],0)),"")</f>
        <v>Mike Gesicki</v>
      </c>
      <c r="AX124" s="122" t="str">
        <f>IFERROR(INDEX(TableWRTECalcPts[POS RK],MATCH(TableWRTERank[[#This Row],[WR and TE COMBINED]],TableWRTECalcPts[PLAYER],0)),"")</f>
        <v>TE30</v>
      </c>
      <c r="AY124" s="122">
        <f>IFERROR(INDEX(TableWRTECalcPts[BYE],MATCH(TableWRTERank[[#This Row],[RK]],TableWRTECalcPts[RK],0)),"")</f>
        <v>7</v>
      </c>
      <c r="AZ124" s="123">
        <f>IFERROR(INDEX(TableWRTECalcPts[Custom],MATCH(TableWRTERank[[#This Row],[RK]],TableWRTECalcPts[RK],0)),"")</f>
        <v>67.972915915967988</v>
      </c>
      <c r="BA124" s="174">
        <f>IFERROR((TableWRTERank[[#This Row],[FPS]]-INDEX(TableWRTERank[FPS],MATCH(WRTEVORPCalc,TableWRTERank[RK],0)))/INDEX(TableWRTERank[FPS],MATCH(WRTEVORPCalc,TableWRTERank[RK],0)),"")</f>
        <v>-0.54467836852222618</v>
      </c>
      <c r="BC124" t="s">
        <v>223</v>
      </c>
      <c r="BD124">
        <v>123</v>
      </c>
      <c r="BE124" s="83">
        <f>RANK(TableWRTEMaster[[#This Row],[VORP]],TableWRTEMaster[VORP])+COUNTIF($BJ$2:BJ124,BJ124)-1</f>
        <v>171</v>
      </c>
      <c r="BF124" s="115" t="str">
        <f>IFERROR(INDEX(TableWRVORP[WIDE RECEIVER],MATCH(TableWRTEMaster[[#This Row],[RK]],TableWRVORP[RK],0)),"")</f>
        <v>Noah Brown</v>
      </c>
      <c r="BG124" s="115" t="str">
        <f>_xlfn.CONCAT(TableWRTEMaster[[#This Row],[POS]],TableWRTEMaster[[#This Row],[RK]])</f>
        <v>WR123</v>
      </c>
      <c r="BH124" s="115">
        <f>IFERROR(INDEX(TableWRVORP[BYE],MATCH(TableWRTEMaster[[#This Row],[RK]],TableWRVORP[RK],0)),"")</f>
        <v>7</v>
      </c>
      <c r="BI124" s="116">
        <f>IFERROR(INDEX(TableWRVORP[FPS],MATCH(TableWRTEMaster[[#This Row],[RK]],TableWRVORP[RK],0)),"")</f>
        <v>30.799941070080006</v>
      </c>
      <c r="BJ124" s="117">
        <f>IFERROR(INDEX(TableWRVORP[VORP],MATCH(TableWRTEMaster[[#This Row],[RK]],TableWRVORP[RK],0)),"")</f>
        <v>-0.78670795084423406</v>
      </c>
    </row>
    <row r="125" spans="8:62" x14ac:dyDescent="0.2">
      <c r="H125">
        <v>124</v>
      </c>
      <c r="I125" s="112" t="str">
        <f>IFERROR(INDEX(TableRBCalcPts[PLAYER],MATCH(TableRBVORP[[#This Row],[RK]],TableRBCalcPts[RK],0)),"")</f>
        <v/>
      </c>
      <c r="J125" s="112" t="str">
        <f>IFERROR(INDEX(TableRBCalcPts[TM],MATCH(TableRBVORP[[#This Row],[RK]],TableRBCalcPts[RK],0)),"")</f>
        <v/>
      </c>
      <c r="K125" s="112" t="str">
        <f>IFERROR(INDEX(TableRBCalcPts[BYE],MATCH(TableRBVORP[[#This Row],[RK]],TableRBCalcPts[RK],0)),"")</f>
        <v/>
      </c>
      <c r="L125" s="113" t="str">
        <f>IFERROR(INDEX(TableRBCalcPts[Custom],MATCH(TableRBVORP[[#This Row],[RK]],TableRBCalcPts[RK],0)),"")</f>
        <v/>
      </c>
      <c r="M125" s="114" t="str">
        <f>IFERROR((TableRBVORP[[#This Row],[FPS]]-INDEX(TableRBVORP[FPS],MATCH(RBVORPCalc,TableRBVORP[RK],0)))/INDEX(TableRBVORP[FPS],MATCH(RBVORPCalc,TableRBVORP[RK],0)),"")</f>
        <v/>
      </c>
      <c r="O125">
        <v>124</v>
      </c>
      <c r="P125" s="112" t="str">
        <f>IFERROR(INDEX(TableWRCalcPts[PLAYER],MATCH(TableWRVORP[[#This Row],[RK]],TableWRCalcPts[RK],0)),"")</f>
        <v>Donovan Peoples-Jones</v>
      </c>
      <c r="Q125" s="112" t="str">
        <f>IFERROR(INDEX(TableWRCalcPts[TM],MATCH(TableWRVORP[[#This Row],[RK]],TableWRCalcPts[RK],0)),"")</f>
        <v>DET</v>
      </c>
      <c r="R125" s="112">
        <f>IFERROR(INDEX(TableWRCalcPts[BYE],MATCH(TableWRVORP[[#This Row],[RK]],TableWRCalcPts[RK],0)),"")</f>
        <v>9</v>
      </c>
      <c r="S125" s="113">
        <f>IFERROR(INDEX(TableWRCalcPts[Custom],MATCH(TableWRVORP[[#This Row],[RK]],TableWRCalcPts[RK],0)),"")</f>
        <v>30.736910793455994</v>
      </c>
      <c r="T125" s="114">
        <f>IFERROR((TableWRVORP[[#This Row],[FPS]]-INDEX(TableWRVORP[FPS],MATCH(WRVORPCalc,TableWRVORP[RK],0)))/INDEX(TableWRVORP[FPS],MATCH(WRVORPCalc,TableWRVORP[RK],0)),"")</f>
        <v>-0.78714444053846444</v>
      </c>
      <c r="AF125" t="s">
        <v>222</v>
      </c>
      <c r="AG125">
        <v>84</v>
      </c>
      <c r="AH125" s="83">
        <f>RANK(TableOverallMaster[[#This Row],[VORP]],TableOverallMaster[VORP])+COUNTIF($AM$2:AM125,AM125)-1</f>
        <v>268</v>
      </c>
      <c r="AI125" s="115" t="str">
        <f>IFERROR(INDEX(TableRBVORP[RUNNING BACK],MATCH(TableOverallMaster[[#This Row],[RK]],TableRBVORP[RK],0)),"")</f>
        <v>Israel Abanikanda</v>
      </c>
      <c r="AJ125" s="115" t="str">
        <f t="shared" si="1"/>
        <v>RB84</v>
      </c>
      <c r="AK125" s="115">
        <f>IFERROR(INDEX(TableRBVORP[BYE],MATCH(TableOverallMaster[[#This Row],[RK]],TableRBVORP[RK],0)),"")</f>
        <v>7</v>
      </c>
      <c r="AL125" s="116">
        <f>IFERROR(INDEX(TableRBVORP[FPS],MATCH(TableOverallMaster[[#This Row],[RK]],TableRBVORP[RK],0)),"")</f>
        <v>33.195925074849605</v>
      </c>
      <c r="AM125" s="117">
        <f>IFERROR(INDEX(TableRBVORP[VORP],MATCH(TableOverallMaster[[#This Row],[RK]],TableRBVORP[RK],0)),"")</f>
        <v>-0.70549599938288154</v>
      </c>
      <c r="AO125">
        <v>124</v>
      </c>
      <c r="AP125" s="118" t="str">
        <f>IFERROR(INDEX(TableOverallMaster[OVERALL PLAYER],MATCH(TableOverallRank[[#This Row],[RK]],TableOverallMaster[OVR RK],0)),"")</f>
        <v>Baker Mayfield</v>
      </c>
      <c r="AQ125" s="119" t="str">
        <f>IFERROR(INDEX(TableOverallMaster[POS RK],MATCH(TableOverallRank[[#This Row],[OVERALL PLAYER]],TableOverallMaster[OVERALL PLAYER],0)),"")</f>
        <v>QB22</v>
      </c>
      <c r="AR125" s="120">
        <f>IFERROR(INDEX(TableOverallMaster[BYE],MATCH(TableOverallRank[[#This Row],[OVERALL PLAYER]],TableOverallMaster[OVERALL PLAYER],0)),"")</f>
        <v>5</v>
      </c>
      <c r="AS125" s="119">
        <f>IFERROR(INDEX(TableOverallMaster[Custom],MATCH(TableOverallRank[[#This Row],[OVERALL PLAYER]],TableOverallMaster[OVERALL PLAYER],0)),"")</f>
        <v>284.69249361643199</v>
      </c>
      <c r="AT125" s="121">
        <f>IFERROR(INDEX(TableOverallMaster[VORP],MATCH(TableOverallRank[[#This Row],[OVERALL PLAYER]],TableOverallMaster[OVERALL PLAYER],0)),"")</f>
        <v>3.7330770856607326E-2</v>
      </c>
      <c r="AV125">
        <v>124</v>
      </c>
      <c r="AW125" s="122" t="str">
        <f>IFERROR(INDEX(TableWRTECalcPts[PLAYER],MATCH(TableWRTERank[[#This Row],[RK]],TableWRTECalcPts[RK],0)),"")</f>
        <v>Tucker Kraft</v>
      </c>
      <c r="AX125" s="122" t="str">
        <f>IFERROR(INDEX(TableWRTECalcPts[POS RK],MATCH(TableWRTERank[[#This Row],[WR and TE COMBINED]],TableWRTECalcPts[PLAYER],0)),"")</f>
        <v>TE31</v>
      </c>
      <c r="AY125" s="122">
        <f>IFERROR(INDEX(TableWRTECalcPts[BYE],MATCH(TableWRTERank[[#This Row],[RK]],TableWRTECalcPts[RK],0)),"")</f>
        <v>6</v>
      </c>
      <c r="AZ125" s="123">
        <f>IFERROR(INDEX(TableWRTECalcPts[Custom],MATCH(TableWRTERank[[#This Row],[RK]],TableWRTECalcPts[RK],0)),"")</f>
        <v>67.057766586496001</v>
      </c>
      <c r="BA125" s="174">
        <f>IFERROR((TableWRTERank[[#This Row],[FPS]]-INDEX(TableWRTERank[FPS],MATCH(WRTEVORPCalc,TableWRTERank[RK],0)))/INDEX(TableWRTERank[FPS],MATCH(WRTEVORPCalc,TableWRTERank[RK],0)),"")</f>
        <v>-0.55080856435281422</v>
      </c>
      <c r="BC125" t="s">
        <v>223</v>
      </c>
      <c r="BD125">
        <v>124</v>
      </c>
      <c r="BE125" s="83">
        <f>RANK(TableWRTEMaster[[#This Row],[VORP]],TableWRTEMaster[VORP])+COUNTIF($BJ$2:BJ125,BJ125)-1</f>
        <v>172</v>
      </c>
      <c r="BF125" s="115" t="str">
        <f>IFERROR(INDEX(TableWRVORP[WIDE RECEIVER],MATCH(TableWRTEMaster[[#This Row],[RK]],TableWRVORP[RK],0)),"")</f>
        <v>Donovan Peoples-Jones</v>
      </c>
      <c r="BG125" s="115" t="str">
        <f>_xlfn.CONCAT(TableWRTEMaster[[#This Row],[POS]],TableWRTEMaster[[#This Row],[RK]])</f>
        <v>WR124</v>
      </c>
      <c r="BH125" s="115">
        <f>IFERROR(INDEX(TableWRVORP[BYE],MATCH(TableWRTEMaster[[#This Row],[RK]],TableWRVORP[RK],0)),"")</f>
        <v>9</v>
      </c>
      <c r="BI125" s="116">
        <f>IFERROR(INDEX(TableWRVORP[FPS],MATCH(TableWRTEMaster[[#This Row],[RK]],TableWRVORP[RK],0)),"")</f>
        <v>30.736910793455994</v>
      </c>
      <c r="BJ125" s="117">
        <f>IFERROR(INDEX(TableWRVORP[VORP],MATCH(TableWRTEMaster[[#This Row],[RK]],TableWRVORP[RK],0)),"")</f>
        <v>-0.78714444053846444</v>
      </c>
    </row>
    <row r="126" spans="8:62" x14ac:dyDescent="0.2">
      <c r="H126">
        <v>125</v>
      </c>
      <c r="I126" s="112" t="str">
        <f>IFERROR(INDEX(TableRBCalcPts[PLAYER],MATCH(TableRBVORP[[#This Row],[RK]],TableRBCalcPts[RK],0)),"")</f>
        <v/>
      </c>
      <c r="J126" s="112" t="str">
        <f>IFERROR(INDEX(TableRBCalcPts[TM],MATCH(TableRBVORP[[#This Row],[RK]],TableRBCalcPts[RK],0)),"")</f>
        <v/>
      </c>
      <c r="K126" s="112" t="str">
        <f>IFERROR(INDEX(TableRBCalcPts[BYE],MATCH(TableRBVORP[[#This Row],[RK]],TableRBCalcPts[RK],0)),"")</f>
        <v/>
      </c>
      <c r="L126" s="113" t="str">
        <f>IFERROR(INDEX(TableRBCalcPts[Custom],MATCH(TableRBVORP[[#This Row],[RK]],TableRBCalcPts[RK],0)),"")</f>
        <v/>
      </c>
      <c r="M126" s="114" t="str">
        <f>IFERROR((TableRBVORP[[#This Row],[FPS]]-INDEX(TableRBVORP[FPS],MATCH(RBVORPCalc,TableRBVORP[RK],0)))/INDEX(TableRBVORP[FPS],MATCH(RBVORPCalc,TableRBVORP[RK],0)),"")</f>
        <v/>
      </c>
      <c r="O126">
        <v>125</v>
      </c>
      <c r="P126" s="112" t="str">
        <f>IFERROR(INDEX(TableWRCalcPts[PLAYER],MATCH(TableWRVORP[[#This Row],[RK]],TableWRCalcPts[RK],0)),"")</f>
        <v>Jonathan Mingo</v>
      </c>
      <c r="Q126" s="112" t="str">
        <f>IFERROR(INDEX(TableWRCalcPts[TM],MATCH(TableWRVORP[[#This Row],[RK]],TableWRCalcPts[RK],0)),"")</f>
        <v>CAR</v>
      </c>
      <c r="R126" s="112">
        <f>IFERROR(INDEX(TableWRCalcPts[BYE],MATCH(TableWRVORP[[#This Row],[RK]],TableWRCalcPts[RK],0)),"")</f>
        <v>7</v>
      </c>
      <c r="S126" s="113">
        <f>IFERROR(INDEX(TableWRCalcPts[Custom],MATCH(TableWRVORP[[#This Row],[RK]],TableWRCalcPts[RK],0)),"")</f>
        <v>29.630162097535994</v>
      </c>
      <c r="T126" s="114">
        <f>IFERROR((TableWRVORP[[#This Row],[FPS]]-INDEX(TableWRVORP[FPS],MATCH(WRVORPCalc,TableWRVORP[RK],0)))/INDEX(TableWRVORP[FPS],MATCH(WRVORPCalc,TableWRVORP[RK],0)),"")</f>
        <v>-0.79480876355506158</v>
      </c>
      <c r="AF126" t="s">
        <v>222</v>
      </c>
      <c r="AG126">
        <v>85</v>
      </c>
      <c r="AH126" s="83">
        <f>RANK(TableOverallMaster[[#This Row],[VORP]],TableOverallMaster[VORP])+COUNTIF($AM$2:AM126,AM126)-1</f>
        <v>275</v>
      </c>
      <c r="AI126" s="115" t="str">
        <f>IFERROR(INDEX(TableRBVORP[RUNNING BACK],MATCH(TableOverallMaster[[#This Row],[RK]],TableRBVORP[RK],0)),"")</f>
        <v>D'Ernest Johnson</v>
      </c>
      <c r="AJ126" s="115" t="str">
        <f t="shared" si="1"/>
        <v>RB85</v>
      </c>
      <c r="AK126" s="115">
        <f>IFERROR(INDEX(TableRBVORP[BYE],MATCH(TableOverallMaster[[#This Row],[RK]],TableRBVORP[RK],0)),"")</f>
        <v>9</v>
      </c>
      <c r="AL126" s="116">
        <f>IFERROR(INDEX(TableRBVORP[FPS],MATCH(TableOverallMaster[[#This Row],[RK]],TableRBVORP[RK],0)),"")</f>
        <v>29.691011263031999</v>
      </c>
      <c r="AM126" s="117">
        <f>IFERROR(INDEX(TableRBVORP[VORP],MATCH(TableOverallMaster[[#This Row],[RK]],TableRBVORP[RK],0)),"")</f>
        <v>-0.73659051285316646</v>
      </c>
      <c r="AO126">
        <v>125</v>
      </c>
      <c r="AP126" s="118" t="str">
        <f>IFERROR(INDEX(TableOverallMaster[OVERALL PLAYER],MATCH(TableOverallRank[[#This Row],[RK]],TableOverallMaster[OVR RK],0)),"")</f>
        <v>Ty Chandler</v>
      </c>
      <c r="AQ126" s="119" t="str">
        <f>IFERROR(INDEX(TableOverallMaster[POS RK],MATCH(TableOverallRank[[#This Row],[OVERALL PLAYER]],TableOverallMaster[OVERALL PLAYER],0)),"")</f>
        <v>RB41</v>
      </c>
      <c r="AR126" s="120">
        <f>IFERROR(INDEX(TableOverallMaster[BYE],MATCH(TableOverallRank[[#This Row],[OVERALL PLAYER]],TableOverallMaster[OVERALL PLAYER],0)),"")</f>
        <v>13</v>
      </c>
      <c r="AS126" s="119">
        <f>IFERROR(INDEX(TableOverallMaster[Custom],MATCH(TableOverallRank[[#This Row],[OVERALL PLAYER]],TableOverallMaster[OVERALL PLAYER],0)),"")</f>
        <v>116.83272378624001</v>
      </c>
      <c r="AT126" s="121">
        <f>IFERROR(INDEX(TableOverallMaster[VORP],MATCH(TableOverallRank[[#This Row],[OVERALL PLAYER]],TableOverallMaster[OVERALL PLAYER],0)),"")</f>
        <v>3.6503862460845755E-2</v>
      </c>
      <c r="AV126">
        <v>125</v>
      </c>
      <c r="AW126" s="122" t="str">
        <f>IFERROR(INDEX(TableWRTECalcPts[PLAYER],MATCH(TableWRTERank[[#This Row],[RK]],TableWRTECalcPts[RK],0)),"")</f>
        <v>JuJu Smith-Schuster</v>
      </c>
      <c r="AX126" s="122" t="str">
        <f>IFERROR(INDEX(TableWRTECalcPts[POS RK],MATCH(TableWRTERank[[#This Row],[WR and TE COMBINED]],TableWRTECalcPts[PLAYER],0)),"")</f>
        <v>WR94</v>
      </c>
      <c r="AY126" s="122">
        <f>IFERROR(INDEX(TableWRTECalcPts[BYE],MATCH(TableWRTERank[[#This Row],[RK]],TableWRTECalcPts[RK],0)),"")</f>
        <v>11</v>
      </c>
      <c r="AZ126" s="123">
        <f>IFERROR(INDEX(TableWRTECalcPts[Custom],MATCH(TableWRTERank[[#This Row],[RK]],TableWRTECalcPts[RK],0)),"")</f>
        <v>64.556631484799979</v>
      </c>
      <c r="BA126" s="174">
        <f>IFERROR((TableWRTERank[[#This Row],[FPS]]-INDEX(TableWRTERank[FPS],MATCH(WRTEVORPCalc,TableWRTERank[RK],0)))/INDEX(TableWRTERank[FPS],MATCH(WRTEVORPCalc,TableWRTERank[RK],0)),"")</f>
        <v>-0.56756260380668189</v>
      </c>
      <c r="BC126" t="s">
        <v>223</v>
      </c>
      <c r="BD126">
        <v>125</v>
      </c>
      <c r="BE126" s="83">
        <f>RANK(TableWRTEMaster[[#This Row],[VORP]],TableWRTEMaster[VORP])+COUNTIF($BJ$2:BJ126,BJ126)-1</f>
        <v>174</v>
      </c>
      <c r="BF126" s="115" t="str">
        <f>IFERROR(INDEX(TableWRVORP[WIDE RECEIVER],MATCH(TableWRTEMaster[[#This Row],[RK]],TableWRVORP[RK],0)),"")</f>
        <v>Jonathan Mingo</v>
      </c>
      <c r="BG126" s="115" t="str">
        <f>_xlfn.CONCAT(TableWRTEMaster[[#This Row],[POS]],TableWRTEMaster[[#This Row],[RK]])</f>
        <v>WR125</v>
      </c>
      <c r="BH126" s="115">
        <f>IFERROR(INDEX(TableWRVORP[BYE],MATCH(TableWRTEMaster[[#This Row],[RK]],TableWRVORP[RK],0)),"")</f>
        <v>7</v>
      </c>
      <c r="BI126" s="116">
        <f>IFERROR(INDEX(TableWRVORP[FPS],MATCH(TableWRTEMaster[[#This Row],[RK]],TableWRVORP[RK],0)),"")</f>
        <v>29.630162097535994</v>
      </c>
      <c r="BJ126" s="117">
        <f>IFERROR(INDEX(TableWRVORP[VORP],MATCH(TableWRTEMaster[[#This Row],[RK]],TableWRVORP[RK],0)),"")</f>
        <v>-0.79480876355506158</v>
      </c>
    </row>
    <row r="127" spans="8:62" x14ac:dyDescent="0.2">
      <c r="H127">
        <v>126</v>
      </c>
      <c r="I127" s="112" t="str">
        <f>IFERROR(INDEX(TableRBCalcPts[PLAYER],MATCH(TableRBVORP[[#This Row],[RK]],TableRBCalcPts[RK],0)),"")</f>
        <v/>
      </c>
      <c r="J127" s="112" t="str">
        <f>IFERROR(INDEX(TableRBCalcPts[TM],MATCH(TableRBVORP[[#This Row],[RK]],TableRBCalcPts[RK],0)),"")</f>
        <v/>
      </c>
      <c r="K127" s="112" t="str">
        <f>IFERROR(INDEX(TableRBCalcPts[BYE],MATCH(TableRBVORP[[#This Row],[RK]],TableRBCalcPts[RK],0)),"")</f>
        <v/>
      </c>
      <c r="L127" s="113" t="str">
        <f>IFERROR(INDEX(TableRBCalcPts[Custom],MATCH(TableRBVORP[[#This Row],[RK]],TableRBCalcPts[RK],0)),"")</f>
        <v/>
      </c>
      <c r="M127" s="114" t="str">
        <f>IFERROR((TableRBVORP[[#This Row],[FPS]]-INDEX(TableRBVORP[FPS],MATCH(RBVORPCalc,TableRBVORP[RK],0)))/INDEX(TableRBVORP[FPS],MATCH(RBVORPCalc,TableRBVORP[RK],0)),"")</f>
        <v/>
      </c>
      <c r="O127">
        <v>126</v>
      </c>
      <c r="P127" s="112" t="str">
        <f>IFERROR(INDEX(TableWRCalcPts[PLAYER],MATCH(TableWRVORP[[#This Row],[RK]],TableWRCalcPts[RK],0)),"")</f>
        <v>Jauan Jennings</v>
      </c>
      <c r="Q127" s="112" t="str">
        <f>IFERROR(INDEX(TableWRCalcPts[TM],MATCH(TableWRVORP[[#This Row],[RK]],TableWRCalcPts[RK],0)),"")</f>
        <v>SF</v>
      </c>
      <c r="R127" s="112">
        <f>IFERROR(INDEX(TableWRCalcPts[BYE],MATCH(TableWRVORP[[#This Row],[RK]],TableWRCalcPts[RK],0)),"")</f>
        <v>9</v>
      </c>
      <c r="S127" s="113">
        <f>IFERROR(INDEX(TableWRCalcPts[Custom],MATCH(TableWRVORP[[#This Row],[RK]],TableWRCalcPts[RK],0)),"")</f>
        <v>29.207740994611196</v>
      </c>
      <c r="T127" s="114">
        <f>IFERROR((TableWRVORP[[#This Row],[FPS]]-INDEX(TableWRVORP[FPS],MATCH(WRVORPCalc,TableWRVORP[RK],0)))/INDEX(TableWRVORP[FPS],MATCH(WRVORPCalc,TableWRVORP[RK],0)),"")</f>
        <v>-0.79773406339393016</v>
      </c>
      <c r="AF127" t="s">
        <v>222</v>
      </c>
      <c r="AG127">
        <v>86</v>
      </c>
      <c r="AH127" s="83">
        <f>RANK(TableOverallMaster[[#This Row],[VORP]],TableOverallMaster[VORP])+COUNTIF($AM$2:AM127,AM127)-1</f>
        <v>277</v>
      </c>
      <c r="AI127" s="115" t="str">
        <f>IFERROR(INDEX(TableRBVORP[RUNNING BACK],MATCH(TableOverallMaster[[#This Row],[RK]],TableRBVORP[RK],0)),"")</f>
        <v>Kenny McIntosh</v>
      </c>
      <c r="AJ127" s="115" t="str">
        <f t="shared" si="1"/>
        <v>RB86</v>
      </c>
      <c r="AK127" s="115">
        <f>IFERROR(INDEX(TableRBVORP[BYE],MATCH(TableOverallMaster[[#This Row],[RK]],TableRBVORP[RK],0)),"")</f>
        <v>5</v>
      </c>
      <c r="AL127" s="116">
        <f>IFERROR(INDEX(TableRBVORP[FPS],MATCH(TableOverallMaster[[#This Row],[RK]],TableRBVORP[RK],0)),"")</f>
        <v>28.830867027374996</v>
      </c>
      <c r="AM127" s="117">
        <f>IFERROR(INDEX(TableRBVORP[VORP],MATCH(TableOverallMaster[[#This Row],[RK]],TableRBVORP[RK],0)),"")</f>
        <v>-0.74422144700962001</v>
      </c>
      <c r="AO127">
        <v>126</v>
      </c>
      <c r="AP127" s="118" t="str">
        <f>IFERROR(INDEX(TableOverallMaster[OVERALL PLAYER],MATCH(TableOverallRank[[#This Row],[RK]],TableOverallMaster[OVR RK],0)),"")</f>
        <v>J.J. McCarthy</v>
      </c>
      <c r="AQ127" s="119" t="str">
        <f>IFERROR(INDEX(TableOverallMaster[POS RK],MATCH(TableOverallRank[[#This Row],[OVERALL PLAYER]],TableOverallMaster[OVERALL PLAYER],0)),"")</f>
        <v>QB23</v>
      </c>
      <c r="AR127" s="120">
        <f>IFERROR(INDEX(TableOverallMaster[BYE],MATCH(TableOverallRank[[#This Row],[OVERALL PLAYER]],TableOverallMaster[OVERALL PLAYER],0)),"")</f>
        <v>13</v>
      </c>
      <c r="AS127" s="119">
        <f>IFERROR(INDEX(TableOverallMaster[Custom],MATCH(TableOverallRank[[#This Row],[OVERALL PLAYER]],TableOverallMaster[OVERALL PLAYER],0)),"")</f>
        <v>284.59812010240006</v>
      </c>
      <c r="AT127" s="121">
        <f>IFERROR(INDEX(TableOverallMaster[VORP],MATCH(TableOverallRank[[#This Row],[OVERALL PLAYER]],TableOverallMaster[OVERALL PLAYER],0)),"")</f>
        <v>3.3994236871382144E-2</v>
      </c>
      <c r="AV127">
        <v>126</v>
      </c>
      <c r="AW127" s="122" t="str">
        <f>IFERROR(INDEX(TableWRTECalcPts[PLAYER],MATCH(TableWRTERank[[#This Row],[RK]],TableWRTECalcPts[RK],0)),"")</f>
        <v>Ricky Pearsall</v>
      </c>
      <c r="AX127" s="122" t="str">
        <f>IFERROR(INDEX(TableWRTECalcPts[POS RK],MATCH(TableWRTERank[[#This Row],[WR and TE COMBINED]],TableWRTECalcPts[PLAYER],0)),"")</f>
        <v>WR95</v>
      </c>
      <c r="AY127" s="122">
        <f>IFERROR(INDEX(TableWRTECalcPts[BYE],MATCH(TableWRTERank[[#This Row],[RK]],TableWRTECalcPts[RK],0)),"")</f>
        <v>9</v>
      </c>
      <c r="AZ127" s="123">
        <f>IFERROR(INDEX(TableWRTECalcPts[Custom],MATCH(TableWRTERank[[#This Row],[RK]],TableWRTECalcPts[RK],0)),"")</f>
        <v>63.409202041651184</v>
      </c>
      <c r="BA127" s="174">
        <f>IFERROR((TableWRTERank[[#This Row],[FPS]]-INDEX(TableWRTERank[FPS],MATCH(WRTEVORPCalc,TableWRTERank[RK],0)))/INDEX(TableWRTERank[FPS],MATCH(WRTEVORPCalc,TableWRTERank[RK],0)),"")</f>
        <v>-0.57524874525022429</v>
      </c>
      <c r="BC127" t="s">
        <v>223</v>
      </c>
      <c r="BD127">
        <v>126</v>
      </c>
      <c r="BE127" s="83">
        <f>RANK(TableWRTEMaster[[#This Row],[VORP]],TableWRTEMaster[VORP])+COUNTIF($BJ$2:BJ127,BJ127)-1</f>
        <v>175</v>
      </c>
      <c r="BF127" s="115" t="str">
        <f>IFERROR(INDEX(TableWRVORP[WIDE RECEIVER],MATCH(TableWRTEMaster[[#This Row],[RK]],TableWRVORP[RK],0)),"")</f>
        <v>Jauan Jennings</v>
      </c>
      <c r="BG127" s="115" t="str">
        <f>_xlfn.CONCAT(TableWRTEMaster[[#This Row],[POS]],TableWRTEMaster[[#This Row],[RK]])</f>
        <v>WR126</v>
      </c>
      <c r="BH127" s="115">
        <f>IFERROR(INDEX(TableWRVORP[BYE],MATCH(TableWRTEMaster[[#This Row],[RK]],TableWRVORP[RK],0)),"")</f>
        <v>9</v>
      </c>
      <c r="BI127" s="116">
        <f>IFERROR(INDEX(TableWRVORP[FPS],MATCH(TableWRTEMaster[[#This Row],[RK]],TableWRVORP[RK],0)),"")</f>
        <v>29.207740994611196</v>
      </c>
      <c r="BJ127" s="117">
        <f>IFERROR(INDEX(TableWRVORP[VORP],MATCH(TableWRTEMaster[[#This Row],[RK]],TableWRVORP[RK],0)),"")</f>
        <v>-0.79773406339393016</v>
      </c>
    </row>
    <row r="128" spans="8:62" x14ac:dyDescent="0.2">
      <c r="H128">
        <v>127</v>
      </c>
      <c r="I128" s="112" t="str">
        <f>IFERROR(INDEX(TableRBCalcPts[PLAYER],MATCH(TableRBVORP[[#This Row],[RK]],TableRBCalcPts[RK],0)),"")</f>
        <v/>
      </c>
      <c r="J128" s="112" t="str">
        <f>IFERROR(INDEX(TableRBCalcPts[TM],MATCH(TableRBVORP[[#This Row],[RK]],TableRBCalcPts[RK],0)),"")</f>
        <v/>
      </c>
      <c r="K128" s="112" t="str">
        <f>IFERROR(INDEX(TableRBCalcPts[BYE],MATCH(TableRBVORP[[#This Row],[RK]],TableRBCalcPts[RK],0)),"")</f>
        <v/>
      </c>
      <c r="L128" s="113" t="str">
        <f>IFERROR(INDEX(TableRBCalcPts[Custom],MATCH(TableRBVORP[[#This Row],[RK]],TableRBCalcPts[RK],0)),"")</f>
        <v/>
      </c>
      <c r="M128" s="114" t="str">
        <f>IFERROR((TableRBVORP[[#This Row],[FPS]]-INDEX(TableRBVORP[FPS],MATCH(RBVORPCalc,TableRBVORP[RK],0)))/INDEX(TableRBVORP[FPS],MATCH(RBVORPCalc,TableRBVORP[RK],0)),"")</f>
        <v/>
      </c>
      <c r="O128">
        <v>127</v>
      </c>
      <c r="P128" s="112" t="str">
        <f>IFERROR(INDEX(TableWRCalcPts[PLAYER],MATCH(TableWRVORP[[#This Row],[RK]],TableWRCalcPts[RK],0)),"")</f>
        <v>Skyy Moore</v>
      </c>
      <c r="Q128" s="112" t="str">
        <f>IFERROR(INDEX(TableWRCalcPts[TM],MATCH(TableWRVORP[[#This Row],[RK]],TableWRCalcPts[RK],0)),"")</f>
        <v>KC</v>
      </c>
      <c r="R128" s="112">
        <f>IFERROR(INDEX(TableWRCalcPts[BYE],MATCH(TableWRVORP[[#This Row],[RK]],TableWRCalcPts[RK],0)),"")</f>
        <v>10</v>
      </c>
      <c r="S128" s="113">
        <f>IFERROR(INDEX(TableWRCalcPts[Custom],MATCH(TableWRVORP[[#This Row],[RK]],TableWRCalcPts[RK],0)),"")</f>
        <v>29.163992088000001</v>
      </c>
      <c r="T128" s="114">
        <f>IFERROR((TableWRVORP[[#This Row],[FPS]]-INDEX(TableWRVORP[FPS],MATCH(WRVORPCalc,TableWRVORP[RK],0)))/INDEX(TableWRVORP[FPS],MATCH(WRVORPCalc,TableWRVORP[RK],0)),"")</f>
        <v>-0.79803702806253762</v>
      </c>
      <c r="AF128" t="s">
        <v>222</v>
      </c>
      <c r="AG128">
        <v>87</v>
      </c>
      <c r="AH128" s="83">
        <f>RANK(TableOverallMaster[[#This Row],[VORP]],TableOverallMaster[VORP])+COUNTIF($AM$2:AM128,AM128)-1</f>
        <v>278</v>
      </c>
      <c r="AI128" s="115" t="str">
        <f>IFERROR(INDEX(TableRBVORP[RUNNING BACK],MATCH(TableOverallMaster[[#This Row],[RK]],TableRBVORP[RK],0)),"")</f>
        <v>Michael Carter</v>
      </c>
      <c r="AJ128" s="115" t="str">
        <f t="shared" si="1"/>
        <v>RB87</v>
      </c>
      <c r="AK128" s="115">
        <f>IFERROR(INDEX(TableRBVORP[BYE],MATCH(TableOverallMaster[[#This Row],[RK]],TableRBVORP[RK],0)),"")</f>
        <v>14</v>
      </c>
      <c r="AL128" s="116">
        <f>IFERROR(INDEX(TableRBVORP[FPS],MATCH(TableOverallMaster[[#This Row],[RK]],TableRBVORP[RK],0)),"")</f>
        <v>28.2512233269</v>
      </c>
      <c r="AM128" s="117">
        <f>IFERROR(INDEX(TableRBVORP[VORP],MATCH(TableOverallMaster[[#This Row],[RK]],TableRBVORP[RK],0)),"")</f>
        <v>-0.74936386700055224</v>
      </c>
      <c r="AO128">
        <v>127</v>
      </c>
      <c r="AP128" s="118" t="str">
        <f>IFERROR(INDEX(TableOverallMaster[OVERALL PLAYER],MATCH(TableOverallRank[[#This Row],[RK]],TableOverallMaster[OVR RK],0)),"")</f>
        <v>Tyler Lockett</v>
      </c>
      <c r="AQ128" s="119" t="str">
        <f>IFERROR(INDEX(TableOverallMaster[POS RK],MATCH(TableOverallRank[[#This Row],[OVERALL PLAYER]],TableOverallMaster[OVERALL PLAYER],0)),"")</f>
        <v>WR53</v>
      </c>
      <c r="AR128" s="120">
        <f>IFERROR(INDEX(TableOverallMaster[BYE],MATCH(TableOverallRank[[#This Row],[OVERALL PLAYER]],TableOverallMaster[OVERALL PLAYER],0)),"")</f>
        <v>5</v>
      </c>
      <c r="AS128" s="119">
        <f>IFERROR(INDEX(TableOverallMaster[Custom],MATCH(TableOverallRank[[#This Row],[OVERALL PLAYER]],TableOverallMaster[OVERALL PLAYER],0)),"")</f>
        <v>149.2854967056096</v>
      </c>
      <c r="AT128" s="121">
        <f>IFERROR(INDEX(TableOverallMaster[VORP],MATCH(TableOverallRank[[#This Row],[OVERALL PLAYER]],TableOverallMaster[OVERALL PLAYER],0)),"")</f>
        <v>3.3813974810085391E-2</v>
      </c>
      <c r="AV128">
        <v>127</v>
      </c>
      <c r="AW128" s="122" t="str">
        <f>IFERROR(INDEX(TableWRTECalcPts[PLAYER],MATCH(TableWRTERank[[#This Row],[RK]],TableWRTECalcPts[RK],0)),"")</f>
        <v>Michael Mayer</v>
      </c>
      <c r="AX128" s="122" t="str">
        <f>IFERROR(INDEX(TableWRTECalcPts[POS RK],MATCH(TableWRTERank[[#This Row],[WR and TE COMBINED]],TableWRTECalcPts[PLAYER],0)),"")</f>
        <v>TE32</v>
      </c>
      <c r="AY128" s="122">
        <f>IFERROR(INDEX(TableWRTECalcPts[BYE],MATCH(TableWRTERank[[#This Row],[RK]],TableWRTECalcPts[RK],0)),"")</f>
        <v>13</v>
      </c>
      <c r="AZ128" s="123">
        <f>IFERROR(INDEX(TableWRTECalcPts[Custom],MATCH(TableWRTERank[[#This Row],[RK]],TableWRTECalcPts[RK],0)),"")</f>
        <v>61.206676159999986</v>
      </c>
      <c r="BA128" s="174">
        <f>IFERROR((TableWRTERank[[#This Row],[FPS]]-INDEX(TableWRTERank[FPS],MATCH(WRTEVORPCalc,TableWRTERank[RK],0)))/INDEX(TableWRTERank[FPS],MATCH(WRTEVORPCalc,TableWRTERank[RK],0)),"")</f>
        <v>-0.59000252864014446</v>
      </c>
      <c r="BC128" t="s">
        <v>223</v>
      </c>
      <c r="BD128">
        <v>127</v>
      </c>
      <c r="BE128" s="83">
        <f>RANK(TableWRTEMaster[[#This Row],[VORP]],TableWRTEMaster[VORP])+COUNTIF($BJ$2:BJ128,BJ128)-1</f>
        <v>176</v>
      </c>
      <c r="BF128" s="115" t="str">
        <f>IFERROR(INDEX(TableWRVORP[WIDE RECEIVER],MATCH(TableWRTEMaster[[#This Row],[RK]],TableWRVORP[RK],0)),"")</f>
        <v>Skyy Moore</v>
      </c>
      <c r="BG128" s="115" t="str">
        <f>_xlfn.CONCAT(TableWRTEMaster[[#This Row],[POS]],TableWRTEMaster[[#This Row],[RK]])</f>
        <v>WR127</v>
      </c>
      <c r="BH128" s="115">
        <f>IFERROR(INDEX(TableWRVORP[BYE],MATCH(TableWRTEMaster[[#This Row],[RK]],TableWRVORP[RK],0)),"")</f>
        <v>10</v>
      </c>
      <c r="BI128" s="116">
        <f>IFERROR(INDEX(TableWRVORP[FPS],MATCH(TableWRTEMaster[[#This Row],[RK]],TableWRVORP[RK],0)),"")</f>
        <v>29.163992088000001</v>
      </c>
      <c r="BJ128" s="117">
        <f>IFERROR(INDEX(TableWRVORP[VORP],MATCH(TableWRTEMaster[[#This Row],[RK]],TableWRVORP[RK],0)),"")</f>
        <v>-0.79803702806253762</v>
      </c>
    </row>
    <row r="129" spans="8:62" x14ac:dyDescent="0.2">
      <c r="H129">
        <v>128</v>
      </c>
      <c r="I129" s="112" t="str">
        <f>IFERROR(INDEX(TableRBCalcPts[PLAYER],MATCH(TableRBVORP[[#This Row],[RK]],TableRBCalcPts[RK],0)),"")</f>
        <v/>
      </c>
      <c r="J129" s="112" t="str">
        <f>IFERROR(INDEX(TableRBCalcPts[TM],MATCH(TableRBVORP[[#This Row],[RK]],TableRBCalcPts[RK],0)),"")</f>
        <v/>
      </c>
      <c r="K129" s="112" t="str">
        <f>IFERROR(INDEX(TableRBCalcPts[BYE],MATCH(TableRBVORP[[#This Row],[RK]],TableRBCalcPts[RK],0)),"")</f>
        <v/>
      </c>
      <c r="L129" s="113" t="str">
        <f>IFERROR(INDEX(TableRBCalcPts[Custom],MATCH(TableRBVORP[[#This Row],[RK]],TableRBCalcPts[RK],0)),"")</f>
        <v/>
      </c>
      <c r="M129" s="114" t="str">
        <f>IFERROR((TableRBVORP[[#This Row],[FPS]]-INDEX(TableRBVORP[FPS],MATCH(RBVORPCalc,TableRBVORP[RK],0)))/INDEX(TableRBVORP[FPS],MATCH(RBVORPCalc,TableRBVORP[RK],0)),"")</f>
        <v/>
      </c>
      <c r="O129">
        <v>128</v>
      </c>
      <c r="P129" s="112" t="str">
        <f>IFERROR(INDEX(TableWRCalcPts[PLAYER],MATCH(TableWRVORP[[#This Row],[RK]],TableWRCalcPts[RK],0)),"")</f>
        <v>Terrace Marshall</v>
      </c>
      <c r="Q129" s="112" t="str">
        <f>IFERROR(INDEX(TableWRCalcPts[TM],MATCH(TableWRVORP[[#This Row],[RK]],TableWRCalcPts[RK],0)),"")</f>
        <v>CAR</v>
      </c>
      <c r="R129" s="112">
        <f>IFERROR(INDEX(TableWRCalcPts[BYE],MATCH(TableWRVORP[[#This Row],[RK]],TableWRCalcPts[RK],0)),"")</f>
        <v>7</v>
      </c>
      <c r="S129" s="113">
        <f>IFERROR(INDEX(TableWRCalcPts[Custom],MATCH(TableWRVORP[[#This Row],[RK]],TableWRCalcPts[RK],0)),"")</f>
        <v>28.987005173839997</v>
      </c>
      <c r="T129" s="114">
        <f>IFERROR((TableWRVORP[[#This Row],[FPS]]-INDEX(TableWRVORP[FPS],MATCH(WRVORPCalc,TableWRVORP[RK],0)))/INDEX(TableWRVORP[FPS],MATCH(WRVORPCalc,TableWRVORP[RK],0)),"")</f>
        <v>-0.799262676563262</v>
      </c>
      <c r="AF129" t="s">
        <v>222</v>
      </c>
      <c r="AG129">
        <v>88</v>
      </c>
      <c r="AH129" s="83">
        <f>RANK(TableOverallMaster[[#This Row],[VORP]],TableOverallMaster[VORP])+COUNTIF($AM$2:AM129,AM129)-1</f>
        <v>282</v>
      </c>
      <c r="AI129" s="115" t="str">
        <f>IFERROR(INDEX(TableRBVORP[RUNNING BACK],MATCH(TableOverallMaster[[#This Row],[RK]],TableRBVORP[RK],0)),"")</f>
        <v>Isaiah Spiller</v>
      </c>
      <c r="AJ129" s="115" t="str">
        <f t="shared" si="1"/>
        <v>RB88</v>
      </c>
      <c r="AK129" s="115">
        <f>IFERROR(INDEX(TableRBVORP[BYE],MATCH(TableOverallMaster[[#This Row],[RK]],TableRBVORP[RK],0)),"")</f>
        <v>5</v>
      </c>
      <c r="AL129" s="116">
        <f>IFERROR(INDEX(TableRBVORP[FPS],MATCH(TableOverallMaster[[#This Row],[RK]],TableRBVORP[RK],0)),"")</f>
        <v>23.872239645878398</v>
      </c>
      <c r="AM129" s="117">
        <f>IFERROR(INDEX(TableRBVORP[VORP],MATCH(TableOverallMaster[[#This Row],[RK]],TableRBVORP[RK],0)),"")</f>
        <v>-0.78821285854966883</v>
      </c>
      <c r="AO129">
        <v>128</v>
      </c>
      <c r="AP129" s="118" t="str">
        <f>IFERROR(INDEX(TableOverallMaster[OVERALL PLAYER],MATCH(TableOverallRank[[#This Row],[RK]],TableOverallMaster[OVR RK],0)),"")</f>
        <v>Marquise Brown</v>
      </c>
      <c r="AQ129" s="119" t="str">
        <f>IFERROR(INDEX(TableOverallMaster[POS RK],MATCH(TableOverallRank[[#This Row],[OVERALL PLAYER]],TableOverallMaster[OVERALL PLAYER],0)),"")</f>
        <v>WR54</v>
      </c>
      <c r="AR129" s="120">
        <f>IFERROR(INDEX(TableOverallMaster[BYE],MATCH(TableOverallRank[[#This Row],[OVERALL PLAYER]],TableOverallMaster[OVERALL PLAYER],0)),"")</f>
        <v>10</v>
      </c>
      <c r="AS129" s="119">
        <f>IFERROR(INDEX(TableOverallMaster[Custom],MATCH(TableOverallRank[[#This Row],[OVERALL PLAYER]],TableOverallMaster[OVERALL PLAYER],0)),"")</f>
        <v>147.63615491071997</v>
      </c>
      <c r="AT129" s="121">
        <f>IFERROR(INDEX(TableOverallMaster[VORP],MATCH(TableOverallRank[[#This Row],[OVERALL PLAYER]],TableOverallMaster[OVERALL PLAYER],0)),"")</f>
        <v>2.2392151294585216E-2</v>
      </c>
      <c r="AV129">
        <v>128</v>
      </c>
      <c r="AW129" s="122" t="str">
        <f>IFERROR(INDEX(TableWRTECalcPts[PLAYER],MATCH(TableWRTERank[[#This Row],[RK]],TableWRTECalcPts[RK],0)),"")</f>
        <v>Brandon Powell</v>
      </c>
      <c r="AX129" s="122" t="str">
        <f>IFERROR(INDEX(TableWRTECalcPts[POS RK],MATCH(TableWRTERank[[#This Row],[WR and TE COMBINED]],TableWRTECalcPts[PLAYER],0)),"")</f>
        <v>WR96</v>
      </c>
      <c r="AY129" s="122">
        <f>IFERROR(INDEX(TableWRTECalcPts[BYE],MATCH(TableWRTERank[[#This Row],[RK]],TableWRTECalcPts[RK],0)),"")</f>
        <v>13</v>
      </c>
      <c r="AZ129" s="123">
        <f>IFERROR(INDEX(TableWRTECalcPts[Custom],MATCH(TableWRTERank[[#This Row],[RK]],TableWRTECalcPts[RK],0)),"")</f>
        <v>60.938819423999995</v>
      </c>
      <c r="BA129" s="174">
        <f>IFERROR((TableWRTERank[[#This Row],[FPS]]-INDEX(TableWRTERank[FPS],MATCH(WRTEVORPCalc,TableWRTERank[RK],0)))/INDEX(TableWRTERank[FPS],MATCH(WRTEVORPCalc,TableWRTERank[RK],0)),"")</f>
        <v>-0.59179678690307669</v>
      </c>
      <c r="BC129" t="s">
        <v>223</v>
      </c>
      <c r="BD129">
        <v>128</v>
      </c>
      <c r="BE129" s="83">
        <f>RANK(TableWRTEMaster[[#This Row],[VORP]],TableWRTEMaster[VORP])+COUNTIF($BJ$2:BJ129,BJ129)-1</f>
        <v>178</v>
      </c>
      <c r="BF129" s="115" t="str">
        <f>IFERROR(INDEX(TableWRVORP[WIDE RECEIVER],MATCH(TableWRTEMaster[[#This Row],[RK]],TableWRVORP[RK],0)),"")</f>
        <v>Terrace Marshall</v>
      </c>
      <c r="BG129" s="115" t="str">
        <f>_xlfn.CONCAT(TableWRTEMaster[[#This Row],[POS]],TableWRTEMaster[[#This Row],[RK]])</f>
        <v>WR128</v>
      </c>
      <c r="BH129" s="115">
        <f>IFERROR(INDEX(TableWRVORP[BYE],MATCH(TableWRTEMaster[[#This Row],[RK]],TableWRVORP[RK],0)),"")</f>
        <v>7</v>
      </c>
      <c r="BI129" s="116">
        <f>IFERROR(INDEX(TableWRVORP[FPS],MATCH(TableWRTEMaster[[#This Row],[RK]],TableWRVORP[RK],0)),"")</f>
        <v>28.987005173839997</v>
      </c>
      <c r="BJ129" s="117">
        <f>IFERROR(INDEX(TableWRVORP[VORP],MATCH(TableWRTEMaster[[#This Row],[RK]],TableWRVORP[RK],0)),"")</f>
        <v>-0.799262676563262</v>
      </c>
    </row>
    <row r="130" spans="8:62" x14ac:dyDescent="0.2">
      <c r="H130">
        <v>129</v>
      </c>
      <c r="I130" s="112" t="str">
        <f>IFERROR(INDEX(TableRBCalcPts[PLAYER],MATCH(TableRBVORP[[#This Row],[RK]],TableRBCalcPts[RK],0)),"")</f>
        <v/>
      </c>
      <c r="J130" s="112" t="str">
        <f>IFERROR(INDEX(TableRBCalcPts[TM],MATCH(TableRBVORP[[#This Row],[RK]],TableRBCalcPts[RK],0)),"")</f>
        <v/>
      </c>
      <c r="K130" s="112" t="str">
        <f>IFERROR(INDEX(TableRBCalcPts[BYE],MATCH(TableRBVORP[[#This Row],[RK]],TableRBCalcPts[RK],0)),"")</f>
        <v/>
      </c>
      <c r="L130" s="113" t="str">
        <f>IFERROR(INDEX(TableRBCalcPts[Custom],MATCH(TableRBVORP[[#This Row],[RK]],TableRBCalcPts[RK],0)),"")</f>
        <v/>
      </c>
      <c r="M130" s="114" t="str">
        <f>IFERROR((TableRBVORP[[#This Row],[FPS]]-INDEX(TableRBVORP[FPS],MATCH(RBVORPCalc,TableRBVORP[RK],0)))/INDEX(TableRBVORP[FPS],MATCH(RBVORPCalc,TableRBVORP[RK],0)),"")</f>
        <v/>
      </c>
      <c r="O130">
        <v>129</v>
      </c>
      <c r="P130" s="112" t="str">
        <f>IFERROR(INDEX(TableWRCalcPts[PLAYER],MATCH(TableWRVORP[[#This Row],[RK]],TableWRCalcPts[RK],0)),"")</f>
        <v>Robert Woods</v>
      </c>
      <c r="Q130" s="112" t="str">
        <f>IFERROR(INDEX(TableWRCalcPts[TM],MATCH(TableWRVORP[[#This Row],[RK]],TableWRCalcPts[RK],0)),"")</f>
        <v>HOU</v>
      </c>
      <c r="R130" s="112">
        <f>IFERROR(INDEX(TableWRCalcPts[BYE],MATCH(TableWRVORP[[#This Row],[RK]],TableWRCalcPts[RK],0)),"")</f>
        <v>7</v>
      </c>
      <c r="S130" s="113">
        <f>IFERROR(INDEX(TableWRCalcPts[Custom],MATCH(TableWRVORP[[#This Row],[RK]],TableWRCalcPts[RK],0)),"")</f>
        <v>28.276131659775999</v>
      </c>
      <c r="T130" s="114">
        <f>IFERROR((TableWRVORP[[#This Row],[FPS]]-INDEX(TableWRVORP[FPS],MATCH(WRVORPCalc,TableWRVORP[RK],0)))/INDEX(TableWRVORP[FPS],MATCH(WRVORPCalc,TableWRVORP[RK],0)),"")</f>
        <v>-0.80418553236224799</v>
      </c>
      <c r="AF130" t="s">
        <v>222</v>
      </c>
      <c r="AG130">
        <v>89</v>
      </c>
      <c r="AH130" s="83">
        <f>RANK(TableOverallMaster[[#This Row],[VORP]],TableOverallMaster[VORP])+COUNTIF($AM$2:AM130,AM130)-1</f>
        <v>283</v>
      </c>
      <c r="AI130" s="115" t="str">
        <f>IFERROR(INDEX(TableRBVORP[RUNNING BACK],MATCH(TableOverallMaster[[#This Row],[RK]],TableRBVORP[RK],0)),"")</f>
        <v>Kevin Harris</v>
      </c>
      <c r="AJ130" s="115" t="str">
        <f t="shared" ref="AJ130:AJ193" si="2">CONCATENATE(AF130,AG130)</f>
        <v>RB89</v>
      </c>
      <c r="AK130" s="115">
        <f>IFERROR(INDEX(TableRBVORP[BYE],MATCH(TableOverallMaster[[#This Row],[RK]],TableRBVORP[RK],0)),"")</f>
        <v>11</v>
      </c>
      <c r="AL130" s="116">
        <f>IFERROR(INDEX(TableRBVORP[FPS],MATCH(TableOverallMaster[[#This Row],[RK]],TableRBVORP[RK],0)),"")</f>
        <v>23.675142996988001</v>
      </c>
      <c r="AM130" s="117">
        <f>IFERROR(INDEX(TableRBVORP[VORP],MATCH(TableOverallMaster[[#This Row],[RK]],TableRBVORP[RK],0)),"")</f>
        <v>-0.78996143918044104</v>
      </c>
      <c r="AO130">
        <v>129</v>
      </c>
      <c r="AP130" s="118" t="str">
        <f>IFERROR(INDEX(TableOverallMaster[OVERALL PLAYER],MATCH(TableOverallRank[[#This Row],[RK]],TableOverallMaster[OVR RK],0)),"")</f>
        <v>Trey Benson</v>
      </c>
      <c r="AQ130" s="119" t="str">
        <f>IFERROR(INDEX(TableOverallMaster[POS RK],MATCH(TableOverallRank[[#This Row],[OVERALL PLAYER]],TableOverallMaster[OVERALL PLAYER],0)),"")</f>
        <v>RB42</v>
      </c>
      <c r="AR130" s="120">
        <f>IFERROR(INDEX(TableOverallMaster[BYE],MATCH(TableOverallRank[[#This Row],[OVERALL PLAYER]],TableOverallMaster[OVERALL PLAYER],0)),"")</f>
        <v>14</v>
      </c>
      <c r="AS130" s="119">
        <f>IFERROR(INDEX(TableOverallMaster[Custom],MATCH(TableOverallRank[[#This Row],[OVERALL PLAYER]],TableOverallMaster[OVERALL PLAYER],0)),"")</f>
        <v>113.81129370954001</v>
      </c>
      <c r="AT130" s="121">
        <f>IFERROR(INDEX(TableOverallMaster[VORP],MATCH(TableOverallRank[[#This Row],[OVERALL PLAYER]],TableOverallMaster[OVERALL PLAYER],0)),"")</f>
        <v>9.6986674507148849E-3</v>
      </c>
      <c r="AV130">
        <v>129</v>
      </c>
      <c r="AW130" s="122" t="str">
        <f>IFERROR(INDEX(TableWRTECalcPts[PLAYER],MATCH(TableWRTERank[[#This Row],[RK]],TableWRTECalcPts[RK],0)),"")</f>
        <v>Kalif Raymond</v>
      </c>
      <c r="AX130" s="122" t="str">
        <f>IFERROR(INDEX(TableWRTECalcPts[POS RK],MATCH(TableWRTERank[[#This Row],[WR and TE COMBINED]],TableWRTECalcPts[PLAYER],0)),"")</f>
        <v>WR97</v>
      </c>
      <c r="AY130" s="122">
        <f>IFERROR(INDEX(TableWRTECalcPts[BYE],MATCH(TableWRTERank[[#This Row],[RK]],TableWRTECalcPts[RK],0)),"")</f>
        <v>9</v>
      </c>
      <c r="AZ130" s="123">
        <f>IFERROR(INDEX(TableWRTECalcPts[Custom],MATCH(TableWRTERank[[#This Row],[RK]],TableWRTECalcPts[RK],0)),"")</f>
        <v>60.254049846143992</v>
      </c>
      <c r="BA130" s="174">
        <f>IFERROR((TableWRTERank[[#This Row],[FPS]]-INDEX(TableWRTERank[FPS],MATCH(WRTEVORPCalc,TableWRTERank[RK],0)))/INDEX(TableWRTERank[FPS],MATCH(WRTEVORPCalc,TableWRTERank[RK],0)),"")</f>
        <v>-0.59638376683727867</v>
      </c>
      <c r="BC130" t="s">
        <v>223</v>
      </c>
      <c r="BD130">
        <v>129</v>
      </c>
      <c r="BE130" s="83">
        <f>RANK(TableWRTEMaster[[#This Row],[VORP]],TableWRTEMaster[VORP])+COUNTIF($BJ$2:BJ130,BJ130)-1</f>
        <v>181</v>
      </c>
      <c r="BF130" s="115" t="str">
        <f>IFERROR(INDEX(TableWRVORP[WIDE RECEIVER],MATCH(TableWRTEMaster[[#This Row],[RK]],TableWRVORP[RK],0)),"")</f>
        <v>Robert Woods</v>
      </c>
      <c r="BG130" s="115" t="str">
        <f>_xlfn.CONCAT(TableWRTEMaster[[#This Row],[POS]],TableWRTEMaster[[#This Row],[RK]])</f>
        <v>WR129</v>
      </c>
      <c r="BH130" s="115">
        <f>IFERROR(INDEX(TableWRVORP[BYE],MATCH(TableWRTEMaster[[#This Row],[RK]],TableWRVORP[RK],0)),"")</f>
        <v>7</v>
      </c>
      <c r="BI130" s="116">
        <f>IFERROR(INDEX(TableWRVORP[FPS],MATCH(TableWRTEMaster[[#This Row],[RK]],TableWRVORP[RK],0)),"")</f>
        <v>28.276131659775999</v>
      </c>
      <c r="BJ130" s="117">
        <f>IFERROR(INDEX(TableWRVORP[VORP],MATCH(TableWRTEMaster[[#This Row],[RK]],TableWRVORP[RK],0)),"")</f>
        <v>-0.80418553236224799</v>
      </c>
    </row>
    <row r="131" spans="8:62" x14ac:dyDescent="0.2">
      <c r="H131">
        <v>130</v>
      </c>
      <c r="I131" s="112" t="str">
        <f>IFERROR(INDEX(TableRBCalcPts[PLAYER],MATCH(TableRBVORP[[#This Row],[RK]],TableRBCalcPts[RK],0)),"")</f>
        <v/>
      </c>
      <c r="J131" s="112" t="str">
        <f>IFERROR(INDEX(TableRBCalcPts[TM],MATCH(TableRBVORP[[#This Row],[RK]],TableRBCalcPts[RK],0)),"")</f>
        <v/>
      </c>
      <c r="K131" s="112" t="str">
        <f>IFERROR(INDEX(TableRBCalcPts[BYE],MATCH(TableRBVORP[[#This Row],[RK]],TableRBCalcPts[RK],0)),"")</f>
        <v/>
      </c>
      <c r="L131" s="113" t="str">
        <f>IFERROR(INDEX(TableRBCalcPts[Custom],MATCH(TableRBVORP[[#This Row],[RK]],TableRBCalcPts[RK],0)),"")</f>
        <v/>
      </c>
      <c r="M131" s="114" t="str">
        <f>IFERROR((TableRBVORP[[#This Row],[FPS]]-INDEX(TableRBVORP[FPS],MATCH(RBVORPCalc,TableRBVORP[RK],0)))/INDEX(TableRBVORP[FPS],MATCH(RBVORPCalc,TableRBVORP[RK],0)),"")</f>
        <v/>
      </c>
      <c r="O131">
        <v>130</v>
      </c>
      <c r="P131" s="112" t="str">
        <f>IFERROR(INDEX(TableWRCalcPts[PLAYER],MATCH(TableWRVORP[[#This Row],[RK]],TableWRCalcPts[RK],0)),"")</f>
        <v>Deonte Harty</v>
      </c>
      <c r="Q131" s="112" t="str">
        <f>IFERROR(INDEX(TableWRCalcPts[TM],MATCH(TableWRVORP[[#This Row],[RK]],TableWRCalcPts[RK],0)),"")</f>
        <v>BAL</v>
      </c>
      <c r="R131" s="112">
        <f>IFERROR(INDEX(TableWRCalcPts[BYE],MATCH(TableWRVORP[[#This Row],[RK]],TableWRCalcPts[RK],0)),"")</f>
        <v>13</v>
      </c>
      <c r="S131" s="113">
        <f>IFERROR(INDEX(TableWRCalcPts[Custom],MATCH(TableWRVORP[[#This Row],[RK]],TableWRCalcPts[RK],0)),"")</f>
        <v>28.234076045145603</v>
      </c>
      <c r="T131" s="114">
        <f>IFERROR((TableWRVORP[[#This Row],[FPS]]-INDEX(TableWRVORP[FPS],MATCH(WRVORPCalc,TableWRVORP[RK],0)))/INDEX(TableWRVORP[FPS],MATCH(WRVORPCalc,TableWRVORP[RK],0)),"")</f>
        <v>-0.80447677084879621</v>
      </c>
      <c r="AF131" t="s">
        <v>222</v>
      </c>
      <c r="AG131">
        <v>90</v>
      </c>
      <c r="AH131" s="83">
        <f>RANK(TableOverallMaster[[#This Row],[VORP]],TableOverallMaster[VORP])+COUNTIF($AM$2:AM131,AM131)-1</f>
        <v>285</v>
      </c>
      <c r="AI131" s="115" t="str">
        <f>IFERROR(INDEX(TableRBVORP[RUNNING BACK],MATCH(TableOverallMaster[[#This Row],[RK]],TableRBVORP[RK],0)),"")</f>
        <v>Hassan Haskins</v>
      </c>
      <c r="AJ131" s="115" t="str">
        <f t="shared" si="2"/>
        <v>RB90</v>
      </c>
      <c r="AK131" s="115">
        <f>IFERROR(INDEX(TableRBVORP[BYE],MATCH(TableOverallMaster[[#This Row],[RK]],TableRBVORP[RK],0)),"")</f>
        <v>7</v>
      </c>
      <c r="AL131" s="116">
        <f>IFERROR(INDEX(TableRBVORP[FPS],MATCH(TableOverallMaster[[#This Row],[RK]],TableRBVORP[RK],0)),"")</f>
        <v>23.519939289</v>
      </c>
      <c r="AM131" s="117">
        <f>IFERROR(INDEX(TableRBVORP[VORP],MATCH(TableOverallMaster[[#This Row],[RK]],TableRBVORP[RK],0)),"")</f>
        <v>-0.7913383585706979</v>
      </c>
      <c r="AO131">
        <v>130</v>
      </c>
      <c r="AP131" s="118" t="str">
        <f>IFERROR(INDEX(TableOverallMaster[OVERALL PLAYER],MATCH(TableOverallRank[[#This Row],[RK]],TableOverallMaster[OVR RK],0)),"")</f>
        <v>Geno Smith</v>
      </c>
      <c r="AQ131" s="119" t="str">
        <f>IFERROR(INDEX(TableOverallMaster[POS RK],MATCH(TableOverallRank[[#This Row],[OVERALL PLAYER]],TableOverallMaster[OVERALL PLAYER],0)),"")</f>
        <v>QB24</v>
      </c>
      <c r="AR131" s="120">
        <f>IFERROR(INDEX(TableOverallMaster[BYE],MATCH(TableOverallRank[[#This Row],[OVERALL PLAYER]],TableOverallMaster[OVERALL PLAYER],0)),"")</f>
        <v>5</v>
      </c>
      <c r="AS131" s="119">
        <f>IFERROR(INDEX(TableOverallMaster[Custom],MATCH(TableOverallRank[[#This Row],[OVERALL PLAYER]],TableOverallMaster[OVERALL PLAYER],0)),"")</f>
        <v>278.21474601614403</v>
      </c>
      <c r="AT131" s="121">
        <f>IFERROR(INDEX(TableOverallMaster[VORP],MATCH(TableOverallRank[[#This Row],[OVERALL PLAYER]],TableOverallMaster[OVERALL PLAYER],0)),"")</f>
        <v>8.6053493567344597E-3</v>
      </c>
      <c r="AV131">
        <v>130</v>
      </c>
      <c r="AW131" s="122" t="str">
        <f>IFERROR(INDEX(TableWRTECalcPts[PLAYER],MATCH(TableWRTERank[[#This Row],[RK]],TableWRTECalcPts[RK],0)),"")</f>
        <v>Will Dissly</v>
      </c>
      <c r="AX131" s="122" t="str">
        <f>IFERROR(INDEX(TableWRTECalcPts[POS RK],MATCH(TableWRTERank[[#This Row],[WR and TE COMBINED]],TableWRTECalcPts[PLAYER],0)),"")</f>
        <v>TE33</v>
      </c>
      <c r="AY131" s="122">
        <f>IFERROR(INDEX(TableWRTECalcPts[BYE],MATCH(TableWRTERank[[#This Row],[RK]],TableWRTECalcPts[RK],0)),"")</f>
        <v>5</v>
      </c>
      <c r="AZ131" s="123">
        <f>IFERROR(INDEX(TableWRTECalcPts[Custom],MATCH(TableWRTERank[[#This Row],[RK]],TableWRTECalcPts[RK],0)),"")</f>
        <v>59.707462324891488</v>
      </c>
      <c r="BA131" s="174">
        <f>IFERROR((TableWRTERank[[#This Row],[FPS]]-INDEX(TableWRTERank[FPS],MATCH(WRTEVORPCalc,TableWRTERank[RK],0)))/INDEX(TableWRTERank[FPS],MATCH(WRTEVORPCalc,TableWRTERank[RK],0)),"")</f>
        <v>-0.60004512399061538</v>
      </c>
      <c r="BC131" t="s">
        <v>223</v>
      </c>
      <c r="BD131">
        <v>130</v>
      </c>
      <c r="BE131" s="83">
        <f>RANK(TableWRTEMaster[[#This Row],[VORP]],TableWRTEMaster[VORP])+COUNTIF($BJ$2:BJ131,BJ131)-1</f>
        <v>183</v>
      </c>
      <c r="BF131" s="115" t="str">
        <f>IFERROR(INDEX(TableWRVORP[WIDE RECEIVER],MATCH(TableWRTEMaster[[#This Row],[RK]],TableWRVORP[RK],0)),"")</f>
        <v>Deonte Harty</v>
      </c>
      <c r="BG131" s="115" t="str">
        <f>_xlfn.CONCAT(TableWRTEMaster[[#This Row],[POS]],TableWRTEMaster[[#This Row],[RK]])</f>
        <v>WR130</v>
      </c>
      <c r="BH131" s="115">
        <f>IFERROR(INDEX(TableWRVORP[BYE],MATCH(TableWRTEMaster[[#This Row],[RK]],TableWRVORP[RK],0)),"")</f>
        <v>13</v>
      </c>
      <c r="BI131" s="116">
        <f>IFERROR(INDEX(TableWRVORP[FPS],MATCH(TableWRTEMaster[[#This Row],[RK]],TableWRVORP[RK],0)),"")</f>
        <v>28.234076045145603</v>
      </c>
      <c r="BJ131" s="117">
        <f>IFERROR(INDEX(TableWRVORP[VORP],MATCH(TableWRTEMaster[[#This Row],[RK]],TableWRVORP[RK],0)),"")</f>
        <v>-0.80447677084879621</v>
      </c>
    </row>
    <row r="132" spans="8:62" x14ac:dyDescent="0.2">
      <c r="H132">
        <v>131</v>
      </c>
      <c r="I132" s="112" t="str">
        <f>IFERROR(INDEX(TableRBCalcPts[PLAYER],MATCH(TableRBVORP[[#This Row],[RK]],TableRBCalcPts[RK],0)),"")</f>
        <v/>
      </c>
      <c r="J132" s="112" t="str">
        <f>IFERROR(INDEX(TableRBCalcPts[TM],MATCH(TableRBVORP[[#This Row],[RK]],TableRBCalcPts[RK],0)),"")</f>
        <v/>
      </c>
      <c r="K132" s="112" t="str">
        <f>IFERROR(INDEX(TableRBCalcPts[BYE],MATCH(TableRBVORP[[#This Row],[RK]],TableRBCalcPts[RK],0)),"")</f>
        <v/>
      </c>
      <c r="L132" s="113" t="str">
        <f>IFERROR(INDEX(TableRBCalcPts[Custom],MATCH(TableRBVORP[[#This Row],[RK]],TableRBCalcPts[RK],0)),"")</f>
        <v/>
      </c>
      <c r="M132" s="114" t="str">
        <f>IFERROR((TableRBVORP[[#This Row],[FPS]]-INDEX(TableRBVORP[FPS],MATCH(RBVORPCalc,TableRBVORP[RK],0)))/INDEX(TableRBVORP[FPS],MATCH(RBVORPCalc,TableRBVORP[RK],0)),"")</f>
        <v/>
      </c>
      <c r="O132">
        <v>131</v>
      </c>
      <c r="P132" s="112" t="str">
        <f>IFERROR(INDEX(TableWRCalcPts[PLAYER],MATCH(TableWRVORP[[#This Row],[RK]],TableWRCalcPts[RK],0)),"")</f>
        <v>Ben Skowronek</v>
      </c>
      <c r="Q132" s="112" t="str">
        <f>IFERROR(INDEX(TableWRCalcPts[TM],MATCH(TableWRVORP[[#This Row],[RK]],TableWRCalcPts[RK],0)),"")</f>
        <v>LAR</v>
      </c>
      <c r="R132" s="112">
        <f>IFERROR(INDEX(TableWRCalcPts[BYE],MATCH(TableWRVORP[[#This Row],[RK]],TableWRCalcPts[RK],0)),"")</f>
        <v>10</v>
      </c>
      <c r="S132" s="113">
        <f>IFERROR(INDEX(TableWRCalcPts[Custom],MATCH(TableWRVORP[[#This Row],[RK]],TableWRCalcPts[RK],0)),"")</f>
        <v>28.195674986303992</v>
      </c>
      <c r="T132" s="114">
        <f>IFERROR((TableWRVORP[[#This Row],[FPS]]-INDEX(TableWRVORP[FPS],MATCH(WRVORPCalc,TableWRVORP[RK],0)))/INDEX(TableWRVORP[FPS],MATCH(WRVORPCalc,TableWRVORP[RK],0)),"")</f>
        <v>-0.8047427012449434</v>
      </c>
      <c r="AF132" t="s">
        <v>222</v>
      </c>
      <c r="AG132">
        <v>91</v>
      </c>
      <c r="AH132" s="83">
        <f>RANK(TableOverallMaster[[#This Row],[VORP]],TableOverallMaster[VORP])+COUNTIF($AM$2:AM132,AM132)-1</f>
        <v>287</v>
      </c>
      <c r="AI132" s="115" t="str">
        <f>IFERROR(INDEX(TableRBVORP[RUNNING BACK],MATCH(TableOverallMaster[[#This Row],[RK]],TableRBVORP[RK],0)),"")</f>
        <v>Keaontay Ingram</v>
      </c>
      <c r="AJ132" s="115" t="str">
        <f t="shared" si="2"/>
        <v>RB91</v>
      </c>
      <c r="AK132" s="115">
        <f>IFERROR(INDEX(TableRBVORP[BYE],MATCH(TableOverallMaster[[#This Row],[RK]],TableRBVORP[RK],0)),"")</f>
        <v>10</v>
      </c>
      <c r="AL132" s="116">
        <f>IFERROR(INDEX(TableRBVORP[FPS],MATCH(TableOverallMaster[[#This Row],[RK]],TableRBVORP[RK],0)),"")</f>
        <v>23.444296960000003</v>
      </c>
      <c r="AM132" s="117">
        <f>IFERROR(INDEX(TableRBVORP[VORP],MATCH(TableOverallMaster[[#This Row],[RK]],TableRBVORP[RK],0)),"")</f>
        <v>-0.79200943396492984</v>
      </c>
      <c r="AO132">
        <v>131</v>
      </c>
      <c r="AP132" s="118" t="str">
        <f>IFERROR(INDEX(TableOverallMaster[OVERALL PLAYER],MATCH(TableOverallRank[[#This Row],[RK]],TableOverallMaster[OVR RK],0)),"")</f>
        <v>Bryce Young</v>
      </c>
      <c r="AQ132" s="119" t="str">
        <f>IFERROR(INDEX(TableOverallMaster[POS RK],MATCH(TableOverallRank[[#This Row],[OVERALL PLAYER]],TableOverallMaster[OVERALL PLAYER],0)),"")</f>
        <v>QB25</v>
      </c>
      <c r="AR132" s="120">
        <f>IFERROR(INDEX(TableOverallMaster[BYE],MATCH(TableOverallRank[[#This Row],[OVERALL PLAYER]],TableOverallMaster[OVERALL PLAYER],0)),"")</f>
        <v>7</v>
      </c>
      <c r="AS132" s="119">
        <f>IFERROR(INDEX(TableOverallMaster[Custom],MATCH(TableOverallRank[[#This Row],[OVERALL PLAYER]],TableOverallMaster[OVERALL PLAYER],0)),"")</f>
        <v>277.64474536199998</v>
      </c>
      <c r="AT132" s="121">
        <f>IFERROR(INDEX(TableOverallMaster[VORP],MATCH(TableOverallRank[[#This Row],[OVERALL PLAYER]],TableOverallMaster[OVERALL PLAYER],0)),"")</f>
        <v>6.7562817808376474E-3</v>
      </c>
      <c r="AV132">
        <v>131</v>
      </c>
      <c r="AW132" s="122" t="str">
        <f>IFERROR(INDEX(TableWRTECalcPts[PLAYER],MATCH(TableWRTERank[[#This Row],[RK]],TableWRTECalcPts[RK],0)),"")</f>
        <v>Dontayvion Wicks</v>
      </c>
      <c r="AX132" s="122" t="str">
        <f>IFERROR(INDEX(TableWRTECalcPts[POS RK],MATCH(TableWRTERank[[#This Row],[WR and TE COMBINED]],TableWRTECalcPts[PLAYER],0)),"")</f>
        <v>WR98</v>
      </c>
      <c r="AY132" s="122">
        <f>IFERROR(INDEX(TableWRTECalcPts[BYE],MATCH(TableWRTERank[[#This Row],[RK]],TableWRTECalcPts[RK],0)),"")</f>
        <v>6</v>
      </c>
      <c r="AZ132" s="123">
        <f>IFERROR(INDEX(TableWRTECalcPts[Custom],MATCH(TableWRTERank[[#This Row],[RK]],TableWRTECalcPts[RK],0)),"")</f>
        <v>59.706570083328018</v>
      </c>
      <c r="BA132" s="174">
        <f>IFERROR((TableWRTERank[[#This Row],[FPS]]-INDEX(TableWRTERank[FPS],MATCH(WRTEVORPCalc,TableWRTERank[RK],0)))/INDEX(TableWRTERank[FPS],MATCH(WRTEVORPCalc,TableWRTERank[RK],0)),"")</f>
        <v>-0.60005110073707202</v>
      </c>
      <c r="BC132" t="s">
        <v>223</v>
      </c>
      <c r="BD132">
        <v>131</v>
      </c>
      <c r="BE132" s="83">
        <f>RANK(TableWRTEMaster[[#This Row],[VORP]],TableWRTEMaster[VORP])+COUNTIF($BJ$2:BJ132,BJ132)-1</f>
        <v>184</v>
      </c>
      <c r="BF132" s="115" t="str">
        <f>IFERROR(INDEX(TableWRVORP[WIDE RECEIVER],MATCH(TableWRTEMaster[[#This Row],[RK]],TableWRVORP[RK],0)),"")</f>
        <v>Ben Skowronek</v>
      </c>
      <c r="BG132" s="115" t="str">
        <f>_xlfn.CONCAT(TableWRTEMaster[[#This Row],[POS]],TableWRTEMaster[[#This Row],[RK]])</f>
        <v>WR131</v>
      </c>
      <c r="BH132" s="115">
        <f>IFERROR(INDEX(TableWRVORP[BYE],MATCH(TableWRTEMaster[[#This Row],[RK]],TableWRVORP[RK],0)),"")</f>
        <v>10</v>
      </c>
      <c r="BI132" s="116">
        <f>IFERROR(INDEX(TableWRVORP[FPS],MATCH(TableWRTEMaster[[#This Row],[RK]],TableWRVORP[RK],0)),"")</f>
        <v>28.195674986303992</v>
      </c>
      <c r="BJ132" s="117">
        <f>IFERROR(INDEX(TableWRVORP[VORP],MATCH(TableWRTEMaster[[#This Row],[RK]],TableWRVORP[RK],0)),"")</f>
        <v>-0.8047427012449434</v>
      </c>
    </row>
    <row r="133" spans="8:62" x14ac:dyDescent="0.2">
      <c r="H133">
        <v>132</v>
      </c>
      <c r="I133" s="112" t="str">
        <f>IFERROR(INDEX(TableRBCalcPts[PLAYER],MATCH(TableRBVORP[[#This Row],[RK]],TableRBCalcPts[RK],0)),"")</f>
        <v/>
      </c>
      <c r="J133" s="112" t="str">
        <f>IFERROR(INDEX(TableRBCalcPts[TM],MATCH(TableRBVORP[[#This Row],[RK]],TableRBCalcPts[RK],0)),"")</f>
        <v/>
      </c>
      <c r="K133" s="112" t="str">
        <f>IFERROR(INDEX(TableRBCalcPts[BYE],MATCH(TableRBVORP[[#This Row],[RK]],TableRBCalcPts[RK],0)),"")</f>
        <v/>
      </c>
      <c r="L133" s="113" t="str">
        <f>IFERROR(INDEX(TableRBCalcPts[Custom],MATCH(TableRBVORP[[#This Row],[RK]],TableRBCalcPts[RK],0)),"")</f>
        <v/>
      </c>
      <c r="M133" s="114" t="str">
        <f>IFERROR((TableRBVORP[[#This Row],[FPS]]-INDEX(TableRBVORP[FPS],MATCH(RBVORPCalc,TableRBVORP[RK],0)))/INDEX(TableRBVORP[FPS],MATCH(RBVORPCalc,TableRBVORP[RK],0)),"")</f>
        <v/>
      </c>
      <c r="O133">
        <v>132</v>
      </c>
      <c r="P133" s="112" t="str">
        <f>IFERROR(INDEX(TableWRCalcPts[PLAYER],MATCH(TableWRVORP[[#This Row],[RK]],TableWRCalcPts[RK],0)),"")</f>
        <v>Tim Patrick</v>
      </c>
      <c r="Q133" s="112" t="str">
        <f>IFERROR(INDEX(TableWRCalcPts[TM],MATCH(TableWRVORP[[#This Row],[RK]],TableWRCalcPts[RK],0)),"")</f>
        <v>DEN</v>
      </c>
      <c r="R133" s="112">
        <f>IFERROR(INDEX(TableWRCalcPts[BYE],MATCH(TableWRVORP[[#This Row],[RK]],TableWRCalcPts[RK],0)),"")</f>
        <v>9</v>
      </c>
      <c r="S133" s="113">
        <f>IFERROR(INDEX(TableWRCalcPts[Custom],MATCH(TableWRVORP[[#This Row],[RK]],TableWRCalcPts[RK],0)),"")</f>
        <v>27.941771952079996</v>
      </c>
      <c r="T133" s="114">
        <f>IFERROR((TableWRVORP[[#This Row],[FPS]]-INDEX(TableWRVORP[FPS],MATCH(WRVORPCalc,TableWRVORP[RK],0)))/INDEX(TableWRVORP[FPS],MATCH(WRVORPCalc,TableWRVORP[RK],0)),"")</f>
        <v>-0.80650100001354441</v>
      </c>
      <c r="AF133" t="s">
        <v>222</v>
      </c>
      <c r="AG133">
        <v>92</v>
      </c>
      <c r="AH133" s="83">
        <f>RANK(TableOverallMaster[[#This Row],[VORP]],TableOverallMaster[VORP])+COUNTIF($AM$2:AM133,AM133)-1</f>
        <v>288</v>
      </c>
      <c r="AI133" s="115" t="str">
        <f>IFERROR(INDEX(TableRBVORP[RUNNING BACK],MATCH(TableOverallMaster[[#This Row],[RK]],TableRBVORP[RK],0)),"")</f>
        <v>Evan Hull</v>
      </c>
      <c r="AJ133" s="115" t="str">
        <f t="shared" si="2"/>
        <v>RB92</v>
      </c>
      <c r="AK133" s="115">
        <f>IFERROR(INDEX(TableRBVORP[BYE],MATCH(TableOverallMaster[[#This Row],[RK]],TableRBVORP[RK],0)),"")</f>
        <v>11</v>
      </c>
      <c r="AL133" s="116">
        <f>IFERROR(INDEX(TableRBVORP[FPS],MATCH(TableOverallMaster[[#This Row],[RK]],TableRBVORP[RK],0)),"")</f>
        <v>22.991422196511998</v>
      </c>
      <c r="AM133" s="117">
        <f>IFERROR(INDEX(TableRBVORP[VORP],MATCH(TableOverallMaster[[#This Row],[RK]],TableRBVORP[RK],0)),"")</f>
        <v>-0.79602719907691333</v>
      </c>
      <c r="AO133">
        <v>132</v>
      </c>
      <c r="AP133" s="118" t="str">
        <f>IFERROR(INDEX(TableOverallMaster[OVERALL PLAYER],MATCH(TableOverallRank[[#This Row],[RK]],TableOverallMaster[OVR RK],0)),"")</f>
        <v>Chase Brown</v>
      </c>
      <c r="AQ133" s="119" t="str">
        <f>IFERROR(INDEX(TableOverallMaster[POS RK],MATCH(TableOverallRank[[#This Row],[OVERALL PLAYER]],TableOverallMaster[OVERALL PLAYER],0)),"")</f>
        <v>RB43</v>
      </c>
      <c r="AR133" s="120">
        <f>IFERROR(INDEX(TableOverallMaster[BYE],MATCH(TableOverallRank[[#This Row],[OVERALL PLAYER]],TableOverallMaster[OVERALL PLAYER],0)),"")</f>
        <v>7</v>
      </c>
      <c r="AS133" s="119">
        <f>IFERROR(INDEX(TableOverallMaster[Custom],MATCH(TableOverallRank[[#This Row],[OVERALL PLAYER]],TableOverallMaster[OVERALL PLAYER],0)),"")</f>
        <v>112.90314533836799</v>
      </c>
      <c r="AT133" s="121">
        <f>IFERROR(INDEX(TableOverallMaster[VORP],MATCH(TableOverallRank[[#This Row],[OVERALL PLAYER]],TableOverallMaster[OVERALL PLAYER],0)),"")</f>
        <v>1.6418554214965404E-3</v>
      </c>
      <c r="AV133">
        <v>132</v>
      </c>
      <c r="AW133" s="122" t="str">
        <f>IFERROR(INDEX(TableWRTECalcPts[PLAYER],MATCH(TableWRTERank[[#This Row],[RK]],TableWRTECalcPts[RK],0)),"")</f>
        <v>Ja'Tavion Sanders</v>
      </c>
      <c r="AX133" s="122" t="str">
        <f>IFERROR(INDEX(TableWRTECalcPts[POS RK],MATCH(TableWRTERank[[#This Row],[WR and TE COMBINED]],TableWRTECalcPts[PLAYER],0)),"")</f>
        <v>TE34</v>
      </c>
      <c r="AY133" s="122">
        <f>IFERROR(INDEX(TableWRTECalcPts[BYE],MATCH(TableWRTERank[[#This Row],[RK]],TableWRTECalcPts[RK],0)),"")</f>
        <v>7</v>
      </c>
      <c r="AZ133" s="123">
        <f>IFERROR(INDEX(TableWRTECalcPts[Custom],MATCH(TableWRTERank[[#This Row],[RK]],TableWRTECalcPts[RK],0)),"")</f>
        <v>59.068966360991993</v>
      </c>
      <c r="BA133" s="174">
        <f>IFERROR((TableWRTERank[[#This Row],[FPS]]-INDEX(TableWRTERank[FPS],MATCH(WRTEVORPCalc,TableWRTERank[RK],0)))/INDEX(TableWRTERank[FPS],MATCH(WRTEVORPCalc,TableWRTERank[RK],0)),"")</f>
        <v>-0.60432213668099488</v>
      </c>
      <c r="BC133" t="s">
        <v>223</v>
      </c>
      <c r="BD133">
        <v>132</v>
      </c>
      <c r="BE133" s="83">
        <f>RANK(TableWRTEMaster[[#This Row],[VORP]],TableWRTEMaster[VORP])+COUNTIF($BJ$2:BJ133,BJ133)-1</f>
        <v>185</v>
      </c>
      <c r="BF133" s="115" t="str">
        <f>IFERROR(INDEX(TableWRVORP[WIDE RECEIVER],MATCH(TableWRTEMaster[[#This Row],[RK]],TableWRVORP[RK],0)),"")</f>
        <v>Tim Patrick</v>
      </c>
      <c r="BG133" s="115" t="str">
        <f>_xlfn.CONCAT(TableWRTEMaster[[#This Row],[POS]],TableWRTEMaster[[#This Row],[RK]])</f>
        <v>WR132</v>
      </c>
      <c r="BH133" s="115">
        <f>IFERROR(INDEX(TableWRVORP[BYE],MATCH(TableWRTEMaster[[#This Row],[RK]],TableWRVORP[RK],0)),"")</f>
        <v>9</v>
      </c>
      <c r="BI133" s="116">
        <f>IFERROR(INDEX(TableWRVORP[FPS],MATCH(TableWRTEMaster[[#This Row],[RK]],TableWRVORP[RK],0)),"")</f>
        <v>27.941771952079996</v>
      </c>
      <c r="BJ133" s="117">
        <f>IFERROR(INDEX(TableWRVORP[VORP],MATCH(TableWRTEMaster[[#This Row],[RK]],TableWRVORP[RK],0)),"")</f>
        <v>-0.80650100001354441</v>
      </c>
    </row>
    <row r="134" spans="8:62" x14ac:dyDescent="0.2">
      <c r="H134">
        <v>133</v>
      </c>
      <c r="I134" s="112" t="str">
        <f>IFERROR(INDEX(TableRBCalcPts[PLAYER],MATCH(TableRBVORP[[#This Row],[RK]],TableRBCalcPts[RK],0)),"")</f>
        <v/>
      </c>
      <c r="J134" s="112" t="str">
        <f>IFERROR(INDEX(TableRBCalcPts[TM],MATCH(TableRBVORP[[#This Row],[RK]],TableRBCalcPts[RK],0)),"")</f>
        <v/>
      </c>
      <c r="K134" s="112" t="str">
        <f>IFERROR(INDEX(TableRBCalcPts[BYE],MATCH(TableRBVORP[[#This Row],[RK]],TableRBCalcPts[RK],0)),"")</f>
        <v/>
      </c>
      <c r="L134" s="113" t="str">
        <f>IFERROR(INDEX(TableRBCalcPts[Custom],MATCH(TableRBVORP[[#This Row],[RK]],TableRBCalcPts[RK],0)),"")</f>
        <v/>
      </c>
      <c r="M134" s="114" t="str">
        <f>IFERROR((TableRBVORP[[#This Row],[FPS]]-INDEX(TableRBVORP[FPS],MATCH(RBVORPCalc,TableRBVORP[RK],0)))/INDEX(TableRBVORP[FPS],MATCH(RBVORPCalc,TableRBVORP[RK],0)),"")</f>
        <v/>
      </c>
      <c r="O134">
        <v>133</v>
      </c>
      <c r="P134" s="112" t="str">
        <f>IFERROR(INDEX(TableWRCalcPts[PLAYER],MATCH(TableWRVORP[[#This Row],[RK]],TableWRCalcPts[RK],0)),"")</f>
        <v>Ryan Flournoy</v>
      </c>
      <c r="Q134" s="112" t="str">
        <f>IFERROR(INDEX(TableWRCalcPts[TM],MATCH(TableWRVORP[[#This Row],[RK]],TableWRCalcPts[RK],0)),"")</f>
        <v>DAL</v>
      </c>
      <c r="R134" s="112">
        <f>IFERROR(INDEX(TableWRCalcPts[BYE],MATCH(TableWRVORP[[#This Row],[RK]],TableWRCalcPts[RK],0)),"")</f>
        <v>7</v>
      </c>
      <c r="S134" s="113">
        <f>IFERROR(INDEX(TableWRCalcPts[Custom],MATCH(TableWRVORP[[#This Row],[RK]],TableWRCalcPts[RK],0)),"")</f>
        <v>25.959249732729589</v>
      </c>
      <c r="T134" s="114">
        <f>IFERROR((TableWRVORP[[#This Row],[FPS]]-INDEX(TableWRVORP[FPS],MATCH(WRVORPCalc,TableWRVORP[RK],0)))/INDEX(TableWRVORP[FPS],MATCH(WRVORPCalc,TableWRVORP[RK],0)),"")</f>
        <v>-0.82023012454985267</v>
      </c>
      <c r="AF134" t="s">
        <v>222</v>
      </c>
      <c r="AG134">
        <v>93</v>
      </c>
      <c r="AH134" s="83">
        <f>RANK(TableOverallMaster[[#This Row],[VORP]],TableOverallMaster[VORP])+COUNTIF($AM$2:AM134,AM134)-1</f>
        <v>290</v>
      </c>
      <c r="AI134" s="115" t="str">
        <f>IFERROR(INDEX(TableRBVORP[RUNNING BACK],MATCH(TableOverallMaster[[#This Row],[RK]],TableRBVORP[RK],0)),"")</f>
        <v>Jaleel McLaughlin</v>
      </c>
      <c r="AJ134" s="115" t="str">
        <f t="shared" si="2"/>
        <v>RB93</v>
      </c>
      <c r="AK134" s="115">
        <f>IFERROR(INDEX(TableRBVORP[BYE],MATCH(TableOverallMaster[[#This Row],[RK]],TableRBVORP[RK],0)),"")</f>
        <v>9</v>
      </c>
      <c r="AL134" s="116">
        <f>IFERROR(INDEX(TableRBVORP[FPS],MATCH(TableOverallMaster[[#This Row],[RK]],TableRBVORP[RK],0)),"")</f>
        <v>22.372623066780001</v>
      </c>
      <c r="AM134" s="117">
        <f>IFERROR(INDEX(TableRBVORP[VORP],MATCH(TableOverallMaster[[#This Row],[RK]],TableRBVORP[RK],0)),"")</f>
        <v>-0.80151699395003573</v>
      </c>
      <c r="AO134">
        <v>133</v>
      </c>
      <c r="AP134" s="118" t="str">
        <f>IFERROR(INDEX(TableOverallMaster[OVERALL PLAYER],MATCH(TableOverallRank[[#This Row],[RK]],TableOverallMaster[OVR RK],0)),"")</f>
        <v>Michael Wilson</v>
      </c>
      <c r="AQ134" s="119" t="str">
        <f>IFERROR(INDEX(TableOverallMaster[POS RK],MATCH(TableOverallRank[[#This Row],[OVERALL PLAYER]],TableOverallMaster[OVERALL PLAYER],0)),"")</f>
        <v>WR55</v>
      </c>
      <c r="AR134" s="120">
        <f>IFERROR(INDEX(TableOverallMaster[BYE],MATCH(TableOverallRank[[#This Row],[OVERALL PLAYER]],TableOverallMaster[OVERALL PLAYER],0)),"")</f>
        <v>14</v>
      </c>
      <c r="AS134" s="119">
        <f>IFERROR(INDEX(TableOverallMaster[Custom],MATCH(TableOverallRank[[#This Row],[OVERALL PLAYER]],TableOverallMaster[OVERALL PLAYER],0)),"")</f>
        <v>144.59086635304499</v>
      </c>
      <c r="AT134" s="121">
        <f>IFERROR(INDEX(TableOverallMaster[VORP],MATCH(TableOverallRank[[#This Row],[OVERALL PLAYER]],TableOverallMaster[OVERALL PLAYER],0)),"")</f>
        <v>1.3032850769780103E-3</v>
      </c>
      <c r="AV134">
        <v>133</v>
      </c>
      <c r="AW134" s="122" t="str">
        <f>IFERROR(INDEX(TableWRTECalcPts[PLAYER],MATCH(TableWRTERank[[#This Row],[RK]],TableWRTECalcPts[RK],0)),"")</f>
        <v>Dawson Knox</v>
      </c>
      <c r="AX134" s="122" t="str">
        <f>IFERROR(INDEX(TableWRTECalcPts[POS RK],MATCH(TableWRTERank[[#This Row],[WR and TE COMBINED]],TableWRTECalcPts[PLAYER],0)),"")</f>
        <v>TE35</v>
      </c>
      <c r="AY134" s="122">
        <f>IFERROR(INDEX(TableWRTECalcPts[BYE],MATCH(TableWRTERank[[#This Row],[RK]],TableWRTECalcPts[RK],0)),"")</f>
        <v>13</v>
      </c>
      <c r="AZ134" s="123">
        <f>IFERROR(INDEX(TableWRTECalcPts[Custom],MATCH(TableWRTERank[[#This Row],[RK]],TableWRTECalcPts[RK],0)),"")</f>
        <v>58.365559107071988</v>
      </c>
      <c r="BA134" s="174">
        <f>IFERROR((TableWRTERank[[#This Row],[FPS]]-INDEX(TableWRTERank[FPS],MATCH(WRTEVORPCalc,TableWRTERank[RK],0)))/INDEX(TableWRTERank[FPS],MATCH(WRTEVORPCalc,TableWRTERank[RK],0)),"")</f>
        <v>-0.60903396247414021</v>
      </c>
      <c r="BC134" t="s">
        <v>223</v>
      </c>
      <c r="BD134">
        <v>133</v>
      </c>
      <c r="BE134" s="83">
        <f>RANK(TableWRTEMaster[[#This Row],[VORP]],TableWRTEMaster[VORP])+COUNTIF($BJ$2:BJ134,BJ134)-1</f>
        <v>187</v>
      </c>
      <c r="BF134" s="115" t="str">
        <f>IFERROR(INDEX(TableWRVORP[WIDE RECEIVER],MATCH(TableWRTEMaster[[#This Row],[RK]],TableWRVORP[RK],0)),"")</f>
        <v>Ryan Flournoy</v>
      </c>
      <c r="BG134" s="115" t="str">
        <f>_xlfn.CONCAT(TableWRTEMaster[[#This Row],[POS]],TableWRTEMaster[[#This Row],[RK]])</f>
        <v>WR133</v>
      </c>
      <c r="BH134" s="115">
        <f>IFERROR(INDEX(TableWRVORP[BYE],MATCH(TableWRTEMaster[[#This Row],[RK]],TableWRVORP[RK],0)),"")</f>
        <v>7</v>
      </c>
      <c r="BI134" s="116">
        <f>IFERROR(INDEX(TableWRVORP[FPS],MATCH(TableWRTEMaster[[#This Row],[RK]],TableWRVORP[RK],0)),"")</f>
        <v>25.959249732729589</v>
      </c>
      <c r="BJ134" s="117">
        <f>IFERROR(INDEX(TableWRVORP[VORP],MATCH(TableWRTEMaster[[#This Row],[RK]],TableWRVORP[RK],0)),"")</f>
        <v>-0.82023012454985267</v>
      </c>
    </row>
    <row r="135" spans="8:62" x14ac:dyDescent="0.2">
      <c r="H135">
        <v>134</v>
      </c>
      <c r="I135" s="112" t="str">
        <f>IFERROR(INDEX(TableRBCalcPts[PLAYER],MATCH(TableRBVORP[[#This Row],[RK]],TableRBCalcPts[RK],0)),"")</f>
        <v/>
      </c>
      <c r="J135" s="112" t="str">
        <f>IFERROR(INDEX(TableRBCalcPts[TM],MATCH(TableRBVORP[[#This Row],[RK]],TableRBCalcPts[RK],0)),"")</f>
        <v/>
      </c>
      <c r="K135" s="112" t="str">
        <f>IFERROR(INDEX(TableRBCalcPts[BYE],MATCH(TableRBVORP[[#This Row],[RK]],TableRBCalcPts[RK],0)),"")</f>
        <v/>
      </c>
      <c r="L135" s="113" t="str">
        <f>IFERROR(INDEX(TableRBCalcPts[Custom],MATCH(TableRBVORP[[#This Row],[RK]],TableRBCalcPts[RK],0)),"")</f>
        <v/>
      </c>
      <c r="M135" s="114" t="str">
        <f>IFERROR((TableRBVORP[[#This Row],[FPS]]-INDEX(TableRBVORP[FPS],MATCH(RBVORPCalc,TableRBVORP[RK],0)))/INDEX(TableRBVORP[FPS],MATCH(RBVORPCalc,TableRBVORP[RK],0)),"")</f>
        <v/>
      </c>
      <c r="O135">
        <v>134</v>
      </c>
      <c r="P135" s="112" t="str">
        <f>IFERROR(INDEX(TableWRCalcPts[PLAYER],MATCH(TableWRVORP[[#This Row],[RK]],TableWRCalcPts[RK],0)),"")</f>
        <v>Charlie Jones</v>
      </c>
      <c r="Q135" s="112" t="str">
        <f>IFERROR(INDEX(TableWRCalcPts[TM],MATCH(TableWRVORP[[#This Row],[RK]],TableWRCalcPts[RK],0)),"")</f>
        <v>CIN</v>
      </c>
      <c r="R135" s="112">
        <f>IFERROR(INDEX(TableWRCalcPts[BYE],MATCH(TableWRVORP[[#This Row],[RK]],TableWRCalcPts[RK],0)),"")</f>
        <v>7</v>
      </c>
      <c r="S135" s="113">
        <f>IFERROR(INDEX(TableWRCalcPts[Custom],MATCH(TableWRVORP[[#This Row],[RK]],TableWRCalcPts[RK],0)),"")</f>
        <v>25.683274299312004</v>
      </c>
      <c r="T135" s="114">
        <f>IFERROR((TableWRVORP[[#This Row],[FPS]]-INDEX(TableWRVORP[FPS],MATCH(WRVORPCalc,TableWRVORP[RK],0)))/INDEX(TableWRVORP[FPS],MATCH(WRVORPCalc,TableWRVORP[RK],0)),"")</f>
        <v>-0.82214127644382395</v>
      </c>
      <c r="AF135" t="s">
        <v>222</v>
      </c>
      <c r="AG135">
        <v>94</v>
      </c>
      <c r="AH135" s="83">
        <f>RANK(TableOverallMaster[[#This Row],[VORP]],TableOverallMaster[VORP])+COUNTIF($AM$2:AM135,AM135)-1</f>
        <v>291</v>
      </c>
      <c r="AI135" s="115" t="str">
        <f>IFERROR(INDEX(TableRBVORP[RUNNING BACK],MATCH(TableOverallMaster[[#This Row],[RK]],TableRBVORP[RK],0)),"")</f>
        <v>Royce Freeman</v>
      </c>
      <c r="AJ135" s="115" t="str">
        <f t="shared" si="2"/>
        <v>RB94</v>
      </c>
      <c r="AK135" s="115">
        <f>IFERROR(INDEX(TableRBVORP[BYE],MATCH(TableOverallMaster[[#This Row],[RK]],TableRBVORP[RK],0)),"")</f>
        <v>7</v>
      </c>
      <c r="AL135" s="116">
        <f>IFERROR(INDEX(TableRBVORP[FPS],MATCH(TableOverallMaster[[#This Row],[RK]],TableRBVORP[RK],0)),"")</f>
        <v>22.019979806999999</v>
      </c>
      <c r="AM135" s="117">
        <f>IFERROR(INDEX(TableRBVORP[VORP],MATCH(TableOverallMaster[[#This Row],[RK]],TableRBVORP[RK],0)),"")</f>
        <v>-0.80464553609976353</v>
      </c>
      <c r="AO135">
        <v>134</v>
      </c>
      <c r="AP135" s="118" t="str">
        <f>IFERROR(INDEX(TableOverallMaster[OVERALL PLAYER],MATCH(TableOverallRank[[#This Row],[RK]],TableOverallMaster[OVR RK],0)),"")</f>
        <v>Dallas Goedert</v>
      </c>
      <c r="AQ135" s="119" t="str">
        <f>IFERROR(INDEX(TableOverallMaster[POS RK],MATCH(TableOverallRank[[#This Row],[OVERALL PLAYER]],TableOverallMaster[OVERALL PLAYER],0)),"")</f>
        <v>TE11</v>
      </c>
      <c r="AR135" s="120">
        <f>IFERROR(INDEX(TableOverallMaster[BYE],MATCH(TableOverallRank[[#This Row],[OVERALL PLAYER]],TableOverallMaster[OVERALL PLAYER],0)),"")</f>
        <v>10</v>
      </c>
      <c r="AS135" s="119">
        <f>IFERROR(INDEX(TableOverallMaster[Custom],MATCH(TableOverallRank[[#This Row],[OVERALL PLAYER]],TableOverallMaster[OVERALL PLAYER],0)),"")</f>
        <v>131.42193465491999</v>
      </c>
      <c r="AT135" s="121">
        <f>IFERROR(INDEX(TableOverallMaster[VORP],MATCH(TableOverallRank[[#This Row],[OVERALL PLAYER]],TableOverallMaster[OVERALL PLAYER],0)),"")</f>
        <v>6.0423400199521805E-4</v>
      </c>
      <c r="AV135">
        <v>134</v>
      </c>
      <c r="AW135" s="122" t="str">
        <f>IFERROR(INDEX(TableWRTECalcPts[PLAYER],MATCH(TableWRTERank[[#This Row],[RK]],TableWRTECalcPts[RK],0)),"")</f>
        <v>Odell Beckham</v>
      </c>
      <c r="AX135" s="122" t="str">
        <f>IFERROR(INDEX(TableWRTECalcPts[POS RK],MATCH(TableWRTERank[[#This Row],[WR and TE COMBINED]],TableWRTECalcPts[PLAYER],0)),"")</f>
        <v>WR99</v>
      </c>
      <c r="AY135" s="122">
        <f>IFERROR(INDEX(TableWRTECalcPts[BYE],MATCH(TableWRTERank[[#This Row],[RK]],TableWRTECalcPts[RK],0)),"")</f>
        <v>10</v>
      </c>
      <c r="AZ135" s="123">
        <f>IFERROR(INDEX(TableWRTECalcPts[Custom],MATCH(TableWRTERank[[#This Row],[RK]],TableWRTECalcPts[RK],0)),"")</f>
        <v>57.496219514294395</v>
      </c>
      <c r="BA135" s="174">
        <f>IFERROR((TableWRTERank[[#This Row],[FPS]]-INDEX(TableWRTERank[FPS],MATCH(WRTEVORPCalc,TableWRTERank[RK],0)))/INDEX(TableWRTERank[FPS],MATCH(WRTEVORPCalc,TableWRTERank[RK],0)),"")</f>
        <v>-0.61485729837723813</v>
      </c>
      <c r="BC135" t="s">
        <v>223</v>
      </c>
      <c r="BD135">
        <v>134</v>
      </c>
      <c r="BE135" s="83">
        <f>RANK(TableWRTEMaster[[#This Row],[VORP]],TableWRTEMaster[VORP])+COUNTIF($BJ$2:BJ135,BJ135)-1</f>
        <v>189</v>
      </c>
      <c r="BF135" s="115" t="str">
        <f>IFERROR(INDEX(TableWRVORP[WIDE RECEIVER],MATCH(TableWRTEMaster[[#This Row],[RK]],TableWRVORP[RK],0)),"")</f>
        <v>Charlie Jones</v>
      </c>
      <c r="BG135" s="115" t="str">
        <f>_xlfn.CONCAT(TableWRTEMaster[[#This Row],[POS]],TableWRTEMaster[[#This Row],[RK]])</f>
        <v>WR134</v>
      </c>
      <c r="BH135" s="115">
        <f>IFERROR(INDEX(TableWRVORP[BYE],MATCH(TableWRTEMaster[[#This Row],[RK]],TableWRVORP[RK],0)),"")</f>
        <v>7</v>
      </c>
      <c r="BI135" s="116">
        <f>IFERROR(INDEX(TableWRVORP[FPS],MATCH(TableWRTEMaster[[#This Row],[RK]],TableWRVORP[RK],0)),"")</f>
        <v>25.683274299312004</v>
      </c>
      <c r="BJ135" s="117">
        <f>IFERROR(INDEX(TableWRVORP[VORP],MATCH(TableWRTEMaster[[#This Row],[RK]],TableWRVORP[RK],0)),"")</f>
        <v>-0.82214127644382395</v>
      </c>
    </row>
    <row r="136" spans="8:62" x14ac:dyDescent="0.2">
      <c r="H136">
        <v>135</v>
      </c>
      <c r="I136" s="112" t="str">
        <f>IFERROR(INDEX(TableRBCalcPts[PLAYER],MATCH(TableRBVORP[[#This Row],[RK]],TableRBCalcPts[RK],0)),"")</f>
        <v/>
      </c>
      <c r="J136" s="112" t="str">
        <f>IFERROR(INDEX(TableRBCalcPts[TM],MATCH(TableRBVORP[[#This Row],[RK]],TableRBCalcPts[RK],0)),"")</f>
        <v/>
      </c>
      <c r="K136" s="112" t="str">
        <f>IFERROR(INDEX(TableRBCalcPts[BYE],MATCH(TableRBVORP[[#This Row],[RK]],TableRBCalcPts[RK],0)),"")</f>
        <v/>
      </c>
      <c r="L136" s="113" t="str">
        <f>IFERROR(INDEX(TableRBCalcPts[Custom],MATCH(TableRBVORP[[#This Row],[RK]],TableRBCalcPts[RK],0)),"")</f>
        <v/>
      </c>
      <c r="M136" s="114" t="str">
        <f>IFERROR((TableRBVORP[[#This Row],[FPS]]-INDEX(TableRBVORP[FPS],MATCH(RBVORPCalc,TableRBVORP[RK],0)))/INDEX(TableRBVORP[FPS],MATCH(RBVORPCalc,TableRBVORP[RK],0)),"")</f>
        <v/>
      </c>
      <c r="O136">
        <v>135</v>
      </c>
      <c r="P136" s="112" t="str">
        <f>IFERROR(INDEX(TableWRCalcPts[PLAYER],MATCH(TableWRVORP[[#This Row],[RK]],TableWRCalcPts[RK],0)),"")</f>
        <v>Anthony Gould</v>
      </c>
      <c r="Q136" s="112" t="str">
        <f>IFERROR(INDEX(TableWRCalcPts[TM],MATCH(TableWRVORP[[#This Row],[RK]],TableWRCalcPts[RK],0)),"")</f>
        <v>IND</v>
      </c>
      <c r="R136" s="112">
        <f>IFERROR(INDEX(TableWRCalcPts[BYE],MATCH(TableWRVORP[[#This Row],[RK]],TableWRCalcPts[RK],0)),"")</f>
        <v>11</v>
      </c>
      <c r="S136" s="113">
        <f>IFERROR(INDEX(TableWRCalcPts[Custom],MATCH(TableWRVORP[[#This Row],[RK]],TableWRCalcPts[RK],0)),"")</f>
        <v>25.634266435008001</v>
      </c>
      <c r="T136" s="114">
        <f>IFERROR((TableWRVORP[[#This Row],[FPS]]-INDEX(TableWRVORP[FPS],MATCH(WRVORPCalc,TableWRVORP[RK],0)))/INDEX(TableWRVORP[FPS],MATCH(WRVORPCalc,TableWRVORP[RK],0)),"")</f>
        <v>-0.82248065981401819</v>
      </c>
      <c r="AF136" t="s">
        <v>222</v>
      </c>
      <c r="AG136">
        <v>95</v>
      </c>
      <c r="AH136" s="83">
        <f>RANK(TableOverallMaster[[#This Row],[VORP]],TableOverallMaster[VORP])+COUNTIF($AM$2:AM136,AM136)-1</f>
        <v>292</v>
      </c>
      <c r="AI136" s="115" t="str">
        <f>IFERROR(INDEX(TableRBVORP[RUNNING BACK],MATCH(TableOverallMaster[[#This Row],[RK]],TableRBVORP[RK],0)),"")</f>
        <v>Chris Evans</v>
      </c>
      <c r="AJ136" s="115" t="str">
        <f t="shared" si="2"/>
        <v>RB95</v>
      </c>
      <c r="AK136" s="115">
        <f>IFERROR(INDEX(TableRBVORP[BYE],MATCH(TableOverallMaster[[#This Row],[RK]],TableRBVORP[RK],0)),"")</f>
        <v>7</v>
      </c>
      <c r="AL136" s="116">
        <f>IFERROR(INDEX(TableRBVORP[FPS],MATCH(TableOverallMaster[[#This Row],[RK]],TableRBVORP[RK],0)),"")</f>
        <v>21.211792024415999</v>
      </c>
      <c r="AM136" s="117">
        <f>IFERROR(INDEX(TableRBVORP[VORP],MATCH(TableOverallMaster[[#This Row],[RK]],TableRBVORP[RK],0)),"")</f>
        <v>-0.81181552864204676</v>
      </c>
      <c r="AO136">
        <v>135</v>
      </c>
      <c r="AP136" s="118" t="str">
        <f>IFERROR(INDEX(TableOverallMaster[OVERALL PLAYER],MATCH(TableOverallRank[[#This Row],[RK]],TableOverallMaster[OVR RK],0)),"")</f>
        <v>Roman Wilson</v>
      </c>
      <c r="AQ136" s="119" t="str">
        <f>IFERROR(INDEX(TableOverallMaster[POS RK],MATCH(TableOverallRank[[#This Row],[OVERALL PLAYER]],TableOverallMaster[OVERALL PLAYER],0)),"")</f>
        <v>WR56</v>
      </c>
      <c r="AR136" s="120">
        <f>IFERROR(INDEX(TableOverallMaster[BYE],MATCH(TableOverallRank[[#This Row],[OVERALL PLAYER]],TableOverallMaster[OVERALL PLAYER],0)),"")</f>
        <v>6</v>
      </c>
      <c r="AS136" s="119">
        <f>IFERROR(INDEX(TableOverallMaster[Custom],MATCH(TableOverallRank[[#This Row],[OVERALL PLAYER]],TableOverallMaster[OVERALL PLAYER],0)),"")</f>
        <v>144.40403499564002</v>
      </c>
      <c r="AT136" s="121">
        <f>IFERROR(INDEX(TableOverallMaster[VORP],MATCH(TableOverallRank[[#This Row],[OVERALL PLAYER]],TableOverallMaster[OVERALL PLAYER],0)),"")</f>
        <v>9.4630213841982645E-6</v>
      </c>
      <c r="AV136">
        <v>135</v>
      </c>
      <c r="AW136" s="122" t="str">
        <f>IFERROR(INDEX(TableWRTECalcPts[PLAYER],MATCH(TableWRTERank[[#This Row],[RK]],TableWRTECalcPts[RK],0)),"")</f>
        <v>DeVante Parker</v>
      </c>
      <c r="AX136" s="122" t="str">
        <f>IFERROR(INDEX(TableWRTECalcPts[POS RK],MATCH(TableWRTERank[[#This Row],[WR and TE COMBINED]],TableWRTECalcPts[PLAYER],0)),"")</f>
        <v>WR100</v>
      </c>
      <c r="AY136" s="122">
        <f>IFERROR(INDEX(TableWRTECalcPts[BYE],MATCH(TableWRTERank[[#This Row],[RK]],TableWRTECalcPts[RK],0)),"")</f>
        <v>10</v>
      </c>
      <c r="AZ136" s="123">
        <f>IFERROR(INDEX(TableWRTECalcPts[Custom],MATCH(TableWRTERank[[#This Row],[RK]],TableWRTECalcPts[RK],0)),"")</f>
        <v>56.040648476400008</v>
      </c>
      <c r="BA136" s="174">
        <f>IFERROR((TableWRTERank[[#This Row],[FPS]]-INDEX(TableWRTERank[FPS],MATCH(WRTEVORPCalc,TableWRTERank[RK],0)))/INDEX(TableWRTERank[FPS],MATCH(WRTEVORPCalc,TableWRTERank[RK],0)),"")</f>
        <v>-0.62460754920545336</v>
      </c>
      <c r="BC136" t="s">
        <v>223</v>
      </c>
      <c r="BD136">
        <v>135</v>
      </c>
      <c r="BE136" s="83">
        <f>RANK(TableWRTEMaster[[#This Row],[VORP]],TableWRTEMaster[VORP])+COUNTIF($BJ$2:BJ136,BJ136)-1</f>
        <v>190</v>
      </c>
      <c r="BF136" s="115" t="str">
        <f>IFERROR(INDEX(TableWRVORP[WIDE RECEIVER],MATCH(TableWRTEMaster[[#This Row],[RK]],TableWRVORP[RK],0)),"")</f>
        <v>Anthony Gould</v>
      </c>
      <c r="BG136" s="115" t="str">
        <f>_xlfn.CONCAT(TableWRTEMaster[[#This Row],[POS]],TableWRTEMaster[[#This Row],[RK]])</f>
        <v>WR135</v>
      </c>
      <c r="BH136" s="115">
        <f>IFERROR(INDEX(TableWRVORP[BYE],MATCH(TableWRTEMaster[[#This Row],[RK]],TableWRVORP[RK],0)),"")</f>
        <v>11</v>
      </c>
      <c r="BI136" s="116">
        <f>IFERROR(INDEX(TableWRVORP[FPS],MATCH(TableWRTEMaster[[#This Row],[RK]],TableWRVORP[RK],0)),"")</f>
        <v>25.634266435008001</v>
      </c>
      <c r="BJ136" s="117">
        <f>IFERROR(INDEX(TableWRVORP[VORP],MATCH(TableWRTEMaster[[#This Row],[RK]],TableWRVORP[RK],0)),"")</f>
        <v>-0.82248065981401819</v>
      </c>
    </row>
    <row r="137" spans="8:62" x14ac:dyDescent="0.2">
      <c r="H137">
        <v>136</v>
      </c>
      <c r="I137" s="112" t="str">
        <f>IFERROR(INDEX(TableRBCalcPts[PLAYER],MATCH(TableRBVORP[[#This Row],[RK]],TableRBCalcPts[RK],0)),"")</f>
        <v/>
      </c>
      <c r="J137" s="112" t="str">
        <f>IFERROR(INDEX(TableRBCalcPts[TM],MATCH(TableRBVORP[[#This Row],[RK]],TableRBCalcPts[RK],0)),"")</f>
        <v/>
      </c>
      <c r="K137" s="112" t="str">
        <f>IFERROR(INDEX(TableRBCalcPts[BYE],MATCH(TableRBVORP[[#This Row],[RK]],TableRBCalcPts[RK],0)),"")</f>
        <v/>
      </c>
      <c r="L137" s="113" t="str">
        <f>IFERROR(INDEX(TableRBCalcPts[Custom],MATCH(TableRBVORP[[#This Row],[RK]],TableRBCalcPts[RK],0)),"")</f>
        <v/>
      </c>
      <c r="M137" s="114" t="str">
        <f>IFERROR((TableRBVORP[[#This Row],[FPS]]-INDEX(TableRBVORP[FPS],MATCH(RBVORPCalc,TableRBVORP[RK],0)))/INDEX(TableRBVORP[FPS],MATCH(RBVORPCalc,TableRBVORP[RK],0)),"")</f>
        <v/>
      </c>
      <c r="O137">
        <v>136</v>
      </c>
      <c r="P137" s="112" t="str">
        <f>IFERROR(INDEX(TableWRCalcPts[PLAYER],MATCH(TableWRVORP[[#This Row],[RK]],TableWRCalcPts[RK],0)),"")</f>
        <v>Tutu Atwell</v>
      </c>
      <c r="Q137" s="112" t="str">
        <f>IFERROR(INDEX(TableWRCalcPts[TM],MATCH(TableWRVORP[[#This Row],[RK]],TableWRCalcPts[RK],0)),"")</f>
        <v>LAR</v>
      </c>
      <c r="R137" s="112">
        <f>IFERROR(INDEX(TableWRCalcPts[BYE],MATCH(TableWRVORP[[#This Row],[RK]],TableWRCalcPts[RK],0)),"")</f>
        <v>10</v>
      </c>
      <c r="S137" s="113">
        <f>IFERROR(INDEX(TableWRCalcPts[Custom],MATCH(TableWRVORP[[#This Row],[RK]],TableWRCalcPts[RK],0)),"")</f>
        <v>25.364281713758388</v>
      </c>
      <c r="T137" s="114">
        <f>IFERROR((TableWRVORP[[#This Row],[FPS]]-INDEX(TableWRVORP[FPS],MATCH(WRVORPCalc,TableWRVORP[RK],0)))/INDEX(TableWRVORP[FPS],MATCH(WRVORPCalc,TableWRVORP[RK],0)),"")</f>
        <v>-0.82435032554828214</v>
      </c>
      <c r="AF137" t="s">
        <v>222</v>
      </c>
      <c r="AG137">
        <v>96</v>
      </c>
      <c r="AH137" s="83">
        <f>RANK(TableOverallMaster[[#This Row],[VORP]],TableOverallMaster[VORP])+COUNTIF($AM$2:AM137,AM137)-1</f>
        <v>294</v>
      </c>
      <c r="AI137" s="115" t="str">
        <f>IFERROR(INDEX(TableRBVORP[RUNNING BACK],MATCH(TableOverallMaster[[#This Row],[RK]],TableRBVORP[RK],0)),"")</f>
        <v>Justice Hill</v>
      </c>
      <c r="AJ137" s="115" t="str">
        <f t="shared" si="2"/>
        <v>RB96</v>
      </c>
      <c r="AK137" s="115">
        <f>IFERROR(INDEX(TableRBVORP[BYE],MATCH(TableOverallMaster[[#This Row],[RK]],TableRBVORP[RK],0)),"")</f>
        <v>13</v>
      </c>
      <c r="AL137" s="116">
        <f>IFERROR(INDEX(TableRBVORP[FPS],MATCH(TableOverallMaster[[#This Row],[RK]],TableRBVORP[RK],0)),"")</f>
        <v>20.135598235760003</v>
      </c>
      <c r="AM137" s="117">
        <f>IFERROR(INDEX(TableRBVORP[VORP],MATCH(TableOverallMaster[[#This Row],[RK]],TableRBVORP[RK],0)),"")</f>
        <v>-0.8213631877442964</v>
      </c>
      <c r="AO137">
        <v>136</v>
      </c>
      <c r="AP137" s="118" t="str">
        <f>IFERROR(INDEX(TableOverallMaster[OVERALL PLAYER],MATCH(TableOverallRank[[#This Row],[RK]],TableOverallMaster[OVR RK],0)),"")</f>
        <v>Jerome Ford</v>
      </c>
      <c r="AQ137" s="119" t="str">
        <f>IFERROR(INDEX(TableOverallMaster[POS RK],MATCH(TableOverallRank[[#This Row],[OVERALL PLAYER]],TableOverallMaster[OVERALL PLAYER],0)),"")</f>
        <v>RB44</v>
      </c>
      <c r="AR137" s="120">
        <f>IFERROR(INDEX(TableOverallMaster[BYE],MATCH(TableOverallRank[[#This Row],[OVERALL PLAYER]],TableOverallMaster[OVERALL PLAYER],0)),"")</f>
        <v>5</v>
      </c>
      <c r="AS137" s="119">
        <f>IFERROR(INDEX(TableOverallMaster[Custom],MATCH(TableOverallRank[[#This Row],[OVERALL PLAYER]],TableOverallMaster[OVERALL PLAYER],0)),"")</f>
        <v>112.71807855</v>
      </c>
      <c r="AT137" s="121">
        <f>IFERROR(INDEX(TableOverallMaster[VORP],MATCH(TableOverallRank[[#This Row],[OVERALL PLAYER]],TableOverallMaster[OVERALL PLAYER],0)),"")</f>
        <v>0</v>
      </c>
      <c r="AV137">
        <v>136</v>
      </c>
      <c r="AW137" s="122" t="str">
        <f>IFERROR(INDEX(TableWRTECalcPts[PLAYER],MATCH(TableWRTERank[[#This Row],[RK]],TableWRTECalcPts[RK],0)),"")</f>
        <v>Colby Parkinson</v>
      </c>
      <c r="AX137" s="122" t="str">
        <f>IFERROR(INDEX(TableWRTECalcPts[POS RK],MATCH(TableWRTERank[[#This Row],[WR and TE COMBINED]],TableWRTECalcPts[PLAYER],0)),"")</f>
        <v>TE36</v>
      </c>
      <c r="AY137" s="122">
        <f>IFERROR(INDEX(TableWRTECalcPts[BYE],MATCH(TableWRTERank[[#This Row],[RK]],TableWRTECalcPts[RK],0)),"")</f>
        <v>10</v>
      </c>
      <c r="AZ137" s="123">
        <f>IFERROR(INDEX(TableWRTECalcPts[Custom],MATCH(TableWRTERank[[#This Row],[RK]],TableWRTECalcPts[RK],0)),"")</f>
        <v>55.509939280947187</v>
      </c>
      <c r="BA137" s="174">
        <f>IFERROR((TableWRTERank[[#This Row],[FPS]]-INDEX(TableWRTERank[FPS],MATCH(WRTEVORPCalc,TableWRTERank[RK],0)))/INDEX(TableWRTERank[FPS],MATCH(WRTEVORPCalc,TableWRTERank[RK],0)),"")</f>
        <v>-0.62816254421276729</v>
      </c>
      <c r="BC137" t="s">
        <v>223</v>
      </c>
      <c r="BD137">
        <v>136</v>
      </c>
      <c r="BE137" s="83">
        <f>RANK(TableWRTEMaster[[#This Row],[VORP]],TableWRTEMaster[VORP])+COUNTIF($BJ$2:BJ137,BJ137)-1</f>
        <v>192</v>
      </c>
      <c r="BF137" s="115" t="str">
        <f>IFERROR(INDEX(TableWRVORP[WIDE RECEIVER],MATCH(TableWRTEMaster[[#This Row],[RK]],TableWRVORP[RK],0)),"")</f>
        <v>Tutu Atwell</v>
      </c>
      <c r="BG137" s="115" t="str">
        <f>_xlfn.CONCAT(TableWRTEMaster[[#This Row],[POS]],TableWRTEMaster[[#This Row],[RK]])</f>
        <v>WR136</v>
      </c>
      <c r="BH137" s="115">
        <f>IFERROR(INDEX(TableWRVORP[BYE],MATCH(TableWRTEMaster[[#This Row],[RK]],TableWRVORP[RK],0)),"")</f>
        <v>10</v>
      </c>
      <c r="BI137" s="116">
        <f>IFERROR(INDEX(TableWRVORP[FPS],MATCH(TableWRTEMaster[[#This Row],[RK]],TableWRVORP[RK],0)),"")</f>
        <v>25.364281713758388</v>
      </c>
      <c r="BJ137" s="117">
        <f>IFERROR(INDEX(TableWRVORP[VORP],MATCH(TableWRTEMaster[[#This Row],[RK]],TableWRVORP[RK],0)),"")</f>
        <v>-0.82435032554828214</v>
      </c>
    </row>
    <row r="138" spans="8:62" x14ac:dyDescent="0.2">
      <c r="H138">
        <v>137</v>
      </c>
      <c r="I138" s="112" t="str">
        <f>IFERROR(INDEX(TableRBCalcPts[PLAYER],MATCH(TableRBVORP[[#This Row],[RK]],TableRBCalcPts[RK],0)),"")</f>
        <v/>
      </c>
      <c r="J138" s="112" t="str">
        <f>IFERROR(INDEX(TableRBCalcPts[TM],MATCH(TableRBVORP[[#This Row],[RK]],TableRBCalcPts[RK],0)),"")</f>
        <v/>
      </c>
      <c r="K138" s="112" t="str">
        <f>IFERROR(INDEX(TableRBCalcPts[BYE],MATCH(TableRBVORP[[#This Row],[RK]],TableRBCalcPts[RK],0)),"")</f>
        <v/>
      </c>
      <c r="L138" s="113" t="str">
        <f>IFERROR(INDEX(TableRBCalcPts[Custom],MATCH(TableRBVORP[[#This Row],[RK]],TableRBCalcPts[RK],0)),"")</f>
        <v/>
      </c>
      <c r="M138" s="114" t="str">
        <f>IFERROR((TableRBVORP[[#This Row],[FPS]]-INDEX(TableRBVORP[FPS],MATCH(RBVORPCalc,TableRBVORP[RK],0)))/INDEX(TableRBVORP[FPS],MATCH(RBVORPCalc,TableRBVORP[RK],0)),"")</f>
        <v/>
      </c>
      <c r="O138">
        <v>137</v>
      </c>
      <c r="P138" s="112" t="str">
        <f>IFERROR(INDEX(TableWRCalcPts[PLAYER],MATCH(TableWRVORP[[#This Row],[RK]],TableWRCalcPts[RK],0)),"")</f>
        <v>Malik Washington</v>
      </c>
      <c r="Q138" s="112" t="str">
        <f>IFERROR(INDEX(TableWRCalcPts[TM],MATCH(TableWRVORP[[#This Row],[RK]],TableWRCalcPts[RK],0)),"")</f>
        <v>MIA</v>
      </c>
      <c r="R138" s="112">
        <f>IFERROR(INDEX(TableWRCalcPts[BYE],MATCH(TableWRVORP[[#This Row],[RK]],TableWRCalcPts[RK],0)),"")</f>
        <v>10</v>
      </c>
      <c r="S138" s="113">
        <f>IFERROR(INDEX(TableWRCalcPts[Custom],MATCH(TableWRVORP[[#This Row],[RK]],TableWRCalcPts[RK],0)),"")</f>
        <v>25.1969371313184</v>
      </c>
      <c r="T138" s="114">
        <f>IFERROR((TableWRVORP[[#This Row],[FPS]]-INDEX(TableWRVORP[FPS],MATCH(WRVORPCalc,TableWRVORP[RK],0)))/INDEX(TableWRVORP[FPS],MATCH(WRVORPCalc,TableWRVORP[RK],0)),"")</f>
        <v>-0.82550920013257201</v>
      </c>
      <c r="AF138" t="s">
        <v>222</v>
      </c>
      <c r="AG138">
        <v>97</v>
      </c>
      <c r="AH138" s="83">
        <f>RANK(TableOverallMaster[[#This Row],[VORP]],TableOverallMaster[VORP])+COUNTIF($AM$2:AM138,AM138)-1</f>
        <v>295</v>
      </c>
      <c r="AI138" s="115" t="str">
        <f>IFERROR(INDEX(TableRBVORP[RUNNING BACK],MATCH(TableOverallMaster[[#This Row],[RK]],TableRBVORP[RK],0)),"")</f>
        <v>Craig Reynolds</v>
      </c>
      <c r="AJ138" s="115" t="str">
        <f t="shared" si="2"/>
        <v>RB97</v>
      </c>
      <c r="AK138" s="115">
        <f>IFERROR(INDEX(TableRBVORP[BYE],MATCH(TableOverallMaster[[#This Row],[RK]],TableRBVORP[RK],0)),"")</f>
        <v>9</v>
      </c>
      <c r="AL138" s="116">
        <f>IFERROR(INDEX(TableRBVORP[FPS],MATCH(TableOverallMaster[[#This Row],[RK]],TableRBVORP[RK],0)),"")</f>
        <v>19.247159624000005</v>
      </c>
      <c r="AM138" s="117">
        <f>IFERROR(INDEX(TableRBVORP[VORP],MATCH(TableOverallMaster[[#This Row],[RK]],TableRBVORP[RK],0)),"")</f>
        <v>-0.82924514087185874</v>
      </c>
      <c r="AO138">
        <v>137</v>
      </c>
      <c r="AP138" s="118" t="str">
        <f>IFERROR(INDEX(TableOverallMaster[OVERALL PLAYER],MATCH(TableOverallRank[[#This Row],[RK]],TableOverallMaster[OVR RK],0)),"")</f>
        <v>Demarcus Robinson</v>
      </c>
      <c r="AQ138" s="119" t="str">
        <f>IFERROR(INDEX(TableOverallMaster[POS RK],MATCH(TableOverallRank[[#This Row],[OVERALL PLAYER]],TableOverallMaster[OVERALL PLAYER],0)),"")</f>
        <v>WR57</v>
      </c>
      <c r="AR138" s="120">
        <f>IFERROR(INDEX(TableOverallMaster[BYE],MATCH(TableOverallRank[[#This Row],[OVERALL PLAYER]],TableOverallMaster[OVERALL PLAYER],0)),"")</f>
        <v>10</v>
      </c>
      <c r="AS138" s="119">
        <f>IFERROR(INDEX(TableOverallMaster[Custom],MATCH(TableOverallRank[[#This Row],[OVERALL PLAYER]],TableOverallMaster[OVERALL PLAYER],0)),"")</f>
        <v>144.40266851009997</v>
      </c>
      <c r="AT138" s="121">
        <f>IFERROR(INDEX(TableOverallMaster[VORP],MATCH(TableOverallRank[[#This Row],[OVERALL PLAYER]],TableOverallMaster[OVERALL PLAYER],0)),"")</f>
        <v>0</v>
      </c>
      <c r="AV138">
        <v>137</v>
      </c>
      <c r="AW138" s="122" t="str">
        <f>IFERROR(INDEX(TableWRTECalcPts[PLAYER],MATCH(TableWRTERank[[#This Row],[RK]],TableWRTECalcPts[RK],0)),"")</f>
        <v>Isaiah Likely</v>
      </c>
      <c r="AX138" s="122" t="str">
        <f>IFERROR(INDEX(TableWRTECalcPts[POS RK],MATCH(TableWRTERank[[#This Row],[WR and TE COMBINED]],TableWRTECalcPts[PLAYER],0)),"")</f>
        <v>TE37</v>
      </c>
      <c r="AY138" s="122">
        <f>IFERROR(INDEX(TableWRTECalcPts[BYE],MATCH(TableWRTERank[[#This Row],[RK]],TableWRTECalcPts[RK],0)),"")</f>
        <v>13</v>
      </c>
      <c r="AZ138" s="123">
        <f>IFERROR(INDEX(TableWRTECalcPts[Custom],MATCH(TableWRTERank[[#This Row],[RK]],TableWRTECalcPts[RK],0)),"")</f>
        <v>55.486040377824011</v>
      </c>
      <c r="BA138" s="174">
        <f>IFERROR((TableWRTERank[[#This Row],[FPS]]-INDEX(TableWRTERank[FPS],MATCH(WRTEVORPCalc,TableWRTERank[RK],0)))/INDEX(TableWRTERank[FPS],MATCH(WRTEVORPCalc,TableWRTERank[RK],0)),"")</f>
        <v>-0.62832263279237188</v>
      </c>
      <c r="BC138" t="s">
        <v>223</v>
      </c>
      <c r="BD138">
        <v>137</v>
      </c>
      <c r="BE138" s="83">
        <f>RANK(TableWRTEMaster[[#This Row],[VORP]],TableWRTEMaster[VORP])+COUNTIF($BJ$2:BJ138,BJ138)-1</f>
        <v>193</v>
      </c>
      <c r="BF138" s="115" t="str">
        <f>IFERROR(INDEX(TableWRVORP[WIDE RECEIVER],MATCH(TableWRTEMaster[[#This Row],[RK]],TableWRVORP[RK],0)),"")</f>
        <v>Malik Washington</v>
      </c>
      <c r="BG138" s="115" t="str">
        <f>_xlfn.CONCAT(TableWRTEMaster[[#This Row],[POS]],TableWRTEMaster[[#This Row],[RK]])</f>
        <v>WR137</v>
      </c>
      <c r="BH138" s="115">
        <f>IFERROR(INDEX(TableWRVORP[BYE],MATCH(TableWRTEMaster[[#This Row],[RK]],TableWRVORP[RK],0)),"")</f>
        <v>10</v>
      </c>
      <c r="BI138" s="116">
        <f>IFERROR(INDEX(TableWRVORP[FPS],MATCH(TableWRTEMaster[[#This Row],[RK]],TableWRVORP[RK],0)),"")</f>
        <v>25.1969371313184</v>
      </c>
      <c r="BJ138" s="117">
        <f>IFERROR(INDEX(TableWRVORP[VORP],MATCH(TableWRTEMaster[[#This Row],[RK]],TableWRVORP[RK],0)),"")</f>
        <v>-0.82550920013257201</v>
      </c>
    </row>
    <row r="139" spans="8:62" x14ac:dyDescent="0.2">
      <c r="H139">
        <v>138</v>
      </c>
      <c r="I139" s="112" t="str">
        <f>IFERROR(INDEX(TableRBCalcPts[PLAYER],MATCH(TableRBVORP[[#This Row],[RK]],TableRBCalcPts[RK],0)),"")</f>
        <v/>
      </c>
      <c r="J139" s="112" t="str">
        <f>IFERROR(INDEX(TableRBCalcPts[TM],MATCH(TableRBVORP[[#This Row],[RK]],TableRBCalcPts[RK],0)),"")</f>
        <v/>
      </c>
      <c r="K139" s="112" t="str">
        <f>IFERROR(INDEX(TableRBCalcPts[BYE],MATCH(TableRBVORP[[#This Row],[RK]],TableRBCalcPts[RK],0)),"")</f>
        <v/>
      </c>
      <c r="L139" s="113" t="str">
        <f>IFERROR(INDEX(TableRBCalcPts[Custom],MATCH(TableRBVORP[[#This Row],[RK]],TableRBCalcPts[RK],0)),"")</f>
        <v/>
      </c>
      <c r="M139" s="114" t="str">
        <f>IFERROR((TableRBVORP[[#This Row],[FPS]]-INDEX(TableRBVORP[FPS],MATCH(RBVORPCalc,TableRBVORP[RK],0)))/INDEX(TableRBVORP[FPS],MATCH(RBVORPCalc,TableRBVORP[RK],0)),"")</f>
        <v/>
      </c>
      <c r="O139">
        <v>138</v>
      </c>
      <c r="P139" s="112" t="str">
        <f>IFERROR(INDEX(TableWRCalcPts[PLAYER],MATCH(TableWRVORP[[#This Row],[RK]],TableWRCalcPts[RK],0)),"")</f>
        <v>Bo Melton</v>
      </c>
      <c r="Q139" s="112" t="str">
        <f>IFERROR(INDEX(TableWRCalcPts[TM],MATCH(TableWRVORP[[#This Row],[RK]],TableWRCalcPts[RK],0)),"")</f>
        <v>GB</v>
      </c>
      <c r="R139" s="112">
        <f>IFERROR(INDEX(TableWRCalcPts[BYE],MATCH(TableWRVORP[[#This Row],[RK]],TableWRCalcPts[RK],0)),"")</f>
        <v>6</v>
      </c>
      <c r="S139" s="113">
        <f>IFERROR(INDEX(TableWRCalcPts[Custom],MATCH(TableWRVORP[[#This Row],[RK]],TableWRCalcPts[RK],0)),"")</f>
        <v>24.724347171887999</v>
      </c>
      <c r="T139" s="114">
        <f>IFERROR((TableWRVORP[[#This Row],[FPS]]-INDEX(TableWRVORP[FPS],MATCH(WRVORPCalc,TableWRVORP[RK],0)))/INDEX(TableWRVORP[FPS],MATCH(WRVORPCalc,TableWRVORP[RK],0)),"")</f>
        <v>-0.82878192330525591</v>
      </c>
      <c r="AF139" t="s">
        <v>222</v>
      </c>
      <c r="AG139">
        <v>98</v>
      </c>
      <c r="AH139" s="83">
        <f>RANK(TableOverallMaster[[#This Row],[VORP]],TableOverallMaster[VORP])+COUNTIF($AM$2:AM139,AM139)-1</f>
        <v>296</v>
      </c>
      <c r="AI139" s="115" t="str">
        <f>IFERROR(INDEX(TableRBVORP[RUNNING BACK],MATCH(TableOverallMaster[[#This Row],[RK]],TableRBVORP[RK],0)),"")</f>
        <v>Deon Jackson</v>
      </c>
      <c r="AJ139" s="115" t="str">
        <f t="shared" si="2"/>
        <v>RB98</v>
      </c>
      <c r="AK139" s="115">
        <f>IFERROR(INDEX(TableRBVORP[BYE],MATCH(TableOverallMaster[[#This Row],[RK]],TableRBVORP[RK],0)),"")</f>
        <v>13</v>
      </c>
      <c r="AL139" s="116">
        <f>IFERROR(INDEX(TableRBVORP[FPS],MATCH(TableOverallMaster[[#This Row],[RK]],TableRBVORP[RK],0)),"")</f>
        <v>19.134680254928</v>
      </c>
      <c r="AM139" s="117">
        <f>IFERROR(INDEX(TableRBVORP[VORP],MATCH(TableOverallMaster[[#This Row],[RK]],TableRBVORP[RK],0)),"")</f>
        <v>-0.83024302311505294</v>
      </c>
      <c r="AO139">
        <v>138</v>
      </c>
      <c r="AP139" s="118" t="str">
        <f>IFERROR(INDEX(TableOverallMaster[OVERALL PLAYER],MATCH(TableOverallRank[[#This Row],[RK]],TableOverallMaster[OVR RK],0)),"")</f>
        <v>Brock Bowers</v>
      </c>
      <c r="AQ139" s="119" t="str">
        <f>IFERROR(INDEX(TableOverallMaster[POS RK],MATCH(TableOverallRank[[#This Row],[OVERALL PLAYER]],TableOverallMaster[OVERALL PLAYER],0)),"")</f>
        <v>TE12</v>
      </c>
      <c r="AR139" s="120">
        <f>IFERROR(INDEX(TableOverallMaster[BYE],MATCH(TableOverallRank[[#This Row],[OVERALL PLAYER]],TableOverallMaster[OVERALL PLAYER],0)),"")</f>
        <v>13</v>
      </c>
      <c r="AS139" s="119">
        <f>IFERROR(INDEX(TableOverallMaster[Custom],MATCH(TableOverallRank[[#This Row],[OVERALL PLAYER]],TableOverallMaster[OVERALL PLAYER],0)),"")</f>
        <v>131.34257300639999</v>
      </c>
      <c r="AT139" s="121">
        <f>IFERROR(INDEX(TableOverallMaster[VORP],MATCH(TableOverallRank[[#This Row],[OVERALL PLAYER]],TableOverallMaster[OVERALL PLAYER],0)),"")</f>
        <v>0</v>
      </c>
      <c r="AV139">
        <v>138</v>
      </c>
      <c r="AW139" s="122" t="str">
        <f>IFERROR(INDEX(TableWRTECalcPts[PLAYER],MATCH(TableWRTERank[[#This Row],[RK]],TableWRTECalcPts[RK],0)),"")</f>
        <v>Austin Hooper</v>
      </c>
      <c r="AX139" s="122" t="str">
        <f>IFERROR(INDEX(TableWRTECalcPts[POS RK],MATCH(TableWRTERank[[#This Row],[WR and TE COMBINED]],TableWRTECalcPts[PLAYER],0)),"")</f>
        <v>TE38</v>
      </c>
      <c r="AY139" s="122">
        <f>IFERROR(INDEX(TableWRTECalcPts[BYE],MATCH(TableWRTERank[[#This Row],[RK]],TableWRTECalcPts[RK],0)),"")</f>
        <v>11</v>
      </c>
      <c r="AZ139" s="123">
        <f>IFERROR(INDEX(TableWRTECalcPts[Custom],MATCH(TableWRTERank[[#This Row],[RK]],TableWRTECalcPts[RK],0)),"")</f>
        <v>55.186056155999992</v>
      </c>
      <c r="BA139" s="174">
        <f>IFERROR((TableWRTERank[[#This Row],[FPS]]-INDEX(TableWRTERank[FPS],MATCH(WRTEVORPCalc,TableWRTERank[RK],0)))/INDEX(TableWRTERank[FPS],MATCH(WRTEVORPCalc,TableWRTERank[RK],0)),"")</f>
        <v>-0.63033209940797752</v>
      </c>
      <c r="BC139" t="s">
        <v>223</v>
      </c>
      <c r="BD139">
        <v>138</v>
      </c>
      <c r="BE139" s="83">
        <f>RANK(TableWRTEMaster[[#This Row],[VORP]],TableWRTEMaster[VORP])+COUNTIF($BJ$2:BJ139,BJ139)-1</f>
        <v>194</v>
      </c>
      <c r="BF139" s="115" t="str">
        <f>IFERROR(INDEX(TableWRVORP[WIDE RECEIVER],MATCH(TableWRTEMaster[[#This Row],[RK]],TableWRVORP[RK],0)),"")</f>
        <v>Bo Melton</v>
      </c>
      <c r="BG139" s="115" t="str">
        <f>_xlfn.CONCAT(TableWRTEMaster[[#This Row],[POS]],TableWRTEMaster[[#This Row],[RK]])</f>
        <v>WR138</v>
      </c>
      <c r="BH139" s="115">
        <f>IFERROR(INDEX(TableWRVORP[BYE],MATCH(TableWRTEMaster[[#This Row],[RK]],TableWRVORP[RK],0)),"")</f>
        <v>6</v>
      </c>
      <c r="BI139" s="116">
        <f>IFERROR(INDEX(TableWRVORP[FPS],MATCH(TableWRTEMaster[[#This Row],[RK]],TableWRVORP[RK],0)),"")</f>
        <v>24.724347171887999</v>
      </c>
      <c r="BJ139" s="117">
        <f>IFERROR(INDEX(TableWRVORP[VORP],MATCH(TableWRTEMaster[[#This Row],[RK]],TableWRVORP[RK],0)),"")</f>
        <v>-0.82878192330525591</v>
      </c>
    </row>
    <row r="140" spans="8:62" x14ac:dyDescent="0.2">
      <c r="H140">
        <v>139</v>
      </c>
      <c r="I140" s="112" t="str">
        <f>IFERROR(INDEX(TableRBCalcPts[PLAYER],MATCH(TableRBVORP[[#This Row],[RK]],TableRBCalcPts[RK],0)),"")</f>
        <v/>
      </c>
      <c r="J140" s="112" t="str">
        <f>IFERROR(INDEX(TableRBCalcPts[TM],MATCH(TableRBVORP[[#This Row],[RK]],TableRBCalcPts[RK],0)),"")</f>
        <v/>
      </c>
      <c r="K140" s="112" t="str">
        <f>IFERROR(INDEX(TableRBCalcPts[BYE],MATCH(TableRBVORP[[#This Row],[RK]],TableRBCalcPts[RK],0)),"")</f>
        <v/>
      </c>
      <c r="L140" s="113" t="str">
        <f>IFERROR(INDEX(TableRBCalcPts[Custom],MATCH(TableRBVORP[[#This Row],[RK]],TableRBCalcPts[RK],0)),"")</f>
        <v/>
      </c>
      <c r="M140" s="114" t="str">
        <f>IFERROR((TableRBVORP[[#This Row],[FPS]]-INDEX(TableRBVORP[FPS],MATCH(RBVORPCalc,TableRBVORP[RK],0)))/INDEX(TableRBVORP[FPS],MATCH(RBVORPCalc,TableRBVORP[RK],0)),"")</f>
        <v/>
      </c>
      <c r="O140">
        <v>139</v>
      </c>
      <c r="P140" s="112" t="str">
        <f>IFERROR(INDEX(TableWRCalcPts[PLAYER],MATCH(TableWRVORP[[#This Row],[RK]],TableWRCalcPts[RK],0)),"")</f>
        <v>Ray-Ray McCloud</v>
      </c>
      <c r="Q140" s="112" t="str">
        <f>IFERROR(INDEX(TableWRCalcPts[TM],MATCH(TableWRVORP[[#This Row],[RK]],TableWRCalcPts[RK],0)),"")</f>
        <v>ATL</v>
      </c>
      <c r="R140" s="112">
        <f>IFERROR(INDEX(TableWRCalcPts[BYE],MATCH(TableWRVORP[[#This Row],[RK]],TableWRCalcPts[RK],0)),"")</f>
        <v>11</v>
      </c>
      <c r="S140" s="113">
        <f>IFERROR(INDEX(TableWRCalcPts[Custom],MATCH(TableWRVORP[[#This Row],[RK]],TableWRCalcPts[RK],0)),"")</f>
        <v>23.756703681110395</v>
      </c>
      <c r="T140" s="114">
        <f>IFERROR((TableWRVORP[[#This Row],[FPS]]-INDEX(TableWRVORP[FPS],MATCH(WRVORPCalc,TableWRVORP[RK],0)))/INDEX(TableWRVORP[FPS],MATCH(WRVORPCalc,TableWRVORP[RK],0)),"")</f>
        <v>-0.83548293167831056</v>
      </c>
      <c r="AF140" t="s">
        <v>222</v>
      </c>
      <c r="AG140">
        <v>99</v>
      </c>
      <c r="AH140" s="83">
        <f>RANK(TableOverallMaster[[#This Row],[VORP]],TableOverallMaster[VORP])+COUNTIF($AM$2:AM140,AM140)-1</f>
        <v>297</v>
      </c>
      <c r="AI140" s="115" t="str">
        <f>IFERROR(INDEX(TableRBVORP[RUNNING BACK],MATCH(TableOverallMaster[[#This Row],[RK]],TableRBVORP[RK],0)),"")</f>
        <v>Raheem Blackshear</v>
      </c>
      <c r="AJ140" s="115" t="str">
        <f t="shared" si="2"/>
        <v>RB99</v>
      </c>
      <c r="AK140" s="115">
        <f>IFERROR(INDEX(TableRBVORP[BYE],MATCH(TableOverallMaster[[#This Row],[RK]],TableRBVORP[RK],0)),"")</f>
        <v>7</v>
      </c>
      <c r="AL140" s="116">
        <f>IFERROR(INDEX(TableRBVORP[FPS],MATCH(TableOverallMaster[[#This Row],[RK]],TableRBVORP[RK],0)),"")</f>
        <v>17.937397642752</v>
      </c>
      <c r="AM140" s="117">
        <f>IFERROR(INDEX(TableRBVORP[VORP],MATCH(TableOverallMaster[[#This Row],[RK]],TableRBVORP[RK],0)),"")</f>
        <v>-0.84086494488286323</v>
      </c>
      <c r="AO140">
        <v>139</v>
      </c>
      <c r="AP140" s="118" t="str">
        <f>IFERROR(INDEX(TableOverallMaster[OVERALL PLAYER],MATCH(TableOverallRank[[#This Row],[RK]],TableOverallMaster[OVR RK],0)),"")</f>
        <v>Antonio Gibson</v>
      </c>
      <c r="AQ140" s="119" t="str">
        <f>IFERROR(INDEX(TableOverallMaster[POS RK],MATCH(TableOverallRank[[#This Row],[OVERALL PLAYER]],TableOverallMaster[OVERALL PLAYER],0)),"")</f>
        <v>RB45</v>
      </c>
      <c r="AR140" s="120">
        <f>IFERROR(INDEX(TableOverallMaster[BYE],MATCH(TableOverallRank[[#This Row],[OVERALL PLAYER]],TableOverallMaster[OVERALL PLAYER],0)),"")</f>
        <v>11</v>
      </c>
      <c r="AS140" s="119">
        <f>IFERROR(INDEX(TableOverallMaster[Custom],MATCH(TableOverallRank[[#This Row],[OVERALL PLAYER]],TableOverallMaster[OVERALL PLAYER],0)),"")</f>
        <v>112.358046343648</v>
      </c>
      <c r="AT140" s="121">
        <f>IFERROR(INDEX(TableOverallMaster[VORP],MATCH(TableOverallRank[[#This Row],[OVERALL PLAYER]],TableOverallMaster[OVERALL PLAYER],0)),"")</f>
        <v>-3.1940946029549088E-3</v>
      </c>
      <c r="AV140">
        <v>139</v>
      </c>
      <c r="AW140" s="122" t="str">
        <f>IFERROR(INDEX(TableWRTECalcPts[PLAYER],MATCH(TableWRTERank[[#This Row],[RK]],TableWRTECalcPts[RK],0)),"")</f>
        <v>Tommy Tremble</v>
      </c>
      <c r="AX140" s="122" t="str">
        <f>IFERROR(INDEX(TableWRTECalcPts[POS RK],MATCH(TableWRTERank[[#This Row],[WR and TE COMBINED]],TableWRTECalcPts[PLAYER],0)),"")</f>
        <v>TE39</v>
      </c>
      <c r="AY140" s="122">
        <f>IFERROR(INDEX(TableWRTECalcPts[BYE],MATCH(TableWRTERank[[#This Row],[RK]],TableWRTECalcPts[RK],0)),"")</f>
        <v>7</v>
      </c>
      <c r="AZ140" s="123">
        <f>IFERROR(INDEX(TableWRTECalcPts[Custom],MATCH(TableWRTERank[[#This Row],[RK]],TableWRTECalcPts[RK],0)),"")</f>
        <v>54.994295502719993</v>
      </c>
      <c r="BA140" s="174">
        <f>IFERROR((TableWRTERank[[#This Row],[FPS]]-INDEX(TableWRTERank[FPS],MATCH(WRTEVORPCalc,TableWRTERank[RK],0)))/INDEX(TableWRTERank[FPS],MATCH(WRTEVORPCalc,TableWRTERank[RK],0)),"")</f>
        <v>-0.63161662240258665</v>
      </c>
      <c r="BC140" t="s">
        <v>223</v>
      </c>
      <c r="BD140">
        <v>139</v>
      </c>
      <c r="BE140" s="83">
        <f>RANK(TableWRTEMaster[[#This Row],[VORP]],TableWRTEMaster[VORP])+COUNTIF($BJ$2:BJ140,BJ140)-1</f>
        <v>197</v>
      </c>
      <c r="BF140" s="115" t="str">
        <f>IFERROR(INDEX(TableWRVORP[WIDE RECEIVER],MATCH(TableWRTEMaster[[#This Row],[RK]],TableWRVORP[RK],0)),"")</f>
        <v>Ray-Ray McCloud</v>
      </c>
      <c r="BG140" s="115" t="str">
        <f>_xlfn.CONCAT(TableWRTEMaster[[#This Row],[POS]],TableWRTEMaster[[#This Row],[RK]])</f>
        <v>WR139</v>
      </c>
      <c r="BH140" s="115">
        <f>IFERROR(INDEX(TableWRVORP[BYE],MATCH(TableWRTEMaster[[#This Row],[RK]],TableWRVORP[RK],0)),"")</f>
        <v>11</v>
      </c>
      <c r="BI140" s="116">
        <f>IFERROR(INDEX(TableWRVORP[FPS],MATCH(TableWRTEMaster[[#This Row],[RK]],TableWRVORP[RK],0)),"")</f>
        <v>23.756703681110395</v>
      </c>
      <c r="BJ140" s="117">
        <f>IFERROR(INDEX(TableWRVORP[VORP],MATCH(TableWRTEMaster[[#This Row],[RK]],TableWRVORP[RK],0)),"")</f>
        <v>-0.83548293167831056</v>
      </c>
    </row>
    <row r="141" spans="8:62" x14ac:dyDescent="0.2">
      <c r="H141">
        <v>140</v>
      </c>
      <c r="I141" s="112" t="str">
        <f>IFERROR(INDEX(TableRBCalcPts[PLAYER],MATCH(TableRBVORP[[#This Row],[RK]],TableRBCalcPts[RK],0)),"")</f>
        <v/>
      </c>
      <c r="J141" s="112" t="str">
        <f>IFERROR(INDEX(TableRBCalcPts[TM],MATCH(TableRBVORP[[#This Row],[RK]],TableRBCalcPts[RK],0)),"")</f>
        <v/>
      </c>
      <c r="K141" s="112" t="str">
        <f>IFERROR(INDEX(TableRBCalcPts[BYE],MATCH(TableRBVORP[[#This Row],[RK]],TableRBCalcPts[RK],0)),"")</f>
        <v/>
      </c>
      <c r="L141" s="113" t="str">
        <f>IFERROR(INDEX(TableRBCalcPts[Custom],MATCH(TableRBVORP[[#This Row],[RK]],TableRBCalcPts[RK],0)),"")</f>
        <v/>
      </c>
      <c r="M141" s="114" t="str">
        <f>IFERROR((TableRBVORP[[#This Row],[FPS]]-INDEX(TableRBVORP[FPS],MATCH(RBVORPCalc,TableRBVORP[RK],0)))/INDEX(TableRBVORP[FPS],MATCH(RBVORPCalc,TableRBVORP[RK],0)),"")</f>
        <v/>
      </c>
      <c r="O141">
        <v>140</v>
      </c>
      <c r="P141" s="112" t="str">
        <f>IFERROR(INDEX(TableWRCalcPts[PLAYER],MATCH(TableWRVORP[[#This Row],[RK]],TableWRCalcPts[RK],0)),"")</f>
        <v>Chris Moore</v>
      </c>
      <c r="Q141" s="112" t="str">
        <f>IFERROR(INDEX(TableWRCalcPts[TM],MATCH(TableWRVORP[[#This Row],[RK]],TableWRCalcPts[RK],0)),"")</f>
        <v>ARI</v>
      </c>
      <c r="R141" s="112">
        <f>IFERROR(INDEX(TableWRCalcPts[BYE],MATCH(TableWRVORP[[#This Row],[RK]],TableWRCalcPts[RK],0)),"")</f>
        <v>14</v>
      </c>
      <c r="S141" s="113">
        <f>IFERROR(INDEX(TableWRCalcPts[Custom],MATCH(TableWRVORP[[#This Row],[RK]],TableWRCalcPts[RK],0)),"")</f>
        <v>23.404815945000003</v>
      </c>
      <c r="T141" s="114">
        <f>IFERROR((TableWRVORP[[#This Row],[FPS]]-INDEX(TableWRVORP[FPS],MATCH(WRVORPCalc,TableWRVORP[RK],0)))/INDEX(TableWRVORP[FPS],MATCH(WRVORPCalc,TableWRVORP[RK],0)),"")</f>
        <v>-0.83791978232477748</v>
      </c>
      <c r="AF141" t="s">
        <v>222</v>
      </c>
      <c r="AG141">
        <v>100</v>
      </c>
      <c r="AH141" s="83">
        <f>RANK(TableOverallMaster[[#This Row],[VORP]],TableOverallMaster[VORP])+COUNTIF($AM$2:AM141,AM141)-1</f>
        <v>298</v>
      </c>
      <c r="AI141" s="115" t="str">
        <f>IFERROR(INDEX(TableRBVORP[RUNNING BACK],MATCH(TableOverallMaster[[#This Row],[RK]],TableRBVORP[RK],0)),"")</f>
        <v>Chris Rodriguez</v>
      </c>
      <c r="AJ141" s="115" t="str">
        <f t="shared" si="2"/>
        <v>RB100</v>
      </c>
      <c r="AK141" s="115">
        <f>IFERROR(INDEX(TableRBVORP[BYE],MATCH(TableOverallMaster[[#This Row],[RK]],TableRBVORP[RK],0)),"")</f>
        <v>14</v>
      </c>
      <c r="AL141" s="116">
        <f>IFERROR(INDEX(TableRBVORP[FPS],MATCH(TableOverallMaster[[#This Row],[RK]],TableRBVORP[RK],0)),"")</f>
        <v>17.589380964834</v>
      </c>
      <c r="AM141" s="117">
        <f>IFERROR(INDEX(TableRBVORP[VORP],MATCH(TableOverallMaster[[#This Row],[RK]],TableRBVORP[RK],0)),"")</f>
        <v>-0.84395244142640691</v>
      </c>
      <c r="AO141">
        <v>140</v>
      </c>
      <c r="AP141" s="118" t="str">
        <f>IFERROR(INDEX(TableOverallMaster[OVERALL PLAYER],MATCH(TableOverallRank[[#This Row],[RK]],TableOverallMaster[OVR RK],0)),"")</f>
        <v>Jonathon Brooks</v>
      </c>
      <c r="AQ141" s="119" t="str">
        <f>IFERROR(INDEX(TableOverallMaster[POS RK],MATCH(TableOverallRank[[#This Row],[OVERALL PLAYER]],TableOverallMaster[OVERALL PLAYER],0)),"")</f>
        <v>RB46</v>
      </c>
      <c r="AR141" s="120">
        <f>IFERROR(INDEX(TableOverallMaster[BYE],MATCH(TableOverallRank[[#This Row],[OVERALL PLAYER]],TableOverallMaster[OVERALL PLAYER],0)),"")</f>
        <v>7</v>
      </c>
      <c r="AS141" s="119">
        <f>IFERROR(INDEX(TableOverallMaster[Custom],MATCH(TableOverallRank[[#This Row],[OVERALL PLAYER]],TableOverallMaster[OVERALL PLAYER],0)),"")</f>
        <v>111.15842767764001</v>
      </c>
      <c r="AT141" s="121">
        <f>IFERROR(INDEX(TableOverallMaster[VORP],MATCH(TableOverallRank[[#This Row],[OVERALL PLAYER]],TableOverallMaster[OVERALL PLAYER],0)),"")</f>
        <v>-1.3836741119288671E-2</v>
      </c>
      <c r="AV141">
        <v>140</v>
      </c>
      <c r="AW141" s="122" t="str">
        <f>IFERROR(INDEX(TableWRTECalcPts[PLAYER],MATCH(TableWRTERank[[#This Row],[RK]],TableWRTECalcPts[RK],0)),"")</f>
        <v>Kadarius Toney</v>
      </c>
      <c r="AX141" s="122" t="str">
        <f>IFERROR(INDEX(TableWRTECalcPts[POS RK],MATCH(TableWRTERank[[#This Row],[WR and TE COMBINED]],TableWRTECalcPts[PLAYER],0)),"")</f>
        <v>WR101</v>
      </c>
      <c r="AY141" s="122">
        <f>IFERROR(INDEX(TableWRTECalcPts[BYE],MATCH(TableWRTERank[[#This Row],[RK]],TableWRTECalcPts[RK],0)),"")</f>
        <v>10</v>
      </c>
      <c r="AZ141" s="123">
        <f>IFERROR(INDEX(TableWRTECalcPts[Custom],MATCH(TableWRTERank[[#This Row],[RK]],TableWRTECalcPts[RK],0)),"")</f>
        <v>54.303811994879979</v>
      </c>
      <c r="BA141" s="174">
        <f>IFERROR((TableWRTERank[[#This Row],[FPS]]-INDEX(TableWRTERank[FPS],MATCH(WRTEVORPCalc,TableWRTERank[RK],0)))/INDEX(TableWRTERank[FPS],MATCH(WRTEVORPCalc,TableWRTERank[RK],0)),"")</f>
        <v>-0.63624187752165318</v>
      </c>
      <c r="BC141" t="s">
        <v>223</v>
      </c>
      <c r="BD141">
        <v>140</v>
      </c>
      <c r="BE141" s="83">
        <f>RANK(TableWRTEMaster[[#This Row],[VORP]],TableWRTEMaster[VORP])+COUNTIF($BJ$2:BJ141,BJ141)-1</f>
        <v>199</v>
      </c>
      <c r="BF141" s="115" t="str">
        <f>IFERROR(INDEX(TableWRVORP[WIDE RECEIVER],MATCH(TableWRTEMaster[[#This Row],[RK]],TableWRVORP[RK],0)),"")</f>
        <v>Chris Moore</v>
      </c>
      <c r="BG141" s="115" t="str">
        <f>_xlfn.CONCAT(TableWRTEMaster[[#This Row],[POS]],TableWRTEMaster[[#This Row],[RK]])</f>
        <v>WR140</v>
      </c>
      <c r="BH141" s="115">
        <f>IFERROR(INDEX(TableWRVORP[BYE],MATCH(TableWRTEMaster[[#This Row],[RK]],TableWRVORP[RK],0)),"")</f>
        <v>14</v>
      </c>
      <c r="BI141" s="116">
        <f>IFERROR(INDEX(TableWRVORP[FPS],MATCH(TableWRTEMaster[[#This Row],[RK]],TableWRVORP[RK],0)),"")</f>
        <v>23.404815945000003</v>
      </c>
      <c r="BJ141" s="117">
        <f>IFERROR(INDEX(TableWRVORP[VORP],MATCH(TableWRTEMaster[[#This Row],[RK]],TableWRVORP[RK],0)),"")</f>
        <v>-0.83791978232477748</v>
      </c>
    </row>
    <row r="142" spans="8:62" x14ac:dyDescent="0.2">
      <c r="H142">
        <v>141</v>
      </c>
      <c r="I142" s="112" t="str">
        <f>IFERROR(INDEX(TableRBCalcPts[PLAYER],MATCH(TableRBVORP[[#This Row],[RK]],TableRBCalcPts[RK],0)),"")</f>
        <v/>
      </c>
      <c r="J142" s="112" t="str">
        <f>IFERROR(INDEX(TableRBCalcPts[TM],MATCH(TableRBVORP[[#This Row],[RK]],TableRBCalcPts[RK],0)),"")</f>
        <v/>
      </c>
      <c r="K142" s="112" t="str">
        <f>IFERROR(INDEX(TableRBCalcPts[BYE],MATCH(TableRBVORP[[#This Row],[RK]],TableRBCalcPts[RK],0)),"")</f>
        <v/>
      </c>
      <c r="L142" s="113" t="str">
        <f>IFERROR(INDEX(TableRBCalcPts[Custom],MATCH(TableRBVORP[[#This Row],[RK]],TableRBCalcPts[RK],0)),"")</f>
        <v/>
      </c>
      <c r="M142" s="114" t="str">
        <f>IFERROR((TableRBVORP[[#This Row],[FPS]]-INDEX(TableRBVORP[FPS],MATCH(RBVORPCalc,TableRBVORP[RK],0)))/INDEX(TableRBVORP[FPS],MATCH(RBVORPCalc,TableRBVORP[RK],0)),"")</f>
        <v/>
      </c>
      <c r="O142">
        <v>141</v>
      </c>
      <c r="P142" s="112" t="str">
        <f>IFERROR(INDEX(TableWRCalcPts[PLAYER],MATCH(TableWRVORP[[#This Row],[RK]],TableWRCalcPts[RK],0)),"")</f>
        <v>Xavier Gipson</v>
      </c>
      <c r="Q142" s="112" t="str">
        <f>IFERROR(INDEX(TableWRCalcPts[TM],MATCH(TableWRVORP[[#This Row],[RK]],TableWRCalcPts[RK],0)),"")</f>
        <v>NYJ</v>
      </c>
      <c r="R142" s="112">
        <f>IFERROR(INDEX(TableWRCalcPts[BYE],MATCH(TableWRVORP[[#This Row],[RK]],TableWRCalcPts[RK],0)),"")</f>
        <v>7</v>
      </c>
      <c r="S142" s="113">
        <f>IFERROR(INDEX(TableWRCalcPts[Custom],MATCH(TableWRVORP[[#This Row],[RK]],TableWRCalcPts[RK],0)),"")</f>
        <v>22.511850487526392</v>
      </c>
      <c r="T142" s="114">
        <f>IFERROR((TableWRVORP[[#This Row],[FPS]]-INDEX(TableWRVORP[FPS],MATCH(WRVORPCalc,TableWRVORP[RK],0)))/INDEX(TableWRVORP[FPS],MATCH(WRVORPCalc,TableWRVORP[RK],0)),"")</f>
        <v>-0.84410363935932498</v>
      </c>
      <c r="AF142" t="s">
        <v>223</v>
      </c>
      <c r="AG142">
        <v>1</v>
      </c>
      <c r="AH142" s="83">
        <f>RANK(TableOverallMaster[[#This Row],[VORP]],TableOverallMaster[VORP])+COUNTIF($AM$2:AM142,AM142)-1</f>
        <v>11</v>
      </c>
      <c r="AI142" s="115" t="str">
        <f>IFERROR(INDEX(TableWRVORP[WIDE RECEIVER],MATCH(TableOverallMaster[[#This Row],[RK]],TableWRVORP[RK],0)),"")</f>
        <v>Tyreek Hill</v>
      </c>
      <c r="AJ142" s="115" t="str">
        <f t="shared" si="2"/>
        <v>WR1</v>
      </c>
      <c r="AK142" s="115">
        <f>IFERROR(INDEX(TableWRVORP[BYE],MATCH(TableOverallMaster[[#This Row],[RK]],TableWRVORP[RK],0)),"")</f>
        <v>10</v>
      </c>
      <c r="AL142" s="116">
        <f>IFERROR(INDEX(TableWRVORP[FPS],MATCH(TableOverallMaster[[#This Row],[RK]],TableWRVORP[RK],0)),"")</f>
        <v>276.05461827121923</v>
      </c>
      <c r="AM142" s="117">
        <f>IFERROR(INDEX(TableWRVORP[VORP],MATCH(TableOverallMaster[[#This Row],[RK]],TableWRVORP[RK],0)),"")</f>
        <v>0.91170025540013555</v>
      </c>
      <c r="AO142">
        <v>141</v>
      </c>
      <c r="AP142" s="118" t="str">
        <f>IFERROR(INDEX(TableOverallMaster[OVERALL PLAYER],MATCH(TableOverallRank[[#This Row],[RK]],TableOverallMaster[OVR RK],0)),"")</f>
        <v>J.K. Dobbins</v>
      </c>
      <c r="AQ142" s="119" t="str">
        <f>IFERROR(INDEX(TableOverallMaster[POS RK],MATCH(TableOverallRank[[#This Row],[OVERALL PLAYER]],TableOverallMaster[OVERALL PLAYER],0)),"")</f>
        <v>RB47</v>
      </c>
      <c r="AR142" s="120">
        <f>IFERROR(INDEX(TableOverallMaster[BYE],MATCH(TableOverallRank[[#This Row],[OVERALL PLAYER]],TableOverallMaster[OVERALL PLAYER],0)),"")</f>
        <v>5</v>
      </c>
      <c r="AS142" s="119">
        <f>IFERROR(INDEX(TableOverallMaster[Custom],MATCH(TableOverallRank[[#This Row],[OVERALL PLAYER]],TableOverallMaster[OVERALL PLAYER],0)),"")</f>
        <v>110.24050291947</v>
      </c>
      <c r="AT142" s="121">
        <f>IFERROR(INDEX(TableOverallMaster[VORP],MATCH(TableOverallRank[[#This Row],[OVERALL PLAYER]],TableOverallMaster[OVERALL PLAYER],0)),"")</f>
        <v>-2.1980286236257866E-2</v>
      </c>
      <c r="AV142">
        <v>141</v>
      </c>
      <c r="AW142" s="122" t="str">
        <f>IFERROR(INDEX(TableWRTECalcPts[PLAYER],MATCH(TableWRTERank[[#This Row],[RK]],TableWRTECalcPts[RK],0)),"")</f>
        <v>Greg Dulcich</v>
      </c>
      <c r="AX142" s="122" t="str">
        <f>IFERROR(INDEX(TableWRTECalcPts[POS RK],MATCH(TableWRTERank[[#This Row],[WR and TE COMBINED]],TableWRTECalcPts[PLAYER],0)),"")</f>
        <v>TE40</v>
      </c>
      <c r="AY142" s="122">
        <f>IFERROR(INDEX(TableWRTECalcPts[BYE],MATCH(TableWRTERank[[#This Row],[RK]],TableWRTECalcPts[RK],0)),"")</f>
        <v>9</v>
      </c>
      <c r="AZ142" s="123">
        <f>IFERROR(INDEX(TableWRTECalcPts[Custom],MATCH(TableWRTERank[[#This Row],[RK]],TableWRTECalcPts[RK],0)),"")</f>
        <v>52.664460695448014</v>
      </c>
      <c r="BA142" s="174">
        <f>IFERROR((TableWRTERank[[#This Row],[FPS]]-INDEX(TableWRTERank[FPS],MATCH(WRTEVORPCalc,TableWRTERank[RK],0)))/INDEX(TableWRTERank[FPS],MATCH(WRTEVORPCalc,TableWRTERank[RK],0)),"")</f>
        <v>-0.64722319409699847</v>
      </c>
      <c r="BC142" t="s">
        <v>223</v>
      </c>
      <c r="BD142">
        <v>141</v>
      </c>
      <c r="BE142" s="83">
        <f>RANK(TableWRTEMaster[[#This Row],[VORP]],TableWRTEMaster[VORP])+COUNTIF($BJ$2:BJ142,BJ142)-1</f>
        <v>201</v>
      </c>
      <c r="BF142" s="115" t="str">
        <f>IFERROR(INDEX(TableWRVORP[WIDE RECEIVER],MATCH(TableWRTEMaster[[#This Row],[RK]],TableWRVORP[RK],0)),"")</f>
        <v>Xavier Gipson</v>
      </c>
      <c r="BG142" s="115" t="str">
        <f>_xlfn.CONCAT(TableWRTEMaster[[#This Row],[POS]],TableWRTEMaster[[#This Row],[RK]])</f>
        <v>WR141</v>
      </c>
      <c r="BH142" s="115">
        <f>IFERROR(INDEX(TableWRVORP[BYE],MATCH(TableWRTEMaster[[#This Row],[RK]],TableWRVORP[RK],0)),"")</f>
        <v>7</v>
      </c>
      <c r="BI142" s="116">
        <f>IFERROR(INDEX(TableWRVORP[FPS],MATCH(TableWRTEMaster[[#This Row],[RK]],TableWRVORP[RK],0)),"")</f>
        <v>22.511850487526392</v>
      </c>
      <c r="BJ142" s="117">
        <f>IFERROR(INDEX(TableWRVORP[VORP],MATCH(TableWRTEMaster[[#This Row],[RK]],TableWRVORP[RK],0)),"")</f>
        <v>-0.84410363935932498</v>
      </c>
    </row>
    <row r="143" spans="8:62" x14ac:dyDescent="0.2">
      <c r="H143">
        <v>142</v>
      </c>
      <c r="I143" s="112" t="str">
        <f>IFERROR(INDEX(TableRBCalcPts[PLAYER],MATCH(TableRBVORP[[#This Row],[RK]],TableRBCalcPts[RK],0)),"")</f>
        <v/>
      </c>
      <c r="J143" s="112" t="str">
        <f>IFERROR(INDEX(TableRBCalcPts[TM],MATCH(TableRBVORP[[#This Row],[RK]],TableRBCalcPts[RK],0)),"")</f>
        <v/>
      </c>
      <c r="K143" s="112" t="str">
        <f>IFERROR(INDEX(TableRBCalcPts[BYE],MATCH(TableRBVORP[[#This Row],[RK]],TableRBCalcPts[RK],0)),"")</f>
        <v/>
      </c>
      <c r="L143" s="113" t="str">
        <f>IFERROR(INDEX(TableRBCalcPts[Custom],MATCH(TableRBVORP[[#This Row],[RK]],TableRBCalcPts[RK],0)),"")</f>
        <v/>
      </c>
      <c r="M143" s="114" t="str">
        <f>IFERROR((TableRBVORP[[#This Row],[FPS]]-INDEX(TableRBVORP[FPS],MATCH(RBVORPCalc,TableRBVORP[RK],0)))/INDEX(TableRBVORP[FPS],MATCH(RBVORPCalc,TableRBVORP[RK],0)),"")</f>
        <v/>
      </c>
      <c r="O143">
        <v>142</v>
      </c>
      <c r="P143" s="112" t="str">
        <f>IFERROR(INDEX(TableWRCalcPts[PLAYER],MATCH(TableWRVORP[[#This Row],[RK]],TableWRCalcPts[RK],0)),"")</f>
        <v>Jason Brownlee</v>
      </c>
      <c r="Q143" s="112" t="str">
        <f>IFERROR(INDEX(TableWRCalcPts[TM],MATCH(TableWRVORP[[#This Row],[RK]],TableWRCalcPts[RK],0)),"")</f>
        <v>NYJ</v>
      </c>
      <c r="R143" s="112">
        <f>IFERROR(INDEX(TableWRCalcPts[BYE],MATCH(TableWRVORP[[#This Row],[RK]],TableWRCalcPts[RK],0)),"")</f>
        <v>7</v>
      </c>
      <c r="S143" s="113">
        <f>IFERROR(INDEX(TableWRCalcPts[Custom],MATCH(TableWRVORP[[#This Row],[RK]],TableWRCalcPts[RK],0)),"")</f>
        <v>22.503602721599997</v>
      </c>
      <c r="T143" s="114">
        <f>IFERROR((TableWRVORP[[#This Row],[FPS]]-INDEX(TableWRVORP[FPS],MATCH(WRVORPCalc,TableWRVORP[RK],0)))/INDEX(TableWRVORP[FPS],MATCH(WRVORPCalc,TableWRVORP[RK],0)),"")</f>
        <v>-0.84416075579637895</v>
      </c>
      <c r="AF143" t="s">
        <v>223</v>
      </c>
      <c r="AG143">
        <v>2</v>
      </c>
      <c r="AH143" s="83">
        <f>RANK(TableOverallMaster[[#This Row],[VORP]],TableOverallMaster[VORP])+COUNTIF($AM$2:AM143,AM143)-1</f>
        <v>17</v>
      </c>
      <c r="AI143" s="115" t="str">
        <f>IFERROR(INDEX(TableWRVORP[WIDE RECEIVER],MATCH(TableOverallMaster[[#This Row],[RK]],TableWRVORP[RK],0)),"")</f>
        <v>CeeDee Lamb</v>
      </c>
      <c r="AJ143" s="115" t="str">
        <f t="shared" si="2"/>
        <v>WR2</v>
      </c>
      <c r="AK143" s="115">
        <f>IFERROR(INDEX(TableWRVORP[BYE],MATCH(TableOverallMaster[[#This Row],[RK]],TableWRVORP[RK],0)),"")</f>
        <v>7</v>
      </c>
      <c r="AL143" s="116">
        <f>IFERROR(INDEX(TableWRVORP[FPS],MATCH(TableOverallMaster[[#This Row],[RK]],TableWRVORP[RK],0)),"")</f>
        <v>252.66183146769589</v>
      </c>
      <c r="AM143" s="117">
        <f>IFERROR(INDEX(TableWRVORP[VORP],MATCH(TableOverallMaster[[#This Row],[RK]],TableWRVORP[RK],0)),"")</f>
        <v>0.74970334048933407</v>
      </c>
      <c r="AO143">
        <v>142</v>
      </c>
      <c r="AP143" s="118" t="str">
        <f>IFERROR(INDEX(TableOverallMaster[OVERALL PLAYER],MATCH(TableOverallRank[[#This Row],[RK]],TableOverallMaster[OVR RK],0)),"")</f>
        <v>Jahan Dotson</v>
      </c>
      <c r="AQ143" s="119" t="str">
        <f>IFERROR(INDEX(TableOverallMaster[POS RK],MATCH(TableOverallRank[[#This Row],[OVERALL PLAYER]],TableOverallMaster[OVERALL PLAYER],0)),"")</f>
        <v>WR58</v>
      </c>
      <c r="AR143" s="120">
        <f>IFERROR(INDEX(TableOverallMaster[BYE],MATCH(TableOverallRank[[#This Row],[OVERALL PLAYER]],TableOverallMaster[OVERALL PLAYER],0)),"")</f>
        <v>14</v>
      </c>
      <c r="AS143" s="119">
        <f>IFERROR(INDEX(TableOverallMaster[Custom],MATCH(TableOverallRank[[#This Row],[OVERALL PLAYER]],TableOverallMaster[OVERALL PLAYER],0)),"")</f>
        <v>139.82779951274537</v>
      </c>
      <c r="AT143" s="121">
        <f>IFERROR(INDEX(TableOverallMaster[VORP],MATCH(TableOverallRank[[#This Row],[OVERALL PLAYER]],TableOverallMaster[OVERALL PLAYER],0)),"")</f>
        <v>-3.1681332793615367E-2</v>
      </c>
      <c r="AV143">
        <v>142</v>
      </c>
      <c r="AW143" s="122" t="str">
        <f>IFERROR(INDEX(TableWRTECalcPts[PLAYER],MATCH(TableWRTERank[[#This Row],[RK]],TableWRTECalcPts[RK],0)),"")</f>
        <v>Ben Sinnott</v>
      </c>
      <c r="AX143" s="122" t="str">
        <f>IFERROR(INDEX(TableWRTECalcPts[POS RK],MATCH(TableWRTERank[[#This Row],[WR and TE COMBINED]],TableWRTECalcPts[PLAYER],0)),"")</f>
        <v>TE41</v>
      </c>
      <c r="AY143" s="122">
        <f>IFERROR(INDEX(TableWRTECalcPts[BYE],MATCH(TableWRTERank[[#This Row],[RK]],TableWRTECalcPts[RK],0)),"")</f>
        <v>14</v>
      </c>
      <c r="AZ143" s="123">
        <f>IFERROR(INDEX(TableWRTECalcPts[Custom],MATCH(TableWRTERank[[#This Row],[RK]],TableWRTECalcPts[RK],0)),"")</f>
        <v>48.575699465383998</v>
      </c>
      <c r="BA143" s="174">
        <f>IFERROR((TableWRTERank[[#This Row],[FPS]]-INDEX(TableWRTERank[FPS],MATCH(WRTEVORPCalc,TableWRTERank[RK],0)))/INDEX(TableWRTERank[FPS],MATCH(WRTEVORPCalc,TableWRTERank[RK],0)),"")</f>
        <v>-0.6746120652217471</v>
      </c>
      <c r="BC143" t="s">
        <v>223</v>
      </c>
      <c r="BD143">
        <v>142</v>
      </c>
      <c r="BE143" s="83">
        <f>RANK(TableWRTEMaster[[#This Row],[VORP]],TableWRTEMaster[VORP])+COUNTIF($BJ$2:BJ143,BJ143)-1</f>
        <v>202</v>
      </c>
      <c r="BF143" s="115" t="str">
        <f>IFERROR(INDEX(TableWRVORP[WIDE RECEIVER],MATCH(TableWRTEMaster[[#This Row],[RK]],TableWRVORP[RK],0)),"")</f>
        <v>Jason Brownlee</v>
      </c>
      <c r="BG143" s="115" t="str">
        <f>_xlfn.CONCAT(TableWRTEMaster[[#This Row],[POS]],TableWRTEMaster[[#This Row],[RK]])</f>
        <v>WR142</v>
      </c>
      <c r="BH143" s="115">
        <f>IFERROR(INDEX(TableWRVORP[BYE],MATCH(TableWRTEMaster[[#This Row],[RK]],TableWRVORP[RK],0)),"")</f>
        <v>7</v>
      </c>
      <c r="BI143" s="116">
        <f>IFERROR(INDEX(TableWRVORP[FPS],MATCH(TableWRTEMaster[[#This Row],[RK]],TableWRVORP[RK],0)),"")</f>
        <v>22.503602721599997</v>
      </c>
      <c r="BJ143" s="117">
        <f>IFERROR(INDEX(TableWRVORP[VORP],MATCH(TableWRTEMaster[[#This Row],[RK]],TableWRVORP[RK],0)),"")</f>
        <v>-0.84416075579637895</v>
      </c>
    </row>
    <row r="144" spans="8:62" x14ac:dyDescent="0.2">
      <c r="H144">
        <v>143</v>
      </c>
      <c r="I144" s="112" t="str">
        <f>IFERROR(INDEX(TableRBCalcPts[PLAYER],MATCH(TableRBVORP[[#This Row],[RK]],TableRBCalcPts[RK],0)),"")</f>
        <v/>
      </c>
      <c r="J144" s="112" t="str">
        <f>IFERROR(INDEX(TableRBCalcPts[TM],MATCH(TableRBVORP[[#This Row],[RK]],TableRBCalcPts[RK],0)),"")</f>
        <v/>
      </c>
      <c r="K144" s="112" t="str">
        <f>IFERROR(INDEX(TableRBCalcPts[BYE],MATCH(TableRBVORP[[#This Row],[RK]],TableRBCalcPts[RK],0)),"")</f>
        <v/>
      </c>
      <c r="L144" s="113" t="str">
        <f>IFERROR(INDEX(TableRBCalcPts[Custom],MATCH(TableRBVORP[[#This Row],[RK]],TableRBCalcPts[RK],0)),"")</f>
        <v/>
      </c>
      <c r="M144" s="114" t="str">
        <f>IFERROR((TableRBVORP[[#This Row],[FPS]]-INDEX(TableRBVORP[FPS],MATCH(RBVORPCalc,TableRBVORP[RK],0)))/INDEX(TableRBVORP[FPS],MATCH(RBVORPCalc,TableRBVORP[RK],0)),"")</f>
        <v/>
      </c>
      <c r="O144">
        <v>143</v>
      </c>
      <c r="P144" s="112" t="str">
        <f>IFERROR(INDEX(TableWRCalcPts[PLAYER],MATCH(TableWRVORP[[#This Row],[RK]],TableWRCalcPts[RK],0)),"")</f>
        <v>Laviska Shenault</v>
      </c>
      <c r="Q144" s="112" t="str">
        <f>IFERROR(INDEX(TableWRCalcPts[TM],MATCH(TableWRVORP[[#This Row],[RK]],TableWRCalcPts[RK],0)),"")</f>
        <v>SEA</v>
      </c>
      <c r="R144" s="112">
        <f>IFERROR(INDEX(TableWRCalcPts[BYE],MATCH(TableWRVORP[[#This Row],[RK]],TableWRCalcPts[RK],0)),"")</f>
        <v>5</v>
      </c>
      <c r="S144" s="113">
        <f>IFERROR(INDEX(TableWRCalcPts[Custom],MATCH(TableWRVORP[[#This Row],[RK]],TableWRCalcPts[RK],0)),"")</f>
        <v>22.017378925268996</v>
      </c>
      <c r="T144" s="114">
        <f>IFERROR((TableWRVORP[[#This Row],[FPS]]-INDEX(TableWRVORP[FPS],MATCH(WRVORPCalc,TableWRVORP[RK],0)))/INDEX(TableWRVORP[FPS],MATCH(WRVORPCalc,TableWRVORP[RK],0)),"")</f>
        <v>-0.84752789437731868</v>
      </c>
      <c r="AF144" t="s">
        <v>223</v>
      </c>
      <c r="AG144">
        <v>3</v>
      </c>
      <c r="AH144" s="83">
        <f>RANK(TableOverallMaster[[#This Row],[VORP]],TableOverallMaster[VORP])+COUNTIF($AM$2:AM144,AM144)-1</f>
        <v>18</v>
      </c>
      <c r="AI144" s="115" t="str">
        <f>IFERROR(INDEX(TableWRVORP[WIDE RECEIVER],MATCH(TableOverallMaster[[#This Row],[RK]],TableWRVORP[RK],0)),"")</f>
        <v>Amon-Ra St. Brown</v>
      </c>
      <c r="AJ144" s="115" t="str">
        <f t="shared" si="2"/>
        <v>WR3</v>
      </c>
      <c r="AK144" s="115">
        <f>IFERROR(INDEX(TableWRVORP[BYE],MATCH(TableOverallMaster[[#This Row],[RK]],TableWRVORP[RK],0)),"")</f>
        <v>9</v>
      </c>
      <c r="AL144" s="116">
        <f>IFERROR(INDEX(TableWRVORP[FPS],MATCH(TableOverallMaster[[#This Row],[RK]],TableWRVORP[RK],0)),"")</f>
        <v>250.73054050100694</v>
      </c>
      <c r="AM144" s="117">
        <f>IFERROR(INDEX(TableWRVORP[VORP],MATCH(TableOverallMaster[[#This Row],[RK]],TableWRVORP[RK],0)),"")</f>
        <v>0.73632899646497929</v>
      </c>
      <c r="AO144">
        <v>143</v>
      </c>
      <c r="AP144" s="118" t="str">
        <f>IFERROR(INDEX(TableOverallMaster[OVERALL PLAYER],MATCH(TableOverallRank[[#This Row],[RK]],TableOverallMaster[OVR RK],0)),"")</f>
        <v>Darnell Mooney</v>
      </c>
      <c r="AQ144" s="119" t="str">
        <f>IFERROR(INDEX(TableOverallMaster[POS RK],MATCH(TableOverallRank[[#This Row],[OVERALL PLAYER]],TableOverallMaster[OVERALL PLAYER],0)),"")</f>
        <v>WR59</v>
      </c>
      <c r="AR144" s="120">
        <f>IFERROR(INDEX(TableOverallMaster[BYE],MATCH(TableOverallRank[[#This Row],[OVERALL PLAYER]],TableOverallMaster[OVERALL PLAYER],0)),"")</f>
        <v>11</v>
      </c>
      <c r="AS144" s="119">
        <f>IFERROR(INDEX(TableOverallMaster[Custom],MATCH(TableOverallRank[[#This Row],[OVERALL PLAYER]],TableOverallMaster[OVERALL PLAYER],0)),"")</f>
        <v>138.39669965721598</v>
      </c>
      <c r="AT144" s="121">
        <f>IFERROR(INDEX(TableOverallMaster[VORP],MATCH(TableOverallRank[[#This Row],[OVERALL PLAYER]],TableOverallMaster[OVERALL PLAYER],0)),"")</f>
        <v>-4.1591813467518571E-2</v>
      </c>
      <c r="AV144">
        <v>143</v>
      </c>
      <c r="AW144" s="122" t="str">
        <f>IFERROR(INDEX(TableWRTECalcPts[PLAYER],MATCH(TableWRTERank[[#This Row],[RK]],TableWRTECalcPts[RK],0)),"")</f>
        <v>Michael Gallup</v>
      </c>
      <c r="AX144" s="122" t="str">
        <f>IFERROR(INDEX(TableWRTECalcPts[POS RK],MATCH(TableWRTERank[[#This Row],[WR and TE COMBINED]],TableWRTECalcPts[PLAYER],0)),"")</f>
        <v>WR102</v>
      </c>
      <c r="AY144" s="122">
        <f>IFERROR(INDEX(TableWRTECalcPts[BYE],MATCH(TableWRTERank[[#This Row],[RK]],TableWRTECalcPts[RK],0)),"")</f>
        <v>13</v>
      </c>
      <c r="AZ144" s="123">
        <f>IFERROR(INDEX(TableWRTECalcPts[Custom],MATCH(TableWRTERank[[#This Row],[RK]],TableWRTECalcPts[RK],0)),"")</f>
        <v>48.195139829759995</v>
      </c>
      <c r="BA144" s="174">
        <f>IFERROR((TableWRTERank[[#This Row],[FPS]]-INDEX(TableWRTERank[FPS],MATCH(WRTEVORPCalc,TableWRTERank[RK],0)))/INDEX(TableWRTERank[FPS],MATCH(WRTEVORPCalc,TableWRTERank[RK],0)),"")</f>
        <v>-0.67716127223798162</v>
      </c>
      <c r="BC144" t="s">
        <v>223</v>
      </c>
      <c r="BD144">
        <v>143</v>
      </c>
      <c r="BE144" s="83">
        <f>RANK(TableWRTEMaster[[#This Row],[VORP]],TableWRTEMaster[VORP])+COUNTIF($BJ$2:BJ144,BJ144)-1</f>
        <v>203</v>
      </c>
      <c r="BF144" s="115" t="str">
        <f>IFERROR(INDEX(TableWRVORP[WIDE RECEIVER],MATCH(TableWRTEMaster[[#This Row],[RK]],TableWRVORP[RK],0)),"")</f>
        <v>Laviska Shenault</v>
      </c>
      <c r="BG144" s="115" t="str">
        <f>_xlfn.CONCAT(TableWRTEMaster[[#This Row],[POS]],TableWRTEMaster[[#This Row],[RK]])</f>
        <v>WR143</v>
      </c>
      <c r="BH144" s="115">
        <f>IFERROR(INDEX(TableWRVORP[BYE],MATCH(TableWRTEMaster[[#This Row],[RK]],TableWRVORP[RK],0)),"")</f>
        <v>5</v>
      </c>
      <c r="BI144" s="116">
        <f>IFERROR(INDEX(TableWRVORP[FPS],MATCH(TableWRTEMaster[[#This Row],[RK]],TableWRVORP[RK],0)),"")</f>
        <v>22.017378925268996</v>
      </c>
      <c r="BJ144" s="117">
        <f>IFERROR(INDEX(TableWRVORP[VORP],MATCH(TableWRTEMaster[[#This Row],[RK]],TableWRVORP[RK],0)),"")</f>
        <v>-0.84752789437731868</v>
      </c>
    </row>
    <row r="145" spans="8:62" x14ac:dyDescent="0.2">
      <c r="H145">
        <v>144</v>
      </c>
      <c r="I145" s="112" t="str">
        <f>IFERROR(INDEX(TableRBCalcPts[PLAYER],MATCH(TableRBVORP[[#This Row],[RK]],TableRBCalcPts[RK],0)),"")</f>
        <v/>
      </c>
      <c r="J145" s="112" t="str">
        <f>IFERROR(INDEX(TableRBCalcPts[TM],MATCH(TableRBVORP[[#This Row],[RK]],TableRBCalcPts[RK],0)),"")</f>
        <v/>
      </c>
      <c r="K145" s="112" t="str">
        <f>IFERROR(INDEX(TableRBCalcPts[BYE],MATCH(TableRBVORP[[#This Row],[RK]],TableRBCalcPts[RK],0)),"")</f>
        <v/>
      </c>
      <c r="L145" s="113" t="str">
        <f>IFERROR(INDEX(TableRBCalcPts[Custom],MATCH(TableRBVORP[[#This Row],[RK]],TableRBCalcPts[RK],0)),"")</f>
        <v/>
      </c>
      <c r="M145" s="114" t="str">
        <f>IFERROR((TableRBVORP[[#This Row],[FPS]]-INDEX(TableRBVORP[FPS],MATCH(RBVORPCalc,TableRBVORP[RK],0)))/INDEX(TableRBVORP[FPS],MATCH(RBVORPCalc,TableRBVORP[RK],0)),"")</f>
        <v/>
      </c>
      <c r="O145">
        <v>144</v>
      </c>
      <c r="P145" s="112" t="str">
        <f>IFERROR(INDEX(TableWRCalcPts[PLAYER],MATCH(TableWRVORP[[#This Row],[RK]],TableWRCalcPts[RK],0)),"")</f>
        <v>Antoine Green</v>
      </c>
      <c r="Q145" s="112" t="str">
        <f>IFERROR(INDEX(TableWRCalcPts[TM],MATCH(TableWRVORP[[#This Row],[RK]],TableWRCalcPts[RK],0)),"")</f>
        <v>DET</v>
      </c>
      <c r="R145" s="112">
        <f>IFERROR(INDEX(TableWRCalcPts[BYE],MATCH(TableWRVORP[[#This Row],[RK]],TableWRCalcPts[RK],0)),"")</f>
        <v>9</v>
      </c>
      <c r="S145" s="113">
        <f>IFERROR(INDEX(TableWRCalcPts[Custom],MATCH(TableWRVORP[[#This Row],[RK]],TableWRCalcPts[RK],0)),"")</f>
        <v>21.58698695579999</v>
      </c>
      <c r="T145" s="114">
        <f>IFERROR((TableWRVORP[[#This Row],[FPS]]-INDEX(TableWRVORP[FPS],MATCH(WRVORPCalc,TableWRVORP[RK],0)))/INDEX(TableWRVORP[FPS],MATCH(WRVORPCalc,TableWRVORP[RK],0)),"")</f>
        <v>-0.85050839310292858</v>
      </c>
      <c r="AF145" t="s">
        <v>223</v>
      </c>
      <c r="AG145">
        <v>4</v>
      </c>
      <c r="AH145" s="83">
        <f>RANK(TableOverallMaster[[#This Row],[VORP]],TableOverallMaster[VORP])+COUNTIF($AM$2:AM145,AM145)-1</f>
        <v>21</v>
      </c>
      <c r="AI145" s="115" t="str">
        <f>IFERROR(INDEX(TableWRVORP[WIDE RECEIVER],MATCH(TableOverallMaster[[#This Row],[RK]],TableWRVORP[RK],0)),"")</f>
        <v>Justin Jefferson</v>
      </c>
      <c r="AJ145" s="115" t="str">
        <f t="shared" si="2"/>
        <v>WR4</v>
      </c>
      <c r="AK145" s="115">
        <f>IFERROR(INDEX(TableWRVORP[BYE],MATCH(TableOverallMaster[[#This Row],[RK]],TableWRVORP[RK],0)),"")</f>
        <v>13</v>
      </c>
      <c r="AL145" s="116">
        <f>IFERROR(INDEX(TableWRVORP[FPS],MATCH(TableOverallMaster[[#This Row],[RK]],TableWRVORP[RK],0)),"")</f>
        <v>244.5777406576</v>
      </c>
      <c r="AM145" s="117">
        <f>IFERROR(INDEX(TableWRVORP[VORP],MATCH(TableOverallMaster[[#This Row],[RK]],TableWRVORP[RK],0)),"")</f>
        <v>0.69372036667378811</v>
      </c>
      <c r="AO145">
        <v>144</v>
      </c>
      <c r="AP145" s="118" t="str">
        <f>IFERROR(INDEX(TableOverallMaster[OVERALL PLAYER],MATCH(TableOverallRank[[#This Row],[RK]],TableOverallMaster[OVR RK],0)),"")</f>
        <v>Blake Corum</v>
      </c>
      <c r="AQ145" s="119" t="str">
        <f>IFERROR(INDEX(TableOverallMaster[POS RK],MATCH(TableOverallRank[[#This Row],[OVERALL PLAYER]],TableOverallMaster[OVERALL PLAYER],0)),"")</f>
        <v>RB48</v>
      </c>
      <c r="AR145" s="120">
        <f>IFERROR(INDEX(TableOverallMaster[BYE],MATCH(TableOverallRank[[#This Row],[OVERALL PLAYER]],TableOverallMaster[OVERALL PLAYER],0)),"")</f>
        <v>10</v>
      </c>
      <c r="AS145" s="119">
        <f>IFERROR(INDEX(TableOverallMaster[Custom],MATCH(TableOverallRank[[#This Row],[OVERALL PLAYER]],TableOverallMaster[OVERALL PLAYER],0)),"")</f>
        <v>107.8874054752704</v>
      </c>
      <c r="AT145" s="121">
        <f>IFERROR(INDEX(TableOverallMaster[VORP],MATCH(TableOverallRank[[#This Row],[OVERALL PLAYER]],TableOverallMaster[OVERALL PLAYER],0)),"")</f>
        <v>-4.2856240426302074E-2</v>
      </c>
      <c r="AV145">
        <v>144</v>
      </c>
      <c r="AW145" s="122" t="str">
        <f>IFERROR(INDEX(TableWRTECalcPts[PLAYER],MATCH(TableWRTERank[[#This Row],[RK]],TableWRTECalcPts[RK],0)),"")</f>
        <v>Jeremy Ruckert</v>
      </c>
      <c r="AX145" s="122" t="str">
        <f>IFERROR(INDEX(TableWRTECalcPts[POS RK],MATCH(TableWRTERank[[#This Row],[WR and TE COMBINED]],TableWRTECalcPts[PLAYER],0)),"")</f>
        <v>TE42</v>
      </c>
      <c r="AY145" s="122">
        <f>IFERROR(INDEX(TableWRTECalcPts[BYE],MATCH(TableWRTERank[[#This Row],[RK]],TableWRTECalcPts[RK],0)),"")</f>
        <v>7</v>
      </c>
      <c r="AZ145" s="123">
        <f>IFERROR(INDEX(TableWRTECalcPts[Custom],MATCH(TableWRTERank[[#This Row],[RK]],TableWRTECalcPts[RK],0)),"")</f>
        <v>47.942912402985584</v>
      </c>
      <c r="BA145" s="174">
        <f>IFERROR((TableWRTERank[[#This Row],[FPS]]-INDEX(TableWRTERank[FPS],MATCH(WRTEVORPCalc,TableWRTERank[RK],0)))/INDEX(TableWRTERank[FPS],MATCH(WRTEVORPCalc,TableWRTERank[RK],0)),"")</f>
        <v>-0.67885083641092869</v>
      </c>
      <c r="BC145" t="s">
        <v>223</v>
      </c>
      <c r="BD145">
        <v>144</v>
      </c>
      <c r="BE145" s="83">
        <f>RANK(TableWRTEMaster[[#This Row],[VORP]],TableWRTEMaster[VORP])+COUNTIF($BJ$2:BJ145,BJ145)-1</f>
        <v>206</v>
      </c>
      <c r="BF145" s="115" t="str">
        <f>IFERROR(INDEX(TableWRVORP[WIDE RECEIVER],MATCH(TableWRTEMaster[[#This Row],[RK]],TableWRVORP[RK],0)),"")</f>
        <v>Antoine Green</v>
      </c>
      <c r="BG145" s="115" t="str">
        <f>_xlfn.CONCAT(TableWRTEMaster[[#This Row],[POS]],TableWRTEMaster[[#This Row],[RK]])</f>
        <v>WR144</v>
      </c>
      <c r="BH145" s="115">
        <f>IFERROR(INDEX(TableWRVORP[BYE],MATCH(TableWRTEMaster[[#This Row],[RK]],TableWRVORP[RK],0)),"")</f>
        <v>9</v>
      </c>
      <c r="BI145" s="116">
        <f>IFERROR(INDEX(TableWRVORP[FPS],MATCH(TableWRTEMaster[[#This Row],[RK]],TableWRVORP[RK],0)),"")</f>
        <v>21.58698695579999</v>
      </c>
      <c r="BJ145" s="117">
        <f>IFERROR(INDEX(TableWRVORP[VORP],MATCH(TableWRTEMaster[[#This Row],[RK]],TableWRVORP[RK],0)),"")</f>
        <v>-0.85050839310292858</v>
      </c>
    </row>
    <row r="146" spans="8:62" x14ac:dyDescent="0.2">
      <c r="H146">
        <v>145</v>
      </c>
      <c r="I146" s="112" t="str">
        <f>IFERROR(INDEX(TableRBCalcPts[PLAYER],MATCH(TableRBVORP[[#This Row],[RK]],TableRBCalcPts[RK],0)),"")</f>
        <v/>
      </c>
      <c r="J146" s="112" t="str">
        <f>IFERROR(INDEX(TableRBCalcPts[TM],MATCH(TableRBVORP[[#This Row],[RK]],TableRBCalcPts[RK],0)),"")</f>
        <v/>
      </c>
      <c r="K146" s="112" t="str">
        <f>IFERROR(INDEX(TableRBCalcPts[BYE],MATCH(TableRBVORP[[#This Row],[RK]],TableRBCalcPts[RK],0)),"")</f>
        <v/>
      </c>
      <c r="L146" s="113" t="str">
        <f>IFERROR(INDEX(TableRBCalcPts[Custom],MATCH(TableRBVORP[[#This Row],[RK]],TableRBCalcPts[RK],0)),"")</f>
        <v/>
      </c>
      <c r="M146" s="114" t="str">
        <f>IFERROR((TableRBVORP[[#This Row],[FPS]]-INDEX(TableRBVORP[FPS],MATCH(RBVORPCalc,TableRBVORP[RK],0)))/INDEX(TableRBVORP[FPS],MATCH(RBVORPCalc,TableRBVORP[RK],0)),"")</f>
        <v/>
      </c>
      <c r="O146">
        <v>145</v>
      </c>
      <c r="P146" s="112" t="str">
        <f>IFERROR(INDEX(TableWRCalcPts[PLAYER],MATCH(TableWRVORP[[#This Row],[RK]],TableWRCalcPts[RK],0)),"")</f>
        <v>Racey McMath</v>
      </c>
      <c r="Q146" s="112" t="str">
        <f>IFERROR(INDEX(TableWRCalcPts[TM],MATCH(TableWRVORP[[#This Row],[RK]],TableWRCalcPts[RK],0)),"")</f>
        <v>DAL</v>
      </c>
      <c r="R146" s="112">
        <f>IFERROR(INDEX(TableWRCalcPts[BYE],MATCH(TableWRVORP[[#This Row],[RK]],TableWRCalcPts[RK],0)),"")</f>
        <v>7</v>
      </c>
      <c r="S146" s="113">
        <f>IFERROR(INDEX(TableWRCalcPts[Custom],MATCH(TableWRVORP[[#This Row],[RK]],TableWRCalcPts[RK],0)),"")</f>
        <v>21.427072611839996</v>
      </c>
      <c r="T146" s="114">
        <f>IFERROR((TableWRVORP[[#This Row],[FPS]]-INDEX(TableWRVORP[FPS],MATCH(WRVORPCalc,TableWRVORP[RK],0)))/INDEX(TableWRVORP[FPS],MATCH(WRVORPCalc,TableWRVORP[RK],0)),"")</f>
        <v>-0.85161581269295361</v>
      </c>
      <c r="AF146" t="s">
        <v>223</v>
      </c>
      <c r="AG146">
        <v>5</v>
      </c>
      <c r="AH146" s="83">
        <f>RANK(TableOverallMaster[[#This Row],[VORP]],TableOverallMaster[VORP])+COUNTIF($AM$2:AM146,AM146)-1</f>
        <v>24</v>
      </c>
      <c r="AI146" s="115" t="str">
        <f>IFERROR(INDEX(TableWRVORP[WIDE RECEIVER],MATCH(TableOverallMaster[[#This Row],[RK]],TableWRVORP[RK],0)),"")</f>
        <v>Ja'Marr Chase</v>
      </c>
      <c r="AJ146" s="115" t="str">
        <f t="shared" si="2"/>
        <v>WR5</v>
      </c>
      <c r="AK146" s="115">
        <f>IFERROR(INDEX(TableWRVORP[BYE],MATCH(TableOverallMaster[[#This Row],[RK]],TableWRVORP[RK],0)),"")</f>
        <v>7</v>
      </c>
      <c r="AL146" s="116">
        <f>IFERROR(INDEX(TableWRVORP[FPS],MATCH(TableOverallMaster[[#This Row],[RK]],TableWRVORP[RK],0)),"")</f>
        <v>239.22255571620002</v>
      </c>
      <c r="AM146" s="117">
        <f>IFERROR(INDEX(TableWRVORP[VORP],MATCH(TableOverallMaster[[#This Row],[RK]],TableWRVORP[RK],0)),"")</f>
        <v>0.65663528371338964</v>
      </c>
      <c r="AO146">
        <v>145</v>
      </c>
      <c r="AP146" s="118" t="str">
        <f>IFERROR(INDEX(TableOverallMaster[OVERALL PLAYER],MATCH(TableOverallRank[[#This Row],[RK]],TableOverallMaster[OVR RK],0)),"")</f>
        <v>Khalil Shakir</v>
      </c>
      <c r="AQ146" s="119" t="str">
        <f>IFERROR(INDEX(TableOverallMaster[POS RK],MATCH(TableOverallRank[[#This Row],[OVERALL PLAYER]],TableOverallMaster[OVERALL PLAYER],0)),"")</f>
        <v>WR60</v>
      </c>
      <c r="AR146" s="120">
        <f>IFERROR(INDEX(TableOverallMaster[BYE],MATCH(TableOverallRank[[#This Row],[OVERALL PLAYER]],TableOverallMaster[OVERALL PLAYER],0)),"")</f>
        <v>13</v>
      </c>
      <c r="AS146" s="119">
        <f>IFERROR(INDEX(TableOverallMaster[Custom],MATCH(TableOverallRank[[#This Row],[OVERALL PLAYER]],TableOverallMaster[OVERALL PLAYER],0)),"")</f>
        <v>138.1168361067264</v>
      </c>
      <c r="AT146" s="121">
        <f>IFERROR(INDEX(TableOverallMaster[VORP],MATCH(TableOverallRank[[#This Row],[OVERALL PLAYER]],TableOverallMaster[OVERALL PLAYER],0)),"")</f>
        <v>-4.3529890882410702E-2</v>
      </c>
      <c r="AV146">
        <v>145</v>
      </c>
      <c r="AW146" s="122" t="str">
        <f>IFERROR(INDEX(TableWRTECalcPts[PLAYER],MATCH(TableWRTERank[[#This Row],[RK]],TableWRTECalcPts[RK],0)),"")</f>
        <v>Donald Parham</v>
      </c>
      <c r="AX146" s="122" t="str">
        <f>IFERROR(INDEX(TableWRTECalcPts[POS RK],MATCH(TableWRTERank[[#This Row],[WR and TE COMBINED]],TableWRTECalcPts[PLAYER],0)),"")</f>
        <v>TE43</v>
      </c>
      <c r="AY146" s="122">
        <f>IFERROR(INDEX(TableWRTECalcPts[BYE],MATCH(TableWRTERank[[#This Row],[RK]],TableWRTECalcPts[RK],0)),"")</f>
        <v>5</v>
      </c>
      <c r="AZ146" s="123">
        <f>IFERROR(INDEX(TableWRTECalcPts[Custom],MATCH(TableWRTERank[[#This Row],[RK]],TableWRTECalcPts[RK],0)),"")</f>
        <v>47.064153670841982</v>
      </c>
      <c r="BA146" s="174">
        <f>IFERROR((TableWRTERank[[#This Row],[FPS]]-INDEX(TableWRTERank[FPS],MATCH(WRTEVORPCalc,TableWRTERank[RK],0)))/INDEX(TableWRTERank[FPS],MATCH(WRTEVORPCalc,TableWRTERank[RK],0)),"")</f>
        <v>-0.68473726711944227</v>
      </c>
      <c r="BC146" t="s">
        <v>223</v>
      </c>
      <c r="BD146">
        <v>145</v>
      </c>
      <c r="BE146" s="83">
        <f>RANK(TableWRTEMaster[[#This Row],[VORP]],TableWRTEMaster[VORP])+COUNTIF($BJ$2:BJ146,BJ146)-1</f>
        <v>207</v>
      </c>
      <c r="BF146" s="115" t="str">
        <f>IFERROR(INDEX(TableWRVORP[WIDE RECEIVER],MATCH(TableWRTEMaster[[#This Row],[RK]],TableWRVORP[RK],0)),"")</f>
        <v>Racey McMath</v>
      </c>
      <c r="BG146" s="115" t="str">
        <f>_xlfn.CONCAT(TableWRTEMaster[[#This Row],[POS]],TableWRTEMaster[[#This Row],[RK]])</f>
        <v>WR145</v>
      </c>
      <c r="BH146" s="115">
        <f>IFERROR(INDEX(TableWRVORP[BYE],MATCH(TableWRTEMaster[[#This Row],[RK]],TableWRVORP[RK],0)),"")</f>
        <v>7</v>
      </c>
      <c r="BI146" s="116">
        <f>IFERROR(INDEX(TableWRVORP[FPS],MATCH(TableWRTEMaster[[#This Row],[RK]],TableWRVORP[RK],0)),"")</f>
        <v>21.427072611839996</v>
      </c>
      <c r="BJ146" s="117">
        <f>IFERROR(INDEX(TableWRVORP[VORP],MATCH(TableWRTEMaster[[#This Row],[RK]],TableWRVORP[RK],0)),"")</f>
        <v>-0.85161581269295361</v>
      </c>
    </row>
    <row r="147" spans="8:62" x14ac:dyDescent="0.2">
      <c r="H147">
        <v>146</v>
      </c>
      <c r="I147" s="112" t="str">
        <f>IFERROR(INDEX(TableRBCalcPts[PLAYER],MATCH(TableRBVORP[[#This Row],[RK]],TableRBCalcPts[RK],0)),"")</f>
        <v/>
      </c>
      <c r="J147" s="112" t="str">
        <f>IFERROR(INDEX(TableRBCalcPts[TM],MATCH(TableRBVORP[[#This Row],[RK]],TableRBCalcPts[RK],0)),"")</f>
        <v/>
      </c>
      <c r="K147" s="112" t="str">
        <f>IFERROR(INDEX(TableRBCalcPts[BYE],MATCH(TableRBVORP[[#This Row],[RK]],TableRBCalcPts[RK],0)),"")</f>
        <v/>
      </c>
      <c r="L147" s="113" t="str">
        <f>IFERROR(INDEX(TableRBCalcPts[Custom],MATCH(TableRBVORP[[#This Row],[RK]],TableRBCalcPts[RK],0)),"")</f>
        <v/>
      </c>
      <c r="M147" s="114" t="str">
        <f>IFERROR((TableRBVORP[[#This Row],[FPS]]-INDEX(TableRBVORP[FPS],MATCH(RBVORPCalc,TableRBVORP[RK],0)))/INDEX(TableRBVORP[FPS],MATCH(RBVORPCalc,TableRBVORP[RK],0)),"")</f>
        <v/>
      </c>
      <c r="O147">
        <v>146</v>
      </c>
      <c r="P147" s="112" t="str">
        <f>IFERROR(INDEX(TableWRCalcPts[PLAYER],MATCH(TableWRVORP[[#This Row],[RK]],TableWRCalcPts[RK],0)),"")</f>
        <v>Tyler Scott</v>
      </c>
      <c r="Q147" s="112" t="str">
        <f>IFERROR(INDEX(TableWRCalcPts[TM],MATCH(TableWRVORP[[#This Row],[RK]],TableWRCalcPts[RK],0)),"")</f>
        <v>CHI</v>
      </c>
      <c r="R147" s="112">
        <f>IFERROR(INDEX(TableWRCalcPts[BYE],MATCH(TableWRVORP[[#This Row],[RK]],TableWRCalcPts[RK],0)),"")</f>
        <v>13</v>
      </c>
      <c r="S147" s="113">
        <f>IFERROR(INDEX(TableWRCalcPts[Custom],MATCH(TableWRVORP[[#This Row],[RK]],TableWRCalcPts[RK],0)),"")</f>
        <v>21.268921403519993</v>
      </c>
      <c r="T147" s="114">
        <f>IFERROR((TableWRVORP[[#This Row],[FPS]]-INDEX(TableWRVORP[FPS],MATCH(WRVORPCalc,TableWRVORP[RK],0)))/INDEX(TableWRVORP[FPS],MATCH(WRVORPCalc,TableWRVORP[RK],0)),"")</f>
        <v>-0.85271102242800745</v>
      </c>
      <c r="AF147" t="s">
        <v>223</v>
      </c>
      <c r="AG147">
        <v>6</v>
      </c>
      <c r="AH147" s="83">
        <f>RANK(TableOverallMaster[[#This Row],[VORP]],TableOverallMaster[VORP])+COUNTIF($AM$2:AM147,AM147)-1</f>
        <v>32</v>
      </c>
      <c r="AI147" s="115" t="str">
        <f>IFERROR(INDEX(TableWRVORP[WIDE RECEIVER],MATCH(TableOverallMaster[[#This Row],[RK]],TableWRVORP[RK],0)),"")</f>
        <v>Puka Nacua</v>
      </c>
      <c r="AJ147" s="115" t="str">
        <f t="shared" si="2"/>
        <v>WR6</v>
      </c>
      <c r="AK147" s="115">
        <f>IFERROR(INDEX(TableWRVORP[BYE],MATCH(TableOverallMaster[[#This Row],[RK]],TableWRVORP[RK],0)),"")</f>
        <v>10</v>
      </c>
      <c r="AL147" s="116">
        <f>IFERROR(INDEX(TableWRVORP[FPS],MATCH(TableOverallMaster[[#This Row],[RK]],TableWRVORP[RK],0)),"")</f>
        <v>229.36045052313952</v>
      </c>
      <c r="AM147" s="117">
        <f>IFERROR(INDEX(TableWRVORP[VORP],MATCH(TableOverallMaster[[#This Row],[RK]],TableWRVORP[RK],0)),"")</f>
        <v>0.58833941844431592</v>
      </c>
      <c r="AO147">
        <v>146</v>
      </c>
      <c r="AP147" s="118" t="str">
        <f>IFERROR(INDEX(TableOverallMaster[OVERALL PLAYER],MATCH(TableOverallRank[[#This Row],[RK]],TableOverallMaster[OVR RK],0)),"")</f>
        <v>Rashid Shaheed</v>
      </c>
      <c r="AQ147" s="119" t="str">
        <f>IFERROR(INDEX(TableOverallMaster[POS RK],MATCH(TableOverallRank[[#This Row],[OVERALL PLAYER]],TableOverallMaster[OVERALL PLAYER],0)),"")</f>
        <v>WR61</v>
      </c>
      <c r="AR147" s="120">
        <f>IFERROR(INDEX(TableOverallMaster[BYE],MATCH(TableOverallRank[[#This Row],[OVERALL PLAYER]],TableOverallMaster[OVERALL PLAYER],0)),"")</f>
        <v>11</v>
      </c>
      <c r="AS147" s="119">
        <f>IFERROR(INDEX(TableOverallMaster[Custom],MATCH(TableOverallRank[[#This Row],[OVERALL PLAYER]],TableOverallMaster[OVERALL PLAYER],0)),"")</f>
        <v>137.90885669345585</v>
      </c>
      <c r="AT147" s="121">
        <f>IFERROR(INDEX(TableOverallMaster[VORP],MATCH(TableOverallRank[[#This Row],[OVERALL PLAYER]],TableOverallMaster[OVERALL PLAYER],0)),"")</f>
        <v>-4.497016491208352E-2</v>
      </c>
      <c r="AV147">
        <v>146</v>
      </c>
      <c r="AW147" s="122" t="str">
        <f>IFERROR(INDEX(TableWRTECalcPts[PLAYER],MATCH(TableWRTERank[[#This Row],[RK]],TableWRTECalcPts[RK],0)),"")</f>
        <v>Josh Oliver</v>
      </c>
      <c r="AX147" s="122" t="str">
        <f>IFERROR(INDEX(TableWRTECalcPts[POS RK],MATCH(TableWRTERank[[#This Row],[WR and TE COMBINED]],TableWRTECalcPts[PLAYER],0)),"")</f>
        <v>TE44</v>
      </c>
      <c r="AY147" s="122">
        <f>IFERROR(INDEX(TableWRTECalcPts[BYE],MATCH(TableWRTERank[[#This Row],[RK]],TableWRTECalcPts[RK],0)),"")</f>
        <v>13</v>
      </c>
      <c r="AZ147" s="123">
        <f>IFERROR(INDEX(TableWRTECalcPts[Custom],MATCH(TableWRTERank[[#This Row],[RK]],TableWRTECalcPts[RK],0)),"")</f>
        <v>46.24948826064</v>
      </c>
      <c r="BA147" s="174">
        <f>IFERROR((TableWRTERank[[#This Row],[FPS]]-INDEX(TableWRTERank[FPS],MATCH(WRTEVORPCalc,TableWRTERank[RK],0)))/INDEX(TableWRTERank[FPS],MATCH(WRTEVORPCalc,TableWRTERank[RK],0)),"")</f>
        <v>-0.69019436394518752</v>
      </c>
      <c r="BC147" t="s">
        <v>223</v>
      </c>
      <c r="BD147">
        <v>146</v>
      </c>
      <c r="BE147" s="83">
        <f>RANK(TableWRTEMaster[[#This Row],[VORP]],TableWRTEMaster[VORP])+COUNTIF($BJ$2:BJ147,BJ147)-1</f>
        <v>208</v>
      </c>
      <c r="BF147" s="115" t="str">
        <f>IFERROR(INDEX(TableWRVORP[WIDE RECEIVER],MATCH(TableWRTEMaster[[#This Row],[RK]],TableWRVORP[RK],0)),"")</f>
        <v>Tyler Scott</v>
      </c>
      <c r="BG147" s="115" t="str">
        <f>_xlfn.CONCAT(TableWRTEMaster[[#This Row],[POS]],TableWRTEMaster[[#This Row],[RK]])</f>
        <v>WR146</v>
      </c>
      <c r="BH147" s="115">
        <f>IFERROR(INDEX(TableWRVORP[BYE],MATCH(TableWRTEMaster[[#This Row],[RK]],TableWRVORP[RK],0)),"")</f>
        <v>13</v>
      </c>
      <c r="BI147" s="116">
        <f>IFERROR(INDEX(TableWRVORP[FPS],MATCH(TableWRTEMaster[[#This Row],[RK]],TableWRVORP[RK],0)),"")</f>
        <v>21.268921403519993</v>
      </c>
      <c r="BJ147" s="117">
        <f>IFERROR(INDEX(TableWRVORP[VORP],MATCH(TableWRTEMaster[[#This Row],[RK]],TableWRVORP[RK],0)),"")</f>
        <v>-0.85271102242800745</v>
      </c>
    </row>
    <row r="148" spans="8:62" x14ac:dyDescent="0.2">
      <c r="H148">
        <v>147</v>
      </c>
      <c r="I148" s="112" t="str">
        <f>IFERROR(INDEX(TableRBCalcPts[PLAYER],MATCH(TableRBVORP[[#This Row],[RK]],TableRBCalcPts[RK],0)),"")</f>
        <v/>
      </c>
      <c r="J148" s="112" t="str">
        <f>IFERROR(INDEX(TableRBCalcPts[TM],MATCH(TableRBVORP[[#This Row],[RK]],TableRBCalcPts[RK],0)),"")</f>
        <v/>
      </c>
      <c r="K148" s="112" t="str">
        <f>IFERROR(INDEX(TableRBCalcPts[BYE],MATCH(TableRBVORP[[#This Row],[RK]],TableRBCalcPts[RK],0)),"")</f>
        <v/>
      </c>
      <c r="L148" s="113" t="str">
        <f>IFERROR(INDEX(TableRBCalcPts[Custom],MATCH(TableRBVORP[[#This Row],[RK]],TableRBCalcPts[RK],0)),"")</f>
        <v/>
      </c>
      <c r="M148" s="114" t="str">
        <f>IFERROR((TableRBVORP[[#This Row],[FPS]]-INDEX(TableRBVORP[FPS],MATCH(RBVORPCalc,TableRBVORP[RK],0)))/INDEX(TableRBVORP[FPS],MATCH(RBVORPCalc,TableRBVORP[RK],0)),"")</f>
        <v/>
      </c>
      <c r="O148">
        <v>147</v>
      </c>
      <c r="P148" s="112" t="str">
        <f>IFERROR(INDEX(TableWRCalcPts[PLAYER],MATCH(TableWRVORP[[#This Row],[RK]],TableWRCalcPts[RK],0)),"")</f>
        <v>KhaDarel Hodge</v>
      </c>
      <c r="Q148" s="112" t="str">
        <f>IFERROR(INDEX(TableWRCalcPts[TM],MATCH(TableWRVORP[[#This Row],[RK]],TableWRCalcPts[RK],0)),"")</f>
        <v>ATL</v>
      </c>
      <c r="R148" s="112">
        <f>IFERROR(INDEX(TableWRCalcPts[BYE],MATCH(TableWRVORP[[#This Row],[RK]],TableWRCalcPts[RK],0)),"")</f>
        <v>11</v>
      </c>
      <c r="S148" s="113">
        <f>IFERROR(INDEX(TableWRCalcPts[Custom],MATCH(TableWRVORP[[#This Row],[RK]],TableWRCalcPts[RK],0)),"")</f>
        <v>20.404002774355192</v>
      </c>
      <c r="T148" s="114">
        <f>IFERROR((TableWRVORP[[#This Row],[FPS]]-INDEX(TableWRVORP[FPS],MATCH(WRVORPCalc,TableWRVORP[RK],0)))/INDEX(TableWRVORP[FPS],MATCH(WRVORPCalc,TableWRVORP[RK],0)),"")</f>
        <v>-0.85870065293891662</v>
      </c>
      <c r="AF148" t="s">
        <v>223</v>
      </c>
      <c r="AG148">
        <v>7</v>
      </c>
      <c r="AH148" s="83">
        <f>RANK(TableOverallMaster[[#This Row],[VORP]],TableOverallMaster[VORP])+COUNTIF($AM$2:AM148,AM148)-1</f>
        <v>34</v>
      </c>
      <c r="AI148" s="115" t="str">
        <f>IFERROR(INDEX(TableWRVORP[WIDE RECEIVER],MATCH(TableOverallMaster[[#This Row],[RK]],TableWRVORP[RK],0)),"")</f>
        <v>Deebo Samuel</v>
      </c>
      <c r="AJ148" s="115" t="str">
        <f t="shared" si="2"/>
        <v>WR7</v>
      </c>
      <c r="AK148" s="115">
        <f>IFERROR(INDEX(TableWRVORP[BYE],MATCH(TableOverallMaster[[#This Row],[RK]],TableWRVORP[RK],0)),"")</f>
        <v>9</v>
      </c>
      <c r="AL148" s="116">
        <f>IFERROR(INDEX(TableWRVORP[FPS],MATCH(TableOverallMaster[[#This Row],[RK]],TableWRVORP[RK],0)),"")</f>
        <v>227.35073229258597</v>
      </c>
      <c r="AM148" s="117">
        <f>IFERROR(INDEX(TableWRVORP[VORP],MATCH(TableOverallMaster[[#This Row],[RK]],TableWRVORP[RK],0)),"")</f>
        <v>0.57442195936070506</v>
      </c>
      <c r="AO148">
        <v>147</v>
      </c>
      <c r="AP148" s="118" t="str">
        <f>IFERROR(INDEX(TableOverallMaster[OVERALL PLAYER],MATCH(TableOverallRank[[#This Row],[RK]],TableOverallMaster[OVR RK],0)),"")</f>
        <v>Will Levis</v>
      </c>
      <c r="AQ148" s="119" t="str">
        <f>IFERROR(INDEX(TableOverallMaster[POS RK],MATCH(TableOverallRank[[#This Row],[OVERALL PLAYER]],TableOverallMaster[OVERALL PLAYER],0)),"")</f>
        <v>QB26</v>
      </c>
      <c r="AR148" s="120">
        <f>IFERROR(INDEX(TableOverallMaster[BYE],MATCH(TableOverallRank[[#This Row],[OVERALL PLAYER]],TableOverallMaster[OVERALL PLAYER],0)),"")</f>
        <v>7</v>
      </c>
      <c r="AS148" s="119">
        <f>IFERROR(INDEX(TableOverallMaster[Custom],MATCH(TableOverallRank[[#This Row],[OVERALL PLAYER]],TableOverallMaster[OVERALL PLAYER],0)),"")</f>
        <v>272.57225312459991</v>
      </c>
      <c r="AT148" s="121">
        <f>IFERROR(INDEX(TableOverallMaster[VORP],MATCH(TableOverallRank[[#This Row],[OVERALL PLAYER]],TableOverallMaster[OVERALL PLAYER],0)),"")</f>
        <v>-4.8997504188368124E-2</v>
      </c>
      <c r="AV148">
        <v>147</v>
      </c>
      <c r="AW148" s="122" t="str">
        <f>IFERROR(INDEX(TableWRTECalcPts[PLAYER],MATCH(TableWRTERank[[#This Row],[RK]],TableWRTECalcPts[RK],0)),"")</f>
        <v>Jamison Crowder</v>
      </c>
      <c r="AX148" s="122" t="str">
        <f>IFERROR(INDEX(TableWRTECalcPts[POS RK],MATCH(TableWRTERank[[#This Row],[WR and TE COMBINED]],TableWRTECalcPts[PLAYER],0)),"")</f>
        <v>WR103</v>
      </c>
      <c r="AY148" s="122">
        <f>IFERROR(INDEX(TableWRTECalcPts[BYE],MATCH(TableWRTERank[[#This Row],[RK]],TableWRTECalcPts[RK],0)),"")</f>
        <v>14</v>
      </c>
      <c r="AZ148" s="123">
        <f>IFERROR(INDEX(TableWRTECalcPts[Custom],MATCH(TableWRTERank[[#This Row],[RK]],TableWRTECalcPts[RK],0)),"")</f>
        <v>45.974796266700011</v>
      </c>
      <c r="BA148" s="174">
        <f>IFERROR((TableWRTERank[[#This Row],[FPS]]-INDEX(TableWRTERank[FPS],MATCH(WRTEVORPCalc,TableWRTERank[RK],0)))/INDEX(TableWRTERank[FPS],MATCH(WRTEVORPCalc,TableWRTERank[RK],0)),"")</f>
        <v>-0.69203440869167532</v>
      </c>
      <c r="BC148" t="s">
        <v>223</v>
      </c>
      <c r="BD148">
        <v>147</v>
      </c>
      <c r="BE148" s="83">
        <f>RANK(TableWRTEMaster[[#This Row],[VORP]],TableWRTEMaster[VORP])+COUNTIF($BJ$2:BJ148,BJ148)-1</f>
        <v>209</v>
      </c>
      <c r="BF148" s="115" t="str">
        <f>IFERROR(INDEX(TableWRVORP[WIDE RECEIVER],MATCH(TableWRTEMaster[[#This Row],[RK]],TableWRVORP[RK],0)),"")</f>
        <v>KhaDarel Hodge</v>
      </c>
      <c r="BG148" s="115" t="str">
        <f>_xlfn.CONCAT(TableWRTEMaster[[#This Row],[POS]],TableWRTEMaster[[#This Row],[RK]])</f>
        <v>WR147</v>
      </c>
      <c r="BH148" s="115">
        <f>IFERROR(INDEX(TableWRVORP[BYE],MATCH(TableWRTEMaster[[#This Row],[RK]],TableWRVORP[RK],0)),"")</f>
        <v>11</v>
      </c>
      <c r="BI148" s="116">
        <f>IFERROR(INDEX(TableWRVORP[FPS],MATCH(TableWRTEMaster[[#This Row],[RK]],TableWRVORP[RK],0)),"")</f>
        <v>20.404002774355192</v>
      </c>
      <c r="BJ148" s="117">
        <f>IFERROR(INDEX(TableWRVORP[VORP],MATCH(TableWRTEMaster[[#This Row],[RK]],TableWRVORP[RK],0)),"")</f>
        <v>-0.85870065293891662</v>
      </c>
    </row>
    <row r="149" spans="8:62" x14ac:dyDescent="0.2">
      <c r="H149">
        <v>148</v>
      </c>
      <c r="I149" s="112" t="str">
        <f>IFERROR(INDEX(TableRBCalcPts[PLAYER],MATCH(TableRBVORP[[#This Row],[RK]],TableRBCalcPts[RK],0)),"")</f>
        <v/>
      </c>
      <c r="J149" s="112" t="str">
        <f>IFERROR(INDEX(TableRBCalcPts[TM],MATCH(TableRBVORP[[#This Row],[RK]],TableRBCalcPts[RK],0)),"")</f>
        <v/>
      </c>
      <c r="K149" s="112" t="str">
        <f>IFERROR(INDEX(TableRBCalcPts[BYE],MATCH(TableRBVORP[[#This Row],[RK]],TableRBCalcPts[RK],0)),"")</f>
        <v/>
      </c>
      <c r="L149" s="113" t="str">
        <f>IFERROR(INDEX(TableRBCalcPts[Custom],MATCH(TableRBVORP[[#This Row],[RK]],TableRBCalcPts[RK],0)),"")</f>
        <v/>
      </c>
      <c r="M149" s="114" t="str">
        <f>IFERROR((TableRBVORP[[#This Row],[FPS]]-INDEX(TableRBVORP[FPS],MATCH(RBVORPCalc,TableRBVORP[RK],0)))/INDEX(TableRBVORP[FPS],MATCH(RBVORPCalc,TableRBVORP[RK],0)),"")</f>
        <v/>
      </c>
      <c r="O149">
        <v>148</v>
      </c>
      <c r="P149" s="112" t="str">
        <f>IFERROR(INDEX(TableWRCalcPts[PLAYER],MATCH(TableWRVORP[[#This Row],[RK]],TableWRCalcPts[RK],0)),"")</f>
        <v>Jamari Thrash</v>
      </c>
      <c r="Q149" s="112" t="str">
        <f>IFERROR(INDEX(TableWRCalcPts[TM],MATCH(TableWRVORP[[#This Row],[RK]],TableWRCalcPts[RK],0)),"")</f>
        <v>CLE</v>
      </c>
      <c r="R149" s="112">
        <f>IFERROR(INDEX(TableWRCalcPts[BYE],MATCH(TableWRVORP[[#This Row],[RK]],TableWRCalcPts[RK],0)),"")</f>
        <v>5</v>
      </c>
      <c r="S149" s="113">
        <f>IFERROR(INDEX(TableWRCalcPts[Custom],MATCH(TableWRVORP[[#This Row],[RK]],TableWRCalcPts[RK],0)),"")</f>
        <v>20.346103978199999</v>
      </c>
      <c r="T149" s="114">
        <f>IFERROR((TableWRVORP[[#This Row],[FPS]]-INDEX(TableWRVORP[FPS],MATCH(WRVORPCalc,TableWRVORP[RK],0)))/INDEX(TableWRVORP[FPS],MATCH(WRVORPCalc,TableWRVORP[RK],0)),"")</f>
        <v>-0.85910160672150637</v>
      </c>
      <c r="AF149" t="s">
        <v>223</v>
      </c>
      <c r="AG149">
        <v>8</v>
      </c>
      <c r="AH149" s="83">
        <f>RANK(TableOverallMaster[[#This Row],[VORP]],TableOverallMaster[VORP])+COUNTIF($AM$2:AM149,AM149)-1</f>
        <v>38</v>
      </c>
      <c r="AI149" s="115" t="str">
        <f>IFERROR(INDEX(TableWRVORP[WIDE RECEIVER],MATCH(TableOverallMaster[[#This Row],[RK]],TableWRVORP[RK],0)),"")</f>
        <v>A.J. Brown</v>
      </c>
      <c r="AJ149" s="115" t="str">
        <f t="shared" si="2"/>
        <v>WR8</v>
      </c>
      <c r="AK149" s="115">
        <f>IFERROR(INDEX(TableWRVORP[BYE],MATCH(TableOverallMaster[[#This Row],[RK]],TableWRVORP[RK],0)),"")</f>
        <v>10</v>
      </c>
      <c r="AL149" s="116">
        <f>IFERROR(INDEX(TableWRVORP[FPS],MATCH(TableOverallMaster[[#This Row],[RK]],TableWRVORP[RK],0)),"")</f>
        <v>216.54967608681122</v>
      </c>
      <c r="AM149" s="117">
        <f>IFERROR(INDEX(TableWRVORP[VORP],MATCH(TableOverallMaster[[#This Row],[RK]],TableWRVORP[RK],0)),"")</f>
        <v>0.49962378341827568</v>
      </c>
      <c r="AO149">
        <v>148</v>
      </c>
      <c r="AP149" s="118" t="str">
        <f>IFERROR(INDEX(TableOverallMaster[OVERALL PLAYER],MATCH(TableOverallRank[[#This Row],[RK]],TableOverallMaster[OVR RK],0)),"")</f>
        <v>Romeo Doubs</v>
      </c>
      <c r="AQ149" s="119" t="str">
        <f>IFERROR(INDEX(TableOverallMaster[POS RK],MATCH(TableOverallRank[[#This Row],[OVERALL PLAYER]],TableOverallMaster[OVERALL PLAYER],0)),"")</f>
        <v>WR62</v>
      </c>
      <c r="AR149" s="120">
        <f>IFERROR(INDEX(TableOverallMaster[BYE],MATCH(TableOverallRank[[#This Row],[OVERALL PLAYER]],TableOverallMaster[OVERALL PLAYER],0)),"")</f>
        <v>6</v>
      </c>
      <c r="AS149" s="119">
        <f>IFERROR(INDEX(TableOverallMaster[Custom],MATCH(TableOverallRank[[#This Row],[OVERALL PLAYER]],TableOverallMaster[OVERALL PLAYER],0)),"")</f>
        <v>136.87196386617603</v>
      </c>
      <c r="AT149" s="121">
        <f>IFERROR(INDEX(TableOverallMaster[VORP],MATCH(TableOverallRank[[#This Row],[OVERALL PLAYER]],TableOverallMaster[OVERALL PLAYER],0)),"")</f>
        <v>-5.2150730465186791E-2</v>
      </c>
      <c r="AV149">
        <v>148</v>
      </c>
      <c r="AW149" s="122" t="str">
        <f>IFERROR(INDEX(TableWRTECalcPts[PLAYER],MATCH(TableWRTERank[[#This Row],[RK]],TableWRTECalcPts[RK],0)),"")</f>
        <v>A.T. Perry</v>
      </c>
      <c r="AX149" s="122" t="str">
        <f>IFERROR(INDEX(TableWRTECalcPts[POS RK],MATCH(TableWRTERank[[#This Row],[WR and TE COMBINED]],TableWRTECalcPts[PLAYER],0)),"")</f>
        <v>WR104</v>
      </c>
      <c r="AY149" s="122">
        <f>IFERROR(INDEX(TableWRTECalcPts[BYE],MATCH(TableWRTERank[[#This Row],[RK]],TableWRTECalcPts[RK],0)),"")</f>
        <v>11</v>
      </c>
      <c r="AZ149" s="123">
        <f>IFERROR(INDEX(TableWRTECalcPts[Custom],MATCH(TableWRTERank[[#This Row],[RK]],TableWRTECalcPts[RK],0)),"")</f>
        <v>45.816955573996985</v>
      </c>
      <c r="BA149" s="174">
        <f>IFERROR((TableWRTERank[[#This Row],[FPS]]-INDEX(TableWRTERank[FPS],MATCH(WRTEVORPCalc,TableWRTERank[RK],0)))/INDEX(TableWRTERank[FPS],MATCH(WRTEVORPCalc,TableWRTERank[RK],0)),"")</f>
        <v>-0.69309171630819688</v>
      </c>
      <c r="BC149" t="s">
        <v>223</v>
      </c>
      <c r="BD149">
        <v>148</v>
      </c>
      <c r="BE149" s="83">
        <f>RANK(TableWRTEMaster[[#This Row],[VORP]],TableWRTEMaster[VORP])+COUNTIF($BJ$2:BJ149,BJ149)-1</f>
        <v>210</v>
      </c>
      <c r="BF149" s="115" t="str">
        <f>IFERROR(INDEX(TableWRVORP[WIDE RECEIVER],MATCH(TableWRTEMaster[[#This Row],[RK]],TableWRVORP[RK],0)),"")</f>
        <v>Jamari Thrash</v>
      </c>
      <c r="BG149" s="115" t="str">
        <f>_xlfn.CONCAT(TableWRTEMaster[[#This Row],[POS]],TableWRTEMaster[[#This Row],[RK]])</f>
        <v>WR148</v>
      </c>
      <c r="BH149" s="115">
        <f>IFERROR(INDEX(TableWRVORP[BYE],MATCH(TableWRTEMaster[[#This Row],[RK]],TableWRVORP[RK],0)),"")</f>
        <v>5</v>
      </c>
      <c r="BI149" s="116">
        <f>IFERROR(INDEX(TableWRVORP[FPS],MATCH(TableWRTEMaster[[#This Row],[RK]],TableWRVORP[RK],0)),"")</f>
        <v>20.346103978199999</v>
      </c>
      <c r="BJ149" s="117">
        <f>IFERROR(INDEX(TableWRVORP[VORP],MATCH(TableWRTEMaster[[#This Row],[RK]],TableWRVORP[RK],0)),"")</f>
        <v>-0.85910160672150637</v>
      </c>
    </row>
    <row r="150" spans="8:62" x14ac:dyDescent="0.2">
      <c r="H150">
        <v>149</v>
      </c>
      <c r="I150" s="112" t="str">
        <f>IFERROR(INDEX(TableRBCalcPts[PLAYER],MATCH(TableRBVORP[[#This Row],[RK]],TableRBCalcPts[RK],0)),"")</f>
        <v/>
      </c>
      <c r="J150" s="112" t="str">
        <f>IFERROR(INDEX(TableRBCalcPts[TM],MATCH(TableRBVORP[[#This Row],[RK]],TableRBCalcPts[RK],0)),"")</f>
        <v/>
      </c>
      <c r="K150" s="112" t="str">
        <f>IFERROR(INDEX(TableRBCalcPts[BYE],MATCH(TableRBVORP[[#This Row],[RK]],TableRBCalcPts[RK],0)),"")</f>
        <v/>
      </c>
      <c r="L150" s="113" t="str">
        <f>IFERROR(INDEX(TableRBCalcPts[Custom],MATCH(TableRBVORP[[#This Row],[RK]],TableRBCalcPts[RK],0)),"")</f>
        <v/>
      </c>
      <c r="M150" s="114" t="str">
        <f>IFERROR((TableRBVORP[[#This Row],[FPS]]-INDEX(TableRBVORP[FPS],MATCH(RBVORPCalc,TableRBVORP[RK],0)))/INDEX(TableRBVORP[FPS],MATCH(RBVORPCalc,TableRBVORP[RK],0)),"")</f>
        <v/>
      </c>
      <c r="O150">
        <v>149</v>
      </c>
      <c r="P150" s="112" t="str">
        <f>IFERROR(INDEX(TableWRCalcPts[PLAYER],MATCH(TableWRVORP[[#This Row],[RK]],TableWRCalcPts[RK],0)),"")</f>
        <v>Olamide Zaccheaus</v>
      </c>
      <c r="Q150" s="112" t="str">
        <f>IFERROR(INDEX(TableWRCalcPts[TM],MATCH(TableWRVORP[[#This Row],[RK]],TableWRCalcPts[RK],0)),"")</f>
        <v>WSH</v>
      </c>
      <c r="R150" s="112">
        <f>IFERROR(INDEX(TableWRCalcPts[BYE],MATCH(TableWRVORP[[#This Row],[RK]],TableWRCalcPts[RK],0)),"")</f>
        <v>14</v>
      </c>
      <c r="S150" s="113">
        <f>IFERROR(INDEX(TableWRCalcPts[Custom],MATCH(TableWRVORP[[#This Row],[RK]],TableWRCalcPts[RK],0)),"")</f>
        <v>19.369401620183996</v>
      </c>
      <c r="T150" s="114">
        <f>IFERROR((TableWRVORP[[#This Row],[FPS]]-INDEX(TableWRVORP[FPS],MATCH(WRVORPCalc,TableWRVORP[RK],0)))/INDEX(TableWRVORP[FPS],MATCH(WRVORPCalc,TableWRVORP[RK],0)),"")</f>
        <v>-0.86586534847291108</v>
      </c>
      <c r="AF150" t="s">
        <v>223</v>
      </c>
      <c r="AG150">
        <v>9</v>
      </c>
      <c r="AH150" s="83">
        <f>RANK(TableOverallMaster[[#This Row],[VORP]],TableOverallMaster[VORP])+COUNTIF($AM$2:AM150,AM150)-1</f>
        <v>40</v>
      </c>
      <c r="AI150" s="115" t="str">
        <f>IFERROR(INDEX(TableWRVORP[WIDE RECEIVER],MATCH(TableOverallMaster[[#This Row],[RK]],TableWRVORP[RK],0)),"")</f>
        <v>Mike Evans</v>
      </c>
      <c r="AJ150" s="115" t="str">
        <f t="shared" si="2"/>
        <v>WR9</v>
      </c>
      <c r="AK150" s="115">
        <f>IFERROR(INDEX(TableWRVORP[BYE],MATCH(TableOverallMaster[[#This Row],[RK]],TableWRVORP[RK],0)),"")</f>
        <v>5</v>
      </c>
      <c r="AL150" s="116">
        <f>IFERROR(INDEX(TableWRVORP[FPS],MATCH(TableOverallMaster[[#This Row],[RK]],TableWRVORP[RK],0)),"")</f>
        <v>210.90826433402879</v>
      </c>
      <c r="AM150" s="117">
        <f>IFERROR(INDEX(TableWRVORP[VORP],MATCH(TableOverallMaster[[#This Row],[RK]],TableWRVORP[RK],0)),"")</f>
        <v>0.46055655695363557</v>
      </c>
      <c r="AO150">
        <v>149</v>
      </c>
      <c r="AP150" s="118" t="str">
        <f>IFERROR(INDEX(TableOverallMaster[OVERALL PLAYER],MATCH(TableOverallRank[[#This Row],[RK]],TableOverallMaster[OVR RK],0)),"")</f>
        <v>Kendre Miller</v>
      </c>
      <c r="AQ150" s="119" t="str">
        <f>IFERROR(INDEX(TableOverallMaster[POS RK],MATCH(TableOverallRank[[#This Row],[OVERALL PLAYER]],TableOverallMaster[OVERALL PLAYER],0)),"")</f>
        <v>RB49</v>
      </c>
      <c r="AR150" s="120">
        <f>IFERROR(INDEX(TableOverallMaster[BYE],MATCH(TableOverallRank[[#This Row],[OVERALL PLAYER]],TableOverallMaster[OVERALL PLAYER],0)),"")</f>
        <v>11</v>
      </c>
      <c r="AS150" s="119">
        <f>IFERROR(INDEX(TableOverallMaster[Custom],MATCH(TableOverallRank[[#This Row],[OVERALL PLAYER]],TableOverallMaster[OVERALL PLAYER],0)),"")</f>
        <v>106.29797474510063</v>
      </c>
      <c r="AT150" s="121">
        <f>IFERROR(INDEX(TableOverallMaster[VORP],MATCH(TableOverallRank[[#This Row],[OVERALL PLAYER]],TableOverallMaster[OVERALL PLAYER],0)),"")</f>
        <v>-5.6957179251875822E-2</v>
      </c>
      <c r="AV150">
        <v>149</v>
      </c>
      <c r="AW150" s="122" t="str">
        <f>IFERROR(INDEX(TableWRTECalcPts[PLAYER],MATCH(TableWRTERank[[#This Row],[RK]],TableWRTECalcPts[RK],0)),"")</f>
        <v>Theo Johnson</v>
      </c>
      <c r="AX150" s="122" t="str">
        <f>IFERROR(INDEX(TableWRTECalcPts[POS RK],MATCH(TableWRTERank[[#This Row],[WR and TE COMBINED]],TableWRTECalcPts[PLAYER],0)),"")</f>
        <v>TE45</v>
      </c>
      <c r="AY150" s="122">
        <f>IFERROR(INDEX(TableWRTECalcPts[BYE],MATCH(TableWRTERank[[#This Row],[RK]],TableWRTECalcPts[RK],0)),"")</f>
        <v>13</v>
      </c>
      <c r="AZ150" s="123">
        <f>IFERROR(INDEX(TableWRTECalcPts[Custom],MATCH(TableWRTERank[[#This Row],[RK]],TableWRTECalcPts[RK],0)),"")</f>
        <v>43.712904661977589</v>
      </c>
      <c r="BA150" s="174">
        <f>IFERROR((TableWRTERank[[#This Row],[FPS]]-INDEX(TableWRTERank[FPS],MATCH(WRTEVORPCalc,TableWRTERank[RK],0)))/INDEX(TableWRTERank[FPS],MATCH(WRTEVORPCalc,TableWRTERank[RK],0)),"")</f>
        <v>-0.70718585779180376</v>
      </c>
      <c r="BC150" t="s">
        <v>223</v>
      </c>
      <c r="BD150">
        <v>149</v>
      </c>
      <c r="BE150" s="83">
        <f>RANK(TableWRTEMaster[[#This Row],[VORP]],TableWRTEMaster[VORP])+COUNTIF($BJ$2:BJ150,BJ150)-1</f>
        <v>213</v>
      </c>
      <c r="BF150" s="115" t="str">
        <f>IFERROR(INDEX(TableWRVORP[WIDE RECEIVER],MATCH(TableWRTEMaster[[#This Row],[RK]],TableWRVORP[RK],0)),"")</f>
        <v>Olamide Zaccheaus</v>
      </c>
      <c r="BG150" s="115" t="str">
        <f>_xlfn.CONCAT(TableWRTEMaster[[#This Row],[POS]],TableWRTEMaster[[#This Row],[RK]])</f>
        <v>WR149</v>
      </c>
      <c r="BH150" s="115">
        <f>IFERROR(INDEX(TableWRVORP[BYE],MATCH(TableWRTEMaster[[#This Row],[RK]],TableWRVORP[RK],0)),"")</f>
        <v>14</v>
      </c>
      <c r="BI150" s="116">
        <f>IFERROR(INDEX(TableWRVORP[FPS],MATCH(TableWRTEMaster[[#This Row],[RK]],TableWRVORP[RK],0)),"")</f>
        <v>19.369401620183996</v>
      </c>
      <c r="BJ150" s="117">
        <f>IFERROR(INDEX(TableWRVORP[VORP],MATCH(TableWRTEMaster[[#This Row],[RK]],TableWRVORP[RK],0)),"")</f>
        <v>-0.86586534847291108</v>
      </c>
    </row>
    <row r="151" spans="8:62" x14ac:dyDescent="0.2">
      <c r="H151">
        <v>150</v>
      </c>
      <c r="I151" s="112" t="str">
        <f>IFERROR(INDEX(TableRBCalcPts[PLAYER],MATCH(TableRBVORP[[#This Row],[RK]],TableRBCalcPts[RK],0)),"")</f>
        <v/>
      </c>
      <c r="J151" s="112" t="str">
        <f>IFERROR(INDEX(TableRBCalcPts[TM],MATCH(TableRBVORP[[#This Row],[RK]],TableRBCalcPts[RK],0)),"")</f>
        <v/>
      </c>
      <c r="K151" s="112" t="str">
        <f>IFERROR(INDEX(TableRBCalcPts[BYE],MATCH(TableRBVORP[[#This Row],[RK]],TableRBCalcPts[RK],0)),"")</f>
        <v/>
      </c>
      <c r="L151" s="113" t="str">
        <f>IFERROR(INDEX(TableRBCalcPts[Custom],MATCH(TableRBVORP[[#This Row],[RK]],TableRBCalcPts[RK],0)),"")</f>
        <v/>
      </c>
      <c r="M151" s="114" t="str">
        <f>IFERROR((TableRBVORP[[#This Row],[FPS]]-INDEX(TableRBVORP[FPS],MATCH(RBVORPCalc,TableRBVORP[RK],0)))/INDEX(TableRBVORP[FPS],MATCH(RBVORPCalc,TableRBVORP[RK],0)),"")</f>
        <v/>
      </c>
      <c r="O151">
        <v>150</v>
      </c>
      <c r="P151" s="112" t="str">
        <f>IFERROR(INDEX(TableWRCalcPts[PLAYER],MATCH(TableWRVORP[[#This Row],[RK]],TableWRCalcPts[RK],0)),"")</f>
        <v>Nick Westbrook-Ikhine</v>
      </c>
      <c r="Q151" s="112" t="str">
        <f>IFERROR(INDEX(TableWRCalcPts[TM],MATCH(TableWRVORP[[#This Row],[RK]],TableWRCalcPts[RK],0)),"")</f>
        <v>TEN</v>
      </c>
      <c r="R151" s="112">
        <f>IFERROR(INDEX(TableWRCalcPts[BYE],MATCH(TableWRVORP[[#This Row],[RK]],TableWRCalcPts[RK],0)),"")</f>
        <v>7</v>
      </c>
      <c r="S151" s="113">
        <f>IFERROR(INDEX(TableWRCalcPts[Custom],MATCH(TableWRVORP[[#This Row],[RK]],TableWRCalcPts[RK],0)),"")</f>
        <v>19.367230632749994</v>
      </c>
      <c r="T151" s="114">
        <f>IFERROR((TableWRVORP[[#This Row],[FPS]]-INDEX(TableWRVORP[FPS],MATCH(WRVORPCalc,TableWRVORP[RK],0)))/INDEX(TableWRVORP[FPS],MATCH(WRVORPCalc,TableWRVORP[RK],0)),"")</f>
        <v>-0.86588038273409473</v>
      </c>
      <c r="AF151" t="s">
        <v>223</v>
      </c>
      <c r="AG151">
        <v>10</v>
      </c>
      <c r="AH151" s="83">
        <f>RANK(TableOverallMaster[[#This Row],[VORP]],TableOverallMaster[VORP])+COUNTIF($AM$2:AM151,AM151)-1</f>
        <v>42</v>
      </c>
      <c r="AI151" s="115" t="str">
        <f>IFERROR(INDEX(TableWRVORP[WIDE RECEIVER],MATCH(TableOverallMaster[[#This Row],[RK]],TableWRVORP[RK],0)),"")</f>
        <v>Brandon Aiyuk</v>
      </c>
      <c r="AJ151" s="115" t="str">
        <f t="shared" si="2"/>
        <v>WR10</v>
      </c>
      <c r="AK151" s="115">
        <f>IFERROR(INDEX(TableWRVORP[BYE],MATCH(TableOverallMaster[[#This Row],[RK]],TableWRVORP[RK],0)),"")</f>
        <v>9</v>
      </c>
      <c r="AL151" s="116">
        <f>IFERROR(INDEX(TableWRVORP[FPS],MATCH(TableOverallMaster[[#This Row],[RK]],TableWRVORP[RK],0)),"")</f>
        <v>209.84308981574395</v>
      </c>
      <c r="AM151" s="117">
        <f>IFERROR(INDEX(TableWRVORP[VORP],MATCH(TableOverallMaster[[#This Row],[RK]],TableWRVORP[RK],0)),"")</f>
        <v>0.45318013843398519</v>
      </c>
      <c r="AO151">
        <v>150</v>
      </c>
      <c r="AP151" s="118" t="str">
        <f>IFERROR(INDEX(TableOverallMaster[OVERALL PLAYER],MATCH(TableOverallRank[[#This Row],[RK]],TableOverallMaster[OVR RK],0)),"")</f>
        <v>Rome Odunze</v>
      </c>
      <c r="AQ151" s="119" t="str">
        <f>IFERROR(INDEX(TableOverallMaster[POS RK],MATCH(TableOverallRank[[#This Row],[OVERALL PLAYER]],TableOverallMaster[OVERALL PLAYER],0)),"")</f>
        <v>WR63</v>
      </c>
      <c r="AR151" s="120">
        <f>IFERROR(INDEX(TableOverallMaster[BYE],MATCH(TableOverallRank[[#This Row],[OVERALL PLAYER]],TableOverallMaster[OVERALL PLAYER],0)),"")</f>
        <v>13</v>
      </c>
      <c r="AS151" s="119">
        <f>IFERROR(INDEX(TableOverallMaster[Custom],MATCH(TableOverallRank[[#This Row],[OVERALL PLAYER]],TableOverallMaster[OVERALL PLAYER],0)),"")</f>
        <v>135.18949056479997</v>
      </c>
      <c r="AT151" s="121">
        <f>IFERROR(INDEX(TableOverallMaster[VORP],MATCH(TableOverallRank[[#This Row],[OVERALL PLAYER]],TableOverallMaster[OVERALL PLAYER],0)),"")</f>
        <v>-6.3801992306365199E-2</v>
      </c>
      <c r="AV151">
        <v>150</v>
      </c>
      <c r="AW151" s="122" t="str">
        <f>IFERROR(INDEX(TableWRTECalcPts[PLAYER],MATCH(TableWRTERank[[#This Row],[RK]],TableWRTECalcPts[RK],0)),"")</f>
        <v>Devontez Walker</v>
      </c>
      <c r="AX151" s="122" t="str">
        <f>IFERROR(INDEX(TableWRTECalcPts[POS RK],MATCH(TableWRTERank[[#This Row],[WR and TE COMBINED]],TableWRTECalcPts[PLAYER],0)),"")</f>
        <v>WR105</v>
      </c>
      <c r="AY151" s="122">
        <f>IFERROR(INDEX(TableWRTECalcPts[BYE],MATCH(TableWRTERank[[#This Row],[RK]],TableWRTECalcPts[RK],0)),"")</f>
        <v>13</v>
      </c>
      <c r="AZ151" s="123">
        <f>IFERROR(INDEX(TableWRTECalcPts[Custom],MATCH(TableWRTERank[[#This Row],[RK]],TableWRTECalcPts[RK],0)),"")</f>
        <v>41.847989055196805</v>
      </c>
      <c r="BA151" s="174">
        <f>IFERROR((TableWRTERank[[#This Row],[FPS]]-INDEX(TableWRTERank[FPS],MATCH(WRTEVORPCalc,TableWRTERank[RK],0)))/INDEX(TableWRTERank[FPS],MATCH(WRTEVORPCalc,TableWRTERank[RK],0)),"")</f>
        <v>-0.7196781336520528</v>
      </c>
      <c r="BC151" t="s">
        <v>223</v>
      </c>
      <c r="BD151">
        <v>150</v>
      </c>
      <c r="BE151" s="83">
        <f>RANK(TableWRTEMaster[[#This Row],[VORP]],TableWRTEMaster[VORP])+COUNTIF($BJ$2:BJ151,BJ151)-1</f>
        <v>214</v>
      </c>
      <c r="BF151" s="115" t="str">
        <f>IFERROR(INDEX(TableWRVORP[WIDE RECEIVER],MATCH(TableWRTEMaster[[#This Row],[RK]],TableWRVORP[RK],0)),"")</f>
        <v>Nick Westbrook-Ikhine</v>
      </c>
      <c r="BG151" s="115" t="str">
        <f>_xlfn.CONCAT(TableWRTEMaster[[#This Row],[POS]],TableWRTEMaster[[#This Row],[RK]])</f>
        <v>WR150</v>
      </c>
      <c r="BH151" s="115">
        <f>IFERROR(INDEX(TableWRVORP[BYE],MATCH(TableWRTEMaster[[#This Row],[RK]],TableWRVORP[RK],0)),"")</f>
        <v>7</v>
      </c>
      <c r="BI151" s="116">
        <f>IFERROR(INDEX(TableWRVORP[FPS],MATCH(TableWRTEMaster[[#This Row],[RK]],TableWRVORP[RK],0)),"")</f>
        <v>19.367230632749994</v>
      </c>
      <c r="BJ151" s="117">
        <f>IFERROR(INDEX(TableWRVORP[VORP],MATCH(TableWRTEMaster[[#This Row],[RK]],TableWRVORP[RK],0)),"")</f>
        <v>-0.86588038273409473</v>
      </c>
    </row>
    <row r="152" spans="8:62" x14ac:dyDescent="0.2">
      <c r="H152">
        <v>151</v>
      </c>
      <c r="I152" s="112" t="str">
        <f>IFERROR(INDEX(TableRBCalcPts[PLAYER],MATCH(TableRBVORP[[#This Row],[RK]],TableRBCalcPts[RK],0)),"")</f>
        <v/>
      </c>
      <c r="J152" s="112" t="str">
        <f>IFERROR(INDEX(TableRBCalcPts[TM],MATCH(TableRBVORP[[#This Row],[RK]],TableRBCalcPts[RK],0)),"")</f>
        <v/>
      </c>
      <c r="K152" s="112" t="str">
        <f>IFERROR(INDEX(TableRBCalcPts[BYE],MATCH(TableRBVORP[[#This Row],[RK]],TableRBCalcPts[RK],0)),"")</f>
        <v/>
      </c>
      <c r="L152" s="113" t="str">
        <f>IFERROR(INDEX(TableRBCalcPts[Custom],MATCH(TableRBVORP[[#This Row],[RK]],TableRBCalcPts[RK],0)),"")</f>
        <v/>
      </c>
      <c r="M152" s="114" t="str">
        <f>IFERROR((TableRBVORP[[#This Row],[FPS]]-INDEX(TableRBVORP[FPS],MATCH(RBVORPCalc,TableRBVORP[RK],0)))/INDEX(TableRBVORP[FPS],MATCH(RBVORPCalc,TableRBVORP[RK],0)),"")</f>
        <v/>
      </c>
      <c r="O152">
        <v>151</v>
      </c>
      <c r="P152" s="112" t="str">
        <f>IFERROR(INDEX(TableWRCalcPts[PLAYER],MATCH(TableWRVORP[[#This Row],[RK]],TableWRCalcPts[RK],0)),"")</f>
        <v>Isaiah McKenzie</v>
      </c>
      <c r="Q152" s="112" t="str">
        <f>IFERROR(INDEX(TableWRCalcPts[TM],MATCH(TableWRVORP[[#This Row],[RK]],TableWRCalcPts[RK],0)),"")</f>
        <v>NYG</v>
      </c>
      <c r="R152" s="112">
        <f>IFERROR(INDEX(TableWRCalcPts[BYE],MATCH(TableWRVORP[[#This Row],[RK]],TableWRCalcPts[RK],0)),"")</f>
        <v>13</v>
      </c>
      <c r="S152" s="113">
        <f>IFERROR(INDEX(TableWRCalcPts[Custom],MATCH(TableWRVORP[[#This Row],[RK]],TableWRCalcPts[RK],0)),"")</f>
        <v>18.749416291199992</v>
      </c>
      <c r="T152" s="114">
        <f>IFERROR((TableWRVORP[[#This Row],[FPS]]-INDEX(TableWRVORP[FPS],MATCH(WRVORPCalc,TableWRVORP[RK],0)))/INDEX(TableWRVORP[FPS],MATCH(WRVORPCalc,TableWRVORP[RK],0)),"")</f>
        <v>-0.87015879633908155</v>
      </c>
      <c r="AF152" t="s">
        <v>223</v>
      </c>
      <c r="AG152">
        <v>11</v>
      </c>
      <c r="AH152" s="83">
        <f>RANK(TableOverallMaster[[#This Row],[VORP]],TableOverallMaster[VORP])+COUNTIF($AM$2:AM152,AM152)-1</f>
        <v>47</v>
      </c>
      <c r="AI152" s="115" t="str">
        <f>IFERROR(INDEX(TableWRVORP[WIDE RECEIVER],MATCH(TableOverallMaster[[#This Row],[RK]],TableWRVORP[RK],0)),"")</f>
        <v>Nico Collins</v>
      </c>
      <c r="AJ152" s="115" t="str">
        <f t="shared" si="2"/>
        <v>WR11</v>
      </c>
      <c r="AK152" s="115">
        <f>IFERROR(INDEX(TableWRVORP[BYE],MATCH(TableOverallMaster[[#This Row],[RK]],TableWRVORP[RK],0)),"")</f>
        <v>7</v>
      </c>
      <c r="AL152" s="116">
        <f>IFERROR(INDEX(TableWRVORP[FPS],MATCH(TableOverallMaster[[#This Row],[RK]],TableWRVORP[RK],0)),"")</f>
        <v>205.18742284185601</v>
      </c>
      <c r="AM152" s="117">
        <f>IFERROR(INDEX(TableWRVORP[VORP],MATCH(TableOverallMaster[[#This Row],[RK]],TableWRVORP[RK],0)),"")</f>
        <v>0.42093927320674518</v>
      </c>
      <c r="AO152">
        <v>151</v>
      </c>
      <c r="AP152" s="118" t="str">
        <f>IFERROR(INDEX(TableOverallMaster[OVERALL PLAYER],MATCH(TableOverallRank[[#This Row],[RK]],TableOverallMaster[OVR RK],0)),"")</f>
        <v>Joshua Palmer</v>
      </c>
      <c r="AQ152" s="119" t="str">
        <f>IFERROR(INDEX(TableOverallMaster[POS RK],MATCH(TableOverallRank[[#This Row],[OVERALL PLAYER]],TableOverallMaster[OVERALL PLAYER],0)),"")</f>
        <v>WR64</v>
      </c>
      <c r="AR152" s="120">
        <f>IFERROR(INDEX(TableOverallMaster[BYE],MATCH(TableOverallRank[[#This Row],[OVERALL PLAYER]],TableOverallMaster[OVERALL PLAYER],0)),"")</f>
        <v>5</v>
      </c>
      <c r="AS152" s="119">
        <f>IFERROR(INDEX(TableOverallMaster[Custom],MATCH(TableOverallRank[[#This Row],[OVERALL PLAYER]],TableOverallMaster[OVERALL PLAYER],0)),"")</f>
        <v>135.15931644627722</v>
      </c>
      <c r="AT152" s="121">
        <f>IFERROR(INDEX(TableOverallMaster[VORP],MATCH(TableOverallRank[[#This Row],[OVERALL PLAYER]],TableOverallMaster[OVERALL PLAYER],0)),"")</f>
        <v>-6.4010950484452073E-2</v>
      </c>
      <c r="AV152">
        <v>151</v>
      </c>
      <c r="AW152" s="122" t="str">
        <f>IFERROR(INDEX(TableWRTECalcPts[PLAYER],MATCH(TableWRTERank[[#This Row],[RK]],TableWRTECalcPts[RK],0)),"")</f>
        <v>Allen Lazard</v>
      </c>
      <c r="AX152" s="122" t="str">
        <f>IFERROR(INDEX(TableWRTECalcPts[POS RK],MATCH(TableWRTERank[[#This Row],[WR and TE COMBINED]],TableWRTECalcPts[PLAYER],0)),"")</f>
        <v>WR106</v>
      </c>
      <c r="AY152" s="122">
        <f>IFERROR(INDEX(TableWRTECalcPts[BYE],MATCH(TableWRTERank[[#This Row],[RK]],TableWRTECalcPts[RK],0)),"")</f>
        <v>7</v>
      </c>
      <c r="AZ152" s="123">
        <f>IFERROR(INDEX(TableWRTECalcPts[Custom],MATCH(TableWRTERank[[#This Row],[RK]],TableWRTECalcPts[RK],0)),"")</f>
        <v>41.839992226031995</v>
      </c>
      <c r="BA152" s="174">
        <f>IFERROR((TableWRTERank[[#This Row],[FPS]]-INDEX(TableWRTERank[FPS],MATCH(WRTEVORPCalc,TableWRTERank[RK],0)))/INDEX(TableWRTERank[FPS],MATCH(WRTEVORPCalc,TableWRTERank[RK],0)),"")</f>
        <v>-0.71973170100682793</v>
      </c>
      <c r="BC152" t="s">
        <v>223</v>
      </c>
      <c r="BD152">
        <v>151</v>
      </c>
      <c r="BE152" s="83">
        <f>RANK(TableWRTEMaster[[#This Row],[VORP]],TableWRTEMaster[VORP])+COUNTIF($BJ$2:BJ152,BJ152)-1</f>
        <v>215</v>
      </c>
      <c r="BF152" s="115" t="str">
        <f>IFERROR(INDEX(TableWRVORP[WIDE RECEIVER],MATCH(TableWRTEMaster[[#This Row],[RK]],TableWRVORP[RK],0)),"")</f>
        <v>Isaiah McKenzie</v>
      </c>
      <c r="BG152" s="115" t="str">
        <f>_xlfn.CONCAT(TableWRTEMaster[[#This Row],[POS]],TableWRTEMaster[[#This Row],[RK]])</f>
        <v>WR151</v>
      </c>
      <c r="BH152" s="115">
        <f>IFERROR(INDEX(TableWRVORP[BYE],MATCH(TableWRTEMaster[[#This Row],[RK]],TableWRVORP[RK],0)),"")</f>
        <v>13</v>
      </c>
      <c r="BI152" s="116">
        <f>IFERROR(INDEX(TableWRVORP[FPS],MATCH(TableWRTEMaster[[#This Row],[RK]],TableWRVORP[RK],0)),"")</f>
        <v>18.749416291199992</v>
      </c>
      <c r="BJ152" s="117">
        <f>IFERROR(INDEX(TableWRVORP[VORP],MATCH(TableWRTEMaster[[#This Row],[RK]],TableWRVORP[RK],0)),"")</f>
        <v>-0.87015879633908155</v>
      </c>
    </row>
    <row r="153" spans="8:62" x14ac:dyDescent="0.2">
      <c r="H153">
        <v>152</v>
      </c>
      <c r="I153" s="112" t="str">
        <f>IFERROR(INDEX(TableRBCalcPts[PLAYER],MATCH(TableRBVORP[[#This Row],[RK]],TableRBCalcPts[RK],0)),"")</f>
        <v/>
      </c>
      <c r="J153" s="112" t="str">
        <f>IFERROR(INDEX(TableRBCalcPts[TM],MATCH(TableRBVORP[[#This Row],[RK]],TableRBCalcPts[RK],0)),"")</f>
        <v/>
      </c>
      <c r="K153" s="112" t="str">
        <f>IFERROR(INDEX(TableRBCalcPts[BYE],MATCH(TableRBVORP[[#This Row],[RK]],TableRBCalcPts[RK],0)),"")</f>
        <v/>
      </c>
      <c r="L153" s="113" t="str">
        <f>IFERROR(INDEX(TableRBCalcPts[Custom],MATCH(TableRBVORP[[#This Row],[RK]],TableRBCalcPts[RK],0)),"")</f>
        <v/>
      </c>
      <c r="M153" s="114" t="str">
        <f>IFERROR((TableRBVORP[[#This Row],[FPS]]-INDEX(TableRBVORP[FPS],MATCH(RBVORPCalc,TableRBVORP[RK],0)))/INDEX(TableRBVORP[FPS],MATCH(RBVORPCalc,TableRBVORP[RK],0)),"")</f>
        <v/>
      </c>
      <c r="O153">
        <v>152</v>
      </c>
      <c r="P153" s="112" t="str">
        <f>IFERROR(INDEX(TableWRCalcPts[PLAYER],MATCH(TableWRVORP[[#This Row],[RK]],TableWRCalcPts[RK],0)),"")</f>
        <v>Gunner Olszewski</v>
      </c>
      <c r="Q153" s="112" t="str">
        <f>IFERROR(INDEX(TableWRCalcPts[TM],MATCH(TableWRVORP[[#This Row],[RK]],TableWRCalcPts[RK],0)),"")</f>
        <v>NYG</v>
      </c>
      <c r="R153" s="112">
        <f>IFERROR(INDEX(TableWRCalcPts[BYE],MATCH(TableWRVORP[[#This Row],[RK]],TableWRCalcPts[RK],0)),"")</f>
        <v>13</v>
      </c>
      <c r="S153" s="113">
        <f>IFERROR(INDEX(TableWRCalcPts[Custom],MATCH(TableWRVORP[[#This Row],[RK]],TableWRCalcPts[RK],0)),"")</f>
        <v>18.156214419839991</v>
      </c>
      <c r="T153" s="114">
        <f>IFERROR((TableWRVORP[[#This Row],[FPS]]-INDEX(TableWRVORP[FPS],MATCH(WRVORPCalc,TableWRVORP[RK],0)))/INDEX(TableWRVORP[FPS],MATCH(WRVORPCalc,TableWRVORP[RK],0)),"")</f>
        <v>-0.87426676662439873</v>
      </c>
      <c r="AF153" t="s">
        <v>223</v>
      </c>
      <c r="AG153">
        <v>12</v>
      </c>
      <c r="AH153" s="83">
        <f>RANK(TableOverallMaster[[#This Row],[VORP]],TableOverallMaster[VORP])+COUNTIF($AM$2:AM153,AM153)-1</f>
        <v>48</v>
      </c>
      <c r="AI153" s="115" t="str">
        <f>IFERROR(INDEX(TableWRVORP[WIDE RECEIVER],MATCH(TableOverallMaster[[#This Row],[RK]],TableWRVORP[RK],0)),"")</f>
        <v>Marvin Harrison</v>
      </c>
      <c r="AJ153" s="115" t="str">
        <f t="shared" si="2"/>
        <v>WR12</v>
      </c>
      <c r="AK153" s="115">
        <f>IFERROR(INDEX(TableWRVORP[BYE],MATCH(TableOverallMaster[[#This Row],[RK]],TableWRVORP[RK],0)),"")</f>
        <v>14</v>
      </c>
      <c r="AL153" s="116">
        <f>IFERROR(INDEX(TableWRVORP[FPS],MATCH(TableOverallMaster[[#This Row],[RK]],TableWRVORP[RK],0)),"")</f>
        <v>204.83187286464002</v>
      </c>
      <c r="AM153" s="117">
        <f>IFERROR(INDEX(TableWRVORP[VORP],MATCH(TableOverallMaster[[#This Row],[RK]],TableWRVORP[RK],0)),"")</f>
        <v>0.4184770612484453</v>
      </c>
      <c r="AO153">
        <v>152</v>
      </c>
      <c r="AP153" s="118" t="str">
        <f>IFERROR(INDEX(TableOverallMaster[OVERALL PLAYER],MATCH(TableOverallRank[[#This Row],[RK]],TableOverallMaster[OVR RK],0)),"")</f>
        <v>T.J. Hockenson</v>
      </c>
      <c r="AQ153" s="119" t="str">
        <f>IFERROR(INDEX(TableOverallMaster[POS RK],MATCH(TableOverallRank[[#This Row],[OVERALL PLAYER]],TableOverallMaster[OVERALL PLAYER],0)),"")</f>
        <v>TE13</v>
      </c>
      <c r="AR153" s="120">
        <f>IFERROR(INDEX(TableOverallMaster[BYE],MATCH(TableOverallRank[[#This Row],[OVERALL PLAYER]],TableOverallMaster[OVERALL PLAYER],0)),"")</f>
        <v>13</v>
      </c>
      <c r="AS153" s="119">
        <f>IFERROR(INDEX(TableOverallMaster[Custom],MATCH(TableOverallRank[[#This Row],[OVERALL PLAYER]],TableOverallMaster[OVERALL PLAYER],0)),"")</f>
        <v>122.60684427264</v>
      </c>
      <c r="AT153" s="121">
        <f>IFERROR(INDEX(TableOverallMaster[VORP],MATCH(TableOverallRank[[#This Row],[OVERALL PLAYER]],TableOverallMaster[OVERALL PLAYER],0)),"")</f>
        <v>-6.6511021779163057E-2</v>
      </c>
      <c r="AV153">
        <v>152</v>
      </c>
      <c r="AW153" s="122" t="str">
        <f>IFERROR(INDEX(TableWRTECalcPts[PLAYER],MATCH(TableWRTERank[[#This Row],[RK]],TableWRTECalcPts[RK],0)),"")</f>
        <v>Cedric Tillman</v>
      </c>
      <c r="AX153" s="122" t="str">
        <f>IFERROR(INDEX(TableWRTECalcPts[POS RK],MATCH(TableWRTERank[[#This Row],[WR and TE COMBINED]],TableWRTECalcPts[PLAYER],0)),"")</f>
        <v>WR107</v>
      </c>
      <c r="AY153" s="122">
        <f>IFERROR(INDEX(TableWRTECalcPts[BYE],MATCH(TableWRTERank[[#This Row],[RK]],TableWRTECalcPts[RK],0)),"")</f>
        <v>5</v>
      </c>
      <c r="AZ153" s="123">
        <f>IFERROR(INDEX(TableWRTECalcPts[Custom],MATCH(TableWRTERank[[#This Row],[RK]],TableWRTECalcPts[RK],0)),"")</f>
        <v>40.104575279999999</v>
      </c>
      <c r="BA153" s="174">
        <f>IFERROR((TableWRTERank[[#This Row],[FPS]]-INDEX(TableWRTERank[FPS],MATCH(WRTEVORPCalc,TableWRTERank[RK],0)))/INDEX(TableWRTERank[FPS],MATCH(WRTEVORPCalc,TableWRTERank[RK],0)),"")</f>
        <v>-0.73135652045900967</v>
      </c>
      <c r="BC153" t="s">
        <v>223</v>
      </c>
      <c r="BD153">
        <v>152</v>
      </c>
      <c r="BE153" s="83">
        <f>RANK(TableWRTEMaster[[#This Row],[VORP]],TableWRTEMaster[VORP])+COUNTIF($BJ$2:BJ153,BJ153)-1</f>
        <v>216</v>
      </c>
      <c r="BF153" s="115" t="str">
        <f>IFERROR(INDEX(TableWRVORP[WIDE RECEIVER],MATCH(TableWRTEMaster[[#This Row],[RK]],TableWRVORP[RK],0)),"")</f>
        <v>Gunner Olszewski</v>
      </c>
      <c r="BG153" s="115" t="str">
        <f>_xlfn.CONCAT(TableWRTEMaster[[#This Row],[POS]],TableWRTEMaster[[#This Row],[RK]])</f>
        <v>WR152</v>
      </c>
      <c r="BH153" s="115">
        <f>IFERROR(INDEX(TableWRVORP[BYE],MATCH(TableWRTEMaster[[#This Row],[RK]],TableWRVORP[RK],0)),"")</f>
        <v>13</v>
      </c>
      <c r="BI153" s="116">
        <f>IFERROR(INDEX(TableWRVORP[FPS],MATCH(TableWRTEMaster[[#This Row],[RK]],TableWRVORP[RK],0)),"")</f>
        <v>18.156214419839991</v>
      </c>
      <c r="BJ153" s="117">
        <f>IFERROR(INDEX(TableWRVORP[VORP],MATCH(TableWRTEMaster[[#This Row],[RK]],TableWRVORP[RK],0)),"")</f>
        <v>-0.87426676662439873</v>
      </c>
    </row>
    <row r="154" spans="8:62" x14ac:dyDescent="0.2">
      <c r="H154">
        <v>153</v>
      </c>
      <c r="I154" s="112" t="str">
        <f>IFERROR(INDEX(TableRBCalcPts[PLAYER],MATCH(TableRBVORP[[#This Row],[RK]],TableRBCalcPts[RK],0)),"")</f>
        <v/>
      </c>
      <c r="J154" s="112" t="str">
        <f>IFERROR(INDEX(TableRBCalcPts[TM],MATCH(TableRBVORP[[#This Row],[RK]],TableRBCalcPts[RK],0)),"")</f>
        <v/>
      </c>
      <c r="K154" s="112" t="str">
        <f>IFERROR(INDEX(TableRBCalcPts[BYE],MATCH(TableRBVORP[[#This Row],[RK]],TableRBCalcPts[RK],0)),"")</f>
        <v/>
      </c>
      <c r="L154" s="113" t="str">
        <f>IFERROR(INDEX(TableRBCalcPts[Custom],MATCH(TableRBVORP[[#This Row],[RK]],TableRBCalcPts[RK],0)),"")</f>
        <v/>
      </c>
      <c r="M154" s="114" t="str">
        <f>IFERROR((TableRBVORP[[#This Row],[FPS]]-INDEX(TableRBVORP[FPS],MATCH(RBVORPCalc,TableRBVORP[RK],0)))/INDEX(TableRBVORP[FPS],MATCH(RBVORPCalc,TableRBVORP[RK],0)),"")</f>
        <v/>
      </c>
      <c r="O154">
        <v>153</v>
      </c>
      <c r="P154" s="112" t="str">
        <f>IFERROR(INDEX(TableWRCalcPts[PLAYER],MATCH(TableWRVORP[[#This Row],[RK]],TableWRCalcPts[RK],0)),"")</f>
        <v>Kyle Philips</v>
      </c>
      <c r="Q154" s="112" t="str">
        <f>IFERROR(INDEX(TableWRCalcPts[TM],MATCH(TableWRVORP[[#This Row],[RK]],TableWRCalcPts[RK],0)),"")</f>
        <v>TEN</v>
      </c>
      <c r="R154" s="112">
        <f>IFERROR(INDEX(TableWRCalcPts[BYE],MATCH(TableWRVORP[[#This Row],[RK]],TableWRCalcPts[RK],0)),"")</f>
        <v>7</v>
      </c>
      <c r="S154" s="113">
        <f>IFERROR(INDEX(TableWRCalcPts[Custom],MATCH(TableWRVORP[[#This Row],[RK]],TableWRCalcPts[RK],0)),"")</f>
        <v>17.676948944654995</v>
      </c>
      <c r="T154" s="114">
        <f>IFERROR((TableWRVORP[[#This Row],[FPS]]-INDEX(TableWRVORP[FPS],MATCH(WRVORPCalc,TableWRVORP[RK],0)))/INDEX(TableWRVORP[FPS],MATCH(WRVORPCalc,TableWRVORP[RK],0)),"")</f>
        <v>-0.87758571827626153</v>
      </c>
      <c r="AF154" t="s">
        <v>223</v>
      </c>
      <c r="AG154">
        <v>13</v>
      </c>
      <c r="AH154" s="83">
        <f>RANK(TableOverallMaster[[#This Row],[VORP]],TableOverallMaster[VORP])+COUNTIF($AM$2:AM154,AM154)-1</f>
        <v>51</v>
      </c>
      <c r="AI154" s="115" t="str">
        <f>IFERROR(INDEX(TableWRVORP[WIDE RECEIVER],MATCH(TableOverallMaster[[#This Row],[RK]],TableWRVORP[RK],0)),"")</f>
        <v>Jaylen Waddle</v>
      </c>
      <c r="AJ154" s="115" t="str">
        <f t="shared" si="2"/>
        <v>WR13</v>
      </c>
      <c r="AK154" s="115">
        <f>IFERROR(INDEX(TableWRVORP[BYE],MATCH(TableOverallMaster[[#This Row],[RK]],TableWRVORP[RK],0)),"")</f>
        <v>10</v>
      </c>
      <c r="AL154" s="116">
        <f>IFERROR(INDEX(TableWRVORP[FPS],MATCH(TableOverallMaster[[#This Row],[RK]],TableWRVORP[RK],0)),"")</f>
        <v>201.51482224375039</v>
      </c>
      <c r="AM154" s="117">
        <f>IFERROR(INDEX(TableWRVORP[VORP],MATCH(TableOverallMaster[[#This Row],[RK]],TableWRVORP[RK],0)),"")</f>
        <v>0.39550622106166838</v>
      </c>
      <c r="AO154">
        <v>153</v>
      </c>
      <c r="AP154" s="118" t="str">
        <f>IFERROR(INDEX(TableOverallMaster[OVERALL PLAYER],MATCH(TableOverallRank[[#This Row],[RK]],TableOverallMaster[OVR RK],0)),"")</f>
        <v>Gabe Davis</v>
      </c>
      <c r="AQ154" s="119" t="str">
        <f>IFERROR(INDEX(TableOverallMaster[POS RK],MATCH(TableOverallRank[[#This Row],[OVERALL PLAYER]],TableOverallMaster[OVERALL PLAYER],0)),"")</f>
        <v>WR65</v>
      </c>
      <c r="AR154" s="120">
        <f>IFERROR(INDEX(TableOverallMaster[BYE],MATCH(TableOverallRank[[#This Row],[OVERALL PLAYER]],TableOverallMaster[OVERALL PLAYER],0)),"")</f>
        <v>9</v>
      </c>
      <c r="AS154" s="119">
        <f>IFERROR(INDEX(TableOverallMaster[Custom],MATCH(TableOverallRank[[#This Row],[OVERALL PLAYER]],TableOverallMaster[OVERALL PLAYER],0)),"")</f>
        <v>134.01963469439997</v>
      </c>
      <c r="AT154" s="121">
        <f>IFERROR(INDEX(TableOverallMaster[VORP],MATCH(TableOverallRank[[#This Row],[OVERALL PLAYER]],TableOverallMaster[OVERALL PLAYER],0)),"")</f>
        <v>-7.1903337540980286E-2</v>
      </c>
      <c r="AV154">
        <v>153</v>
      </c>
      <c r="AW154" s="122" t="str">
        <f>IFERROR(INDEX(TableWRTECalcPts[PLAYER],MATCH(TableWRTERank[[#This Row],[RK]],TableWRTECalcPts[RK],0)),"")</f>
        <v>Tre Tucker</v>
      </c>
      <c r="AX154" s="122" t="str">
        <f>IFERROR(INDEX(TableWRTECalcPts[POS RK],MATCH(TableWRTERank[[#This Row],[WR and TE COMBINED]],TableWRTECalcPts[PLAYER],0)),"")</f>
        <v>WR108</v>
      </c>
      <c r="AY154" s="122">
        <f>IFERROR(INDEX(TableWRTECalcPts[BYE],MATCH(TableWRTERank[[#This Row],[RK]],TableWRTECalcPts[RK],0)),"")</f>
        <v>13</v>
      </c>
      <c r="AZ154" s="123">
        <f>IFERROR(INDEX(TableWRTECalcPts[Custom],MATCH(TableWRTERank[[#This Row],[RK]],TableWRTECalcPts[RK],0)),"")</f>
        <v>38.374922018159985</v>
      </c>
      <c r="BA154" s="174">
        <f>IFERROR((TableWRTERank[[#This Row],[FPS]]-INDEX(TableWRTERank[FPS],MATCH(WRTEVORPCalc,TableWRTERank[RK],0)))/INDEX(TableWRTERank[FPS],MATCH(WRTEVORPCalc,TableWRTERank[RK],0)),"")</f>
        <v>-0.74294273144406531</v>
      </c>
      <c r="BC154" t="s">
        <v>223</v>
      </c>
      <c r="BD154">
        <v>153</v>
      </c>
      <c r="BE154" s="83">
        <f>RANK(TableWRTEMaster[[#This Row],[VORP]],TableWRTEMaster[VORP])+COUNTIF($BJ$2:BJ154,BJ154)-1</f>
        <v>220</v>
      </c>
      <c r="BF154" s="115" t="str">
        <f>IFERROR(INDEX(TableWRVORP[WIDE RECEIVER],MATCH(TableWRTEMaster[[#This Row],[RK]],TableWRVORP[RK],0)),"")</f>
        <v>Kyle Philips</v>
      </c>
      <c r="BG154" s="115" t="str">
        <f>_xlfn.CONCAT(TableWRTEMaster[[#This Row],[POS]],TableWRTEMaster[[#This Row],[RK]])</f>
        <v>WR153</v>
      </c>
      <c r="BH154" s="115">
        <f>IFERROR(INDEX(TableWRVORP[BYE],MATCH(TableWRTEMaster[[#This Row],[RK]],TableWRVORP[RK],0)),"")</f>
        <v>7</v>
      </c>
      <c r="BI154" s="116">
        <f>IFERROR(INDEX(TableWRVORP[FPS],MATCH(TableWRTEMaster[[#This Row],[RK]],TableWRVORP[RK],0)),"")</f>
        <v>17.676948944654995</v>
      </c>
      <c r="BJ154" s="117">
        <f>IFERROR(INDEX(TableWRVORP[VORP],MATCH(TableWRTEMaster[[#This Row],[RK]],TableWRVORP[RK],0)),"")</f>
        <v>-0.87758571827626153</v>
      </c>
    </row>
    <row r="155" spans="8:62" x14ac:dyDescent="0.2">
      <c r="H155">
        <v>154</v>
      </c>
      <c r="I155" s="112" t="str">
        <f>IFERROR(INDEX(TableRBCalcPts[PLAYER],MATCH(TableRBVORP[[#This Row],[RK]],TableRBCalcPts[RK],0)),"")</f>
        <v/>
      </c>
      <c r="J155" s="112" t="str">
        <f>IFERROR(INDEX(TableRBCalcPts[TM],MATCH(TableRBVORP[[#This Row],[RK]],TableRBCalcPts[RK],0)),"")</f>
        <v/>
      </c>
      <c r="K155" s="112" t="str">
        <f>IFERROR(INDEX(TableRBCalcPts[BYE],MATCH(TableRBVORP[[#This Row],[RK]],TableRBCalcPts[RK],0)),"")</f>
        <v/>
      </c>
      <c r="L155" s="113" t="str">
        <f>IFERROR(INDEX(TableRBCalcPts[Custom],MATCH(TableRBVORP[[#This Row],[RK]],TableRBCalcPts[RK],0)),"")</f>
        <v/>
      </c>
      <c r="M155" s="114" t="str">
        <f>IFERROR((TableRBVORP[[#This Row],[FPS]]-INDEX(TableRBVORP[FPS],MATCH(RBVORPCalc,TableRBVORP[RK],0)))/INDEX(TableRBVORP[FPS],MATCH(RBVORPCalc,TableRBVORP[RK],0)),"")</f>
        <v/>
      </c>
      <c r="O155">
        <v>154</v>
      </c>
      <c r="P155" s="112" t="str">
        <f>IFERROR(INDEX(TableWRCalcPts[PLAYER],MATCH(TableWRVORP[[#This Row],[RK]],TableWRCalcPts[RK],0)),"")</f>
        <v>Quez Watkins</v>
      </c>
      <c r="Q155" s="112" t="str">
        <f>IFERROR(INDEX(TableWRCalcPts[TM],MATCH(TableWRVORP[[#This Row],[RK]],TableWRCalcPts[RK],0)),"")</f>
        <v>PIT</v>
      </c>
      <c r="R155" s="112">
        <f>IFERROR(INDEX(TableWRCalcPts[BYE],MATCH(TableWRVORP[[#This Row],[RK]],TableWRCalcPts[RK],0)),"")</f>
        <v>6</v>
      </c>
      <c r="S155" s="113">
        <f>IFERROR(INDEX(TableWRCalcPts[Custom],MATCH(TableWRVORP[[#This Row],[RK]],TableWRCalcPts[RK],0)),"")</f>
        <v>16.962358077000001</v>
      </c>
      <c r="T155" s="114">
        <f>IFERROR((TableWRVORP[[#This Row],[FPS]]-INDEX(TableWRVORP[FPS],MATCH(WRVORPCalc,TableWRVORP[RK],0)))/INDEX(TableWRVORP[FPS],MATCH(WRVORPCalc,TableWRVORP[RK],0)),"")</f>
        <v>-0.88253431704543883</v>
      </c>
      <c r="AF155" t="s">
        <v>223</v>
      </c>
      <c r="AG155">
        <v>14</v>
      </c>
      <c r="AH155" s="83">
        <f>RANK(TableOverallMaster[[#This Row],[VORP]],TableOverallMaster[VORP])+COUNTIF($AM$2:AM155,AM155)-1</f>
        <v>53</v>
      </c>
      <c r="AI155" s="115" t="str">
        <f>IFERROR(INDEX(TableWRVORP[WIDE RECEIVER],MATCH(TableOverallMaster[[#This Row],[RK]],TableWRVORP[RK],0)),"")</f>
        <v>Tee Higgins</v>
      </c>
      <c r="AJ155" s="115" t="str">
        <f t="shared" si="2"/>
        <v>WR14</v>
      </c>
      <c r="AK155" s="115">
        <f>IFERROR(INDEX(TableWRVORP[BYE],MATCH(TableOverallMaster[[#This Row],[RK]],TableWRVORP[RK],0)),"")</f>
        <v>7</v>
      </c>
      <c r="AL155" s="116">
        <f>IFERROR(INDEX(TableWRVORP[FPS],MATCH(TableOverallMaster[[#This Row],[RK]],TableWRVORP[RK],0)),"")</f>
        <v>200.92599491277602</v>
      </c>
      <c r="AM155" s="117">
        <f>IFERROR(INDEX(TableWRVORP[VORP],MATCH(TableOverallMaster[[#This Row],[RK]],TableWRVORP[RK],0)),"")</f>
        <v>0.3914285448175262</v>
      </c>
      <c r="AO155">
        <v>154</v>
      </c>
      <c r="AP155" s="118" t="str">
        <f>IFERROR(INDEX(TableOverallMaster[OVERALL PLAYER],MATCH(TableOverallRank[[#This Row],[RK]],TableOverallMaster[OVR RK],0)),"")</f>
        <v>Derek Carr</v>
      </c>
      <c r="AQ155" s="119" t="str">
        <f>IFERROR(INDEX(TableOverallMaster[POS RK],MATCH(TableOverallRank[[#This Row],[OVERALL PLAYER]],TableOverallMaster[OVERALL PLAYER],0)),"")</f>
        <v>QB27</v>
      </c>
      <c r="AR155" s="120">
        <f>IFERROR(INDEX(TableOverallMaster[BYE],MATCH(TableOverallRank[[#This Row],[OVERALL PLAYER]],TableOverallMaster[OVERALL PLAYER],0)),"")</f>
        <v>11</v>
      </c>
      <c r="AS155" s="119">
        <f>IFERROR(INDEX(TableOverallMaster[Custom],MATCH(TableOverallRank[[#This Row],[OVERALL PLAYER]],TableOverallMaster[OVERALL PLAYER],0)),"")</f>
        <v>257.64070224111998</v>
      </c>
      <c r="AT155" s="121">
        <f>IFERROR(INDEX(TableOverallMaster[VORP],MATCH(TableOverallRank[[#This Row],[OVERALL PLAYER]],TableOverallMaster[OVERALL PLAYER],0)),"")</f>
        <v>-0.10398417891918801</v>
      </c>
      <c r="AV155">
        <v>154</v>
      </c>
      <c r="AW155" s="122" t="str">
        <f>IFERROR(INDEX(TableWRTECalcPts[PLAYER],MATCH(TableWRTERank[[#This Row],[RK]],TableWRTECalcPts[RK],0)),"")</f>
        <v>Jake Bobo</v>
      </c>
      <c r="AX155" s="122" t="str">
        <f>IFERROR(INDEX(TableWRTECalcPts[POS RK],MATCH(TableWRTERank[[#This Row],[WR and TE COMBINED]],TableWRTECalcPts[PLAYER],0)),"")</f>
        <v>WR109</v>
      </c>
      <c r="AY155" s="122">
        <f>IFERROR(INDEX(TableWRTECalcPts[BYE],MATCH(TableWRTERank[[#This Row],[RK]],TableWRTECalcPts[RK],0)),"")</f>
        <v>5</v>
      </c>
      <c r="AZ155" s="123">
        <f>IFERROR(INDEX(TableWRTECalcPts[Custom],MATCH(TableWRTERank[[#This Row],[RK]],TableWRTECalcPts[RK],0)),"")</f>
        <v>38.272134722472003</v>
      </c>
      <c r="BA155" s="174">
        <f>IFERROR((TableWRTERank[[#This Row],[FPS]]-INDEX(TableWRTERank[FPS],MATCH(WRTEVORPCalc,TableWRTERank[RK],0)))/INDEX(TableWRTERank[FPS],MATCH(WRTEVORPCalc,TableWRTERank[RK],0)),"")</f>
        <v>-0.74363125978711453</v>
      </c>
      <c r="BC155" t="s">
        <v>223</v>
      </c>
      <c r="BD155">
        <v>154</v>
      </c>
      <c r="BE155" s="83">
        <f>RANK(TableWRTEMaster[[#This Row],[VORP]],TableWRTEMaster[VORP])+COUNTIF($BJ$2:BJ155,BJ155)-1</f>
        <v>222</v>
      </c>
      <c r="BF155" s="115" t="str">
        <f>IFERROR(INDEX(TableWRVORP[WIDE RECEIVER],MATCH(TableWRTEMaster[[#This Row],[RK]],TableWRVORP[RK],0)),"")</f>
        <v>Quez Watkins</v>
      </c>
      <c r="BG155" s="115" t="str">
        <f>_xlfn.CONCAT(TableWRTEMaster[[#This Row],[POS]],TableWRTEMaster[[#This Row],[RK]])</f>
        <v>WR154</v>
      </c>
      <c r="BH155" s="115">
        <f>IFERROR(INDEX(TableWRVORP[BYE],MATCH(TableWRTEMaster[[#This Row],[RK]],TableWRVORP[RK],0)),"")</f>
        <v>6</v>
      </c>
      <c r="BI155" s="116">
        <f>IFERROR(INDEX(TableWRVORP[FPS],MATCH(TableWRTEMaster[[#This Row],[RK]],TableWRVORP[RK],0)),"")</f>
        <v>16.962358077000001</v>
      </c>
      <c r="BJ155" s="117">
        <f>IFERROR(INDEX(TableWRVORP[VORP],MATCH(TableWRTEMaster[[#This Row],[RK]],TableWRVORP[RK],0)),"")</f>
        <v>-0.88253431704543883</v>
      </c>
    </row>
    <row r="156" spans="8:62" x14ac:dyDescent="0.2">
      <c r="H156">
        <v>155</v>
      </c>
      <c r="I156" s="112" t="str">
        <f>IFERROR(INDEX(TableRBCalcPts[PLAYER],MATCH(TableRBVORP[[#This Row],[RK]],TableRBCalcPts[RK],0)),"")</f>
        <v/>
      </c>
      <c r="J156" s="112" t="str">
        <f>IFERROR(INDEX(TableRBCalcPts[TM],MATCH(TableRBVORP[[#This Row],[RK]],TableRBCalcPts[RK],0)),"")</f>
        <v/>
      </c>
      <c r="K156" s="112" t="str">
        <f>IFERROR(INDEX(TableRBCalcPts[BYE],MATCH(TableRBVORP[[#This Row],[RK]],TableRBCalcPts[RK],0)),"")</f>
        <v/>
      </c>
      <c r="L156" s="113" t="str">
        <f>IFERROR(INDEX(TableRBCalcPts[Custom],MATCH(TableRBVORP[[#This Row],[RK]],TableRBCalcPts[RK],0)),"")</f>
        <v/>
      </c>
      <c r="M156" s="114" t="str">
        <f>IFERROR((TableRBVORP[[#This Row],[FPS]]-INDEX(TableRBVORP[FPS],MATCH(RBVORPCalc,TableRBVORP[RK],0)))/INDEX(TableRBVORP[FPS],MATCH(RBVORPCalc,TableRBVORP[RK],0)),"")</f>
        <v/>
      </c>
      <c r="O156">
        <v>155</v>
      </c>
      <c r="P156" s="112" t="str">
        <f>IFERROR(INDEX(TableWRCalcPts[PLAYER],MATCH(TableWRVORP[[#This Row],[RK]],TableWRCalcPts[RK],0)),"")</f>
        <v>Jordan Whittington</v>
      </c>
      <c r="Q156" s="112" t="str">
        <f>IFERROR(INDEX(TableWRCalcPts[TM],MATCH(TableWRVORP[[#This Row],[RK]],TableWRCalcPts[RK],0)),"")</f>
        <v>LAR</v>
      </c>
      <c r="R156" s="112">
        <f>IFERROR(INDEX(TableWRCalcPts[BYE],MATCH(TableWRVORP[[#This Row],[RK]],TableWRCalcPts[RK],0)),"")</f>
        <v>10</v>
      </c>
      <c r="S156" s="113">
        <f>IFERROR(INDEX(TableWRCalcPts[Custom],MATCH(TableWRVORP[[#This Row],[RK]],TableWRCalcPts[RK],0)),"")</f>
        <v>15.955668457276795</v>
      </c>
      <c r="T156" s="114">
        <f>IFERROR((TableWRVORP[[#This Row],[FPS]]-INDEX(TableWRVORP[FPS],MATCH(WRVORPCalc,TableWRVORP[RK],0)))/INDEX(TableWRVORP[FPS],MATCH(WRVORPCalc,TableWRVORP[RK],0)),"")</f>
        <v>-0.88950572297657493</v>
      </c>
      <c r="AF156" t="s">
        <v>223</v>
      </c>
      <c r="AG156">
        <v>15</v>
      </c>
      <c r="AH156" s="83">
        <f>RANK(TableOverallMaster[[#This Row],[VORP]],TableOverallMaster[VORP])+COUNTIF($AM$2:AM156,AM156)-1</f>
        <v>54</v>
      </c>
      <c r="AI156" s="115" t="str">
        <f>IFERROR(INDEX(TableWRVORP[WIDE RECEIVER],MATCH(TableOverallMaster[[#This Row],[RK]],TableWRVORP[RK],0)),"")</f>
        <v>DK Metcalf</v>
      </c>
      <c r="AJ156" s="115" t="str">
        <f t="shared" si="2"/>
        <v>WR15</v>
      </c>
      <c r="AK156" s="115">
        <f>IFERROR(INDEX(TableWRVORP[BYE],MATCH(TableOverallMaster[[#This Row],[RK]],TableWRVORP[RK],0)),"")</f>
        <v>5</v>
      </c>
      <c r="AL156" s="116">
        <f>IFERROR(INDEX(TableWRVORP[FPS],MATCH(TableOverallMaster[[#This Row],[RK]],TableWRVORP[RK],0)),"")</f>
        <v>199.92229009247873</v>
      </c>
      <c r="AM156" s="117">
        <f>IFERROR(INDEX(TableWRVORP[VORP],MATCH(TableOverallMaster[[#This Row],[RK]],TableWRVORP[RK],0)),"")</f>
        <v>0.38447780886054433</v>
      </c>
      <c r="AO156">
        <v>155</v>
      </c>
      <c r="AP156" s="118" t="str">
        <f>IFERROR(INDEX(TableOverallMaster[OVERALL PLAYER],MATCH(TableOverallRank[[#This Row],[RK]],TableOverallMaster[OVR RK],0)),"")</f>
        <v>Jerry Jeudy</v>
      </c>
      <c r="AQ156" s="119" t="str">
        <f>IFERROR(INDEX(TableOverallMaster[POS RK],MATCH(TableOverallRank[[#This Row],[OVERALL PLAYER]],TableOverallMaster[OVERALL PLAYER],0)),"")</f>
        <v>WR66</v>
      </c>
      <c r="AR156" s="120">
        <f>IFERROR(INDEX(TableOverallMaster[BYE],MATCH(TableOverallRank[[#This Row],[OVERALL PLAYER]],TableOverallMaster[OVERALL PLAYER],0)),"")</f>
        <v>5</v>
      </c>
      <c r="AS156" s="119">
        <f>IFERROR(INDEX(TableOverallMaster[Custom],MATCH(TableOverallRank[[#This Row],[OVERALL PLAYER]],TableOverallMaster[OVERALL PLAYER],0)),"")</f>
        <v>128.455263234375</v>
      </c>
      <c r="AT156" s="121">
        <f>IFERROR(INDEX(TableOverallMaster[VORP],MATCH(TableOverallRank[[#This Row],[OVERALL PLAYER]],TableOverallMaster[OVERALL PLAYER],0)),"")</f>
        <v>-0.110437053831935</v>
      </c>
      <c r="AV156">
        <v>155</v>
      </c>
      <c r="AW156" s="122" t="str">
        <f>IFERROR(INDEX(TableWRTECalcPts[PLAYER],MATCH(TableWRTERank[[#This Row],[RK]],TableWRTECalcPts[RK],0)),"")</f>
        <v>Justin Watson</v>
      </c>
      <c r="AX156" s="122" t="str">
        <f>IFERROR(INDEX(TableWRTECalcPts[POS RK],MATCH(TableWRTERank[[#This Row],[WR and TE COMBINED]],TableWRTECalcPts[PLAYER],0)),"")</f>
        <v>WR110</v>
      </c>
      <c r="AY156" s="122">
        <f>IFERROR(INDEX(TableWRTECalcPts[BYE],MATCH(TableWRTERank[[#This Row],[RK]],TableWRTECalcPts[RK],0)),"")</f>
        <v>10</v>
      </c>
      <c r="AZ156" s="123">
        <f>IFERROR(INDEX(TableWRTECalcPts[Custom],MATCH(TableWRTERank[[#This Row],[RK]],TableWRTECalcPts[RK],0)),"")</f>
        <v>37.446326628479994</v>
      </c>
      <c r="BA156" s="174">
        <f>IFERROR((TableWRTERank[[#This Row],[FPS]]-INDEX(TableWRTERank[FPS],MATCH(WRTEVORPCalc,TableWRTERank[RK],0)))/INDEX(TableWRTERank[FPS],MATCH(WRTEVORPCalc,TableWRTERank[RK],0)),"")</f>
        <v>-0.74916299670875597</v>
      </c>
      <c r="BC156" t="s">
        <v>223</v>
      </c>
      <c r="BD156">
        <v>155</v>
      </c>
      <c r="BE156" s="83">
        <f>RANK(TableWRTEMaster[[#This Row],[VORP]],TableWRTEMaster[VORP])+COUNTIF($BJ$2:BJ156,BJ156)-1</f>
        <v>226</v>
      </c>
      <c r="BF156" s="115" t="str">
        <f>IFERROR(INDEX(TableWRVORP[WIDE RECEIVER],MATCH(TableWRTEMaster[[#This Row],[RK]],TableWRVORP[RK],0)),"")</f>
        <v>Jordan Whittington</v>
      </c>
      <c r="BG156" s="115" t="str">
        <f>_xlfn.CONCAT(TableWRTEMaster[[#This Row],[POS]],TableWRTEMaster[[#This Row],[RK]])</f>
        <v>WR155</v>
      </c>
      <c r="BH156" s="115">
        <f>IFERROR(INDEX(TableWRVORP[BYE],MATCH(TableWRTEMaster[[#This Row],[RK]],TableWRVORP[RK],0)),"")</f>
        <v>10</v>
      </c>
      <c r="BI156" s="116">
        <f>IFERROR(INDEX(TableWRVORP[FPS],MATCH(TableWRTEMaster[[#This Row],[RK]],TableWRVORP[RK],0)),"")</f>
        <v>15.955668457276795</v>
      </c>
      <c r="BJ156" s="117">
        <f>IFERROR(INDEX(TableWRVORP[VORP],MATCH(TableWRTEMaster[[#This Row],[RK]],TableWRVORP[RK],0)),"")</f>
        <v>-0.88950572297657493</v>
      </c>
    </row>
    <row r="157" spans="8:62" x14ac:dyDescent="0.2">
      <c r="H157">
        <v>156</v>
      </c>
      <c r="I157" s="112" t="str">
        <f>IFERROR(INDEX(TableRBCalcPts[PLAYER],MATCH(TableRBVORP[[#This Row],[RK]],TableRBCalcPts[RK],0)),"")</f>
        <v/>
      </c>
      <c r="J157" s="112" t="str">
        <f>IFERROR(INDEX(TableRBCalcPts[TM],MATCH(TableRBVORP[[#This Row],[RK]],TableRBCalcPts[RK],0)),"")</f>
        <v/>
      </c>
      <c r="K157" s="112" t="str">
        <f>IFERROR(INDEX(TableRBCalcPts[BYE],MATCH(TableRBVORP[[#This Row],[RK]],TableRBCalcPts[RK],0)),"")</f>
        <v/>
      </c>
      <c r="L157" s="113" t="str">
        <f>IFERROR(INDEX(TableRBCalcPts[Custom],MATCH(TableRBVORP[[#This Row],[RK]],TableRBCalcPts[RK],0)),"")</f>
        <v/>
      </c>
      <c r="M157" s="114" t="str">
        <f>IFERROR((TableRBVORP[[#This Row],[FPS]]-INDEX(TableRBVORP[FPS],MATCH(RBVORPCalc,TableRBVORP[RK],0)))/INDEX(TableRBVORP[FPS],MATCH(RBVORPCalc,TableRBVORP[RK],0)),"")</f>
        <v/>
      </c>
      <c r="O157">
        <v>156</v>
      </c>
      <c r="P157" s="112" t="str">
        <f>IFERROR(INDEX(TableWRCalcPts[PLAYER],MATCH(TableWRVORP[[#This Row],[RK]],TableWRCalcPts[RK],0)),"")</f>
        <v>Parris Campbell</v>
      </c>
      <c r="Q157" s="112" t="str">
        <f>IFERROR(INDEX(TableWRCalcPts[TM],MATCH(TableWRVORP[[#This Row],[RK]],TableWRCalcPts[RK],0)),"")</f>
        <v>PHI</v>
      </c>
      <c r="R157" s="112">
        <f>IFERROR(INDEX(TableWRCalcPts[BYE],MATCH(TableWRVORP[[#This Row],[RK]],TableWRCalcPts[RK],0)),"")</f>
        <v>10</v>
      </c>
      <c r="S157" s="113">
        <f>IFERROR(INDEX(TableWRCalcPts[Custom],MATCH(TableWRVORP[[#This Row],[RK]],TableWRCalcPts[RK],0)),"")</f>
        <v>15.950864272896006</v>
      </c>
      <c r="T157" s="114">
        <f>IFERROR((TableWRVORP[[#This Row],[FPS]]-INDEX(TableWRVORP[FPS],MATCH(WRVORPCalc,TableWRVORP[RK],0)))/INDEX(TableWRVORP[FPS],MATCH(WRVORPCalc,TableWRVORP[RK],0)),"")</f>
        <v>-0.88953899233669387</v>
      </c>
      <c r="AF157" t="s">
        <v>223</v>
      </c>
      <c r="AG157">
        <v>16</v>
      </c>
      <c r="AH157" s="83">
        <f>RANK(TableOverallMaster[[#This Row],[VORP]],TableOverallMaster[VORP])+COUNTIF($AM$2:AM157,AM157)-1</f>
        <v>58</v>
      </c>
      <c r="AI157" s="115" t="str">
        <f>IFERROR(INDEX(TableWRVORP[WIDE RECEIVER],MATCH(TableOverallMaster[[#This Row],[RK]],TableWRVORP[RK],0)),"")</f>
        <v>Drake London</v>
      </c>
      <c r="AJ157" s="115" t="str">
        <f t="shared" si="2"/>
        <v>WR16</v>
      </c>
      <c r="AK157" s="115">
        <f>IFERROR(INDEX(TableWRVORP[BYE],MATCH(TableOverallMaster[[#This Row],[RK]],TableWRVORP[RK],0)),"")</f>
        <v>11</v>
      </c>
      <c r="AL157" s="116">
        <f>IFERROR(INDEX(TableWRVORP[FPS],MATCH(TableOverallMaster[[#This Row],[RK]],TableWRVORP[RK],0)),"")</f>
        <v>196.45429046443195</v>
      </c>
      <c r="AM157" s="117">
        <f>IFERROR(INDEX(TableWRVORP[VORP],MATCH(TableOverallMaster[[#This Row],[RK]],TableWRVORP[RK],0)),"")</f>
        <v>0.36046163475636411</v>
      </c>
      <c r="AO157">
        <v>156</v>
      </c>
      <c r="AP157" s="118" t="str">
        <f>IFERROR(INDEX(TableOverallMaster[OVERALL PLAYER],MATCH(TableOverallRank[[#This Row],[RK]],TableOverallMaster[OVR RK],0)),"")</f>
        <v>Josh Downs</v>
      </c>
      <c r="AQ157" s="119" t="str">
        <f>IFERROR(INDEX(TableOverallMaster[POS RK],MATCH(TableOverallRank[[#This Row],[OVERALL PLAYER]],TableOverallMaster[OVERALL PLAYER],0)),"")</f>
        <v>WR67</v>
      </c>
      <c r="AR157" s="120">
        <f>IFERROR(INDEX(TableOverallMaster[BYE],MATCH(TableOverallRank[[#This Row],[OVERALL PLAYER]],TableOverallMaster[OVERALL PLAYER],0)),"")</f>
        <v>11</v>
      </c>
      <c r="AS157" s="119">
        <f>IFERROR(INDEX(TableOverallMaster[Custom],MATCH(TableOverallRank[[#This Row],[OVERALL PLAYER]],TableOverallMaster[OVERALL PLAYER],0)),"")</f>
        <v>127.45963412582404</v>
      </c>
      <c r="AT157" s="121">
        <f>IFERROR(INDEX(TableOverallMaster[VORP],MATCH(TableOverallRank[[#This Row],[OVERALL PLAYER]],TableOverallMaster[OVERALL PLAYER],0)),"")</f>
        <v>-0.11733186484078641</v>
      </c>
      <c r="AV157">
        <v>156</v>
      </c>
      <c r="AW157" s="122" t="str">
        <f>IFERROR(INDEX(TableWRTECalcPts[PLAYER],MATCH(TableWRTERank[[#This Row],[RK]],TableWRTECalcPts[RK],0)),"")</f>
        <v>Derius Davis</v>
      </c>
      <c r="AX157" s="122" t="str">
        <f>IFERROR(INDEX(TableWRTECalcPts[POS RK],MATCH(TableWRTERank[[#This Row],[WR and TE COMBINED]],TableWRTECalcPts[PLAYER],0)),"")</f>
        <v>WR111</v>
      </c>
      <c r="AY157" s="122">
        <f>IFERROR(INDEX(TableWRTECalcPts[BYE],MATCH(TableWRTERank[[#This Row],[RK]],TableWRTECalcPts[RK],0)),"")</f>
        <v>5</v>
      </c>
      <c r="AZ157" s="123">
        <f>IFERROR(INDEX(TableWRTECalcPts[Custom],MATCH(TableWRTERank[[#This Row],[RK]],TableWRTECalcPts[RK],0)),"")</f>
        <v>37.035053368172989</v>
      </c>
      <c r="BA157" s="174">
        <f>IFERROR((TableWRTERank[[#This Row],[FPS]]-INDEX(TableWRTERank[FPS],MATCH(WRTEVORPCalc,TableWRTERank[RK],0)))/INDEX(TableWRTERank[FPS],MATCH(WRTEVORPCalc,TableWRTERank[RK],0)),"")</f>
        <v>-0.75191794122368127</v>
      </c>
      <c r="BC157" t="s">
        <v>223</v>
      </c>
      <c r="BD157">
        <v>156</v>
      </c>
      <c r="BE157" s="83">
        <f>RANK(TableWRTEMaster[[#This Row],[VORP]],TableWRTEMaster[VORP])+COUNTIF($BJ$2:BJ157,BJ157)-1</f>
        <v>227</v>
      </c>
      <c r="BF157" s="115" t="str">
        <f>IFERROR(INDEX(TableWRVORP[WIDE RECEIVER],MATCH(TableWRTEMaster[[#This Row],[RK]],TableWRVORP[RK],0)),"")</f>
        <v>Parris Campbell</v>
      </c>
      <c r="BG157" s="115" t="str">
        <f>_xlfn.CONCAT(TableWRTEMaster[[#This Row],[POS]],TableWRTEMaster[[#This Row],[RK]])</f>
        <v>WR156</v>
      </c>
      <c r="BH157" s="115">
        <f>IFERROR(INDEX(TableWRVORP[BYE],MATCH(TableWRTEMaster[[#This Row],[RK]],TableWRVORP[RK],0)),"")</f>
        <v>10</v>
      </c>
      <c r="BI157" s="116">
        <f>IFERROR(INDEX(TableWRVORP[FPS],MATCH(TableWRTEMaster[[#This Row],[RK]],TableWRVORP[RK],0)),"")</f>
        <v>15.950864272896006</v>
      </c>
      <c r="BJ157" s="117">
        <f>IFERROR(INDEX(TableWRVORP[VORP],MATCH(TableWRTEMaster[[#This Row],[RK]],TableWRVORP[RK],0)),"")</f>
        <v>-0.88953899233669387</v>
      </c>
    </row>
    <row r="158" spans="8:62" x14ac:dyDescent="0.2">
      <c r="H158">
        <v>157</v>
      </c>
      <c r="I158" s="112" t="str">
        <f>IFERROR(INDEX(TableRBCalcPts[PLAYER],MATCH(TableRBVORP[[#This Row],[RK]],TableRBCalcPts[RK],0)),"")</f>
        <v/>
      </c>
      <c r="J158" s="112" t="str">
        <f>IFERROR(INDEX(TableRBCalcPts[TM],MATCH(TableRBVORP[[#This Row],[RK]],TableRBCalcPts[RK],0)),"")</f>
        <v/>
      </c>
      <c r="K158" s="112" t="str">
        <f>IFERROR(INDEX(TableRBCalcPts[BYE],MATCH(TableRBVORP[[#This Row],[RK]],TableRBCalcPts[RK],0)),"")</f>
        <v/>
      </c>
      <c r="L158" s="113" t="str">
        <f>IFERROR(INDEX(TableRBCalcPts[Custom],MATCH(TableRBVORP[[#This Row],[RK]],TableRBCalcPts[RK],0)),"")</f>
        <v/>
      </c>
      <c r="M158" s="114" t="str">
        <f>IFERROR((TableRBVORP[[#This Row],[FPS]]-INDEX(TableRBVORP[FPS],MATCH(RBVORPCalc,TableRBVORP[RK],0)))/INDEX(TableRBVORP[FPS],MATCH(RBVORPCalc,TableRBVORP[RK],0)),"")</f>
        <v/>
      </c>
      <c r="O158">
        <v>157</v>
      </c>
      <c r="P158" s="112" t="str">
        <f>IFERROR(INDEX(TableWRCalcPts[PLAYER],MATCH(TableWRVORP[[#This Row],[RK]],TableWRCalcPts[RK],0)),"")</f>
        <v>Braxton Berrios</v>
      </c>
      <c r="Q158" s="112" t="str">
        <f>IFERROR(INDEX(TableWRCalcPts[TM],MATCH(TableWRVORP[[#This Row],[RK]],TableWRCalcPts[RK],0)),"")</f>
        <v>MIA</v>
      </c>
      <c r="R158" s="112">
        <f>IFERROR(INDEX(TableWRCalcPts[BYE],MATCH(TableWRVORP[[#This Row],[RK]],TableWRCalcPts[RK],0)),"")</f>
        <v>10</v>
      </c>
      <c r="S158" s="113">
        <f>IFERROR(INDEX(TableWRCalcPts[Custom],MATCH(TableWRVORP[[#This Row],[RK]],TableWRCalcPts[RK],0)),"")</f>
        <v>15.83091216</v>
      </c>
      <c r="T158" s="114">
        <f>IFERROR((TableWRVORP[[#This Row],[FPS]]-INDEX(TableWRVORP[FPS],MATCH(WRVORPCalc,TableWRVORP[RK],0)))/INDEX(TableWRVORP[FPS],MATCH(WRVORPCalc,TableWRVORP[RK],0)),"")</f>
        <v>-0.89036967028838021</v>
      </c>
      <c r="AF158" t="s">
        <v>223</v>
      </c>
      <c r="AG158">
        <v>17</v>
      </c>
      <c r="AH158" s="83">
        <f>RANK(TableOverallMaster[[#This Row],[VORP]],TableOverallMaster[VORP])+COUNTIF($AM$2:AM158,AM158)-1</f>
        <v>61</v>
      </c>
      <c r="AI158" s="115" t="str">
        <f>IFERROR(INDEX(TableWRVORP[WIDE RECEIVER],MATCH(TableOverallMaster[[#This Row],[RK]],TableWRVORP[RK],0)),"")</f>
        <v>Garrett Wilson</v>
      </c>
      <c r="AJ158" s="115" t="str">
        <f t="shared" si="2"/>
        <v>WR17</v>
      </c>
      <c r="AK158" s="115">
        <f>IFERROR(INDEX(TableWRVORP[BYE],MATCH(TableOverallMaster[[#This Row],[RK]],TableWRVORP[RK],0)),"")</f>
        <v>7</v>
      </c>
      <c r="AL158" s="116">
        <f>IFERROR(INDEX(TableWRVORP[FPS],MATCH(TableOverallMaster[[#This Row],[RK]],TableWRVORP[RK],0)),"")</f>
        <v>193.57599061120317</v>
      </c>
      <c r="AM158" s="117">
        <f>IFERROR(INDEX(TableWRVORP[VORP],MATCH(TableOverallMaster[[#This Row],[RK]],TableWRVORP[RK],0)),"")</f>
        <v>0.34052917863954751</v>
      </c>
      <c r="AO158">
        <v>157</v>
      </c>
      <c r="AP158" s="118" t="str">
        <f>IFERROR(INDEX(TableOverallMaster[OVERALL PLAYER],MATCH(TableOverallRank[[#This Row],[RK]],TableOverallMaster[OVR RK],0)),"")</f>
        <v>Quentin Johnston</v>
      </c>
      <c r="AQ158" s="119" t="str">
        <f>IFERROR(INDEX(TableOverallMaster[POS RK],MATCH(TableOverallRank[[#This Row],[OVERALL PLAYER]],TableOverallMaster[OVERALL PLAYER],0)),"")</f>
        <v>WR68</v>
      </c>
      <c r="AR158" s="120">
        <f>IFERROR(INDEX(TableOverallMaster[BYE],MATCH(TableOverallRank[[#This Row],[OVERALL PLAYER]],TableOverallMaster[OVERALL PLAYER],0)),"")</f>
        <v>5</v>
      </c>
      <c r="AS158" s="119">
        <f>IFERROR(INDEX(TableOverallMaster[Custom],MATCH(TableOverallRank[[#This Row],[OVERALL PLAYER]],TableOverallMaster[OVERALL PLAYER],0)),"")</f>
        <v>126.53990116431299</v>
      </c>
      <c r="AT158" s="121">
        <f>IFERROR(INDEX(TableOverallMaster[VORP],MATCH(TableOverallRank[[#This Row],[OVERALL PLAYER]],TableOverallMaster[OVERALL PLAYER],0)),"")</f>
        <v>-0.12370108897632733</v>
      </c>
      <c r="AV158">
        <v>157</v>
      </c>
      <c r="AW158" s="122" t="str">
        <f>IFERROR(INDEX(TableWRTECalcPts[PLAYER],MATCH(TableWRTERank[[#This Row],[RK]],TableWRTECalcPts[RK],0)),"")</f>
        <v>Jalin Hyatt</v>
      </c>
      <c r="AX158" s="122" t="str">
        <f>IFERROR(INDEX(TableWRTECalcPts[POS RK],MATCH(TableWRTERank[[#This Row],[WR and TE COMBINED]],TableWRTECalcPts[PLAYER],0)),"")</f>
        <v>WR112</v>
      </c>
      <c r="AY158" s="122">
        <f>IFERROR(INDEX(TableWRTECalcPts[BYE],MATCH(TableWRTERank[[#This Row],[RK]],TableWRTECalcPts[RK],0)),"")</f>
        <v>13</v>
      </c>
      <c r="AZ158" s="123">
        <f>IFERROR(INDEX(TableWRTECalcPts[Custom],MATCH(TableWRTERank[[#This Row],[RK]],TableWRTECalcPts[RK],0)),"")</f>
        <v>36.976249981439992</v>
      </c>
      <c r="BA158" s="174">
        <f>IFERROR((TableWRTERank[[#This Row],[FPS]]-INDEX(TableWRTERank[FPS],MATCH(WRTEVORPCalc,TableWRTERank[RK],0)))/INDEX(TableWRTERank[FPS],MATCH(WRTEVORPCalc,TableWRTERank[RK],0)),"")</f>
        <v>-0.7523118400821146</v>
      </c>
      <c r="BC158" t="s">
        <v>223</v>
      </c>
      <c r="BD158">
        <v>157</v>
      </c>
      <c r="BE158" s="83">
        <f>RANK(TableWRTEMaster[[#This Row],[VORP]],TableWRTEMaster[VORP])+COUNTIF($BJ$2:BJ158,BJ158)-1</f>
        <v>228</v>
      </c>
      <c r="BF158" s="115" t="str">
        <f>IFERROR(INDEX(TableWRVORP[WIDE RECEIVER],MATCH(TableWRTEMaster[[#This Row],[RK]],TableWRVORP[RK],0)),"")</f>
        <v>Braxton Berrios</v>
      </c>
      <c r="BG158" s="115" t="str">
        <f>_xlfn.CONCAT(TableWRTEMaster[[#This Row],[POS]],TableWRTEMaster[[#This Row],[RK]])</f>
        <v>WR157</v>
      </c>
      <c r="BH158" s="115">
        <f>IFERROR(INDEX(TableWRVORP[BYE],MATCH(TableWRTEMaster[[#This Row],[RK]],TableWRVORP[RK],0)),"")</f>
        <v>10</v>
      </c>
      <c r="BI158" s="116">
        <f>IFERROR(INDEX(TableWRVORP[FPS],MATCH(TableWRTEMaster[[#This Row],[RK]],TableWRVORP[RK],0)),"")</f>
        <v>15.83091216</v>
      </c>
      <c r="BJ158" s="117">
        <f>IFERROR(INDEX(TableWRVORP[VORP],MATCH(TableWRTEMaster[[#This Row],[RK]],TableWRVORP[RK],0)),"")</f>
        <v>-0.89036967028838021</v>
      </c>
    </row>
    <row r="159" spans="8:62" x14ac:dyDescent="0.2">
      <c r="H159">
        <v>158</v>
      </c>
      <c r="I159" s="112" t="str">
        <f>IFERROR(INDEX(TableRBCalcPts[PLAYER],MATCH(TableRBVORP[[#This Row],[RK]],TableRBCalcPts[RK],0)),"")</f>
        <v/>
      </c>
      <c r="J159" s="112" t="str">
        <f>IFERROR(INDEX(TableRBCalcPts[TM],MATCH(TableRBVORP[[#This Row],[RK]],TableRBCalcPts[RK],0)),"")</f>
        <v/>
      </c>
      <c r="K159" s="112" t="str">
        <f>IFERROR(INDEX(TableRBCalcPts[BYE],MATCH(TableRBVORP[[#This Row],[RK]],TableRBCalcPts[RK],0)),"")</f>
        <v/>
      </c>
      <c r="L159" s="113" t="str">
        <f>IFERROR(INDEX(TableRBCalcPts[Custom],MATCH(TableRBVORP[[#This Row],[RK]],TableRBCalcPts[RK],0)),"")</f>
        <v/>
      </c>
      <c r="M159" s="114" t="str">
        <f>IFERROR((TableRBVORP[[#This Row],[FPS]]-INDEX(TableRBVORP[FPS],MATCH(RBVORPCalc,TableRBVORP[RK],0)))/INDEX(TableRBVORP[FPS],MATCH(RBVORPCalc,TableRBVORP[RK],0)),"")</f>
        <v/>
      </c>
      <c r="O159">
        <v>158</v>
      </c>
      <c r="P159" s="112" t="str">
        <f>IFERROR(INDEX(TableWRCalcPts[PLAYER],MATCH(TableWRVORP[[#This Row],[RK]],TableWRCalcPts[RK],0)),"")</f>
        <v>Bub Means</v>
      </c>
      <c r="Q159" s="112" t="str">
        <f>IFERROR(INDEX(TableWRCalcPts[TM],MATCH(TableWRVORP[[#This Row],[RK]],TableWRCalcPts[RK],0)),"")</f>
        <v>NO</v>
      </c>
      <c r="R159" s="112">
        <f>IFERROR(INDEX(TableWRCalcPts[BYE],MATCH(TableWRVORP[[#This Row],[RK]],TableWRCalcPts[RK],0)),"")</f>
        <v>11</v>
      </c>
      <c r="S159" s="113">
        <f>IFERROR(INDEX(TableWRCalcPts[Custom],MATCH(TableWRVORP[[#This Row],[RK]],TableWRCalcPts[RK],0)),"")</f>
        <v>15.27545624248336</v>
      </c>
      <c r="T159" s="114">
        <f>IFERROR((TableWRVORP[[#This Row],[FPS]]-INDEX(TableWRVORP[FPS],MATCH(WRVORPCalc,TableWRVORP[RK],0)))/INDEX(TableWRVORP[FPS],MATCH(WRVORPCalc,TableWRVORP[RK],0)),"")</f>
        <v>-0.89421624683192791</v>
      </c>
      <c r="AF159" t="s">
        <v>223</v>
      </c>
      <c r="AG159">
        <v>18</v>
      </c>
      <c r="AH159" s="83">
        <f>RANK(TableOverallMaster[[#This Row],[VORP]],TableOverallMaster[VORP])+COUNTIF($AM$2:AM159,AM159)-1</f>
        <v>62</v>
      </c>
      <c r="AI159" s="115" t="str">
        <f>IFERROR(INDEX(TableWRVORP[WIDE RECEIVER],MATCH(TableOverallMaster[[#This Row],[RK]],TableWRVORP[RK],0)),"")</f>
        <v>Jayden Reed</v>
      </c>
      <c r="AJ159" s="115" t="str">
        <f t="shared" si="2"/>
        <v>WR18</v>
      </c>
      <c r="AK159" s="115">
        <f>IFERROR(INDEX(TableWRVORP[BYE],MATCH(TableOverallMaster[[#This Row],[RK]],TableWRVORP[RK],0)),"")</f>
        <v>6</v>
      </c>
      <c r="AL159" s="116">
        <f>IFERROR(INDEX(TableWRVORP[FPS],MATCH(TableOverallMaster[[#This Row],[RK]],TableWRVORP[RK],0)),"")</f>
        <v>191.81540749896001</v>
      </c>
      <c r="AM159" s="117">
        <f>IFERROR(INDEX(TableWRVORP[VORP],MATCH(TableOverallMaster[[#This Row],[RK]],TableWRVORP[RK],0)),"")</f>
        <v>0.32833700012644745</v>
      </c>
      <c r="AO159">
        <v>158</v>
      </c>
      <c r="AP159" s="118" t="str">
        <f>IFERROR(INDEX(TableOverallMaster[OVERALL PLAYER],MATCH(TableOverallRank[[#This Row],[RK]],TableOverallMaster[OVR RK],0)),"")</f>
        <v>Wan'Dale Robinson</v>
      </c>
      <c r="AQ159" s="119" t="str">
        <f>IFERROR(INDEX(TableOverallMaster[POS RK],MATCH(TableOverallRank[[#This Row],[OVERALL PLAYER]],TableOverallMaster[OVERALL PLAYER],0)),"")</f>
        <v>WR69</v>
      </c>
      <c r="AR159" s="120">
        <f>IFERROR(INDEX(TableOverallMaster[BYE],MATCH(TableOverallRank[[#This Row],[OVERALL PLAYER]],TableOverallMaster[OVERALL PLAYER],0)),"")</f>
        <v>13</v>
      </c>
      <c r="AS159" s="119">
        <f>IFERROR(INDEX(TableOverallMaster[Custom],MATCH(TableOverallRank[[#This Row],[OVERALL PLAYER]],TableOverallMaster[OVERALL PLAYER],0)),"")</f>
        <v>124.97569762585596</v>
      </c>
      <c r="AT159" s="121">
        <f>IFERROR(INDEX(TableOverallMaster[VORP],MATCH(TableOverallRank[[#This Row],[OVERALL PLAYER]],TableOverallMaster[OVERALL PLAYER],0)),"")</f>
        <v>-0.13453332327362932</v>
      </c>
      <c r="AV159">
        <v>158</v>
      </c>
      <c r="AW159" s="122" t="str">
        <f>IFERROR(INDEX(TableWRTECalcPts[PLAYER],MATCH(TableWRTERank[[#This Row],[RK]],TableWRTECalcPts[RK],0)),"")</f>
        <v>Cornelius Johnson</v>
      </c>
      <c r="AX159" s="122" t="str">
        <f>IFERROR(INDEX(TableWRTECalcPts[POS RK],MATCH(TableWRTERank[[#This Row],[WR and TE COMBINED]],TableWRTECalcPts[PLAYER],0)),"")</f>
        <v>WR113</v>
      </c>
      <c r="AY159" s="122">
        <f>IFERROR(INDEX(TableWRTECalcPts[BYE],MATCH(TableWRTERank[[#This Row],[RK]],TableWRTECalcPts[RK],0)),"")</f>
        <v>5</v>
      </c>
      <c r="AZ159" s="123">
        <f>IFERROR(INDEX(TableWRTECalcPts[Custom],MATCH(TableWRTERank[[#This Row],[RK]],TableWRTECalcPts[RK],0)),"")</f>
        <v>36.689399458739992</v>
      </c>
      <c r="BA159" s="174">
        <f>IFERROR((TableWRTERank[[#This Row],[FPS]]-INDEX(TableWRTERank[FPS],MATCH(WRTEVORPCalc,TableWRTERank[RK],0)))/INDEX(TableWRTERank[FPS],MATCH(WRTEVORPCalc,TableWRTERank[RK],0)),"")</f>
        <v>-0.75423332963756462</v>
      </c>
      <c r="BC159" t="s">
        <v>223</v>
      </c>
      <c r="BD159">
        <v>158</v>
      </c>
      <c r="BE159" s="83">
        <f>RANK(TableWRTEMaster[[#This Row],[VORP]],TableWRTEMaster[VORP])+COUNTIF($BJ$2:BJ159,BJ159)-1</f>
        <v>232</v>
      </c>
      <c r="BF159" s="115" t="str">
        <f>IFERROR(INDEX(TableWRVORP[WIDE RECEIVER],MATCH(TableWRTEMaster[[#This Row],[RK]],TableWRVORP[RK],0)),"")</f>
        <v>Bub Means</v>
      </c>
      <c r="BG159" s="115" t="str">
        <f>_xlfn.CONCAT(TableWRTEMaster[[#This Row],[POS]],TableWRTEMaster[[#This Row],[RK]])</f>
        <v>WR158</v>
      </c>
      <c r="BH159" s="115">
        <f>IFERROR(INDEX(TableWRVORP[BYE],MATCH(TableWRTEMaster[[#This Row],[RK]],TableWRVORP[RK],0)),"")</f>
        <v>11</v>
      </c>
      <c r="BI159" s="116">
        <f>IFERROR(INDEX(TableWRVORP[FPS],MATCH(TableWRTEMaster[[#This Row],[RK]],TableWRVORP[RK],0)),"")</f>
        <v>15.27545624248336</v>
      </c>
      <c r="BJ159" s="117">
        <f>IFERROR(INDEX(TableWRVORP[VORP],MATCH(TableWRTEMaster[[#This Row],[RK]],TableWRVORP[RK],0)),"")</f>
        <v>-0.89421624683192791</v>
      </c>
    </row>
    <row r="160" spans="8:62" x14ac:dyDescent="0.2">
      <c r="H160">
        <v>159</v>
      </c>
      <c r="I160" s="112" t="str">
        <f>IFERROR(INDEX(TableRBCalcPts[PLAYER],MATCH(TableRBVORP[[#This Row],[RK]],TableRBCalcPts[RK],0)),"")</f>
        <v/>
      </c>
      <c r="J160" s="112" t="str">
        <f>IFERROR(INDEX(TableRBCalcPts[TM],MATCH(TableRBVORP[[#This Row],[RK]],TableRBCalcPts[RK],0)),"")</f>
        <v/>
      </c>
      <c r="K160" s="112" t="str">
        <f>IFERROR(INDEX(TableRBCalcPts[BYE],MATCH(TableRBVORP[[#This Row],[RK]],TableRBCalcPts[RK],0)),"")</f>
        <v/>
      </c>
      <c r="L160" s="113" t="str">
        <f>IFERROR(INDEX(TableRBCalcPts[Custom],MATCH(TableRBVORP[[#This Row],[RK]],TableRBCalcPts[RK],0)),"")</f>
        <v/>
      </c>
      <c r="M160" s="114" t="str">
        <f>IFERROR((TableRBVORP[[#This Row],[FPS]]-INDEX(TableRBVORP[FPS],MATCH(RBVORPCalc,TableRBVORP[RK],0)))/INDEX(TableRBVORP[FPS],MATCH(RBVORPCalc,TableRBVORP[RK],0)),"")</f>
        <v/>
      </c>
      <c r="O160">
        <v>159</v>
      </c>
      <c r="P160" s="112" t="str">
        <f>IFERROR(INDEX(TableWRCalcPts[PLAYER],MATCH(TableWRVORP[[#This Row],[RK]],TableWRCalcPts[RK],0)),"")</f>
        <v>Ronnie Bell</v>
      </c>
      <c r="Q160" s="112" t="str">
        <f>IFERROR(INDEX(TableWRCalcPts[TM],MATCH(TableWRVORP[[#This Row],[RK]],TableWRCalcPts[RK],0)),"")</f>
        <v>SF</v>
      </c>
      <c r="R160" s="112">
        <f>IFERROR(INDEX(TableWRCalcPts[BYE],MATCH(TableWRVORP[[#This Row],[RK]],TableWRCalcPts[RK],0)),"")</f>
        <v>9</v>
      </c>
      <c r="S160" s="113">
        <f>IFERROR(INDEX(TableWRCalcPts[Custom],MATCH(TableWRVORP[[#This Row],[RK]],TableWRCalcPts[RK],0)),"")</f>
        <v>14.516737290770401</v>
      </c>
      <c r="T160" s="114">
        <f>IFERROR((TableWRVORP[[#This Row],[FPS]]-INDEX(TableWRVORP[FPS],MATCH(WRVORPCalc,TableWRVORP[RK],0)))/INDEX(TableWRVORP[FPS],MATCH(WRVORPCalc,TableWRVORP[RK],0)),"")</f>
        <v>-0.89947043610378252</v>
      </c>
      <c r="AF160" t="s">
        <v>223</v>
      </c>
      <c r="AG160">
        <v>19</v>
      </c>
      <c r="AH160" s="83">
        <f>RANK(TableOverallMaster[[#This Row],[VORP]],TableOverallMaster[VORP])+COUNTIF($AM$2:AM160,AM160)-1</f>
        <v>63</v>
      </c>
      <c r="AI160" s="115" t="str">
        <f>IFERROR(INDEX(TableWRVORP[WIDE RECEIVER],MATCH(TableOverallMaster[[#This Row],[RK]],TableWRVORP[RK],0)),"")</f>
        <v>DJ Moore</v>
      </c>
      <c r="AJ160" s="115" t="str">
        <f t="shared" si="2"/>
        <v>WR19</v>
      </c>
      <c r="AK160" s="115">
        <f>IFERROR(INDEX(TableWRVORP[BYE],MATCH(TableOverallMaster[[#This Row],[RK]],TableWRVORP[RK],0)),"")</f>
        <v>13</v>
      </c>
      <c r="AL160" s="116">
        <f>IFERROR(INDEX(TableWRVORP[FPS],MATCH(TableOverallMaster[[#This Row],[RK]],TableWRVORP[RK],0)),"")</f>
        <v>190.97919337139996</v>
      </c>
      <c r="AM160" s="117">
        <f>IFERROR(INDEX(TableWRVORP[VORP],MATCH(TableOverallMaster[[#This Row],[RK]],TableWRVORP[RK],0)),"")</f>
        <v>0.32254615057922065</v>
      </c>
      <c r="AO160">
        <v>159</v>
      </c>
      <c r="AP160" s="118" t="str">
        <f>IFERROR(INDEX(TableOverallMaster[OVERALL PLAYER],MATCH(TableOverallRank[[#This Row],[RK]],TableOverallMaster[OVR RK],0)),"")</f>
        <v>Cole Kmet</v>
      </c>
      <c r="AQ160" s="119" t="str">
        <f>IFERROR(INDEX(TableOverallMaster[POS RK],MATCH(TableOverallRank[[#This Row],[OVERALL PLAYER]],TableOverallMaster[OVERALL PLAYER],0)),"")</f>
        <v>TE14</v>
      </c>
      <c r="AR160" s="120">
        <f>IFERROR(INDEX(TableOverallMaster[BYE],MATCH(TableOverallRank[[#This Row],[OVERALL PLAYER]],TableOverallMaster[OVERALL PLAYER],0)),"")</f>
        <v>13</v>
      </c>
      <c r="AS160" s="119">
        <f>IFERROR(INDEX(TableOverallMaster[Custom],MATCH(TableOverallRank[[#This Row],[OVERALL PLAYER]],TableOverallMaster[OVERALL PLAYER],0)),"")</f>
        <v>113.3588619576</v>
      </c>
      <c r="AT160" s="121">
        <f>IFERROR(INDEX(TableOverallMaster[VORP],MATCH(TableOverallRank[[#This Row],[OVERALL PLAYER]],TableOverallMaster[OVERALL PLAYER],0)),"")</f>
        <v>-0.13692217715213856</v>
      </c>
      <c r="AV160">
        <v>159</v>
      </c>
      <c r="AW160" s="122" t="str">
        <f>IFERROR(INDEX(TableWRTECalcPts[PLAYER],MATCH(TableWRTERank[[#This Row],[RK]],TableWRTECalcPts[RK],0)),"")</f>
        <v>Mo Alie-Cox</v>
      </c>
      <c r="AX160" s="122" t="str">
        <f>IFERROR(INDEX(TableWRTECalcPts[POS RK],MATCH(TableWRTERank[[#This Row],[WR and TE COMBINED]],TableWRTECalcPts[PLAYER],0)),"")</f>
        <v>TE46</v>
      </c>
      <c r="AY160" s="122">
        <f>IFERROR(INDEX(TableWRTECalcPts[BYE],MATCH(TableWRTERank[[#This Row],[RK]],TableWRTECalcPts[RK],0)),"")</f>
        <v>11</v>
      </c>
      <c r="AZ160" s="123">
        <f>IFERROR(INDEX(TableWRTECalcPts[Custom],MATCH(TableWRTERank[[#This Row],[RK]],TableWRTECalcPts[RK],0)),"")</f>
        <v>36.596044523500012</v>
      </c>
      <c r="BA160" s="174">
        <f>IFERROR((TableWRTERank[[#This Row],[FPS]]-INDEX(TableWRTERank[FPS],MATCH(WRTEVORPCalc,TableWRTERank[RK],0)))/INDEX(TableWRTERank[FPS],MATCH(WRTEVORPCalc,TableWRTERank[RK],0)),"")</f>
        <v>-0.75485867461279732</v>
      </c>
      <c r="BC160" t="s">
        <v>223</v>
      </c>
      <c r="BD160">
        <v>159</v>
      </c>
      <c r="BE160" s="83">
        <f>RANK(TableWRTEMaster[[#This Row],[VORP]],TableWRTEMaster[VORP])+COUNTIF($BJ$2:BJ160,BJ160)-1</f>
        <v>234</v>
      </c>
      <c r="BF160" s="115" t="str">
        <f>IFERROR(INDEX(TableWRVORP[WIDE RECEIVER],MATCH(TableWRTEMaster[[#This Row],[RK]],TableWRVORP[RK],0)),"")</f>
        <v>Ronnie Bell</v>
      </c>
      <c r="BG160" s="115" t="str">
        <f>_xlfn.CONCAT(TableWRTEMaster[[#This Row],[POS]],TableWRTEMaster[[#This Row],[RK]])</f>
        <v>WR159</v>
      </c>
      <c r="BH160" s="115">
        <f>IFERROR(INDEX(TableWRVORP[BYE],MATCH(TableWRTEMaster[[#This Row],[RK]],TableWRVORP[RK],0)),"")</f>
        <v>9</v>
      </c>
      <c r="BI160" s="116">
        <f>IFERROR(INDEX(TableWRVORP[FPS],MATCH(TableWRTEMaster[[#This Row],[RK]],TableWRVORP[RK],0)),"")</f>
        <v>14.516737290770401</v>
      </c>
      <c r="BJ160" s="117">
        <f>IFERROR(INDEX(TableWRVORP[VORP],MATCH(TableWRTEMaster[[#This Row],[RK]],TableWRVORP[RK],0)),"")</f>
        <v>-0.89947043610378252</v>
      </c>
    </row>
    <row r="161" spans="8:62" x14ac:dyDescent="0.2">
      <c r="H161">
        <v>160</v>
      </c>
      <c r="I161" s="112" t="str">
        <f>IFERROR(INDEX(TableRBCalcPts[PLAYER],MATCH(TableRBVORP[[#This Row],[RK]],TableRBCalcPts[RK],0)),"")</f>
        <v/>
      </c>
      <c r="J161" s="112" t="str">
        <f>IFERROR(INDEX(TableRBCalcPts[TM],MATCH(TableRBVORP[[#This Row],[RK]],TableRBCalcPts[RK],0)),"")</f>
        <v/>
      </c>
      <c r="K161" s="112" t="str">
        <f>IFERROR(INDEX(TableRBCalcPts[BYE],MATCH(TableRBVORP[[#This Row],[RK]],TableRBCalcPts[RK],0)),"")</f>
        <v/>
      </c>
      <c r="L161" s="113" t="str">
        <f>IFERROR(INDEX(TableRBCalcPts[Custom],MATCH(TableRBVORP[[#This Row],[RK]],TableRBCalcPts[RK],0)),"")</f>
        <v/>
      </c>
      <c r="M161" s="114" t="str">
        <f>IFERROR((TableRBVORP[[#This Row],[FPS]]-INDEX(TableRBVORP[FPS],MATCH(RBVORPCalc,TableRBVORP[RK],0)))/INDEX(TableRBVORP[FPS],MATCH(RBVORPCalc,TableRBVORP[RK],0)),"")</f>
        <v/>
      </c>
      <c r="O161">
        <v>160</v>
      </c>
      <c r="P161" s="112" t="str">
        <f>IFERROR(INDEX(TableWRCalcPts[PLAYER],MATCH(TableWRVORP[[#This Row],[RK]],TableWRCalcPts[RK],0)),"")</f>
        <v>Trent Sherfield</v>
      </c>
      <c r="Q161" s="112" t="str">
        <f>IFERROR(INDEX(TableWRCalcPts[TM],MATCH(TableWRVORP[[#This Row],[RK]],TableWRCalcPts[RK],0)),"")</f>
        <v>MIN</v>
      </c>
      <c r="R161" s="112">
        <f>IFERROR(INDEX(TableWRCalcPts[BYE],MATCH(TableWRVORP[[#This Row],[RK]],TableWRCalcPts[RK],0)),"")</f>
        <v>13</v>
      </c>
      <c r="S161" s="113">
        <f>IFERROR(INDEX(TableWRCalcPts[Custom],MATCH(TableWRVORP[[#This Row],[RK]],TableWRCalcPts[RK],0)),"")</f>
        <v>14.387896891199997</v>
      </c>
      <c r="T161" s="114">
        <f>IFERROR((TableWRVORP[[#This Row],[FPS]]-INDEX(TableWRVORP[FPS],MATCH(WRVORPCalc,TableWRVORP[RK],0)))/INDEX(TableWRVORP[FPS],MATCH(WRVORPCalc,TableWRVORP[RK],0)),"")</f>
        <v>-0.90036266614980409</v>
      </c>
      <c r="AF161" t="s">
        <v>223</v>
      </c>
      <c r="AG161">
        <v>20</v>
      </c>
      <c r="AH161" s="83">
        <f>RANK(TableOverallMaster[[#This Row],[VORP]],TableOverallMaster[VORP])+COUNTIF($AM$2:AM161,AM161)-1</f>
        <v>64</v>
      </c>
      <c r="AI161" s="115" t="str">
        <f>IFERROR(INDEX(TableWRVORP[WIDE RECEIVER],MATCH(TableOverallMaster[[#This Row],[RK]],TableWRVORP[RK],0)),"")</f>
        <v>Chris Olave</v>
      </c>
      <c r="AJ161" s="115" t="str">
        <f t="shared" si="2"/>
        <v>WR20</v>
      </c>
      <c r="AK161" s="115">
        <f>IFERROR(INDEX(TableWRVORP[BYE],MATCH(TableOverallMaster[[#This Row],[RK]],TableWRVORP[RK],0)),"")</f>
        <v>11</v>
      </c>
      <c r="AL161" s="116">
        <f>IFERROR(INDEX(TableWRVORP[FPS],MATCH(TableOverallMaster[[#This Row],[RK]],TableWRVORP[RK],0)),"")</f>
        <v>190.09510405256719</v>
      </c>
      <c r="AM161" s="117">
        <f>IFERROR(INDEX(TableWRVORP[VORP],MATCH(TableOverallMaster[[#This Row],[RK]],TableWRVORP[RK],0)),"")</f>
        <v>0.31642376151290691</v>
      </c>
      <c r="AO161">
        <v>160</v>
      </c>
      <c r="AP161" s="118" t="str">
        <f>IFERROR(INDEX(TableOverallMaster[OVERALL PLAYER],MATCH(TableOverallRank[[#This Row],[RK]],TableOverallMaster[OVR RK],0)),"")</f>
        <v>Ray Davis</v>
      </c>
      <c r="AQ161" s="119" t="str">
        <f>IFERROR(INDEX(TableOverallMaster[POS RK],MATCH(TableOverallRank[[#This Row],[OVERALL PLAYER]],TableOverallMaster[OVERALL PLAYER],0)),"")</f>
        <v>RB50</v>
      </c>
      <c r="AR161" s="120">
        <f>IFERROR(INDEX(TableOverallMaster[BYE],MATCH(TableOverallRank[[#This Row],[OVERALL PLAYER]],TableOverallMaster[OVERALL PLAYER],0)),"")</f>
        <v>13</v>
      </c>
      <c r="AS161" s="119">
        <f>IFERROR(INDEX(TableOverallMaster[Custom],MATCH(TableOverallRank[[#This Row],[OVERALL PLAYER]],TableOverallMaster[OVERALL PLAYER],0)),"")</f>
        <v>95.421957594163203</v>
      </c>
      <c r="AT161" s="121">
        <f>IFERROR(INDEX(TableOverallMaster[VORP],MATCH(TableOverallRank[[#This Row],[OVERALL PLAYER]],TableOverallMaster[OVERALL PLAYER],0)),"")</f>
        <v>-0.15344584629487368</v>
      </c>
      <c r="AV161">
        <v>160</v>
      </c>
      <c r="AW161" s="122" t="str">
        <f>IFERROR(INDEX(TableWRTECalcPts[PLAYER],MATCH(TableWRTERank[[#This Row],[RK]],TableWRTECalcPts[RK],0)),"")</f>
        <v>Javon Baker</v>
      </c>
      <c r="AX161" s="122" t="str">
        <f>IFERROR(INDEX(TableWRTECalcPts[POS RK],MATCH(TableWRTERank[[#This Row],[WR and TE COMBINED]],TableWRTECalcPts[PLAYER],0)),"")</f>
        <v>WR114</v>
      </c>
      <c r="AY161" s="122">
        <f>IFERROR(INDEX(TableWRTECalcPts[BYE],MATCH(TableWRTERank[[#This Row],[RK]],TableWRTECalcPts[RK],0)),"")</f>
        <v>11</v>
      </c>
      <c r="AZ161" s="123">
        <f>IFERROR(INDEX(TableWRTECalcPts[Custom],MATCH(TableWRTERank[[#This Row],[RK]],TableWRTECalcPts[RK],0)),"")</f>
        <v>36.585038966111988</v>
      </c>
      <c r="BA161" s="174">
        <f>IFERROR((TableWRTERank[[#This Row],[FPS]]-INDEX(TableWRTERank[FPS],MATCH(WRTEVORPCalc,TableWRTERank[RK],0)))/INDEX(TableWRTERank[FPS],MATCH(WRTEVORPCalc,TableWRTERank[RK],0)),"")</f>
        <v>-0.75493239615729357</v>
      </c>
      <c r="BC161" t="s">
        <v>223</v>
      </c>
      <c r="BD161">
        <v>160</v>
      </c>
      <c r="BE161" s="83">
        <f>RANK(TableWRTEMaster[[#This Row],[VORP]],TableWRTEMaster[VORP])+COUNTIF($BJ$2:BJ161,BJ161)-1</f>
        <v>235</v>
      </c>
      <c r="BF161" s="115" t="str">
        <f>IFERROR(INDEX(TableWRVORP[WIDE RECEIVER],MATCH(TableWRTEMaster[[#This Row],[RK]],TableWRVORP[RK],0)),"")</f>
        <v>Trent Sherfield</v>
      </c>
      <c r="BG161" s="115" t="str">
        <f>_xlfn.CONCAT(TableWRTEMaster[[#This Row],[POS]],TableWRTEMaster[[#This Row],[RK]])</f>
        <v>WR160</v>
      </c>
      <c r="BH161" s="115">
        <f>IFERROR(INDEX(TableWRVORP[BYE],MATCH(TableWRTEMaster[[#This Row],[RK]],TableWRVORP[RK],0)),"")</f>
        <v>13</v>
      </c>
      <c r="BI161" s="116">
        <f>IFERROR(INDEX(TableWRVORP[FPS],MATCH(TableWRTEMaster[[#This Row],[RK]],TableWRVORP[RK],0)),"")</f>
        <v>14.387896891199997</v>
      </c>
      <c r="BJ161" s="117">
        <f>IFERROR(INDEX(TableWRVORP[VORP],MATCH(TableWRTEMaster[[#This Row],[RK]],TableWRVORP[RK],0)),"")</f>
        <v>-0.90036266614980409</v>
      </c>
    </row>
    <row r="162" spans="8:62" x14ac:dyDescent="0.2">
      <c r="H162">
        <v>161</v>
      </c>
      <c r="I162" s="112" t="str">
        <f>IFERROR(INDEX(TableRBCalcPts[PLAYER],MATCH(TableRBVORP[[#This Row],[RK]],TableRBCalcPts[RK],0)),"")</f>
        <v/>
      </c>
      <c r="J162" s="112" t="str">
        <f>IFERROR(INDEX(TableRBCalcPts[TM],MATCH(TableRBVORP[[#This Row],[RK]],TableRBCalcPts[RK],0)),"")</f>
        <v/>
      </c>
      <c r="K162" s="112" t="str">
        <f>IFERROR(INDEX(TableRBCalcPts[BYE],MATCH(TableRBVORP[[#This Row],[RK]],TableRBCalcPts[RK],0)),"")</f>
        <v/>
      </c>
      <c r="L162" s="113" t="str">
        <f>IFERROR(INDEX(TableRBCalcPts[Custom],MATCH(TableRBVORP[[#This Row],[RK]],TableRBCalcPts[RK],0)),"")</f>
        <v/>
      </c>
      <c r="M162" s="114" t="str">
        <f>IFERROR((TableRBVORP[[#This Row],[FPS]]-INDEX(TableRBVORP[FPS],MATCH(RBVORPCalc,TableRBVORP[RK],0)))/INDEX(TableRBVORP[FPS],MATCH(RBVORPCalc,TableRBVORP[RK],0)),"")</f>
        <v/>
      </c>
      <c r="O162">
        <v>161</v>
      </c>
      <c r="P162" s="112" t="str">
        <f>IFERROR(INDEX(TableWRCalcPts[PLAYER],MATCH(TableWRVORP[[#This Row],[RK]],TableWRCalcPts[RK],0)),"")</f>
        <v>Velus Jones</v>
      </c>
      <c r="Q162" s="112" t="str">
        <f>IFERROR(INDEX(TableWRCalcPts[TM],MATCH(TableWRVORP[[#This Row],[RK]],TableWRCalcPts[RK],0)),"")</f>
        <v>CHI</v>
      </c>
      <c r="R162" s="112">
        <f>IFERROR(INDEX(TableWRCalcPts[BYE],MATCH(TableWRVORP[[#This Row],[RK]],TableWRCalcPts[RK],0)),"")</f>
        <v>13</v>
      </c>
      <c r="S162" s="113">
        <f>IFERROR(INDEX(TableWRCalcPts[Custom],MATCH(TableWRVORP[[#This Row],[RK]],TableWRCalcPts[RK],0)),"")</f>
        <v>14.333452842239994</v>
      </c>
      <c r="T162" s="114">
        <f>IFERROR((TableWRVORP[[#This Row],[FPS]]-INDEX(TableWRVORP[FPS],MATCH(WRVORPCalc,TableWRVORP[RK],0)))/INDEX(TableWRVORP[FPS],MATCH(WRVORPCalc,TableWRVORP[RK],0)),"")</f>
        <v>-0.90073969553244448</v>
      </c>
      <c r="AF162" t="s">
        <v>223</v>
      </c>
      <c r="AG162">
        <v>21</v>
      </c>
      <c r="AH162" s="83">
        <f>RANK(TableOverallMaster[[#This Row],[VORP]],TableOverallMaster[VORP])+COUNTIF($AM$2:AM162,AM162)-1</f>
        <v>66</v>
      </c>
      <c r="AI162" s="115" t="str">
        <f>IFERROR(INDEX(TableWRVORP[WIDE RECEIVER],MATCH(TableOverallMaster[[#This Row],[RK]],TableWRVORP[RK],0)),"")</f>
        <v>George Pickens</v>
      </c>
      <c r="AJ162" s="115" t="str">
        <f t="shared" si="2"/>
        <v>WR21</v>
      </c>
      <c r="AK162" s="115">
        <f>IFERROR(INDEX(TableWRVORP[BYE],MATCH(TableOverallMaster[[#This Row],[RK]],TableWRVORP[RK],0)),"")</f>
        <v>6</v>
      </c>
      <c r="AL162" s="116">
        <f>IFERROR(INDEX(TableWRVORP[FPS],MATCH(TableOverallMaster[[#This Row],[RK]],TableWRVORP[RK],0)),"")</f>
        <v>189.09800485379998</v>
      </c>
      <c r="AM162" s="117">
        <f>IFERROR(INDEX(TableWRVORP[VORP],MATCH(TableOverallMaster[[#This Row],[RK]],TableWRVORP[RK],0)),"")</f>
        <v>0.30951877001202283</v>
      </c>
      <c r="AO162">
        <v>161</v>
      </c>
      <c r="AP162" s="118" t="str">
        <f>IFERROR(INDEX(TableOverallMaster[OVERALL PLAYER],MATCH(TableOverallRank[[#This Row],[RK]],TableOverallMaster[OVR RK],0)),"")</f>
        <v>Pat Freiermuth</v>
      </c>
      <c r="AQ162" s="119" t="str">
        <f>IFERROR(INDEX(TableOverallMaster[POS RK],MATCH(TableOverallRank[[#This Row],[OVERALL PLAYER]],TableOverallMaster[OVERALL PLAYER],0)),"")</f>
        <v>TE15</v>
      </c>
      <c r="AR162" s="120">
        <f>IFERROR(INDEX(TableOverallMaster[BYE],MATCH(TableOverallRank[[#This Row],[OVERALL PLAYER]],TableOverallMaster[OVERALL PLAYER],0)),"")</f>
        <v>6</v>
      </c>
      <c r="AS162" s="119">
        <f>IFERROR(INDEX(TableOverallMaster[Custom],MATCH(TableOverallRank[[#This Row],[OVERALL PLAYER]],TableOverallMaster[OVERALL PLAYER],0)),"")</f>
        <v>111.11222832065999</v>
      </c>
      <c r="AT162" s="121">
        <f>IFERROR(INDEX(TableOverallMaster[VORP],MATCH(TableOverallRank[[#This Row],[OVERALL PLAYER]],TableOverallMaster[OVERALL PLAYER],0)),"")</f>
        <v>-0.15402732124605339</v>
      </c>
      <c r="AV162">
        <v>161</v>
      </c>
      <c r="AW162" s="122" t="str">
        <f>IFERROR(INDEX(TableWRTECalcPts[PLAYER],MATCH(TableWRTERank[[#This Row],[RK]],TableWRTECalcPts[RK],0)),"")</f>
        <v>Mack Hollins</v>
      </c>
      <c r="AX162" s="122" t="str">
        <f>IFERROR(INDEX(TableWRTECalcPts[POS RK],MATCH(TableWRTERank[[#This Row],[WR and TE COMBINED]],TableWRTECalcPts[PLAYER],0)),"")</f>
        <v>WR115</v>
      </c>
      <c r="AY162" s="122">
        <f>IFERROR(INDEX(TableWRTECalcPts[BYE],MATCH(TableWRTERank[[#This Row],[RK]],TableWRTECalcPts[RK],0)),"")</f>
        <v>13</v>
      </c>
      <c r="AZ162" s="123">
        <f>IFERROR(INDEX(TableWRTECalcPts[Custom],MATCH(TableWRTERank[[#This Row],[RK]],TableWRTECalcPts[RK],0)),"")</f>
        <v>35.190761181183994</v>
      </c>
      <c r="BA162" s="174">
        <f>IFERROR((TableWRTERank[[#This Row],[FPS]]-INDEX(TableWRTERank[FPS],MATCH(WRTEVORPCalc,TableWRTERank[RK],0)))/INDEX(TableWRTERank[FPS],MATCH(WRTEVORPCalc,TableWRTERank[RK],0)),"")</f>
        <v>-0.76427206957297367</v>
      </c>
      <c r="BC162" t="s">
        <v>223</v>
      </c>
      <c r="BD162">
        <v>161</v>
      </c>
      <c r="BE162" s="83">
        <f>RANK(TableWRTEMaster[[#This Row],[VORP]],TableWRTEMaster[VORP])+COUNTIF($BJ$2:BJ162,BJ162)-1</f>
        <v>236</v>
      </c>
      <c r="BF162" s="115" t="str">
        <f>IFERROR(INDEX(TableWRVORP[WIDE RECEIVER],MATCH(TableWRTEMaster[[#This Row],[RK]],TableWRVORP[RK],0)),"")</f>
        <v>Velus Jones</v>
      </c>
      <c r="BG162" s="115" t="str">
        <f>_xlfn.CONCAT(TableWRTEMaster[[#This Row],[POS]],TableWRTEMaster[[#This Row],[RK]])</f>
        <v>WR161</v>
      </c>
      <c r="BH162" s="115">
        <f>IFERROR(INDEX(TableWRVORP[BYE],MATCH(TableWRTEMaster[[#This Row],[RK]],TableWRVORP[RK],0)),"")</f>
        <v>13</v>
      </c>
      <c r="BI162" s="116">
        <f>IFERROR(INDEX(TableWRVORP[FPS],MATCH(TableWRTEMaster[[#This Row],[RK]],TableWRVORP[RK],0)),"")</f>
        <v>14.333452842239994</v>
      </c>
      <c r="BJ162" s="117">
        <f>IFERROR(INDEX(TableWRVORP[VORP],MATCH(TableWRTEMaster[[#This Row],[RK]],TableWRVORP[RK],0)),"")</f>
        <v>-0.90073969553244448</v>
      </c>
    </row>
    <row r="163" spans="8:62" x14ac:dyDescent="0.2">
      <c r="H163">
        <v>162</v>
      </c>
      <c r="I163" s="112" t="str">
        <f>IFERROR(INDEX(TableRBCalcPts[PLAYER],MATCH(TableRBVORP[[#This Row],[RK]],TableRBCalcPts[RK],0)),"")</f>
        <v/>
      </c>
      <c r="J163" s="112" t="str">
        <f>IFERROR(INDEX(TableRBCalcPts[TM],MATCH(TableRBVORP[[#This Row],[RK]],TableRBCalcPts[RK],0)),"")</f>
        <v/>
      </c>
      <c r="K163" s="112" t="str">
        <f>IFERROR(INDEX(TableRBCalcPts[BYE],MATCH(TableRBVORP[[#This Row],[RK]],TableRBCalcPts[RK],0)),"")</f>
        <v/>
      </c>
      <c r="L163" s="113" t="str">
        <f>IFERROR(INDEX(TableRBCalcPts[Custom],MATCH(TableRBVORP[[#This Row],[RK]],TableRBCalcPts[RK],0)),"")</f>
        <v/>
      </c>
      <c r="M163" s="114" t="str">
        <f>IFERROR((TableRBVORP[[#This Row],[FPS]]-INDEX(TableRBVORP[FPS],MATCH(RBVORPCalc,TableRBVORP[RK],0)))/INDEX(TableRBVORP[FPS],MATCH(RBVORPCalc,TableRBVORP[RK],0)),"")</f>
        <v/>
      </c>
      <c r="O163">
        <v>162</v>
      </c>
      <c r="P163" s="112" t="str">
        <f>IFERROR(INDEX(TableWRCalcPts[PLAYER],MATCH(TableWRVORP[[#This Row],[RK]],TableWRCalcPts[RK],0)),"")</f>
        <v>Xavier Hutchinson</v>
      </c>
      <c r="Q163" s="112" t="str">
        <f>IFERROR(INDEX(TableWRCalcPts[TM],MATCH(TableWRVORP[[#This Row],[RK]],TableWRCalcPts[RK],0)),"")</f>
        <v>HOU</v>
      </c>
      <c r="R163" s="112">
        <f>IFERROR(INDEX(TableWRCalcPts[BYE],MATCH(TableWRVORP[[#This Row],[RK]],TableWRCalcPts[RK],0)),"")</f>
        <v>7</v>
      </c>
      <c r="S163" s="113">
        <f>IFERROR(INDEX(TableWRCalcPts[Custom],MATCH(TableWRVORP[[#This Row],[RK]],TableWRCalcPts[RK],0)),"")</f>
        <v>14.164159959040003</v>
      </c>
      <c r="T163" s="114">
        <f>IFERROR((TableWRVORP[[#This Row],[FPS]]-INDEX(TableWRVORP[FPS],MATCH(WRVORPCalc,TableWRVORP[RK],0)))/INDEX(TableWRVORP[FPS],MATCH(WRVORPCalc,TableWRVORP[RK],0)),"")</f>
        <v>-0.90191206225493459</v>
      </c>
      <c r="AF163" t="s">
        <v>223</v>
      </c>
      <c r="AG163">
        <v>22</v>
      </c>
      <c r="AH163" s="83">
        <f>RANK(TableOverallMaster[[#This Row],[VORP]],TableOverallMaster[VORP])+COUNTIF($AM$2:AM163,AM163)-1</f>
        <v>70</v>
      </c>
      <c r="AI163" s="115" t="str">
        <f>IFERROR(INDEX(TableWRVORP[WIDE RECEIVER],MATCH(TableOverallMaster[[#This Row],[RK]],TableWRVORP[RK],0)),"")</f>
        <v>Amari Cooper</v>
      </c>
      <c r="AJ163" s="115" t="str">
        <f t="shared" si="2"/>
        <v>WR22</v>
      </c>
      <c r="AK163" s="115">
        <f>IFERROR(INDEX(TableWRVORP[BYE],MATCH(TableOverallMaster[[#This Row],[RK]],TableWRVORP[RK],0)),"")</f>
        <v>5</v>
      </c>
      <c r="AL163" s="116">
        <f>IFERROR(INDEX(TableWRVORP[FPS],MATCH(TableOverallMaster[[#This Row],[RK]],TableWRVORP[RK],0)),"")</f>
        <v>185.65527934799999</v>
      </c>
      <c r="AM163" s="117">
        <f>IFERROR(INDEX(TableWRVORP[VORP],MATCH(TableOverallMaster[[#This Row],[RK]],TableWRVORP[RK],0)),"")</f>
        <v>0.28567762122079265</v>
      </c>
      <c r="AO163">
        <v>162</v>
      </c>
      <c r="AP163" s="118" t="str">
        <f>IFERROR(INDEX(TableOverallMaster[OVERALL PLAYER],MATCH(TableOverallRank[[#This Row],[RK]],TableOverallMaster[OVR RK],0)),"")</f>
        <v>Samaje Perine</v>
      </c>
      <c r="AQ163" s="119" t="str">
        <f>IFERROR(INDEX(TableOverallMaster[POS RK],MATCH(TableOverallRank[[#This Row],[OVERALL PLAYER]],TableOverallMaster[OVERALL PLAYER],0)),"")</f>
        <v>RB51</v>
      </c>
      <c r="AR163" s="120">
        <f>IFERROR(INDEX(TableOverallMaster[BYE],MATCH(TableOverallRank[[#This Row],[OVERALL PLAYER]],TableOverallMaster[OVERALL PLAYER],0)),"")</f>
        <v>9</v>
      </c>
      <c r="AS163" s="119">
        <f>IFERROR(INDEX(TableOverallMaster[Custom],MATCH(TableOverallRank[[#This Row],[OVERALL PLAYER]],TableOverallMaster[OVERALL PLAYER],0)),"")</f>
        <v>95.098238476724006</v>
      </c>
      <c r="AT163" s="121">
        <f>IFERROR(INDEX(TableOverallMaster[VORP],MATCH(TableOverallRank[[#This Row],[OVERALL PLAYER]],TableOverallMaster[OVERALL PLAYER],0)),"")</f>
        <v>-0.15631778238182178</v>
      </c>
      <c r="AV163">
        <v>162</v>
      </c>
      <c r="AW163" s="122" t="str">
        <f>IFERROR(INDEX(TableWRTECalcPts[PLAYER],MATCH(TableWRTERank[[#This Row],[RK]],TableWRTECalcPts[RK],0)),"")</f>
        <v>K.J. Osborn</v>
      </c>
      <c r="AX163" s="122" t="str">
        <f>IFERROR(INDEX(TableWRTECalcPts[POS RK],MATCH(TableWRTERank[[#This Row],[WR and TE COMBINED]],TableWRTECalcPts[PLAYER],0)),"")</f>
        <v>WR116</v>
      </c>
      <c r="AY163" s="122">
        <f>IFERROR(INDEX(TableWRTECalcPts[BYE],MATCH(TableWRTERank[[#This Row],[RK]],TableWRTECalcPts[RK],0)),"")</f>
        <v>11</v>
      </c>
      <c r="AZ163" s="123">
        <f>IFERROR(INDEX(TableWRTECalcPts[Custom],MATCH(TableWRTERank[[#This Row],[RK]],TableWRTECalcPts[RK],0)),"")</f>
        <v>34.604123150687997</v>
      </c>
      <c r="BA163" s="174">
        <f>IFERROR((TableWRTERank[[#This Row],[FPS]]-INDEX(TableWRTERank[FPS],MATCH(WRTEVORPCalc,TableWRTERank[RK],0)))/INDEX(TableWRTERank[FPS],MATCH(WRTEVORPCalc,TableWRTERank[RK],0)),"")</f>
        <v>-0.76820170804048571</v>
      </c>
      <c r="BC163" t="s">
        <v>223</v>
      </c>
      <c r="BD163">
        <v>162</v>
      </c>
      <c r="BE163" s="83">
        <f>RANK(TableWRTEMaster[[#This Row],[VORP]],TableWRTEMaster[VORP])+COUNTIF($BJ$2:BJ163,BJ163)-1</f>
        <v>238</v>
      </c>
      <c r="BF163" s="115" t="str">
        <f>IFERROR(INDEX(TableWRVORP[WIDE RECEIVER],MATCH(TableWRTEMaster[[#This Row],[RK]],TableWRVORP[RK],0)),"")</f>
        <v>Xavier Hutchinson</v>
      </c>
      <c r="BG163" s="115" t="str">
        <f>_xlfn.CONCAT(TableWRTEMaster[[#This Row],[POS]],TableWRTEMaster[[#This Row],[RK]])</f>
        <v>WR162</v>
      </c>
      <c r="BH163" s="115">
        <f>IFERROR(INDEX(TableWRVORP[BYE],MATCH(TableWRTEMaster[[#This Row],[RK]],TableWRVORP[RK],0)),"")</f>
        <v>7</v>
      </c>
      <c r="BI163" s="116">
        <f>IFERROR(INDEX(TableWRVORP[FPS],MATCH(TableWRTEMaster[[#This Row],[RK]],TableWRVORP[RK],0)),"")</f>
        <v>14.164159959040003</v>
      </c>
      <c r="BJ163" s="117">
        <f>IFERROR(INDEX(TableWRVORP[VORP],MATCH(TableWRTEMaster[[#This Row],[RK]],TableWRVORP[RK],0)),"")</f>
        <v>-0.90191206225493459</v>
      </c>
    </row>
    <row r="164" spans="8:62" x14ac:dyDescent="0.2">
      <c r="H164">
        <v>163</v>
      </c>
      <c r="I164" s="112" t="str">
        <f>IFERROR(INDEX(TableRBCalcPts[PLAYER],MATCH(TableRBVORP[[#This Row],[RK]],TableRBCalcPts[RK],0)),"")</f>
        <v/>
      </c>
      <c r="J164" s="112" t="str">
        <f>IFERROR(INDEX(TableRBCalcPts[TM],MATCH(TableRBVORP[[#This Row],[RK]],TableRBCalcPts[RK],0)),"")</f>
        <v/>
      </c>
      <c r="K164" s="112" t="str">
        <f>IFERROR(INDEX(TableRBCalcPts[BYE],MATCH(TableRBVORP[[#This Row],[RK]],TableRBCalcPts[RK],0)),"")</f>
        <v/>
      </c>
      <c r="L164" s="113" t="str">
        <f>IFERROR(INDEX(TableRBCalcPts[Custom],MATCH(TableRBVORP[[#This Row],[RK]],TableRBCalcPts[RK],0)),"")</f>
        <v/>
      </c>
      <c r="M164" s="114" t="str">
        <f>IFERROR((TableRBVORP[[#This Row],[FPS]]-INDEX(TableRBVORP[FPS],MATCH(RBVORPCalc,TableRBVORP[RK],0)))/INDEX(TableRBVORP[FPS],MATCH(RBVORPCalc,TableRBVORP[RK],0)),"")</f>
        <v/>
      </c>
      <c r="O164">
        <v>163</v>
      </c>
      <c r="P164" s="112" t="str">
        <f>IFERROR(INDEX(TableWRCalcPts[PLAYER],MATCH(TableWRVORP[[#This Row],[RK]],TableWRCalcPts[RK],0)),"")</f>
        <v>Tahj Washington</v>
      </c>
      <c r="Q164" s="112" t="str">
        <f>IFERROR(INDEX(TableWRCalcPts[TM],MATCH(TableWRVORP[[#This Row],[RK]],TableWRCalcPts[RK],0)),"")</f>
        <v>MIA</v>
      </c>
      <c r="R164" s="112">
        <f>IFERROR(INDEX(TableWRCalcPts[BYE],MATCH(TableWRVORP[[#This Row],[RK]],TableWRCalcPts[RK],0)),"")</f>
        <v>10</v>
      </c>
      <c r="S164" s="113">
        <f>IFERROR(INDEX(TableWRCalcPts[Custom],MATCH(TableWRVORP[[#This Row],[RK]],TableWRCalcPts[RK],0)),"")</f>
        <v>14.071921919999998</v>
      </c>
      <c r="T164" s="114">
        <f>IFERROR((TableWRVORP[[#This Row],[FPS]]-INDEX(TableWRVORP[FPS],MATCH(WRVORPCalc,TableWRVORP[RK],0)))/INDEX(TableWRVORP[FPS],MATCH(WRVORPCalc,TableWRVORP[RK],0)),"")</f>
        <v>-0.90255081803411574</v>
      </c>
      <c r="AF164" t="s">
        <v>223</v>
      </c>
      <c r="AG164">
        <v>23</v>
      </c>
      <c r="AH164" s="83">
        <f>RANK(TableOverallMaster[[#This Row],[VORP]],TableOverallMaster[VORP])+COUNTIF($AM$2:AM164,AM164)-1</f>
        <v>72</v>
      </c>
      <c r="AI164" s="115" t="str">
        <f>IFERROR(INDEX(TableWRVORP[WIDE RECEIVER],MATCH(TableOverallMaster[[#This Row],[RK]],TableWRVORP[RK],0)),"")</f>
        <v>DeVonta Smith</v>
      </c>
      <c r="AJ164" s="115" t="str">
        <f t="shared" si="2"/>
        <v>WR23</v>
      </c>
      <c r="AK164" s="115">
        <f>IFERROR(INDEX(TableWRVORP[BYE],MATCH(TableOverallMaster[[#This Row],[RK]],TableWRVORP[RK],0)),"")</f>
        <v>10</v>
      </c>
      <c r="AL164" s="116">
        <f>IFERROR(INDEX(TableWRVORP[FPS],MATCH(TableOverallMaster[[#This Row],[RK]],TableWRVORP[RK],0)),"")</f>
        <v>184.12883214768004</v>
      </c>
      <c r="AM164" s="117">
        <f>IFERROR(INDEX(TableWRVORP[VORP],MATCH(TableOverallMaster[[#This Row],[RK]],TableWRVORP[RK],0)),"")</f>
        <v>0.2751068525773227</v>
      </c>
      <c r="AO164">
        <v>163</v>
      </c>
      <c r="AP164" s="118" t="str">
        <f>IFERROR(INDEX(TableOverallMaster[OVERALL PLAYER],MATCH(TableOverallRank[[#This Row],[RK]],TableOverallMaster[OVR RK],0)),"")</f>
        <v>Drake Maye</v>
      </c>
      <c r="AQ164" s="119" t="str">
        <f>IFERROR(INDEX(TableOverallMaster[POS RK],MATCH(TableOverallRank[[#This Row],[OVERALL PLAYER]],TableOverallMaster[OVERALL PLAYER],0)),"")</f>
        <v>QB28</v>
      </c>
      <c r="AR164" s="120">
        <f>IFERROR(INDEX(TableOverallMaster[BYE],MATCH(TableOverallRank[[#This Row],[OVERALL PLAYER]],TableOverallMaster[OVERALL PLAYER],0)),"")</f>
        <v>11</v>
      </c>
      <c r="AS164" s="119">
        <f>IFERROR(INDEX(TableOverallMaster[Custom],MATCH(TableOverallRank[[#This Row],[OVERALL PLAYER]],TableOverallMaster[OVERALL PLAYER],0)),"")</f>
        <v>239.09473180042801</v>
      </c>
      <c r="AT164" s="121">
        <f>IFERROR(INDEX(TableOverallMaster[VORP],MATCH(TableOverallRank[[#This Row],[OVERALL PLAYER]],TableOverallMaster[OVERALL PLAYER],0)),"")</f>
        <v>-0.15708868450737629</v>
      </c>
      <c r="AV164">
        <v>163</v>
      </c>
      <c r="AW164" s="122" t="str">
        <f>IFERROR(INDEX(TableWRTECalcPts[PLAYER],MATCH(TableWRTERank[[#This Row],[RK]],TableWRTECalcPts[RK],0)),"")</f>
        <v>Brenden Rice</v>
      </c>
      <c r="AX164" s="122" t="str">
        <f>IFERROR(INDEX(TableWRTECalcPts[POS RK],MATCH(TableWRTERank[[#This Row],[WR and TE COMBINED]],TableWRTECalcPts[PLAYER],0)),"")</f>
        <v>WR117</v>
      </c>
      <c r="AY164" s="122">
        <f>IFERROR(INDEX(TableWRTECalcPts[BYE],MATCH(TableWRTERank[[#This Row],[RK]],TableWRTECalcPts[RK],0)),"")</f>
        <v>5</v>
      </c>
      <c r="AZ164" s="123">
        <f>IFERROR(INDEX(TableWRTECalcPts[Custom],MATCH(TableWRTERank[[#This Row],[RK]],TableWRTECalcPts[RK],0)),"")</f>
        <v>33.838571310137993</v>
      </c>
      <c r="BA164" s="174">
        <f>IFERROR((TableWRTERank[[#This Row],[FPS]]-INDEX(TableWRTERank[FPS],MATCH(WRTEVORPCalc,TableWRTERank[RK],0)))/INDEX(TableWRTERank[FPS],MATCH(WRTEVORPCalc,TableWRTERank[RK],0)),"")</f>
        <v>-0.77332981396801381</v>
      </c>
      <c r="BC164" t="s">
        <v>223</v>
      </c>
      <c r="BD164">
        <v>163</v>
      </c>
      <c r="BE164" s="83">
        <f>RANK(TableWRTEMaster[[#This Row],[VORP]],TableWRTEMaster[VORP])+COUNTIF($BJ$2:BJ164,BJ164)-1</f>
        <v>239</v>
      </c>
      <c r="BF164" s="115" t="str">
        <f>IFERROR(INDEX(TableWRVORP[WIDE RECEIVER],MATCH(TableWRTEMaster[[#This Row],[RK]],TableWRVORP[RK],0)),"")</f>
        <v>Tahj Washington</v>
      </c>
      <c r="BG164" s="115" t="str">
        <f>_xlfn.CONCAT(TableWRTEMaster[[#This Row],[POS]],TableWRTEMaster[[#This Row],[RK]])</f>
        <v>WR163</v>
      </c>
      <c r="BH164" s="115">
        <f>IFERROR(INDEX(TableWRVORP[BYE],MATCH(TableWRTEMaster[[#This Row],[RK]],TableWRVORP[RK],0)),"")</f>
        <v>10</v>
      </c>
      <c r="BI164" s="116">
        <f>IFERROR(INDEX(TableWRVORP[FPS],MATCH(TableWRTEMaster[[#This Row],[RK]],TableWRVORP[RK],0)),"")</f>
        <v>14.071921919999998</v>
      </c>
      <c r="BJ164" s="117">
        <f>IFERROR(INDEX(TableWRVORP[VORP],MATCH(TableWRTEMaster[[#This Row],[RK]],TableWRVORP[RK],0)),"")</f>
        <v>-0.90255081803411574</v>
      </c>
    </row>
    <row r="165" spans="8:62" x14ac:dyDescent="0.2">
      <c r="H165">
        <v>164</v>
      </c>
      <c r="I165" s="112" t="str">
        <f>IFERROR(INDEX(TableRBCalcPts[PLAYER],MATCH(TableRBVORP[[#This Row],[RK]],TableRBCalcPts[RK],0)),"")</f>
        <v/>
      </c>
      <c r="J165" s="112" t="str">
        <f>IFERROR(INDEX(TableRBCalcPts[TM],MATCH(TableRBVORP[[#This Row],[RK]],TableRBCalcPts[RK],0)),"")</f>
        <v/>
      </c>
      <c r="K165" s="112" t="str">
        <f>IFERROR(INDEX(TableRBCalcPts[BYE],MATCH(TableRBVORP[[#This Row],[RK]],TableRBCalcPts[RK],0)),"")</f>
        <v/>
      </c>
      <c r="L165" s="113" t="str">
        <f>IFERROR(INDEX(TableRBCalcPts[Custom],MATCH(TableRBVORP[[#This Row],[RK]],TableRBCalcPts[RK],0)),"")</f>
        <v/>
      </c>
      <c r="M165" s="114" t="str">
        <f>IFERROR((TableRBVORP[[#This Row],[FPS]]-INDEX(TableRBVORP[FPS],MATCH(RBVORPCalc,TableRBVORP[RK],0)))/INDEX(TableRBVORP[FPS],MATCH(RBVORPCalc,TableRBVORP[RK],0)),"")</f>
        <v/>
      </c>
      <c r="O165">
        <v>164</v>
      </c>
      <c r="P165" s="112" t="str">
        <f>IFERROR(INDEX(TableWRCalcPts[PLAYER],MATCH(TableWRVORP[[#This Row],[RK]],TableWRCalcPts[RK],0)),"")</f>
        <v>Zach Pascal</v>
      </c>
      <c r="Q165" s="112" t="str">
        <f>IFERROR(INDEX(TableWRCalcPts[TM],MATCH(TableWRVORP[[#This Row],[RK]],TableWRCalcPts[RK],0)),"")</f>
        <v>ARI</v>
      </c>
      <c r="R165" s="112">
        <f>IFERROR(INDEX(TableWRCalcPts[BYE],MATCH(TableWRVORP[[#This Row],[RK]],TableWRCalcPts[RK],0)),"")</f>
        <v>14</v>
      </c>
      <c r="S165" s="113">
        <f>IFERROR(INDEX(TableWRCalcPts[Custom],MATCH(TableWRVORP[[#This Row],[RK]],TableWRCalcPts[RK],0)),"")</f>
        <v>13.635885183900001</v>
      </c>
      <c r="T165" s="114">
        <f>IFERROR((TableWRVORP[[#This Row],[FPS]]-INDEX(TableWRVORP[FPS],MATCH(WRVORPCalc,TableWRVORP[RK],0)))/INDEX(TableWRVORP[FPS],MATCH(WRVORPCalc,TableWRVORP[RK],0)),"")</f>
        <v>-0.9055704072189894</v>
      </c>
      <c r="AF165" t="s">
        <v>223</v>
      </c>
      <c r="AG165">
        <v>24</v>
      </c>
      <c r="AH165" s="83">
        <f>RANK(TableOverallMaster[[#This Row],[VORP]],TableOverallMaster[VORP])+COUNTIF($AM$2:AM165,AM165)-1</f>
        <v>73</v>
      </c>
      <c r="AI165" s="115" t="str">
        <f>IFERROR(INDEX(TableWRVORP[WIDE RECEIVER],MATCH(TableOverallMaster[[#This Row],[RK]],TableWRVORP[RK],0)),"")</f>
        <v>Malik Nabers</v>
      </c>
      <c r="AJ165" s="115" t="str">
        <f t="shared" si="2"/>
        <v>WR24</v>
      </c>
      <c r="AK165" s="115">
        <f>IFERROR(INDEX(TableWRVORP[BYE],MATCH(TableOverallMaster[[#This Row],[RK]],TableWRVORP[RK],0)),"")</f>
        <v>13</v>
      </c>
      <c r="AL165" s="116">
        <f>IFERROR(INDEX(TableWRVORP[FPS],MATCH(TableOverallMaster[[#This Row],[RK]],TableWRVORP[RK],0)),"")</f>
        <v>183.31286653088634</v>
      </c>
      <c r="AM165" s="117">
        <f>IFERROR(INDEX(TableWRVORP[VORP],MATCH(TableOverallMaster[[#This Row],[RK]],TableWRVORP[RK],0)),"")</f>
        <v>0.26945622558259624</v>
      </c>
      <c r="AO165">
        <v>164</v>
      </c>
      <c r="AP165" s="118" t="str">
        <f>IFERROR(INDEX(TableOverallMaster[OVERALL PLAYER],MATCH(TableOverallRank[[#This Row],[RK]],TableOverallMaster[OVR RK],0)),"")</f>
        <v>Taysom Hill</v>
      </c>
      <c r="AQ165" s="119" t="str">
        <f>IFERROR(INDEX(TableOverallMaster[POS RK],MATCH(TableOverallRank[[#This Row],[OVERALL PLAYER]],TableOverallMaster[OVERALL PLAYER],0)),"")</f>
        <v>TE16</v>
      </c>
      <c r="AR165" s="120">
        <f>IFERROR(INDEX(TableOverallMaster[BYE],MATCH(TableOverallRank[[#This Row],[OVERALL PLAYER]],TableOverallMaster[OVERALL PLAYER],0)),"")</f>
        <v>11</v>
      </c>
      <c r="AS165" s="119">
        <f>IFERROR(INDEX(TableOverallMaster[Custom],MATCH(TableOverallRank[[#This Row],[OVERALL PLAYER]],TableOverallMaster[OVERALL PLAYER],0)),"")</f>
        <v>109.30098272834891</v>
      </c>
      <c r="AT165" s="121">
        <f>IFERROR(INDEX(TableOverallMaster[VORP],MATCH(TableOverallRank[[#This Row],[OVERALL PLAYER]],TableOverallMaster[OVERALL PLAYER],0)),"")</f>
        <v>-0.16781756115724217</v>
      </c>
      <c r="AV165">
        <v>164</v>
      </c>
      <c r="AW165" s="122" t="str">
        <f>IFERROR(INDEX(TableWRTECalcPts[PLAYER],MATCH(TableWRTERank[[#This Row],[RK]],TableWRTECalcPts[RK],0)),"")</f>
        <v>KaVontae Turpin</v>
      </c>
      <c r="AX165" s="122" t="str">
        <f>IFERROR(INDEX(TableWRTECalcPts[POS RK],MATCH(TableWRTERank[[#This Row],[WR and TE COMBINED]],TableWRTECalcPts[PLAYER],0)),"")</f>
        <v>WR118</v>
      </c>
      <c r="AY165" s="122">
        <f>IFERROR(INDEX(TableWRTECalcPts[BYE],MATCH(TableWRTERank[[#This Row],[RK]],TableWRTECalcPts[RK],0)),"")</f>
        <v>7</v>
      </c>
      <c r="AZ165" s="123">
        <f>IFERROR(INDEX(TableWRTECalcPts[Custom],MATCH(TableWRTERank[[#This Row],[RK]],TableWRTECalcPts[RK],0)),"")</f>
        <v>33.663409307035188</v>
      </c>
      <c r="BA165" s="174">
        <f>IFERROR((TableWRTERank[[#This Row],[FPS]]-INDEX(TableWRTERank[FPS],MATCH(WRTEVORPCalc,TableWRTERank[RK],0)))/INDEX(TableWRTERank[FPS],MATCH(WRTEVORPCalc,TableWRTERank[RK],0)),"")</f>
        <v>-0.77450314967019673</v>
      </c>
      <c r="BC165" t="s">
        <v>223</v>
      </c>
      <c r="BD165">
        <v>164</v>
      </c>
      <c r="BE165" s="83">
        <f>RANK(TableWRTEMaster[[#This Row],[VORP]],TableWRTEMaster[VORP])+COUNTIF($BJ$2:BJ165,BJ165)-1</f>
        <v>241</v>
      </c>
      <c r="BF165" s="115" t="str">
        <f>IFERROR(INDEX(TableWRVORP[WIDE RECEIVER],MATCH(TableWRTEMaster[[#This Row],[RK]],TableWRVORP[RK],0)),"")</f>
        <v>Zach Pascal</v>
      </c>
      <c r="BG165" s="115" t="str">
        <f>_xlfn.CONCAT(TableWRTEMaster[[#This Row],[POS]],TableWRTEMaster[[#This Row],[RK]])</f>
        <v>WR164</v>
      </c>
      <c r="BH165" s="115">
        <f>IFERROR(INDEX(TableWRVORP[BYE],MATCH(TableWRTEMaster[[#This Row],[RK]],TableWRVORP[RK],0)),"")</f>
        <v>14</v>
      </c>
      <c r="BI165" s="116">
        <f>IFERROR(INDEX(TableWRVORP[FPS],MATCH(TableWRTEMaster[[#This Row],[RK]],TableWRVORP[RK],0)),"")</f>
        <v>13.635885183900001</v>
      </c>
      <c r="BJ165" s="117">
        <f>IFERROR(INDEX(TableWRVORP[VORP],MATCH(TableWRTEMaster[[#This Row],[RK]],TableWRVORP[RK],0)),"")</f>
        <v>-0.9055704072189894</v>
      </c>
    </row>
    <row r="166" spans="8:62" x14ac:dyDescent="0.2">
      <c r="H166">
        <v>165</v>
      </c>
      <c r="I166" s="112" t="str">
        <f>IFERROR(INDEX(TableRBCalcPts[PLAYER],MATCH(TableRBVORP[[#This Row],[RK]],TableRBCalcPts[RK],0)),"")</f>
        <v/>
      </c>
      <c r="J166" s="112" t="str">
        <f>IFERROR(INDEX(TableRBCalcPts[TM],MATCH(TableRBVORP[[#This Row],[RK]],TableRBCalcPts[RK],0)),"")</f>
        <v/>
      </c>
      <c r="K166" s="112" t="str">
        <f>IFERROR(INDEX(TableRBCalcPts[BYE],MATCH(TableRBVORP[[#This Row],[RK]],TableRBCalcPts[RK],0)),"")</f>
        <v/>
      </c>
      <c r="L166" s="113" t="str">
        <f>IFERROR(INDEX(TableRBCalcPts[Custom],MATCH(TableRBVORP[[#This Row],[RK]],TableRBCalcPts[RK],0)),"")</f>
        <v/>
      </c>
      <c r="M166" s="114" t="str">
        <f>IFERROR((TableRBVORP[[#This Row],[FPS]]-INDEX(TableRBVORP[FPS],MATCH(RBVORPCalc,TableRBVORP[RK],0)))/INDEX(TableRBVORP[FPS],MATCH(RBVORPCalc,TableRBVORP[RK],0)),"")</f>
        <v/>
      </c>
      <c r="O166">
        <v>165</v>
      </c>
      <c r="P166" s="112" t="str">
        <f>IFERROR(INDEX(TableWRCalcPts[PLAYER],MATCH(TableWRVORP[[#This Row],[RK]],TableWRCalcPts[RK],0)),"")</f>
        <v>Tim Jones</v>
      </c>
      <c r="Q166" s="112" t="str">
        <f>IFERROR(INDEX(TableWRCalcPts[TM],MATCH(TableWRVORP[[#This Row],[RK]],TableWRCalcPts[RK],0)),"")</f>
        <v>JAX</v>
      </c>
      <c r="R166" s="112">
        <f>IFERROR(INDEX(TableWRCalcPts[BYE],MATCH(TableWRVORP[[#This Row],[RK]],TableWRCalcPts[RK],0)),"")</f>
        <v>9</v>
      </c>
      <c r="S166" s="113">
        <f>IFERROR(INDEX(TableWRCalcPts[Custom],MATCH(TableWRVORP[[#This Row],[RK]],TableWRCalcPts[RK],0)),"")</f>
        <v>13.501545220799994</v>
      </c>
      <c r="T166" s="114">
        <f>IFERROR((TableWRVORP[[#This Row],[FPS]]-INDEX(TableWRVORP[FPS],MATCH(WRVORPCalc,TableWRVORP[RK],0)))/INDEX(TableWRVORP[FPS],MATCH(WRVORPCalc,TableWRVORP[RK],0)),"")</f>
        <v>-0.90650072218121336</v>
      </c>
      <c r="AF166" t="s">
        <v>223</v>
      </c>
      <c r="AG166">
        <v>25</v>
      </c>
      <c r="AH166" s="83">
        <f>RANK(TableOverallMaster[[#This Row],[VORP]],TableOverallMaster[VORP])+COUNTIF($AM$2:AM166,AM166)-1</f>
        <v>75</v>
      </c>
      <c r="AI166" s="115" t="str">
        <f>IFERROR(INDEX(TableWRVORP[WIDE RECEIVER],MATCH(TableOverallMaster[[#This Row],[RK]],TableWRVORP[RK],0)),"")</f>
        <v>Stefon Diggs</v>
      </c>
      <c r="AJ166" s="115" t="str">
        <f t="shared" si="2"/>
        <v>WR25</v>
      </c>
      <c r="AK166" s="115">
        <f>IFERROR(INDEX(TableWRVORP[BYE],MATCH(TableOverallMaster[[#This Row],[RK]],TableWRVORP[RK],0)),"")</f>
        <v>7</v>
      </c>
      <c r="AL166" s="116">
        <f>IFERROR(INDEX(TableWRVORP[FPS],MATCH(TableOverallMaster[[#This Row],[RK]],TableWRVORP[RK],0)),"")</f>
        <v>181.51740331712003</v>
      </c>
      <c r="AM166" s="117">
        <f>IFERROR(INDEX(TableWRVORP[VORP],MATCH(TableOverallMaster[[#This Row],[RK]],TableWRVORP[RK],0)),"")</f>
        <v>0.25702249958368417</v>
      </c>
      <c r="AO166">
        <v>165</v>
      </c>
      <c r="AP166" s="118" t="str">
        <f>IFERROR(INDEX(TableOverallMaster[OVERALL PLAYER],MATCH(TableOverallRank[[#This Row],[RK]],TableOverallMaster[OVR RK],0)),"")</f>
        <v>Jermaine Burton</v>
      </c>
      <c r="AQ166" s="119" t="str">
        <f>IFERROR(INDEX(TableOverallMaster[POS RK],MATCH(TableOverallRank[[#This Row],[OVERALL PLAYER]],TableOverallMaster[OVERALL PLAYER],0)),"")</f>
        <v>WR70</v>
      </c>
      <c r="AR166" s="120">
        <f>IFERROR(INDEX(TableOverallMaster[BYE],MATCH(TableOverallRank[[#This Row],[OVERALL PLAYER]],TableOverallMaster[OVERALL PLAYER],0)),"")</f>
        <v>7</v>
      </c>
      <c r="AS166" s="119">
        <f>IFERROR(INDEX(TableOverallMaster[Custom],MATCH(TableOverallRank[[#This Row],[OVERALL PLAYER]],TableOverallMaster[OVERALL PLAYER],0)),"")</f>
        <v>118.73828249010003</v>
      </c>
      <c r="AT166" s="121">
        <f>IFERROR(INDEX(TableOverallMaster[VORP],MATCH(TableOverallRank[[#This Row],[OVERALL PLAYER]],TableOverallMaster[OVERALL PLAYER],0)),"")</f>
        <v>-0.17772792071501706</v>
      </c>
      <c r="AV166">
        <v>165</v>
      </c>
      <c r="AW166" s="122" t="str">
        <f>IFERROR(INDEX(TableWRTECalcPts[PLAYER],MATCH(TableWRTERank[[#This Row],[RK]],TableWRTECalcPts[RK],0)),"")</f>
        <v>Alec Pierce</v>
      </c>
      <c r="AX166" s="122" t="str">
        <f>IFERROR(INDEX(TableWRTECalcPts[POS RK],MATCH(TableWRTERank[[#This Row],[WR and TE COMBINED]],TableWRTECalcPts[PLAYER],0)),"")</f>
        <v>WR119</v>
      </c>
      <c r="AY166" s="122">
        <f>IFERROR(INDEX(TableWRTECalcPts[BYE],MATCH(TableWRTERank[[#This Row],[RK]],TableWRTECalcPts[RK],0)),"")</f>
        <v>11</v>
      </c>
      <c r="AZ166" s="123">
        <f>IFERROR(INDEX(TableWRTECalcPts[Custom],MATCH(TableWRTERank[[#This Row],[RK]],TableWRTECalcPts[RK],0)),"")</f>
        <v>32.196362429000004</v>
      </c>
      <c r="BA166" s="174">
        <f>IFERROR((TableWRTERank[[#This Row],[FPS]]-INDEX(TableWRTERank[FPS],MATCH(WRTEVORPCalc,TableWRTERank[RK],0)))/INDEX(TableWRTERank[FPS],MATCH(WRTEVORPCalc,TableWRTERank[RK],0)),"")</f>
        <v>-0.78433027226689611</v>
      </c>
      <c r="BC166" t="s">
        <v>223</v>
      </c>
      <c r="BD166">
        <v>165</v>
      </c>
      <c r="BE166" s="83">
        <f>RANK(TableWRTEMaster[[#This Row],[VORP]],TableWRTEMaster[VORP])+COUNTIF($BJ$2:BJ166,BJ166)-1</f>
        <v>242</v>
      </c>
      <c r="BF166" s="115" t="str">
        <f>IFERROR(INDEX(TableWRVORP[WIDE RECEIVER],MATCH(TableWRTEMaster[[#This Row],[RK]],TableWRVORP[RK],0)),"")</f>
        <v>Tim Jones</v>
      </c>
      <c r="BG166" s="115" t="str">
        <f>_xlfn.CONCAT(TableWRTEMaster[[#This Row],[POS]],TableWRTEMaster[[#This Row],[RK]])</f>
        <v>WR165</v>
      </c>
      <c r="BH166" s="115">
        <f>IFERROR(INDEX(TableWRVORP[BYE],MATCH(TableWRTEMaster[[#This Row],[RK]],TableWRVORP[RK],0)),"")</f>
        <v>9</v>
      </c>
      <c r="BI166" s="116">
        <f>IFERROR(INDEX(TableWRVORP[FPS],MATCH(TableWRTEMaster[[#This Row],[RK]],TableWRVORP[RK],0)),"")</f>
        <v>13.501545220799994</v>
      </c>
      <c r="BJ166" s="117">
        <f>IFERROR(INDEX(TableWRVORP[VORP],MATCH(TableWRTEMaster[[#This Row],[RK]],TableWRVORP[RK],0)),"")</f>
        <v>-0.90650072218121336</v>
      </c>
    </row>
    <row r="167" spans="8:62" x14ac:dyDescent="0.2">
      <c r="H167">
        <v>166</v>
      </c>
      <c r="I167" s="112" t="str">
        <f>IFERROR(INDEX(TableRBCalcPts[PLAYER],MATCH(TableRBVORP[[#This Row],[RK]],TableRBCalcPts[RK],0)),"")</f>
        <v/>
      </c>
      <c r="J167" s="112" t="str">
        <f>IFERROR(INDEX(TableRBCalcPts[TM],MATCH(TableRBVORP[[#This Row],[RK]],TableRBCalcPts[RK],0)),"")</f>
        <v/>
      </c>
      <c r="K167" s="112" t="str">
        <f>IFERROR(INDEX(TableRBCalcPts[BYE],MATCH(TableRBVORP[[#This Row],[RK]],TableRBCalcPts[RK],0)),"")</f>
        <v/>
      </c>
      <c r="L167" s="113" t="str">
        <f>IFERROR(INDEX(TableRBCalcPts[Custom],MATCH(TableRBVORP[[#This Row],[RK]],TableRBCalcPts[RK],0)),"")</f>
        <v/>
      </c>
      <c r="M167" s="114" t="str">
        <f>IFERROR((TableRBVORP[[#This Row],[FPS]]-INDEX(TableRBVORP[FPS],MATCH(RBVORPCalc,TableRBVORP[RK],0)))/INDEX(TableRBVORP[FPS],MATCH(RBVORPCalc,TableRBVORP[RK],0)),"")</f>
        <v/>
      </c>
      <c r="O167">
        <v>166</v>
      </c>
      <c r="P167" s="112" t="str">
        <f>IFERROR(INDEX(TableWRCalcPts[PLAYER],MATCH(TableWRVORP[[#This Row],[RK]],TableWRCalcPts[RK],0)),"")</f>
        <v>Brandon Johnson</v>
      </c>
      <c r="Q167" s="112" t="str">
        <f>IFERROR(INDEX(TableWRCalcPts[TM],MATCH(TableWRVORP[[#This Row],[RK]],TableWRCalcPts[RK],0)),"")</f>
        <v>DEN</v>
      </c>
      <c r="R167" s="112">
        <f>IFERROR(INDEX(TableWRCalcPts[BYE],MATCH(TableWRVORP[[#This Row],[RK]],TableWRCalcPts[RK],0)),"")</f>
        <v>9</v>
      </c>
      <c r="S167" s="113">
        <f>IFERROR(INDEX(TableWRCalcPts[Custom],MATCH(TableWRVORP[[#This Row],[RK]],TableWRCalcPts[RK],0)),"")</f>
        <v>13.243490175300002</v>
      </c>
      <c r="T167" s="114">
        <f>IFERROR((TableWRVORP[[#This Row],[FPS]]-INDEX(TableWRVORP[FPS],MATCH(WRVORPCalc,TableWRVORP[RK],0)))/INDEX(TableWRVORP[FPS],MATCH(WRVORPCalc,TableWRVORP[RK],0)),"")</f>
        <v>-0.9082877739591515</v>
      </c>
      <c r="AF167" t="s">
        <v>223</v>
      </c>
      <c r="AG167">
        <v>26</v>
      </c>
      <c r="AH167" s="83">
        <f>RANK(TableOverallMaster[[#This Row],[VORP]],TableOverallMaster[VORP])+COUNTIF($AM$2:AM167,AM167)-1</f>
        <v>76</v>
      </c>
      <c r="AI167" s="115" t="str">
        <f>IFERROR(INDEX(TableWRVORP[WIDE RECEIVER],MATCH(TableOverallMaster[[#This Row],[RK]],TableWRVORP[RK],0)),"")</f>
        <v>Davante Adams</v>
      </c>
      <c r="AJ167" s="115" t="str">
        <f t="shared" si="2"/>
        <v>WR26</v>
      </c>
      <c r="AK167" s="115">
        <f>IFERROR(INDEX(TableWRVORP[BYE],MATCH(TableOverallMaster[[#This Row],[RK]],TableWRVORP[RK],0)),"")</f>
        <v>13</v>
      </c>
      <c r="AL167" s="116">
        <f>IFERROR(INDEX(TableWRVORP[FPS],MATCH(TableOverallMaster[[#This Row],[RK]],TableWRVORP[RK],0)),"")</f>
        <v>181.43058009999996</v>
      </c>
      <c r="AM167" s="117">
        <f>IFERROR(INDEX(TableWRVORP[VORP],MATCH(TableOverallMaster[[#This Row],[RK]],TableWRVORP[RK],0)),"")</f>
        <v>0.25642124187829768</v>
      </c>
      <c r="AO167">
        <v>166</v>
      </c>
      <c r="AP167" s="118" t="str">
        <f>IFERROR(INDEX(TableOverallMaster[OVERALL PLAYER],MATCH(TableOverallRank[[#This Row],[RK]],TableOverallMaster[OVR RK],0)),"")</f>
        <v>MarShawn Lloyd</v>
      </c>
      <c r="AQ167" s="119" t="str">
        <f>IFERROR(INDEX(TableOverallMaster[POS RK],MATCH(TableOverallRank[[#This Row],[OVERALL PLAYER]],TableOverallMaster[OVERALL PLAYER],0)),"")</f>
        <v>RB52</v>
      </c>
      <c r="AR167" s="120">
        <f>IFERROR(INDEX(TableOverallMaster[BYE],MATCH(TableOverallRank[[#This Row],[OVERALL PLAYER]],TableOverallMaster[OVERALL PLAYER],0)),"")</f>
        <v>6</v>
      </c>
      <c r="AS167" s="119">
        <f>IFERROR(INDEX(TableOverallMaster[Custom],MATCH(TableOverallRank[[#This Row],[OVERALL PLAYER]],TableOverallMaster[OVERALL PLAYER],0)),"")</f>
        <v>92.192326900800012</v>
      </c>
      <c r="AT167" s="121">
        <f>IFERROR(INDEX(TableOverallMaster[VORP],MATCH(TableOverallRank[[#This Row],[OVERALL PLAYER]],TableOverallMaster[OVERALL PLAYER],0)),"")</f>
        <v>-0.18209813291037499</v>
      </c>
      <c r="AV167">
        <v>166</v>
      </c>
      <c r="AW167" s="122" t="str">
        <f>IFERROR(INDEX(TableWRTECalcPts[PLAYER],MATCH(TableWRTERank[[#This Row],[RK]],TableWRTECalcPts[RK],0)),"")</f>
        <v>Adam Trautman</v>
      </c>
      <c r="AX167" s="122" t="str">
        <f>IFERROR(INDEX(TableWRTECalcPts[POS RK],MATCH(TableWRTERank[[#This Row],[WR and TE COMBINED]],TableWRTECalcPts[PLAYER],0)),"")</f>
        <v>TE47</v>
      </c>
      <c r="AY167" s="122">
        <f>IFERROR(INDEX(TableWRTECalcPts[BYE],MATCH(TableWRTERank[[#This Row],[RK]],TableWRTECalcPts[RK],0)),"")</f>
        <v>9</v>
      </c>
      <c r="AZ167" s="123">
        <f>IFERROR(INDEX(TableWRTECalcPts[Custom],MATCH(TableWRTERank[[#This Row],[RK]],TableWRTECalcPts[RK],0)),"")</f>
        <v>31.824565295600003</v>
      </c>
      <c r="BA167" s="174">
        <f>IFERROR((TableWRTERank[[#This Row],[FPS]]-INDEX(TableWRTERank[FPS],MATCH(WRTEVORPCalc,TableWRTERank[RK],0)))/INDEX(TableWRTERank[FPS],MATCH(WRTEVORPCalc,TableWRTERank[RK],0)),"")</f>
        <v>-0.78682078301043601</v>
      </c>
      <c r="BC167" t="s">
        <v>223</v>
      </c>
      <c r="BD167">
        <v>166</v>
      </c>
      <c r="BE167" s="83">
        <f>RANK(TableWRTEMaster[[#This Row],[VORP]],TableWRTEMaster[VORP])+COUNTIF($BJ$2:BJ167,BJ167)-1</f>
        <v>243</v>
      </c>
      <c r="BF167" s="115" t="str">
        <f>IFERROR(INDEX(TableWRVORP[WIDE RECEIVER],MATCH(TableWRTEMaster[[#This Row],[RK]],TableWRVORP[RK],0)),"")</f>
        <v>Brandon Johnson</v>
      </c>
      <c r="BG167" s="115" t="str">
        <f>_xlfn.CONCAT(TableWRTEMaster[[#This Row],[POS]],TableWRTEMaster[[#This Row],[RK]])</f>
        <v>WR166</v>
      </c>
      <c r="BH167" s="115">
        <f>IFERROR(INDEX(TableWRVORP[BYE],MATCH(TableWRTEMaster[[#This Row],[RK]],TableWRVORP[RK],0)),"")</f>
        <v>9</v>
      </c>
      <c r="BI167" s="116">
        <f>IFERROR(INDEX(TableWRVORP[FPS],MATCH(TableWRTEMaster[[#This Row],[RK]],TableWRVORP[RK],0)),"")</f>
        <v>13.243490175300002</v>
      </c>
      <c r="BJ167" s="117">
        <f>IFERROR(INDEX(TableWRVORP[VORP],MATCH(TableWRTEMaster[[#This Row],[RK]],TableWRVORP[RK],0)),"")</f>
        <v>-0.9082877739591515</v>
      </c>
    </row>
    <row r="168" spans="8:62" x14ac:dyDescent="0.2">
      <c r="H168">
        <v>167</v>
      </c>
      <c r="I168" s="112" t="str">
        <f>IFERROR(INDEX(TableRBCalcPts[PLAYER],MATCH(TableRBVORP[[#This Row],[RK]],TableRBCalcPts[RK],0)),"")</f>
        <v/>
      </c>
      <c r="J168" s="112" t="str">
        <f>IFERROR(INDEX(TableRBCalcPts[TM],MATCH(TableRBVORP[[#This Row],[RK]],TableRBCalcPts[RK],0)),"")</f>
        <v/>
      </c>
      <c r="K168" s="112" t="str">
        <f>IFERROR(INDEX(TableRBCalcPts[BYE],MATCH(TableRBVORP[[#This Row],[RK]],TableRBCalcPts[RK],0)),"")</f>
        <v/>
      </c>
      <c r="L168" s="113" t="str">
        <f>IFERROR(INDEX(TableRBCalcPts[Custom],MATCH(TableRBVORP[[#This Row],[RK]],TableRBCalcPts[RK],0)),"")</f>
        <v/>
      </c>
      <c r="M168" s="114" t="str">
        <f>IFERROR((TableRBVORP[[#This Row],[FPS]]-INDEX(TableRBVORP[FPS],MATCH(RBVORPCalc,TableRBVORP[RK],0)))/INDEX(TableRBVORP[FPS],MATCH(RBVORPCalc,TableRBVORP[RK],0)),"")</f>
        <v/>
      </c>
      <c r="O168">
        <v>167</v>
      </c>
      <c r="P168" s="112" t="str">
        <f>IFERROR(INDEX(TableWRCalcPts[PLAYER],MATCH(TableWRVORP[[#This Row],[RK]],TableWRCalcPts[RK],0)),"")</f>
        <v>Jalen Nailor</v>
      </c>
      <c r="Q168" s="112" t="str">
        <f>IFERROR(INDEX(TableWRCalcPts[TM],MATCH(TableWRVORP[[#This Row],[RK]],TableWRCalcPts[RK],0)),"")</f>
        <v>MIN</v>
      </c>
      <c r="R168" s="112">
        <f>IFERROR(INDEX(TableWRCalcPts[BYE],MATCH(TableWRVORP[[#This Row],[RK]],TableWRCalcPts[RK],0)),"")</f>
        <v>13</v>
      </c>
      <c r="S168" s="113">
        <f>IFERROR(INDEX(TableWRCalcPts[Custom],MATCH(TableWRVORP[[#This Row],[RK]],TableWRCalcPts[RK],0)),"")</f>
        <v>13.011927264000001</v>
      </c>
      <c r="T168" s="114">
        <f>IFERROR((TableWRVORP[[#This Row],[FPS]]-INDEX(TableWRVORP[FPS],MATCH(WRVORPCalc,TableWRVORP[RK],0)))/INDEX(TableWRVORP[FPS],MATCH(WRVORPCalc,TableWRVORP[RK],0)),"")</f>
        <v>-0.9098913655941897</v>
      </c>
      <c r="AF168" t="s">
        <v>223</v>
      </c>
      <c r="AG168">
        <v>27</v>
      </c>
      <c r="AH168" s="83">
        <f>RANK(TableOverallMaster[[#This Row],[VORP]],TableOverallMaster[VORP])+COUNTIF($AM$2:AM168,AM168)-1</f>
        <v>78</v>
      </c>
      <c r="AI168" s="115" t="str">
        <f>IFERROR(INDEX(TableWRVORP[WIDE RECEIVER],MATCH(TableOverallMaster[[#This Row],[RK]],TableWRVORP[RK],0)),"")</f>
        <v>DeAndre Hopkins</v>
      </c>
      <c r="AJ168" s="115" t="str">
        <f t="shared" si="2"/>
        <v>WR27</v>
      </c>
      <c r="AK168" s="115">
        <f>IFERROR(INDEX(TableWRVORP[BYE],MATCH(TableOverallMaster[[#This Row],[RK]],TableWRVORP[RK],0)),"")</f>
        <v>7</v>
      </c>
      <c r="AL168" s="116">
        <f>IFERROR(INDEX(TableWRVORP[FPS],MATCH(TableOverallMaster[[#This Row],[RK]],TableWRVORP[RK],0)),"")</f>
        <v>180.79272407195992</v>
      </c>
      <c r="AM168" s="117">
        <f>IFERROR(INDEX(TableWRVORP[VORP],MATCH(TableOverallMaster[[#This Row],[RK]],TableWRVORP[RK],0)),"")</f>
        <v>0.2520040379954247</v>
      </c>
      <c r="AO168">
        <v>167</v>
      </c>
      <c r="AP168" s="118" t="str">
        <f>IFERROR(INDEX(TableOverallMaster[OVERALL PLAYER],MATCH(TableOverallRank[[#This Row],[RK]],TableOverallMaster[OVR RK],0)),"")</f>
        <v>Adam Thielen</v>
      </c>
      <c r="AQ168" s="119" t="str">
        <f>IFERROR(INDEX(TableOverallMaster[POS RK],MATCH(TableOverallRank[[#This Row],[OVERALL PLAYER]],TableOverallMaster[OVERALL PLAYER],0)),"")</f>
        <v>WR71</v>
      </c>
      <c r="AR168" s="120">
        <f>IFERROR(INDEX(TableOverallMaster[BYE],MATCH(TableOverallRank[[#This Row],[OVERALL PLAYER]],TableOverallMaster[OVERALL PLAYER],0)),"")</f>
        <v>7</v>
      </c>
      <c r="AS168" s="119">
        <f>IFERROR(INDEX(TableOverallMaster[Custom],MATCH(TableOverallRank[[#This Row],[OVERALL PLAYER]],TableOverallMaster[OVERALL PLAYER],0)),"")</f>
        <v>117.82870796050199</v>
      </c>
      <c r="AT168" s="121">
        <f>IFERROR(INDEX(TableOverallMaster[VORP],MATCH(TableOverallRank[[#This Row],[OVERALL PLAYER]],TableOverallMaster[OVERALL PLAYER],0)),"")</f>
        <v>-0.18402679689911214</v>
      </c>
      <c r="AV168">
        <v>167</v>
      </c>
      <c r="AW168" s="122" t="str">
        <f>IFERROR(INDEX(TableWRTECalcPts[PLAYER],MATCH(TableWRTERank[[#This Row],[RK]],TableWRTECalcPts[RK],0)),"")</f>
        <v>Treylon Burks</v>
      </c>
      <c r="AX168" s="122" t="str">
        <f>IFERROR(INDEX(TableWRTECalcPts[POS RK],MATCH(TableWRTERank[[#This Row],[WR and TE COMBINED]],TableWRTECalcPts[PLAYER],0)),"")</f>
        <v>WR120</v>
      </c>
      <c r="AY168" s="122">
        <f>IFERROR(INDEX(TableWRTECalcPts[BYE],MATCH(TableWRTERank[[#This Row],[RK]],TableWRTECalcPts[RK],0)),"")</f>
        <v>7</v>
      </c>
      <c r="AZ168" s="123">
        <f>IFERROR(INDEX(TableWRTECalcPts[Custom],MATCH(TableWRTERank[[#This Row],[RK]],TableWRTECalcPts[RK],0)),"")</f>
        <v>31.770527688899989</v>
      </c>
      <c r="BA168" s="174">
        <f>IFERROR((TableWRTERank[[#This Row],[FPS]]-INDEX(TableWRTERank[FPS],MATCH(WRTEVORPCalc,TableWRTERank[RK],0)))/INDEX(TableWRTERank[FPS],MATCH(WRTEVORPCalc,TableWRTERank[RK],0)),"")</f>
        <v>-0.78718275793695258</v>
      </c>
      <c r="BC168" t="s">
        <v>223</v>
      </c>
      <c r="BD168">
        <v>167</v>
      </c>
      <c r="BE168" s="83">
        <f>RANK(TableWRTEMaster[[#This Row],[VORP]],TableWRTEMaster[VORP])+COUNTIF($BJ$2:BJ168,BJ168)-1</f>
        <v>244</v>
      </c>
      <c r="BF168" s="115" t="str">
        <f>IFERROR(INDEX(TableWRVORP[WIDE RECEIVER],MATCH(TableWRTEMaster[[#This Row],[RK]],TableWRVORP[RK],0)),"")</f>
        <v>Jalen Nailor</v>
      </c>
      <c r="BG168" s="115" t="str">
        <f>_xlfn.CONCAT(TableWRTEMaster[[#This Row],[POS]],TableWRTEMaster[[#This Row],[RK]])</f>
        <v>WR167</v>
      </c>
      <c r="BH168" s="115">
        <f>IFERROR(INDEX(TableWRVORP[BYE],MATCH(TableWRTEMaster[[#This Row],[RK]],TableWRVORP[RK],0)),"")</f>
        <v>13</v>
      </c>
      <c r="BI168" s="116">
        <f>IFERROR(INDEX(TableWRVORP[FPS],MATCH(TableWRTEMaster[[#This Row],[RK]],TableWRVORP[RK],0)),"")</f>
        <v>13.011927264000001</v>
      </c>
      <c r="BJ168" s="117">
        <f>IFERROR(INDEX(TableWRVORP[VORP],MATCH(TableWRTEMaster[[#This Row],[RK]],TableWRVORP[RK],0)),"")</f>
        <v>-0.9098913655941897</v>
      </c>
    </row>
    <row r="169" spans="8:62" x14ac:dyDescent="0.2">
      <c r="H169">
        <v>168</v>
      </c>
      <c r="I169" s="112" t="str">
        <f>IFERROR(INDEX(TableRBCalcPts[PLAYER],MATCH(TableRBVORP[[#This Row],[RK]],TableRBCalcPts[RK],0)),"")</f>
        <v/>
      </c>
      <c r="J169" s="112" t="str">
        <f>IFERROR(INDEX(TableRBCalcPts[TM],MATCH(TableRBVORP[[#This Row],[RK]],TableRBCalcPts[RK],0)),"")</f>
        <v/>
      </c>
      <c r="K169" s="112" t="str">
        <f>IFERROR(INDEX(TableRBCalcPts[BYE],MATCH(TableRBVORP[[#This Row],[RK]],TableRBCalcPts[RK],0)),"")</f>
        <v/>
      </c>
      <c r="L169" s="113" t="str">
        <f>IFERROR(INDEX(TableRBCalcPts[Custom],MATCH(TableRBVORP[[#This Row],[RK]],TableRBCalcPts[RK],0)),"")</f>
        <v/>
      </c>
      <c r="M169" s="114" t="str">
        <f>IFERROR((TableRBVORP[[#This Row],[FPS]]-INDEX(TableRBVORP[FPS],MATCH(RBVORPCalc,TableRBVORP[RK],0)))/INDEX(TableRBVORP[FPS],MATCH(RBVORPCalc,TableRBVORP[RK],0)),"")</f>
        <v/>
      </c>
      <c r="O169">
        <v>168</v>
      </c>
      <c r="P169" s="112" t="str">
        <f>IFERROR(INDEX(TableWRCalcPts[PLAYER],MATCH(TableWRVORP[[#This Row],[RK]],TableWRCalcPts[RK],0)),"")</f>
        <v>David Moore</v>
      </c>
      <c r="Q169" s="112" t="str">
        <f>IFERROR(INDEX(TableWRCalcPts[TM],MATCH(TableWRVORP[[#This Row],[RK]],TableWRCalcPts[RK],0)),"")</f>
        <v>CAR</v>
      </c>
      <c r="R169" s="112">
        <f>IFERROR(INDEX(TableWRCalcPts[BYE],MATCH(TableWRVORP[[#This Row],[RK]],TableWRCalcPts[RK],0)),"")</f>
        <v>7</v>
      </c>
      <c r="S169" s="113">
        <f>IFERROR(INDEX(TableWRCalcPts[Custom],MATCH(TableWRVORP[[#This Row],[RK]],TableWRCalcPts[RK],0)),"")</f>
        <v>12.832094951199998</v>
      </c>
      <c r="T169" s="114">
        <f>IFERROR((TableWRVORP[[#This Row],[FPS]]-INDEX(TableWRVORP[FPS],MATCH(WRVORPCalc,TableWRVORP[RK],0)))/INDEX(TableWRVORP[FPS],MATCH(WRVORPCalc,TableWRVORP[RK],0)),"")</f>
        <v>-0.91113671870750457</v>
      </c>
      <c r="AF169" t="s">
        <v>223</v>
      </c>
      <c r="AG169">
        <v>28</v>
      </c>
      <c r="AH169" s="83">
        <f>RANK(TableOverallMaster[[#This Row],[VORP]],TableOverallMaster[VORP])+COUNTIF($AM$2:AM169,AM169)-1</f>
        <v>79</v>
      </c>
      <c r="AI169" s="115" t="str">
        <f>IFERROR(INDEX(TableWRVORP[WIDE RECEIVER],MATCH(TableOverallMaster[[#This Row],[RK]],TableWRVORP[RK],0)),"")</f>
        <v>Jordan Addison</v>
      </c>
      <c r="AJ169" s="115" t="str">
        <f t="shared" si="2"/>
        <v>WR28</v>
      </c>
      <c r="AK169" s="115">
        <f>IFERROR(INDEX(TableWRVORP[BYE],MATCH(TableOverallMaster[[#This Row],[RK]],TableWRVORP[RK],0)),"")</f>
        <v>13</v>
      </c>
      <c r="AL169" s="116">
        <f>IFERROR(INDEX(TableWRVORP[FPS],MATCH(TableOverallMaster[[#This Row],[RK]],TableWRVORP[RK],0)),"")</f>
        <v>179.59176974591995</v>
      </c>
      <c r="AM169" s="117">
        <f>IFERROR(INDEX(TableWRVORP[VORP],MATCH(TableOverallMaster[[#This Row],[RK]],TableWRVORP[RK],0)),"")</f>
        <v>0.24368733347444158</v>
      </c>
      <c r="AO169">
        <v>168</v>
      </c>
      <c r="AP169" s="118" t="str">
        <f>IFERROR(INDEX(TableOverallMaster[OVERALL PLAYER],MATCH(TableOverallRank[[#This Row],[RK]],TableOverallMaster[OVR RK],0)),"")</f>
        <v>Jaylen Wright</v>
      </c>
      <c r="AQ169" s="119" t="str">
        <f>IFERROR(INDEX(TableOverallMaster[POS RK],MATCH(TableOverallRank[[#This Row],[OVERALL PLAYER]],TableOverallMaster[OVERALL PLAYER],0)),"")</f>
        <v>RB53</v>
      </c>
      <c r="AR169" s="120">
        <f>IFERROR(INDEX(TableOverallMaster[BYE],MATCH(TableOverallRank[[#This Row],[OVERALL PLAYER]],TableOverallMaster[OVERALL PLAYER],0)),"")</f>
        <v>10</v>
      </c>
      <c r="AS169" s="119">
        <f>IFERROR(INDEX(TableOverallMaster[Custom],MATCH(TableOverallRank[[#This Row],[OVERALL PLAYER]],TableOverallMaster[OVERALL PLAYER],0)),"")</f>
        <v>91.322713680576001</v>
      </c>
      <c r="AT169" s="121">
        <f>IFERROR(INDEX(TableOverallMaster[VORP],MATCH(TableOverallRank[[#This Row],[OVERALL PLAYER]],TableOverallMaster[OVERALL PLAYER],0)),"")</f>
        <v>-0.1898130729750982</v>
      </c>
      <c r="AV169">
        <v>168</v>
      </c>
      <c r="AW169" s="122" t="str">
        <f>IFERROR(INDEX(TableWRTECalcPts[PLAYER],MATCH(TableWRTERank[[#This Row],[RK]],TableWRTECalcPts[RK],0)),"")</f>
        <v>Gerald Everett</v>
      </c>
      <c r="AX169" s="122" t="str">
        <f>IFERROR(INDEX(TableWRTECalcPts[POS RK],MATCH(TableWRTERank[[#This Row],[WR and TE COMBINED]],TableWRTECalcPts[PLAYER],0)),"")</f>
        <v>TE48</v>
      </c>
      <c r="AY169" s="122">
        <f>IFERROR(INDEX(TableWRTECalcPts[BYE],MATCH(TableWRTERank[[#This Row],[RK]],TableWRTECalcPts[RK],0)),"")</f>
        <v>13</v>
      </c>
      <c r="AZ169" s="123">
        <f>IFERROR(INDEX(TableWRTECalcPts[Custom],MATCH(TableWRTERank[[#This Row],[RK]],TableWRTECalcPts[RK],0)),"")</f>
        <v>31.095113212799991</v>
      </c>
      <c r="BA169" s="174">
        <f>IFERROR((TableWRTERank[[#This Row],[FPS]]-INDEX(TableWRTERank[FPS],MATCH(WRTEVORPCalc,TableWRTERank[RK],0)))/INDEX(TableWRTERank[FPS],MATCH(WRTEVORPCalc,TableWRTERank[RK],0)),"")</f>
        <v>-0.7917070720264312</v>
      </c>
      <c r="BC169" t="s">
        <v>223</v>
      </c>
      <c r="BD169">
        <v>168</v>
      </c>
      <c r="BE169" s="83">
        <f>RANK(TableWRTEMaster[[#This Row],[VORP]],TableWRTEMaster[VORP])+COUNTIF($BJ$2:BJ169,BJ169)-1</f>
        <v>245</v>
      </c>
      <c r="BF169" s="115" t="str">
        <f>IFERROR(INDEX(TableWRVORP[WIDE RECEIVER],MATCH(TableWRTEMaster[[#This Row],[RK]],TableWRVORP[RK],0)),"")</f>
        <v>David Moore</v>
      </c>
      <c r="BG169" s="115" t="str">
        <f>_xlfn.CONCAT(TableWRTEMaster[[#This Row],[POS]],TableWRTEMaster[[#This Row],[RK]])</f>
        <v>WR168</v>
      </c>
      <c r="BH169" s="115">
        <f>IFERROR(INDEX(TableWRVORP[BYE],MATCH(TableWRTEMaster[[#This Row],[RK]],TableWRVORP[RK],0)),"")</f>
        <v>7</v>
      </c>
      <c r="BI169" s="116">
        <f>IFERROR(INDEX(TableWRVORP[FPS],MATCH(TableWRTEMaster[[#This Row],[RK]],TableWRVORP[RK],0)),"")</f>
        <v>12.832094951199998</v>
      </c>
      <c r="BJ169" s="117">
        <f>IFERROR(INDEX(TableWRVORP[VORP],MATCH(TableWRTEMaster[[#This Row],[RK]],TableWRVORP[RK],0)),"")</f>
        <v>-0.91113671870750457</v>
      </c>
    </row>
    <row r="170" spans="8:62" x14ac:dyDescent="0.2">
      <c r="H170">
        <v>169</v>
      </c>
      <c r="I170" s="112" t="str">
        <f>IFERROR(INDEX(TableRBCalcPts[PLAYER],MATCH(TableRBVORP[[#This Row],[RK]],TableRBCalcPts[RK],0)),"")</f>
        <v/>
      </c>
      <c r="J170" s="112" t="str">
        <f>IFERROR(INDEX(TableRBCalcPts[TM],MATCH(TableRBVORP[[#This Row],[RK]],TableRBCalcPts[RK],0)),"")</f>
        <v/>
      </c>
      <c r="K170" s="112" t="str">
        <f>IFERROR(INDEX(TableRBCalcPts[BYE],MATCH(TableRBVORP[[#This Row],[RK]],TableRBCalcPts[RK],0)),"")</f>
        <v/>
      </c>
      <c r="L170" s="113" t="str">
        <f>IFERROR(INDEX(TableRBCalcPts[Custom],MATCH(TableRBVORP[[#This Row],[RK]],TableRBCalcPts[RK],0)),"")</f>
        <v/>
      </c>
      <c r="M170" s="114" t="str">
        <f>IFERROR((TableRBVORP[[#This Row],[FPS]]-INDEX(TableRBVORP[FPS],MATCH(RBVORPCalc,TableRBVORP[RK],0)))/INDEX(TableRBVORP[FPS],MATCH(RBVORPCalc,TableRBVORP[RK],0)),"")</f>
        <v/>
      </c>
      <c r="O170">
        <v>169</v>
      </c>
      <c r="P170" s="112" t="str">
        <f>IFERROR(INDEX(TableWRCalcPts[PLAYER],MATCH(TableWRVORP[[#This Row],[RK]],TableWRCalcPts[RK],0)),"")</f>
        <v>Stanley Morgan</v>
      </c>
      <c r="Q170" s="112" t="str">
        <f>IFERROR(INDEX(TableWRCalcPts[TM],MATCH(TableWRVORP[[#This Row],[RK]],TableWRCalcPts[RK],0)),"")</f>
        <v>NO</v>
      </c>
      <c r="R170" s="112">
        <f>IFERROR(INDEX(TableWRCalcPts[BYE],MATCH(TableWRVORP[[#This Row],[RK]],TableWRCalcPts[RK],0)),"")</f>
        <v>11</v>
      </c>
      <c r="S170" s="113">
        <f>IFERROR(INDEX(TableWRCalcPts[Custom],MATCH(TableWRVORP[[#This Row],[RK]],TableWRCalcPts[RK],0)),"")</f>
        <v>12.684391177919998</v>
      </c>
      <c r="T170" s="114">
        <f>IFERROR((TableWRVORP[[#This Row],[FPS]]-INDEX(TableWRVORP[FPS],MATCH(WRVORPCalc,TableWRVORP[RK],0)))/INDEX(TableWRVORP[FPS],MATCH(WRVORPCalc,TableWRVORP[RK],0)),"")</f>
        <v>-0.912159579121401</v>
      </c>
      <c r="AF170" t="s">
        <v>223</v>
      </c>
      <c r="AG170">
        <v>29</v>
      </c>
      <c r="AH170" s="83">
        <f>RANK(TableOverallMaster[[#This Row],[VORP]],TableOverallMaster[VORP])+COUNTIF($AM$2:AM170,AM170)-1</f>
        <v>81</v>
      </c>
      <c r="AI170" s="115" t="str">
        <f>IFERROR(INDEX(TableWRVORP[WIDE RECEIVER],MATCH(TableOverallMaster[[#This Row],[RK]],TableWRVORP[RK],0)),"")</f>
        <v>Cooper Kupp</v>
      </c>
      <c r="AJ170" s="115" t="str">
        <f t="shared" si="2"/>
        <v>WR29</v>
      </c>
      <c r="AK170" s="115">
        <f>IFERROR(INDEX(TableWRVORP[BYE],MATCH(TableOverallMaster[[#This Row],[RK]],TableWRVORP[RK],0)),"")</f>
        <v>10</v>
      </c>
      <c r="AL170" s="116">
        <f>IFERROR(INDEX(TableWRVORP[FPS],MATCH(TableOverallMaster[[#This Row],[RK]],TableWRVORP[RK],0)),"")</f>
        <v>178.52334044159994</v>
      </c>
      <c r="AM170" s="117">
        <f>IFERROR(INDEX(TableWRVORP[VORP],MATCH(TableOverallMaster[[#This Row],[RK]],TableWRVORP[RK],0)),"")</f>
        <v>0.23628837530182806</v>
      </c>
      <c r="AO170">
        <v>169</v>
      </c>
      <c r="AP170" s="118" t="str">
        <f>IFERROR(INDEX(TableOverallMaster[OVERALL PLAYER],MATCH(TableOverallRank[[#This Row],[RK]],TableOverallMaster[OVR RK],0)),"")</f>
        <v>Chigoziem Okonkwo</v>
      </c>
      <c r="AQ170" s="119" t="str">
        <f>IFERROR(INDEX(TableOverallMaster[POS RK],MATCH(TableOverallRank[[#This Row],[OVERALL PLAYER]],TableOverallMaster[OVERALL PLAYER],0)),"")</f>
        <v>TE17</v>
      </c>
      <c r="AR170" s="120">
        <f>IFERROR(INDEX(TableOverallMaster[BYE],MATCH(TableOverallRank[[#This Row],[OVERALL PLAYER]],TableOverallMaster[OVERALL PLAYER],0)),"")</f>
        <v>7</v>
      </c>
      <c r="AS170" s="119">
        <f>IFERROR(INDEX(TableOverallMaster[Custom],MATCH(TableOverallRank[[#This Row],[OVERALL PLAYER]],TableOverallMaster[OVERALL PLAYER],0)),"")</f>
        <v>105.83006106172496</v>
      </c>
      <c r="AT170" s="121">
        <f>IFERROR(INDEX(TableOverallMaster[VORP],MATCH(TableOverallRank[[#This Row],[OVERALL PLAYER]],TableOverallMaster[OVERALL PLAYER],0)),"")</f>
        <v>-0.19424403954254701</v>
      </c>
      <c r="AV170">
        <v>169</v>
      </c>
      <c r="AW170" s="122" t="str">
        <f>IFERROR(INDEX(TableWRTECalcPts[PLAYER],MATCH(TableWRTERank[[#This Row],[RK]],TableWRTECalcPts[RK],0)),"")</f>
        <v>Parker Washington</v>
      </c>
      <c r="AX170" s="122" t="str">
        <f>IFERROR(INDEX(TableWRTECalcPts[POS RK],MATCH(TableWRTERank[[#This Row],[WR and TE COMBINED]],TableWRTECalcPts[PLAYER],0)),"")</f>
        <v>WR121</v>
      </c>
      <c r="AY170" s="122">
        <f>IFERROR(INDEX(TableWRTECalcPts[BYE],MATCH(TableWRTERank[[#This Row],[RK]],TableWRTECalcPts[RK],0)),"")</f>
        <v>9</v>
      </c>
      <c r="AZ170" s="123">
        <f>IFERROR(INDEX(TableWRTECalcPts[Custom],MATCH(TableWRTERank[[#This Row],[RK]],TableWRTECalcPts[RK],0)),"")</f>
        <v>30.994095000959987</v>
      </c>
      <c r="BA170" s="174">
        <f>IFERROR((TableWRTERank[[#This Row],[FPS]]-INDEX(TableWRTERank[FPS],MATCH(WRTEVORPCalc,TableWRTERank[RK],0)))/INDEX(TableWRTERank[FPS],MATCH(WRTEVORPCalc,TableWRTERank[RK],0)),"")</f>
        <v>-0.79238375002978212</v>
      </c>
      <c r="BC170" t="s">
        <v>223</v>
      </c>
      <c r="BD170">
        <v>169</v>
      </c>
      <c r="BE170" s="83">
        <f>RANK(TableWRTEMaster[[#This Row],[VORP]],TableWRTEMaster[VORP])+COUNTIF($BJ$2:BJ170,BJ170)-1</f>
        <v>247</v>
      </c>
      <c r="BF170" s="115" t="str">
        <f>IFERROR(INDEX(TableWRVORP[WIDE RECEIVER],MATCH(TableWRTEMaster[[#This Row],[RK]],TableWRVORP[RK],0)),"")</f>
        <v>Stanley Morgan</v>
      </c>
      <c r="BG170" s="115" t="str">
        <f>_xlfn.CONCAT(TableWRTEMaster[[#This Row],[POS]],TableWRTEMaster[[#This Row],[RK]])</f>
        <v>WR169</v>
      </c>
      <c r="BH170" s="115">
        <f>IFERROR(INDEX(TableWRVORP[BYE],MATCH(TableWRTEMaster[[#This Row],[RK]],TableWRVORP[RK],0)),"")</f>
        <v>11</v>
      </c>
      <c r="BI170" s="116">
        <f>IFERROR(INDEX(TableWRVORP[FPS],MATCH(TableWRTEMaster[[#This Row],[RK]],TableWRVORP[RK],0)),"")</f>
        <v>12.684391177919998</v>
      </c>
      <c r="BJ170" s="117">
        <f>IFERROR(INDEX(TableWRVORP[VORP],MATCH(TableWRTEMaster[[#This Row],[RK]],TableWRVORP[RK],0)),"")</f>
        <v>-0.912159579121401</v>
      </c>
    </row>
    <row r="171" spans="8:62" x14ac:dyDescent="0.2">
      <c r="H171">
        <v>170</v>
      </c>
      <c r="I171" s="112" t="str">
        <f>IFERROR(INDEX(TableRBCalcPts[PLAYER],MATCH(TableRBVORP[[#This Row],[RK]],TableRBCalcPts[RK],0)),"")</f>
        <v/>
      </c>
      <c r="J171" s="112" t="str">
        <f>IFERROR(INDEX(TableRBCalcPts[TM],MATCH(TableRBVORP[[#This Row],[RK]],TableRBCalcPts[RK],0)),"")</f>
        <v/>
      </c>
      <c r="K171" s="112" t="str">
        <f>IFERROR(INDEX(TableRBCalcPts[BYE],MATCH(TableRBVORP[[#This Row],[RK]],TableRBCalcPts[RK],0)),"")</f>
        <v/>
      </c>
      <c r="L171" s="113" t="str">
        <f>IFERROR(INDEX(TableRBCalcPts[Custom],MATCH(TableRBVORP[[#This Row],[RK]],TableRBCalcPts[RK],0)),"")</f>
        <v/>
      </c>
      <c r="M171" s="114" t="str">
        <f>IFERROR((TableRBVORP[[#This Row],[FPS]]-INDEX(TableRBVORP[FPS],MATCH(RBVORPCalc,TableRBVORP[RK],0)))/INDEX(TableRBVORP[FPS],MATCH(RBVORPCalc,TableRBVORP[RK],0)),"")</f>
        <v/>
      </c>
      <c r="O171">
        <v>170</v>
      </c>
      <c r="P171" s="112" t="str">
        <f>IFERROR(INDEX(TableWRCalcPts[PLAYER],MATCH(TableWRVORP[[#This Row],[RK]],TableWRCalcPts[RK],0)),"")</f>
        <v>Deven Thompkins</v>
      </c>
      <c r="Q171" s="112" t="str">
        <f>IFERROR(INDEX(TableWRCalcPts[TM],MATCH(TableWRVORP[[#This Row],[RK]],TableWRCalcPts[RK],0)),"")</f>
        <v>TB</v>
      </c>
      <c r="R171" s="112">
        <f>IFERROR(INDEX(TableWRCalcPts[BYE],MATCH(TableWRVORP[[#This Row],[RK]],TableWRCalcPts[RK],0)),"")</f>
        <v>5</v>
      </c>
      <c r="S171" s="113">
        <f>IFERROR(INDEX(TableWRCalcPts[Custom],MATCH(TableWRVORP[[#This Row],[RK]],TableWRCalcPts[RK],0)),"")</f>
        <v>12.059571848015997</v>
      </c>
      <c r="T171" s="114">
        <f>IFERROR((TableWRVORP[[#This Row],[FPS]]-INDEX(TableWRVORP[FPS],MATCH(WRVORPCalc,TableWRVORP[RK],0)))/INDEX(TableWRVORP[FPS],MATCH(WRVORPCalc,TableWRVORP[RK],0)),"")</f>
        <v>-0.91648650282960309</v>
      </c>
      <c r="AF171" t="s">
        <v>223</v>
      </c>
      <c r="AG171">
        <v>30</v>
      </c>
      <c r="AH171" s="83">
        <f>RANK(TableOverallMaster[[#This Row],[VORP]],TableOverallMaster[VORP])+COUNTIF($AM$2:AM171,AM171)-1</f>
        <v>82</v>
      </c>
      <c r="AI171" s="115" t="str">
        <f>IFERROR(INDEX(TableWRVORP[WIDE RECEIVER],MATCH(TableOverallMaster[[#This Row],[RK]],TableWRVORP[RK],0)),"")</f>
        <v>Christian Kirk</v>
      </c>
      <c r="AJ171" s="115" t="str">
        <f t="shared" si="2"/>
        <v>WR30</v>
      </c>
      <c r="AK171" s="115">
        <f>IFERROR(INDEX(TableWRVORP[BYE],MATCH(TableOverallMaster[[#This Row],[RK]],TableWRVORP[RK],0)),"")</f>
        <v>9</v>
      </c>
      <c r="AL171" s="116">
        <f>IFERROR(INDEX(TableWRVORP[FPS],MATCH(TableOverallMaster[[#This Row],[RK]],TableWRVORP[RK],0)),"")</f>
        <v>178.08309643672794</v>
      </c>
      <c r="AM171" s="117">
        <f>IFERROR(INDEX(TableWRVORP[VORP],MATCH(TableOverallMaster[[#This Row],[RK]],TableWRVORP[RK],0)),"")</f>
        <v>0.2332396504450488</v>
      </c>
      <c r="AO171">
        <v>170</v>
      </c>
      <c r="AP171" s="118" t="str">
        <f>IFERROR(INDEX(TableOverallMaster[OVERALL PLAYER],MATCH(TableOverallRank[[#This Row],[RK]],TableOverallMaster[OVR RK],0)),"")</f>
        <v>Roschon Johnson</v>
      </c>
      <c r="AQ171" s="119" t="str">
        <f>IFERROR(INDEX(TableOverallMaster[POS RK],MATCH(TableOverallRank[[#This Row],[OVERALL PLAYER]],TableOverallMaster[OVERALL PLAYER],0)),"")</f>
        <v>RB54</v>
      </c>
      <c r="AR171" s="120">
        <f>IFERROR(INDEX(TableOverallMaster[BYE],MATCH(TableOverallRank[[#This Row],[OVERALL PLAYER]],TableOverallMaster[OVERALL PLAYER],0)),"")</f>
        <v>13</v>
      </c>
      <c r="AS171" s="119">
        <f>IFERROR(INDEX(TableOverallMaster[Custom],MATCH(TableOverallRank[[#This Row],[OVERALL PLAYER]],TableOverallMaster[OVERALL PLAYER],0)),"")</f>
        <v>90.562940092799991</v>
      </c>
      <c r="AT171" s="121">
        <f>IFERROR(INDEX(TableOverallMaster[VORP],MATCH(TableOverallRank[[#This Row],[OVERALL PLAYER]],TableOverallMaster[OVERALL PLAYER],0)),"")</f>
        <v>-0.19655354972514311</v>
      </c>
      <c r="AV171">
        <v>170</v>
      </c>
      <c r="AW171" s="122" t="str">
        <f>IFERROR(INDEX(TableWRTECalcPts[PLAYER],MATCH(TableWRTERank[[#This Row],[RK]],TableWRTECalcPts[RK],0)),"")</f>
        <v>Calvin Austin</v>
      </c>
      <c r="AX171" s="122" t="str">
        <f>IFERROR(INDEX(TableWRTECalcPts[POS RK],MATCH(TableWRTERank[[#This Row],[WR and TE COMBINED]],TableWRTECalcPts[PLAYER],0)),"")</f>
        <v>WR122</v>
      </c>
      <c r="AY171" s="122">
        <f>IFERROR(INDEX(TableWRTECalcPts[BYE],MATCH(TableWRTERank[[#This Row],[RK]],TableWRTECalcPts[RK],0)),"")</f>
        <v>6</v>
      </c>
      <c r="AZ171" s="123">
        <f>IFERROR(INDEX(TableWRTECalcPts[Custom],MATCH(TableWRTERank[[#This Row],[RK]],TableWRTECalcPts[RK],0)),"")</f>
        <v>30.921326519999997</v>
      </c>
      <c r="BA171" s="174">
        <f>IFERROR((TableWRTERank[[#This Row],[FPS]]-INDEX(TableWRTERank[FPS],MATCH(WRTEVORPCalc,TableWRTERank[RK],0)))/INDEX(TableWRTERank[FPS],MATCH(WRTEVORPCalc,TableWRTERank[RK],0)),"")</f>
        <v>-0.7928711951102877</v>
      </c>
      <c r="BC171" t="s">
        <v>223</v>
      </c>
      <c r="BD171">
        <v>170</v>
      </c>
      <c r="BE171" s="83">
        <f>RANK(TableWRTEMaster[[#This Row],[VORP]],TableWRTEMaster[VORP])+COUNTIF($BJ$2:BJ171,BJ171)-1</f>
        <v>248</v>
      </c>
      <c r="BF171" s="115" t="str">
        <f>IFERROR(INDEX(TableWRVORP[WIDE RECEIVER],MATCH(TableWRTEMaster[[#This Row],[RK]],TableWRVORP[RK],0)),"")</f>
        <v>Deven Thompkins</v>
      </c>
      <c r="BG171" s="115" t="str">
        <f>_xlfn.CONCAT(TableWRTEMaster[[#This Row],[POS]],TableWRTEMaster[[#This Row],[RK]])</f>
        <v>WR170</v>
      </c>
      <c r="BH171" s="115">
        <f>IFERROR(INDEX(TableWRVORP[BYE],MATCH(TableWRTEMaster[[#This Row],[RK]],TableWRVORP[RK],0)),"")</f>
        <v>5</v>
      </c>
      <c r="BI171" s="116">
        <f>IFERROR(INDEX(TableWRVORP[FPS],MATCH(TableWRTEMaster[[#This Row],[RK]],TableWRVORP[RK],0)),"")</f>
        <v>12.059571848015997</v>
      </c>
      <c r="BJ171" s="117">
        <f>IFERROR(INDEX(TableWRVORP[VORP],MATCH(TableWRTEMaster[[#This Row],[RK]],TableWRVORP[RK],0)),"")</f>
        <v>-0.91648650282960309</v>
      </c>
    </row>
    <row r="172" spans="8:62" x14ac:dyDescent="0.2">
      <c r="H172">
        <v>171</v>
      </c>
      <c r="I172" s="112" t="str">
        <f>IFERROR(INDEX(TableRBCalcPts[PLAYER],MATCH(TableRBVORP[[#This Row],[RK]],TableRBCalcPts[RK],0)),"")</f>
        <v/>
      </c>
      <c r="J172" s="112" t="str">
        <f>IFERROR(INDEX(TableRBCalcPts[TM],MATCH(TableRBVORP[[#This Row],[RK]],TableRBCalcPts[RK],0)),"")</f>
        <v/>
      </c>
      <c r="K172" s="112" t="str">
        <f>IFERROR(INDEX(TableRBCalcPts[BYE],MATCH(TableRBVORP[[#This Row],[RK]],TableRBCalcPts[RK],0)),"")</f>
        <v/>
      </c>
      <c r="L172" s="113" t="str">
        <f>IFERROR(INDEX(TableRBCalcPts[Custom],MATCH(TableRBVORP[[#This Row],[RK]],TableRBCalcPts[RK],0)),"")</f>
        <v/>
      </c>
      <c r="M172" s="114" t="str">
        <f>IFERROR((TableRBVORP[[#This Row],[FPS]]-INDEX(TableRBVORP[FPS],MATCH(RBVORPCalc,TableRBVORP[RK],0)))/INDEX(TableRBVORP[FPS],MATCH(RBVORPCalc,TableRBVORP[RK],0)),"")</f>
        <v/>
      </c>
      <c r="O172">
        <v>171</v>
      </c>
      <c r="P172" s="112" t="str">
        <f>IFERROR(INDEX(TableWRCalcPts[PLAYER],MATCH(TableWRVORP[[#This Row],[RK]],TableWRCalcPts[RK],0)),"")</f>
        <v>Jalen Guyton</v>
      </c>
      <c r="Q172" s="112" t="str">
        <f>IFERROR(INDEX(TableWRCalcPts[TM],MATCH(TableWRVORP[[#This Row],[RK]],TableWRCalcPts[RK],0)),"")</f>
        <v>LV</v>
      </c>
      <c r="R172" s="112">
        <f>IFERROR(INDEX(TableWRCalcPts[BYE],MATCH(TableWRVORP[[#This Row],[RK]],TableWRCalcPts[RK],0)),"")</f>
        <v>13</v>
      </c>
      <c r="S172" s="113">
        <f>IFERROR(INDEX(TableWRCalcPts[Custom],MATCH(TableWRVORP[[#This Row],[RK]],TableWRCalcPts[RK],0)),"")</f>
        <v>11.151155399999997</v>
      </c>
      <c r="T172" s="114">
        <f>IFERROR((TableWRVORP[[#This Row],[FPS]]-INDEX(TableWRVORP[FPS],MATCH(WRVORPCalc,TableWRVORP[RK],0)))/INDEX(TableWRVORP[FPS],MATCH(WRVORPCalc,TableWRVORP[RK],0)),"")</f>
        <v>-0.92277735920634985</v>
      </c>
      <c r="AF172" t="s">
        <v>223</v>
      </c>
      <c r="AG172">
        <v>31</v>
      </c>
      <c r="AH172" s="83">
        <f>RANK(TableOverallMaster[[#This Row],[VORP]],TableOverallMaster[VORP])+COUNTIF($AM$2:AM172,AM172)-1</f>
        <v>85</v>
      </c>
      <c r="AI172" s="115" t="str">
        <f>IFERROR(INDEX(TableWRVORP[WIDE RECEIVER],MATCH(TableOverallMaster[[#This Row],[RK]],TableWRVORP[RK],0)),"")</f>
        <v>Tank Dell</v>
      </c>
      <c r="AJ172" s="115" t="str">
        <f t="shared" si="2"/>
        <v>WR31</v>
      </c>
      <c r="AK172" s="115">
        <f>IFERROR(INDEX(TableWRVORP[BYE],MATCH(TableOverallMaster[[#This Row],[RK]],TableWRVORP[RK],0)),"")</f>
        <v>7</v>
      </c>
      <c r="AL172" s="116">
        <f>IFERROR(INDEX(TableWRVORP[FPS],MATCH(TableOverallMaster[[#This Row],[RK]],TableWRVORP[RK],0)),"")</f>
        <v>177.76265426399999</v>
      </c>
      <c r="AM172" s="117">
        <f>IFERROR(INDEX(TableWRVORP[VORP],MATCH(TableOverallMaster[[#This Row],[RK]],TableWRVORP[RK],0)),"")</f>
        <v>0.23102056283375899</v>
      </c>
      <c r="AO172">
        <v>171</v>
      </c>
      <c r="AP172" s="118" t="str">
        <f>IFERROR(INDEX(TableOverallMaster[OVERALL PLAYER],MATCH(TableOverallRank[[#This Row],[RK]],TableOverallMaster[OVR RK],0)),"")</f>
        <v>Malachi Corley</v>
      </c>
      <c r="AQ172" s="119" t="str">
        <f>IFERROR(INDEX(TableOverallMaster[POS RK],MATCH(TableOverallRank[[#This Row],[OVERALL PLAYER]],TableOverallMaster[OVERALL PLAYER],0)),"")</f>
        <v>WR72</v>
      </c>
      <c r="AR172" s="120">
        <f>IFERROR(INDEX(TableOverallMaster[BYE],MATCH(TableOverallRank[[#This Row],[OVERALL PLAYER]],TableOverallMaster[OVERALL PLAYER],0)),"")</f>
        <v>7</v>
      </c>
      <c r="AS172" s="119">
        <f>IFERROR(INDEX(TableOverallMaster[Custom],MATCH(TableOverallRank[[#This Row],[OVERALL PLAYER]],TableOverallMaster[OVERALL PLAYER],0)),"")</f>
        <v>115.7540979246848</v>
      </c>
      <c r="AT172" s="121">
        <f>IFERROR(INDEX(TableOverallMaster[VORP],MATCH(TableOverallRank[[#This Row],[OVERALL PLAYER]],TableOverallMaster[OVERALL PLAYER],0)),"")</f>
        <v>-0.19839363691129711</v>
      </c>
      <c r="AV172">
        <v>171</v>
      </c>
      <c r="AW172" s="122" t="str">
        <f>IFERROR(INDEX(TableWRTECalcPts[PLAYER],MATCH(TableWRTERank[[#This Row],[RK]],TableWRTECalcPts[RK],0)),"")</f>
        <v>Noah Brown</v>
      </c>
      <c r="AX172" s="122" t="str">
        <f>IFERROR(INDEX(TableWRTECalcPts[POS RK],MATCH(TableWRTERank[[#This Row],[WR and TE COMBINED]],TableWRTECalcPts[PLAYER],0)),"")</f>
        <v>WR123</v>
      </c>
      <c r="AY172" s="122">
        <f>IFERROR(INDEX(TableWRTECalcPts[BYE],MATCH(TableWRTERank[[#This Row],[RK]],TableWRTECalcPts[RK],0)),"")</f>
        <v>7</v>
      </c>
      <c r="AZ172" s="123">
        <f>IFERROR(INDEX(TableWRTECalcPts[Custom],MATCH(TableWRTERank[[#This Row],[RK]],TableWRTECalcPts[RK],0)),"")</f>
        <v>30.799941070080006</v>
      </c>
      <c r="BA172" s="174">
        <f>IFERROR((TableWRTERank[[#This Row],[FPS]]-INDEX(TableWRTERank[FPS],MATCH(WRTEVORPCalc,TableWRTERank[RK],0)))/INDEX(TableWRTERank[FPS],MATCH(WRTEVORPCalc,TableWRTERank[RK],0)),"")</f>
        <v>-0.79368430457234995</v>
      </c>
      <c r="BC172" t="s">
        <v>223</v>
      </c>
      <c r="BD172">
        <v>171</v>
      </c>
      <c r="BE172" s="83">
        <f>RANK(TableWRTEMaster[[#This Row],[VORP]],TableWRTEMaster[VORP])+COUNTIF($BJ$2:BJ172,BJ172)-1</f>
        <v>250</v>
      </c>
      <c r="BF172" s="115" t="str">
        <f>IFERROR(INDEX(TableWRVORP[WIDE RECEIVER],MATCH(TableWRTEMaster[[#This Row],[RK]],TableWRVORP[RK],0)),"")</f>
        <v>Jalen Guyton</v>
      </c>
      <c r="BG172" s="115" t="str">
        <f>_xlfn.CONCAT(TableWRTEMaster[[#This Row],[POS]],TableWRTEMaster[[#This Row],[RK]])</f>
        <v>WR171</v>
      </c>
      <c r="BH172" s="115">
        <f>IFERROR(INDEX(TableWRVORP[BYE],MATCH(TableWRTEMaster[[#This Row],[RK]],TableWRVORP[RK],0)),"")</f>
        <v>13</v>
      </c>
      <c r="BI172" s="116">
        <f>IFERROR(INDEX(TableWRVORP[FPS],MATCH(TableWRTEMaster[[#This Row],[RK]],TableWRVORP[RK],0)),"")</f>
        <v>11.151155399999997</v>
      </c>
      <c r="BJ172" s="117">
        <f>IFERROR(INDEX(TableWRVORP[VORP],MATCH(TableWRTEMaster[[#This Row],[RK]],TableWRVORP[RK],0)),"")</f>
        <v>-0.92277735920634985</v>
      </c>
    </row>
    <row r="173" spans="8:62" x14ac:dyDescent="0.2">
      <c r="H173">
        <v>172</v>
      </c>
      <c r="I173" s="112" t="str">
        <f>IFERROR(INDEX(TableRBCalcPts[PLAYER],MATCH(TableRBVORP[[#This Row],[RK]],TableRBCalcPts[RK],0)),"")</f>
        <v/>
      </c>
      <c r="J173" s="112" t="str">
        <f>IFERROR(INDEX(TableRBCalcPts[TM],MATCH(TableRBVORP[[#This Row],[RK]],TableRBCalcPts[RK],0)),"")</f>
        <v/>
      </c>
      <c r="K173" s="112" t="str">
        <f>IFERROR(INDEX(TableRBCalcPts[BYE],MATCH(TableRBVORP[[#This Row],[RK]],TableRBCalcPts[RK],0)),"")</f>
        <v/>
      </c>
      <c r="L173" s="113" t="str">
        <f>IFERROR(INDEX(TableRBCalcPts[Custom],MATCH(TableRBVORP[[#This Row],[RK]],TableRBCalcPts[RK],0)),"")</f>
        <v/>
      </c>
      <c r="M173" s="114" t="str">
        <f>IFERROR((TableRBVORP[[#This Row],[FPS]]-INDEX(TableRBVORP[FPS],MATCH(RBVORPCalc,TableRBVORP[RK],0)))/INDEX(TableRBVORP[FPS],MATCH(RBVORPCalc,TableRBVORP[RK],0)),"")</f>
        <v/>
      </c>
      <c r="O173">
        <v>172</v>
      </c>
      <c r="P173" s="112" t="str">
        <f>IFERROR(INDEX(TableWRCalcPts[PLAYER],MATCH(TableWRVORP[[#This Row],[RK]],TableWRCalcPts[RK],0)),"")</f>
        <v>Johnny Wilson</v>
      </c>
      <c r="Q173" s="112" t="str">
        <f>IFERROR(INDEX(TableWRCalcPts[TM],MATCH(TableWRVORP[[#This Row],[RK]],TableWRCalcPts[RK],0)),"")</f>
        <v>PHI</v>
      </c>
      <c r="R173" s="112">
        <f>IFERROR(INDEX(TableWRCalcPts[BYE],MATCH(TableWRVORP[[#This Row],[RK]],TableWRCalcPts[RK],0)),"")</f>
        <v>10</v>
      </c>
      <c r="S173" s="113">
        <f>IFERROR(INDEX(TableWRCalcPts[Custom],MATCH(TableWRVORP[[#This Row],[RK]],TableWRCalcPts[RK],0)),"")</f>
        <v>10.9824441780816</v>
      </c>
      <c r="T173" s="114">
        <f>IFERROR((TableWRVORP[[#This Row],[FPS]]-INDEX(TableWRVORP[FPS],MATCH(WRVORPCalc,TableWRVORP[RK],0)))/INDEX(TableWRVORP[FPS],MATCH(WRVORPCalc,TableWRVORP[RK],0)),"")</f>
        <v>-0.92394569787805925</v>
      </c>
      <c r="AF173" t="s">
        <v>223</v>
      </c>
      <c r="AG173">
        <v>32</v>
      </c>
      <c r="AH173" s="83">
        <f>RANK(TableOverallMaster[[#This Row],[VORP]],TableOverallMaster[VORP])+COUNTIF($AM$2:AM173,AM173)-1</f>
        <v>86</v>
      </c>
      <c r="AI173" s="115" t="str">
        <f>IFERROR(INDEX(TableWRVORP[WIDE RECEIVER],MATCH(TableOverallMaster[[#This Row],[RK]],TableWRVORP[RK],0)),"")</f>
        <v>Brian Thomas</v>
      </c>
      <c r="AJ173" s="115" t="str">
        <f t="shared" si="2"/>
        <v>WR32</v>
      </c>
      <c r="AK173" s="115">
        <f>IFERROR(INDEX(TableWRVORP[BYE],MATCH(TableOverallMaster[[#This Row],[RK]],TableWRVORP[RK],0)),"")</f>
        <v>9</v>
      </c>
      <c r="AL173" s="116">
        <f>IFERROR(INDEX(TableWRVORP[FPS],MATCH(TableOverallMaster[[#This Row],[RK]],TableWRVORP[RK],0)),"")</f>
        <v>177.04765259999994</v>
      </c>
      <c r="AM173" s="117">
        <f>IFERROR(INDEX(TableWRVORP[VORP],MATCH(TableOverallMaster[[#This Row],[RK]],TableWRVORP[RK],0)),"")</f>
        <v>0.22606911926711848</v>
      </c>
      <c r="AO173">
        <v>172</v>
      </c>
      <c r="AP173" s="118" t="str">
        <f>IFERROR(INDEX(TableOverallMaster[OVERALL PLAYER],MATCH(TableOverallRank[[#This Row],[RK]],TableOverallMaster[OVR RK],0)),"")</f>
        <v>Adonai Mitchell</v>
      </c>
      <c r="AQ173" s="119" t="str">
        <f>IFERROR(INDEX(TableOverallMaster[POS RK],MATCH(TableOverallRank[[#This Row],[OVERALL PLAYER]],TableOverallMaster[OVERALL PLAYER],0)),"")</f>
        <v>WR73</v>
      </c>
      <c r="AR173" s="120">
        <f>IFERROR(INDEX(TableOverallMaster[BYE],MATCH(TableOverallRank[[#This Row],[OVERALL PLAYER]],TableOverallMaster[OVERALL PLAYER],0)),"")</f>
        <v>11</v>
      </c>
      <c r="AS173" s="119">
        <f>IFERROR(INDEX(TableOverallMaster[Custom],MATCH(TableOverallRank[[#This Row],[OVERALL PLAYER]],TableOverallMaster[OVERALL PLAYER],0)),"")</f>
        <v>114.04083314624</v>
      </c>
      <c r="AT173" s="121">
        <f>IFERROR(INDEX(TableOverallMaster[VORP],MATCH(TableOverallRank[[#This Row],[OVERALL PLAYER]],TableOverallMaster[OVERALL PLAYER],0)),"")</f>
        <v>-0.21025813218774669</v>
      </c>
      <c r="AV173">
        <v>172</v>
      </c>
      <c r="AW173" s="122" t="str">
        <f>IFERROR(INDEX(TableWRTECalcPts[PLAYER],MATCH(TableWRTERank[[#This Row],[RK]],TableWRTECalcPts[RK],0)),"")</f>
        <v>Donovan Peoples-Jones</v>
      </c>
      <c r="AX173" s="122" t="str">
        <f>IFERROR(INDEX(TableWRTECalcPts[POS RK],MATCH(TableWRTERank[[#This Row],[WR and TE COMBINED]],TableWRTECalcPts[PLAYER],0)),"")</f>
        <v>WR124</v>
      </c>
      <c r="AY173" s="122">
        <f>IFERROR(INDEX(TableWRTECalcPts[BYE],MATCH(TableWRTERank[[#This Row],[RK]],TableWRTECalcPts[RK],0)),"")</f>
        <v>9</v>
      </c>
      <c r="AZ173" s="123">
        <f>IFERROR(INDEX(TableWRTECalcPts[Custom],MATCH(TableWRTERank[[#This Row],[RK]],TableWRTECalcPts[RK],0)),"")</f>
        <v>30.736910793455994</v>
      </c>
      <c r="BA173" s="174">
        <f>IFERROR((TableWRTERank[[#This Row],[FPS]]-INDEX(TableWRTERank[FPS],MATCH(WRTEVORPCalc,TableWRTERank[RK],0)))/INDEX(TableWRTERank[FPS],MATCH(WRTEVORPCalc,TableWRTERank[RK],0)),"")</f>
        <v>-0.79410651756701423</v>
      </c>
      <c r="BC173" t="s">
        <v>223</v>
      </c>
      <c r="BD173">
        <v>172</v>
      </c>
      <c r="BE173" s="83">
        <f>RANK(TableWRTEMaster[[#This Row],[VORP]],TableWRTEMaster[VORP])+COUNTIF($BJ$2:BJ173,BJ173)-1</f>
        <v>251</v>
      </c>
      <c r="BF173" s="115" t="str">
        <f>IFERROR(INDEX(TableWRVORP[WIDE RECEIVER],MATCH(TableWRTEMaster[[#This Row],[RK]],TableWRVORP[RK],0)),"")</f>
        <v>Johnny Wilson</v>
      </c>
      <c r="BG173" s="115" t="str">
        <f>_xlfn.CONCAT(TableWRTEMaster[[#This Row],[POS]],TableWRTEMaster[[#This Row],[RK]])</f>
        <v>WR172</v>
      </c>
      <c r="BH173" s="115">
        <f>IFERROR(INDEX(TableWRVORP[BYE],MATCH(TableWRTEMaster[[#This Row],[RK]],TableWRVORP[RK],0)),"")</f>
        <v>10</v>
      </c>
      <c r="BI173" s="116">
        <f>IFERROR(INDEX(TableWRVORP[FPS],MATCH(TableWRTEMaster[[#This Row],[RK]],TableWRVORP[RK],0)),"")</f>
        <v>10.9824441780816</v>
      </c>
      <c r="BJ173" s="117">
        <f>IFERROR(INDEX(TableWRVORP[VORP],MATCH(TableWRTEMaster[[#This Row],[RK]],TableWRVORP[RK],0)),"")</f>
        <v>-0.92394569787805925</v>
      </c>
    </row>
    <row r="174" spans="8:62" x14ac:dyDescent="0.2">
      <c r="H174">
        <v>173</v>
      </c>
      <c r="I174" s="112" t="str">
        <f>IFERROR(INDEX(TableRBCalcPts[PLAYER],MATCH(TableRBVORP[[#This Row],[RK]],TableRBCalcPts[RK],0)),"")</f>
        <v/>
      </c>
      <c r="J174" s="112" t="str">
        <f>IFERROR(INDEX(TableRBCalcPts[TM],MATCH(TableRBVORP[[#This Row],[RK]],TableRBCalcPts[RK],0)),"")</f>
        <v/>
      </c>
      <c r="K174" s="112" t="str">
        <f>IFERROR(INDEX(TableRBCalcPts[BYE],MATCH(TableRBVORP[[#This Row],[RK]],TableRBCalcPts[RK],0)),"")</f>
        <v/>
      </c>
      <c r="L174" s="113" t="str">
        <f>IFERROR(INDEX(TableRBCalcPts[Custom],MATCH(TableRBVORP[[#This Row],[RK]],TableRBCalcPts[RK],0)),"")</f>
        <v/>
      </c>
      <c r="M174" s="114" t="str">
        <f>IFERROR((TableRBVORP[[#This Row],[FPS]]-INDEX(TableRBVORP[FPS],MATCH(RBVORPCalc,TableRBVORP[RK],0)))/INDEX(TableRBVORP[FPS],MATCH(RBVORPCalc,TableRBVORP[RK],0)),"")</f>
        <v/>
      </c>
      <c r="O174">
        <v>173</v>
      </c>
      <c r="P174" s="112" t="str">
        <f>IFERROR(INDEX(TableWRCalcPts[PLAYER],MATCH(TableWRVORP[[#This Row],[RK]],TableWRCalcPts[RK],0)),"")</f>
        <v>Dyami Brown</v>
      </c>
      <c r="Q174" s="112" t="str">
        <f>IFERROR(INDEX(TableWRCalcPts[TM],MATCH(TableWRVORP[[#This Row],[RK]],TableWRCalcPts[RK],0)),"")</f>
        <v>WSH</v>
      </c>
      <c r="R174" s="112">
        <f>IFERROR(INDEX(TableWRCalcPts[BYE],MATCH(TableWRVORP[[#This Row],[RK]],TableWRCalcPts[RK],0)),"")</f>
        <v>14</v>
      </c>
      <c r="S174" s="113">
        <f>IFERROR(INDEX(TableWRCalcPts[Custom],MATCH(TableWRVORP[[#This Row],[RK]],TableWRCalcPts[RK],0)),"")</f>
        <v>10.908131822153999</v>
      </c>
      <c r="T174" s="114">
        <f>IFERROR((TableWRVORP[[#This Row],[FPS]]-INDEX(TableWRVORP[FPS],MATCH(WRVORPCalc,TableWRVORP[RK],0)))/INDEX(TableWRVORP[FPS],MATCH(WRVORPCalc,TableWRVORP[RK],0)),"")</f>
        <v>-0.92446031687156083</v>
      </c>
      <c r="AF174" t="s">
        <v>223</v>
      </c>
      <c r="AG174">
        <v>33</v>
      </c>
      <c r="AH174" s="83">
        <f>RANK(TableOverallMaster[[#This Row],[VORP]],TableOverallMaster[VORP])+COUNTIF($AM$2:AM174,AM174)-1</f>
        <v>88</v>
      </c>
      <c r="AI174" s="115" t="str">
        <f>IFERROR(INDEX(TableWRVORP[WIDE RECEIVER],MATCH(TableOverallMaster[[#This Row],[RK]],TableWRVORP[RK],0)),"")</f>
        <v>Courtland Sutton</v>
      </c>
      <c r="AJ174" s="115" t="str">
        <f t="shared" si="2"/>
        <v>WR33</v>
      </c>
      <c r="AK174" s="115">
        <f>IFERROR(INDEX(TableWRVORP[BYE],MATCH(TableOverallMaster[[#This Row],[RK]],TableWRVORP[RK],0)),"")</f>
        <v>9</v>
      </c>
      <c r="AL174" s="116">
        <f>IFERROR(INDEX(TableWRVORP[FPS],MATCH(TableOverallMaster[[#This Row],[RK]],TableWRVORP[RK],0)),"")</f>
        <v>176.02978377907999</v>
      </c>
      <c r="AM174" s="117">
        <f>IFERROR(INDEX(TableWRVORP[VORP],MATCH(TableOverallMaster[[#This Row],[RK]],TableWRVORP[RK],0)),"")</f>
        <v>0.2190202964758087</v>
      </c>
      <c r="AO174">
        <v>173</v>
      </c>
      <c r="AP174" s="118" t="str">
        <f>IFERROR(INDEX(TableOverallMaster[OVERALL PLAYER],MATCH(TableOverallRank[[#This Row],[RK]],TableOverallMaster[OVR RK],0)),"")</f>
        <v>Daniel Jones</v>
      </c>
      <c r="AQ174" s="119" t="str">
        <f>IFERROR(INDEX(TableOverallMaster[POS RK],MATCH(TableOverallRank[[#This Row],[OVERALL PLAYER]],TableOverallMaster[OVERALL PLAYER],0)),"")</f>
        <v>QB29</v>
      </c>
      <c r="AR174" s="120">
        <f>IFERROR(INDEX(TableOverallMaster[BYE],MATCH(TableOverallRank[[#This Row],[OVERALL PLAYER]],TableOverallMaster[OVERALL PLAYER],0)),"")</f>
        <v>13</v>
      </c>
      <c r="AS174" s="119">
        <f>IFERROR(INDEX(TableOverallMaster[Custom],MATCH(TableOverallRank[[#This Row],[OVERALL PLAYER]],TableOverallMaster[OVERALL PLAYER],0)),"")</f>
        <v>222.10489002455995</v>
      </c>
      <c r="AT174" s="121">
        <f>IFERROR(INDEX(TableOverallMaster[VORP],MATCH(TableOverallRank[[#This Row],[OVERALL PLAYER]],TableOverallMaster[OVERALL PLAYER],0)),"")</f>
        <v>-0.21203716611578771</v>
      </c>
      <c r="AV174">
        <v>173</v>
      </c>
      <c r="AW174" s="122" t="str">
        <f>IFERROR(INDEX(TableWRTECalcPts[PLAYER],MATCH(TableWRTERank[[#This Row],[RK]],TableWRTECalcPts[RK],0)),"")</f>
        <v>Jonathan Mingo</v>
      </c>
      <c r="AX174" s="122" t="str">
        <f>IFERROR(INDEX(TableWRTECalcPts[POS RK],MATCH(TableWRTERank[[#This Row],[WR and TE COMBINED]],TableWRTECalcPts[PLAYER],0)),"")</f>
        <v>WR125</v>
      </c>
      <c r="AY174" s="122">
        <f>IFERROR(INDEX(TableWRTECalcPts[BYE],MATCH(TableWRTERank[[#This Row],[RK]],TableWRTECalcPts[RK],0)),"")</f>
        <v>7</v>
      </c>
      <c r="AZ174" s="123">
        <f>IFERROR(INDEX(TableWRTECalcPts[Custom],MATCH(TableWRTERank[[#This Row],[RK]],TableWRTECalcPts[RK],0)),"")</f>
        <v>29.630162097535994</v>
      </c>
      <c r="BA174" s="174">
        <f>IFERROR((TableWRTERank[[#This Row],[FPS]]-INDEX(TableWRTERank[FPS],MATCH(WRTEVORPCalc,TableWRTERank[RK],0)))/INDEX(TableWRTERank[FPS],MATCH(WRTEVORPCalc,TableWRTERank[RK],0)),"")</f>
        <v>-0.80152015600037463</v>
      </c>
      <c r="BC174" t="s">
        <v>223</v>
      </c>
      <c r="BD174">
        <v>173</v>
      </c>
      <c r="BE174" s="83">
        <f>RANK(TableWRTEMaster[[#This Row],[VORP]],TableWRTEMaster[VORP])+COUNTIF($BJ$2:BJ174,BJ174)-1</f>
        <v>252</v>
      </c>
      <c r="BF174" s="115" t="str">
        <f>IFERROR(INDEX(TableWRVORP[WIDE RECEIVER],MATCH(TableWRTEMaster[[#This Row],[RK]],TableWRVORP[RK],0)),"")</f>
        <v>Dyami Brown</v>
      </c>
      <c r="BG174" s="115" t="str">
        <f>_xlfn.CONCAT(TableWRTEMaster[[#This Row],[POS]],TableWRTEMaster[[#This Row],[RK]])</f>
        <v>WR173</v>
      </c>
      <c r="BH174" s="115">
        <f>IFERROR(INDEX(TableWRVORP[BYE],MATCH(TableWRTEMaster[[#This Row],[RK]],TableWRVORP[RK],0)),"")</f>
        <v>14</v>
      </c>
      <c r="BI174" s="116">
        <f>IFERROR(INDEX(TableWRVORP[FPS],MATCH(TableWRTEMaster[[#This Row],[RK]],TableWRVORP[RK],0)),"")</f>
        <v>10.908131822153999</v>
      </c>
      <c r="BJ174" s="117">
        <f>IFERROR(INDEX(TableWRVORP[VORP],MATCH(TableWRTEMaster[[#This Row],[RK]],TableWRVORP[RK],0)),"")</f>
        <v>-0.92446031687156083</v>
      </c>
    </row>
    <row r="175" spans="8:62" x14ac:dyDescent="0.2">
      <c r="H175">
        <v>174</v>
      </c>
      <c r="I175" s="112" t="str">
        <f>IFERROR(INDEX(TableRBCalcPts[PLAYER],MATCH(TableRBVORP[[#This Row],[RK]],TableRBCalcPts[RK],0)),"")</f>
        <v/>
      </c>
      <c r="J175" s="112" t="str">
        <f>IFERROR(INDEX(TableRBCalcPts[TM],MATCH(TableRBVORP[[#This Row],[RK]],TableRBCalcPts[RK],0)),"")</f>
        <v/>
      </c>
      <c r="K175" s="112" t="str">
        <f>IFERROR(INDEX(TableRBCalcPts[BYE],MATCH(TableRBVORP[[#This Row],[RK]],TableRBCalcPts[RK],0)),"")</f>
        <v/>
      </c>
      <c r="L175" s="113" t="str">
        <f>IFERROR(INDEX(TableRBCalcPts[Custom],MATCH(TableRBVORP[[#This Row],[RK]],TableRBCalcPts[RK],0)),"")</f>
        <v/>
      </c>
      <c r="M175" s="114" t="str">
        <f>IFERROR((TableRBVORP[[#This Row],[FPS]]-INDEX(TableRBVORP[FPS],MATCH(RBVORPCalc,TableRBVORP[RK],0)))/INDEX(TableRBVORP[FPS],MATCH(RBVORPCalc,TableRBVORP[RK],0)),"")</f>
        <v/>
      </c>
      <c r="O175">
        <v>174</v>
      </c>
      <c r="P175" s="112" t="str">
        <f>IFERROR(INDEX(TableWRCalcPts[PLAYER],MATCH(TableWRVORP[[#This Row],[RK]],TableWRCalcPts[RK],0)),"")</f>
        <v>Andy Isabella</v>
      </c>
      <c r="Q175" s="112" t="str">
        <f>IFERROR(INDEX(TableWRCalcPts[TM],MATCH(TableWRVORP[[#This Row],[RK]],TableWRCalcPts[RK],0)),"")</f>
        <v>BUF</v>
      </c>
      <c r="R175" s="112">
        <f>IFERROR(INDEX(TableWRCalcPts[BYE],MATCH(TableWRVORP[[#This Row],[RK]],TableWRCalcPts[RK],0)),"")</f>
        <v>13</v>
      </c>
      <c r="S175" s="113">
        <f>IFERROR(INDEX(TableWRCalcPts[Custom],MATCH(TableWRVORP[[#This Row],[RK]],TableWRCalcPts[RK],0)),"")</f>
        <v>10.255012024319997</v>
      </c>
      <c r="T175" s="114">
        <f>IFERROR((TableWRVORP[[#This Row],[FPS]]-INDEX(TableWRVORP[FPS],MATCH(WRVORPCalc,TableWRVORP[RK],0)))/INDEX(TableWRVORP[FPS],MATCH(WRVORPCalc,TableWRVORP[RK],0)),"")</f>
        <v>-0.92898322357801355</v>
      </c>
      <c r="AF175" t="s">
        <v>223</v>
      </c>
      <c r="AG175">
        <v>34</v>
      </c>
      <c r="AH175" s="83">
        <f>RANK(TableOverallMaster[[#This Row],[VORP]],TableOverallMaster[VORP])+COUNTIF($AM$2:AM175,AM175)-1</f>
        <v>89</v>
      </c>
      <c r="AI175" s="115" t="str">
        <f>IFERROR(INDEX(TableWRVORP[WIDE RECEIVER],MATCH(TableOverallMaster[[#This Row],[RK]],TableWRVORP[RK],0)),"")</f>
        <v>Rashee Rice</v>
      </c>
      <c r="AJ175" s="115" t="str">
        <f t="shared" si="2"/>
        <v>WR34</v>
      </c>
      <c r="AK175" s="115">
        <f>IFERROR(INDEX(TableWRVORP[BYE],MATCH(TableOverallMaster[[#This Row],[RK]],TableWRVORP[RK],0)),"")</f>
        <v>10</v>
      </c>
      <c r="AL175" s="116">
        <f>IFERROR(INDEX(TableWRVORP[FPS],MATCH(TableOverallMaster[[#This Row],[RK]],TableWRVORP[RK],0)),"")</f>
        <v>174.33131313919995</v>
      </c>
      <c r="AM175" s="117">
        <f>IFERROR(INDEX(TableWRVORP[VORP],MATCH(TableOverallMaster[[#This Row],[RK]],TableWRVORP[RK],0)),"")</f>
        <v>0.20725825178920898</v>
      </c>
      <c r="AO175">
        <v>174</v>
      </c>
      <c r="AP175" s="118" t="str">
        <f>IFERROR(INDEX(TableOverallMaster[OVERALL PLAYER],MATCH(TableOverallRank[[#This Row],[RK]],TableOverallMaster[OVR RK],0)),"")</f>
        <v>Luke Musgrave</v>
      </c>
      <c r="AQ175" s="119" t="str">
        <f>IFERROR(INDEX(TableOverallMaster[POS RK],MATCH(TableOverallRank[[#This Row],[OVERALL PLAYER]],TableOverallMaster[OVERALL PLAYER],0)),"")</f>
        <v>TE18</v>
      </c>
      <c r="AR175" s="120">
        <f>IFERROR(INDEX(TableOverallMaster[BYE],MATCH(TableOverallRank[[#This Row],[OVERALL PLAYER]],TableOverallMaster[OVERALL PLAYER],0)),"")</f>
        <v>6</v>
      </c>
      <c r="AS175" s="119">
        <f>IFERROR(INDEX(TableOverallMaster[Custom],MATCH(TableOverallRank[[#This Row],[OVERALL PLAYER]],TableOverallMaster[OVERALL PLAYER],0)),"")</f>
        <v>99.969667209216013</v>
      </c>
      <c r="AT175" s="121">
        <f>IFERROR(INDEX(TableOverallMaster[VORP],MATCH(TableOverallRank[[#This Row],[OVERALL PLAYER]],TableOverallMaster[OVERALL PLAYER],0)),"")</f>
        <v>-0.23886318867573314</v>
      </c>
      <c r="AV175">
        <v>174</v>
      </c>
      <c r="AW175" s="122" t="str">
        <f>IFERROR(INDEX(TableWRTECalcPts[PLAYER],MATCH(TableWRTERank[[#This Row],[RK]],TableWRTECalcPts[RK],0)),"")</f>
        <v>Jauan Jennings</v>
      </c>
      <c r="AX175" s="122" t="str">
        <f>IFERROR(INDEX(TableWRTECalcPts[POS RK],MATCH(TableWRTERank[[#This Row],[WR and TE COMBINED]],TableWRTECalcPts[PLAYER],0)),"")</f>
        <v>WR126</v>
      </c>
      <c r="AY175" s="122">
        <f>IFERROR(INDEX(TableWRTECalcPts[BYE],MATCH(TableWRTERank[[#This Row],[RK]],TableWRTECalcPts[RK],0)),"")</f>
        <v>9</v>
      </c>
      <c r="AZ175" s="123">
        <f>IFERROR(INDEX(TableWRTECalcPts[Custom],MATCH(TableWRTERank[[#This Row],[RK]],TableWRTECalcPts[RK],0)),"")</f>
        <v>29.207740994611196</v>
      </c>
      <c r="BA175" s="174">
        <f>IFERROR((TableWRTERank[[#This Row],[FPS]]-INDEX(TableWRTERank[FPS],MATCH(WRTEVORPCalc,TableWRTERank[RK],0)))/INDEX(TableWRTERank[FPS],MATCH(WRTEVORPCalc,TableWRTERank[RK],0)),"")</f>
        <v>-0.80434977516798734</v>
      </c>
      <c r="BC175" t="s">
        <v>223</v>
      </c>
      <c r="BD175">
        <v>174</v>
      </c>
      <c r="BE175" s="83">
        <f>RANK(TableWRTEMaster[[#This Row],[VORP]],TableWRTEMaster[VORP])+COUNTIF($BJ$2:BJ175,BJ175)-1</f>
        <v>253</v>
      </c>
      <c r="BF175" s="115" t="str">
        <f>IFERROR(INDEX(TableWRVORP[WIDE RECEIVER],MATCH(TableWRTEMaster[[#This Row],[RK]],TableWRVORP[RK],0)),"")</f>
        <v>Andy Isabella</v>
      </c>
      <c r="BG175" s="115" t="str">
        <f>_xlfn.CONCAT(TableWRTEMaster[[#This Row],[POS]],TableWRTEMaster[[#This Row],[RK]])</f>
        <v>WR174</v>
      </c>
      <c r="BH175" s="115">
        <f>IFERROR(INDEX(TableWRVORP[BYE],MATCH(TableWRTEMaster[[#This Row],[RK]],TableWRVORP[RK],0)),"")</f>
        <v>13</v>
      </c>
      <c r="BI175" s="116">
        <f>IFERROR(INDEX(TableWRVORP[FPS],MATCH(TableWRTEMaster[[#This Row],[RK]],TableWRVORP[RK],0)),"")</f>
        <v>10.255012024319997</v>
      </c>
      <c r="BJ175" s="117">
        <f>IFERROR(INDEX(TableWRVORP[VORP],MATCH(TableWRTEMaster[[#This Row],[RK]],TableWRVORP[RK],0)),"")</f>
        <v>-0.92898322357801355</v>
      </c>
    </row>
    <row r="176" spans="8:62" x14ac:dyDescent="0.2">
      <c r="H176">
        <v>175</v>
      </c>
      <c r="I176" s="112" t="str">
        <f>IFERROR(INDEX(TableRBCalcPts[PLAYER],MATCH(TableRBVORP[[#This Row],[RK]],TableRBCalcPts[RK],0)),"")</f>
        <v/>
      </c>
      <c r="J176" s="112" t="str">
        <f>IFERROR(INDEX(TableRBCalcPts[TM],MATCH(TableRBVORP[[#This Row],[RK]],TableRBCalcPts[RK],0)),"")</f>
        <v/>
      </c>
      <c r="K176" s="112" t="str">
        <f>IFERROR(INDEX(TableRBCalcPts[BYE],MATCH(TableRBVORP[[#This Row],[RK]],TableRBCalcPts[RK],0)),"")</f>
        <v/>
      </c>
      <c r="L176" s="113" t="str">
        <f>IFERROR(INDEX(TableRBCalcPts[Custom],MATCH(TableRBVORP[[#This Row],[RK]],TableRBCalcPts[RK],0)),"")</f>
        <v/>
      </c>
      <c r="M176" s="114" t="str">
        <f>IFERROR((TableRBVORP[[#This Row],[FPS]]-INDEX(TableRBVORP[FPS],MATCH(RBVORPCalc,TableRBVORP[RK],0)))/INDEX(TableRBVORP[FPS],MATCH(RBVORPCalc,TableRBVORP[RK],0)),"")</f>
        <v/>
      </c>
      <c r="O176">
        <v>175</v>
      </c>
      <c r="P176" s="112" t="str">
        <f>IFERROR(INDEX(TableWRCalcPts[PLAYER],MATCH(TableWRVORP[[#This Row],[RK]],TableWRCalcPts[RK],0)),"")</f>
        <v>Justin Shorter</v>
      </c>
      <c r="Q176" s="112" t="str">
        <f>IFERROR(INDEX(TableWRCalcPts[TM],MATCH(TableWRVORP[[#This Row],[RK]],TableWRCalcPts[RK],0)),"")</f>
        <v>BUF</v>
      </c>
      <c r="R176" s="112">
        <f>IFERROR(INDEX(TableWRCalcPts[BYE],MATCH(TableWRVORP[[#This Row],[RK]],TableWRCalcPts[RK],0)),"")</f>
        <v>13</v>
      </c>
      <c r="S176" s="113">
        <f>IFERROR(INDEX(TableWRCalcPts[Custom],MATCH(TableWRVORP[[#This Row],[RK]],TableWRCalcPts[RK],0)),"")</f>
        <v>10.112884991999998</v>
      </c>
      <c r="T176" s="114">
        <f>IFERROR((TableWRVORP[[#This Row],[FPS]]-INDEX(TableWRVORP[FPS],MATCH(WRVORPCalc,TableWRVORP[RK],0)))/INDEX(TableWRVORP[FPS],MATCH(WRVORPCalc,TableWRVORP[RK],0)),"")</f>
        <v>-0.92996746461584479</v>
      </c>
      <c r="AF176" t="s">
        <v>223</v>
      </c>
      <c r="AG176">
        <v>35</v>
      </c>
      <c r="AH176" s="83">
        <f>RANK(TableOverallMaster[[#This Row],[VORP]],TableOverallMaster[VORP])+COUNTIF($AM$2:AM176,AM176)-1</f>
        <v>91</v>
      </c>
      <c r="AI176" s="115" t="str">
        <f>IFERROR(INDEX(TableWRVORP[WIDE RECEIVER],MATCH(TableOverallMaster[[#This Row],[RK]],TableWRVORP[RK],0)),"")</f>
        <v>Terry McLaurin</v>
      </c>
      <c r="AJ176" s="115" t="str">
        <f t="shared" si="2"/>
        <v>WR35</v>
      </c>
      <c r="AK176" s="115">
        <f>IFERROR(INDEX(TableWRVORP[BYE],MATCH(TableOverallMaster[[#This Row],[RK]],TableWRVORP[RK],0)),"")</f>
        <v>14</v>
      </c>
      <c r="AL176" s="116">
        <f>IFERROR(INDEX(TableWRVORP[FPS],MATCH(TableOverallMaster[[#This Row],[RK]],TableWRVORP[RK],0)),"")</f>
        <v>172.97674860746699</v>
      </c>
      <c r="AM176" s="117">
        <f>IFERROR(INDEX(TableWRVORP[VORP],MATCH(TableOverallMaster[[#This Row],[RK]],TableWRVORP[RK],0)),"")</f>
        <v>0.19787778433864922</v>
      </c>
      <c r="AO176">
        <v>175</v>
      </c>
      <c r="AP176" s="118" t="str">
        <f>IFERROR(INDEX(TableOverallMaster[OVERALL PLAYER],MATCH(TableOverallRank[[#This Row],[RK]],TableOverallMaster[OVR RK],0)),"")</f>
        <v>Hunter Henry</v>
      </c>
      <c r="AQ176" s="119" t="str">
        <f>IFERROR(INDEX(TableOverallMaster[POS RK],MATCH(TableOverallRank[[#This Row],[OVERALL PLAYER]],TableOverallMaster[OVERALL PLAYER],0)),"")</f>
        <v>TE19</v>
      </c>
      <c r="AR176" s="120">
        <f>IFERROR(INDEX(TableOverallMaster[BYE],MATCH(TableOverallRank[[#This Row],[OVERALL PLAYER]],TableOverallMaster[OVERALL PLAYER],0)),"")</f>
        <v>11</v>
      </c>
      <c r="AS176" s="119">
        <f>IFERROR(INDEX(TableOverallMaster[Custom],MATCH(TableOverallRank[[#This Row],[OVERALL PLAYER]],TableOverallMaster[OVERALL PLAYER],0)),"")</f>
        <v>96.809080357735198</v>
      </c>
      <c r="AT176" s="121">
        <f>IFERROR(INDEX(TableOverallMaster[VORP],MATCH(TableOverallRank[[#This Row],[OVERALL PLAYER]],TableOverallMaster[OVERALL PLAYER],0)),"")</f>
        <v>-0.2629268778447188</v>
      </c>
      <c r="AV176">
        <v>175</v>
      </c>
      <c r="AW176" s="122" t="str">
        <f>IFERROR(INDEX(TableWRTECalcPts[PLAYER],MATCH(TableWRTERank[[#This Row],[RK]],TableWRTECalcPts[RK],0)),"")</f>
        <v>Skyy Moore</v>
      </c>
      <c r="AX176" s="122" t="str">
        <f>IFERROR(INDEX(TableWRTECalcPts[POS RK],MATCH(TableWRTERank[[#This Row],[WR and TE COMBINED]],TableWRTECalcPts[PLAYER],0)),"")</f>
        <v>WR127</v>
      </c>
      <c r="AY176" s="122">
        <f>IFERROR(INDEX(TableWRTECalcPts[BYE],MATCH(TableWRTERank[[#This Row],[RK]],TableWRTECalcPts[RK],0)),"")</f>
        <v>10</v>
      </c>
      <c r="AZ176" s="123">
        <f>IFERROR(INDEX(TableWRTECalcPts[Custom],MATCH(TableWRTERank[[#This Row],[RK]],TableWRTECalcPts[RK],0)),"")</f>
        <v>29.163992088000001</v>
      </c>
      <c r="BA176" s="174">
        <f>IFERROR((TableWRTERank[[#This Row],[FPS]]-INDEX(TableWRTERank[FPS],MATCH(WRTEVORPCalc,TableWRTERank[RK],0)))/INDEX(TableWRTERank[FPS],MATCH(WRTEVORPCalc,TableWRTERank[RK],0)),"")</f>
        <v>-0.80464283047192942</v>
      </c>
      <c r="BC176" t="s">
        <v>223</v>
      </c>
      <c r="BD176">
        <v>175</v>
      </c>
      <c r="BE176" s="83">
        <f>RANK(TableWRTEMaster[[#This Row],[VORP]],TableWRTEMaster[VORP])+COUNTIF($BJ$2:BJ176,BJ176)-1</f>
        <v>254</v>
      </c>
      <c r="BF176" s="115" t="str">
        <f>IFERROR(INDEX(TableWRVORP[WIDE RECEIVER],MATCH(TableWRTEMaster[[#This Row],[RK]],TableWRVORP[RK],0)),"")</f>
        <v>Justin Shorter</v>
      </c>
      <c r="BG176" s="115" t="str">
        <f>_xlfn.CONCAT(TableWRTEMaster[[#This Row],[POS]],TableWRTEMaster[[#This Row],[RK]])</f>
        <v>WR175</v>
      </c>
      <c r="BH176" s="115">
        <f>IFERROR(INDEX(TableWRVORP[BYE],MATCH(TableWRTEMaster[[#This Row],[RK]],TableWRVORP[RK],0)),"")</f>
        <v>13</v>
      </c>
      <c r="BI176" s="116">
        <f>IFERROR(INDEX(TableWRVORP[FPS],MATCH(TableWRTEMaster[[#This Row],[RK]],TableWRVORP[RK],0)),"")</f>
        <v>10.112884991999998</v>
      </c>
      <c r="BJ176" s="117">
        <f>IFERROR(INDEX(TableWRVORP[VORP],MATCH(TableWRTEMaster[[#This Row],[RK]],TableWRVORP[RK],0)),"")</f>
        <v>-0.92996746461584479</v>
      </c>
    </row>
    <row r="177" spans="15:62" x14ac:dyDescent="0.2">
      <c r="O177">
        <v>176</v>
      </c>
      <c r="P177" s="112" t="str">
        <f>IFERROR(INDEX(TableWRCalcPts[PLAYER],MATCH(TableWRVORP[[#This Row],[RK]],TableWRCalcPts[RK],0)),"")</f>
        <v>Ainias Smith</v>
      </c>
      <c r="Q177" s="112" t="str">
        <f>IFERROR(INDEX(TableWRCalcPts[TM],MATCH(TableWRVORP[[#This Row],[RK]],TableWRCalcPts[RK],0)),"")</f>
        <v>PHI</v>
      </c>
      <c r="R177" s="112">
        <f>IFERROR(INDEX(TableWRCalcPts[BYE],MATCH(TableWRVORP[[#This Row],[RK]],TableWRCalcPts[RK],0)),"")</f>
        <v>10</v>
      </c>
      <c r="S177" s="113">
        <f>IFERROR(INDEX(TableWRCalcPts[Custom],MATCH(TableWRVORP[[#This Row],[RK]],TableWRCalcPts[RK],0)),"")</f>
        <v>9.9783691363440035</v>
      </c>
      <c r="T177" s="114">
        <f>IFERROR((TableWRVORP[[#This Row],[FPS]]-INDEX(TableWRVORP[FPS],MATCH(WRVORPCalc,TableWRVORP[RK],0)))/INDEX(TableWRVORP[FPS],MATCH(WRVORPCalc,TableWRVORP[RK],0)),"")</f>
        <v>-0.93089899764805184</v>
      </c>
      <c r="AF177" t="s">
        <v>223</v>
      </c>
      <c r="AG177">
        <v>36</v>
      </c>
      <c r="AH177" s="83">
        <f>RANK(TableOverallMaster[[#This Row],[VORP]],TableOverallMaster[VORP])+COUNTIF($AM$2:AM177,AM177)-1</f>
        <v>92</v>
      </c>
      <c r="AI177" s="115" t="str">
        <f>IFERROR(INDEX(TableWRVORP[WIDE RECEIVER],MATCH(TableOverallMaster[[#This Row],[RK]],TableWRVORP[RK],0)),"")</f>
        <v>Chris Godwin</v>
      </c>
      <c r="AJ177" s="115" t="str">
        <f t="shared" si="2"/>
        <v>WR36</v>
      </c>
      <c r="AK177" s="115">
        <f>IFERROR(INDEX(TableWRVORP[BYE],MATCH(TableOverallMaster[[#This Row],[RK]],TableWRVORP[RK],0)),"")</f>
        <v>5</v>
      </c>
      <c r="AL177" s="116">
        <f>IFERROR(INDEX(TableWRVORP[FPS],MATCH(TableOverallMaster[[#This Row],[RK]],TableWRVORP[RK],0)),"")</f>
        <v>172.82871671083197</v>
      </c>
      <c r="AM177" s="117">
        <f>IFERROR(INDEX(TableWRVORP[VORP],MATCH(TableOverallMaster[[#This Row],[RK]],TableWRVORP[RK],0)),"")</f>
        <v>0.19685265164434126</v>
      </c>
      <c r="AO177">
        <v>176</v>
      </c>
      <c r="AP177" s="118" t="str">
        <f>IFERROR(INDEX(TableOverallMaster[OVERALL PLAYER],MATCH(TableOverallRank[[#This Row],[RK]],TableOverallMaster[OVR RK],0)),"")</f>
        <v>Demario Douglas</v>
      </c>
      <c r="AQ177" s="119" t="str">
        <f>IFERROR(INDEX(TableOverallMaster[POS RK],MATCH(TableOverallRank[[#This Row],[OVERALL PLAYER]],TableOverallMaster[OVERALL PLAYER],0)),"")</f>
        <v>WR74</v>
      </c>
      <c r="AR177" s="120">
        <f>IFERROR(INDEX(TableOverallMaster[BYE],MATCH(TableOverallRank[[#This Row],[OVERALL PLAYER]],TableOverallMaster[OVERALL PLAYER],0)),"")</f>
        <v>11</v>
      </c>
      <c r="AS177" s="119">
        <f>IFERROR(INDEX(TableOverallMaster[Custom],MATCH(TableOverallRank[[#This Row],[OVERALL PLAYER]],TableOverallMaster[OVERALL PLAYER],0)),"")</f>
        <v>106.29055499999998</v>
      </c>
      <c r="AT177" s="121">
        <f>IFERROR(INDEX(TableOverallMaster[VORP],MATCH(TableOverallRank[[#This Row],[OVERALL PLAYER]],TableOverallMaster[OVERALL PLAYER],0)),"")</f>
        <v>-0.26392942667423286</v>
      </c>
      <c r="AV177">
        <v>176</v>
      </c>
      <c r="AW177" s="122" t="str">
        <f>IFERROR(INDEX(TableWRTECalcPts[PLAYER],MATCH(TableWRTERank[[#This Row],[RK]],TableWRTECalcPts[RK],0)),"")</f>
        <v>Terrace Marshall</v>
      </c>
      <c r="AX177" s="122" t="str">
        <f>IFERROR(INDEX(TableWRTECalcPts[POS RK],MATCH(TableWRTERank[[#This Row],[WR and TE COMBINED]],TableWRTECalcPts[PLAYER],0)),"")</f>
        <v>WR128</v>
      </c>
      <c r="AY177" s="122">
        <f>IFERROR(INDEX(TableWRTECalcPts[BYE],MATCH(TableWRTERank[[#This Row],[RK]],TableWRTECalcPts[RK],0)),"")</f>
        <v>7</v>
      </c>
      <c r="AZ177" s="123">
        <f>IFERROR(INDEX(TableWRTECalcPts[Custom],MATCH(TableWRTERank[[#This Row],[RK]],TableWRTECalcPts[RK],0)),"")</f>
        <v>28.987005173839997</v>
      </c>
      <c r="BA177" s="174">
        <f>IFERROR((TableWRTERank[[#This Row],[FPS]]-INDEX(TableWRTERank[FPS],MATCH(WRTEVORPCalc,TableWRTERank[RK],0)))/INDEX(TableWRTERank[FPS],MATCH(WRTEVORPCalc,TableWRTERank[RK],0)),"")</f>
        <v>-0.80582839047652255</v>
      </c>
      <c r="BC177" t="s">
        <v>223</v>
      </c>
      <c r="BD177">
        <v>176</v>
      </c>
      <c r="BE177" s="83">
        <f>RANK(TableWRTEMaster[[#This Row],[VORP]],TableWRTEMaster[VORP])+COUNTIF($BJ$2:BJ177,BJ177)-1</f>
        <v>255</v>
      </c>
      <c r="BF177" s="115" t="str">
        <f>IFERROR(INDEX(TableWRVORP[WIDE RECEIVER],MATCH(TableWRTEMaster[[#This Row],[RK]],TableWRVORP[RK],0)),"")</f>
        <v>Ainias Smith</v>
      </c>
      <c r="BG177" s="115" t="str">
        <f>_xlfn.CONCAT(TableWRTEMaster[[#This Row],[POS]],TableWRTEMaster[[#This Row],[RK]])</f>
        <v>WR176</v>
      </c>
      <c r="BH177" s="115">
        <f>IFERROR(INDEX(TableWRVORP[BYE],MATCH(TableWRTEMaster[[#This Row],[RK]],TableWRVORP[RK],0)),"")</f>
        <v>10</v>
      </c>
      <c r="BI177" s="116">
        <f>IFERROR(INDEX(TableWRVORP[FPS],MATCH(TableWRTEMaster[[#This Row],[RK]],TableWRVORP[RK],0)),"")</f>
        <v>9.9783691363440035</v>
      </c>
      <c r="BJ177" s="117">
        <f>IFERROR(INDEX(TableWRVORP[VORP],MATCH(TableWRTEMaster[[#This Row],[RK]],TableWRVORP[RK],0)),"")</f>
        <v>-0.93089899764805184</v>
      </c>
    </row>
    <row r="178" spans="15:62" x14ac:dyDescent="0.2">
      <c r="O178">
        <v>177</v>
      </c>
      <c r="P178" s="112" t="str">
        <f>IFERROR(INDEX(TableWRCalcPts[PLAYER],MATCH(TableWRVORP[[#This Row],[RK]],TableWRCalcPts[RK],0)),"")</f>
        <v>Jha'Quan Jackson</v>
      </c>
      <c r="Q178" s="112" t="str">
        <f>IFERROR(INDEX(TableWRCalcPts[TM],MATCH(TableWRVORP[[#This Row],[RK]],TableWRCalcPts[RK],0)),"")</f>
        <v>TEN</v>
      </c>
      <c r="R178" s="112">
        <f>IFERROR(INDEX(TableWRCalcPts[BYE],MATCH(TableWRVORP[[#This Row],[RK]],TableWRCalcPts[RK],0)),"")</f>
        <v>7</v>
      </c>
      <c r="S178" s="113">
        <f>IFERROR(INDEX(TableWRCalcPts[Custom],MATCH(TableWRVORP[[#This Row],[RK]],TableWRCalcPts[RK],0)),"")</f>
        <v>9.8307059800949972</v>
      </c>
      <c r="T178" s="114">
        <f>IFERROR((TableWRVORP[[#This Row],[FPS]]-INDEX(TableWRVORP[FPS],MATCH(WRVORPCalc,TableWRVORP[RK],0)))/INDEX(TableWRVORP[FPS],MATCH(WRVORPCalc,TableWRVORP[RK],0)),"")</f>
        <v>-0.93192157678576837</v>
      </c>
      <c r="AF178" t="s">
        <v>223</v>
      </c>
      <c r="AG178">
        <v>37</v>
      </c>
      <c r="AH178" s="83">
        <f>RANK(TableOverallMaster[[#This Row],[VORP]],TableOverallMaster[VORP])+COUNTIF($AM$2:AM178,AM178)-1</f>
        <v>93</v>
      </c>
      <c r="AI178" s="115" t="str">
        <f>IFERROR(INDEX(TableWRVORP[WIDE RECEIVER],MATCH(TableOverallMaster[[#This Row],[RK]],TableWRVORP[RK],0)),"")</f>
        <v>Zay Flowers</v>
      </c>
      <c r="AJ178" s="115" t="str">
        <f t="shared" si="2"/>
        <v>WR37</v>
      </c>
      <c r="AK178" s="115">
        <f>IFERROR(INDEX(TableWRVORP[BYE],MATCH(TableOverallMaster[[#This Row],[RK]],TableWRVORP[RK],0)),"")</f>
        <v>13</v>
      </c>
      <c r="AL178" s="116">
        <f>IFERROR(INDEX(TableWRVORP[FPS],MATCH(TableOverallMaster[[#This Row],[RK]],TableWRVORP[RK],0)),"")</f>
        <v>171.6694996834272</v>
      </c>
      <c r="AM178" s="117">
        <f>IFERROR(INDEX(TableWRVORP[VORP],MATCH(TableOverallMaster[[#This Row],[RK]],TableWRVORP[RK],0)),"")</f>
        <v>0.18882498124624411</v>
      </c>
      <c r="AO178">
        <v>177</v>
      </c>
      <c r="AP178" s="118" t="str">
        <f>IFERROR(INDEX(TableOverallMaster[OVERALL PLAYER],MATCH(TableOverallRank[[#This Row],[RK]],TableOverallMaster[OVR RK],0)),"")</f>
        <v>Russell Wilson</v>
      </c>
      <c r="AQ178" s="119" t="str">
        <f>IFERROR(INDEX(TableOverallMaster[POS RK],MATCH(TableOverallRank[[#This Row],[OVERALL PLAYER]],TableOverallMaster[OVERALL PLAYER],0)),"")</f>
        <v>QB30</v>
      </c>
      <c r="AR178" s="120">
        <f>IFERROR(INDEX(TableOverallMaster[BYE],MATCH(TableOverallRank[[#This Row],[OVERALL PLAYER]],TableOverallMaster[OVERALL PLAYER],0)),"")</f>
        <v>6</v>
      </c>
      <c r="AS178" s="119">
        <f>IFERROR(INDEX(TableOverallMaster[Custom],MATCH(TableOverallRank[[#This Row],[OVERALL PLAYER]],TableOverallMaster[OVERALL PLAYER],0)),"")</f>
        <v>201.532956324</v>
      </c>
      <c r="AT178" s="121">
        <f>IFERROR(INDEX(TableOverallMaster[VORP],MATCH(TableOverallRank[[#This Row],[OVERALL PLAYER]],TableOverallMaster[OVERALL PLAYER],0)),"")</f>
        <v>-0.26900133123962133</v>
      </c>
      <c r="AV178">
        <v>177</v>
      </c>
      <c r="AW178" s="122" t="str">
        <f>IFERROR(INDEX(TableWRTECalcPts[PLAYER],MATCH(TableWRTERank[[#This Row],[RK]],TableWRTECalcPts[RK],0)),"")</f>
        <v>Robert Woods</v>
      </c>
      <c r="AX178" s="122" t="str">
        <f>IFERROR(INDEX(TableWRTECalcPts[POS RK],MATCH(TableWRTERank[[#This Row],[WR and TE COMBINED]],TableWRTECalcPts[PLAYER],0)),"")</f>
        <v>WR129</v>
      </c>
      <c r="AY178" s="122">
        <f>IFERROR(INDEX(TableWRTECalcPts[BYE],MATCH(TableWRTERank[[#This Row],[RK]],TableWRTECalcPts[RK],0)),"")</f>
        <v>7</v>
      </c>
      <c r="AZ178" s="123">
        <f>IFERROR(INDEX(TableWRTECalcPts[Custom],MATCH(TableWRTERank[[#This Row],[RK]],TableWRTECalcPts[RK],0)),"")</f>
        <v>28.276131659775999</v>
      </c>
      <c r="BA178" s="174">
        <f>IFERROR((TableWRTERank[[#This Row],[FPS]]-INDEX(TableWRTERank[FPS],MATCH(WRTEVORPCalc,TableWRTERank[RK],0)))/INDEX(TableWRTERank[FPS],MATCH(WRTEVORPCalc,TableWRTERank[RK],0)),"")</f>
        <v>-0.81059022956840598</v>
      </c>
      <c r="BC178" t="s">
        <v>223</v>
      </c>
      <c r="BD178">
        <v>177</v>
      </c>
      <c r="BE178" s="83">
        <f>RANK(TableWRTEMaster[[#This Row],[VORP]],TableWRTEMaster[VORP])+COUNTIF($BJ$2:BJ178,BJ178)-1</f>
        <v>256</v>
      </c>
      <c r="BF178" s="115" t="str">
        <f>IFERROR(INDEX(TableWRVORP[WIDE RECEIVER],MATCH(TableWRTEMaster[[#This Row],[RK]],TableWRVORP[RK],0)),"")</f>
        <v>Jha'Quan Jackson</v>
      </c>
      <c r="BG178" s="115" t="str">
        <f>_xlfn.CONCAT(TableWRTEMaster[[#This Row],[POS]],TableWRTEMaster[[#This Row],[RK]])</f>
        <v>WR177</v>
      </c>
      <c r="BH178" s="115">
        <f>IFERROR(INDEX(TableWRVORP[BYE],MATCH(TableWRTEMaster[[#This Row],[RK]],TableWRVORP[RK],0)),"")</f>
        <v>7</v>
      </c>
      <c r="BI178" s="116">
        <f>IFERROR(INDEX(TableWRVORP[FPS],MATCH(TableWRTEMaster[[#This Row],[RK]],TableWRVORP[RK],0)),"")</f>
        <v>9.8307059800949972</v>
      </c>
      <c r="BJ178" s="117">
        <f>IFERROR(INDEX(TableWRVORP[VORP],MATCH(TableWRTEMaster[[#This Row],[RK]],TableWRVORP[RK],0)),"")</f>
        <v>-0.93192157678576837</v>
      </c>
    </row>
    <row r="179" spans="15:62" x14ac:dyDescent="0.2">
      <c r="O179">
        <v>178</v>
      </c>
      <c r="P179" s="112" t="str">
        <f>IFERROR(INDEX(TableWRCalcPts[PLAYER],MATCH(TableWRVORP[[#This Row],[RK]],TableWRCalcPts[RK],0)),"")</f>
        <v>Danny Gray</v>
      </c>
      <c r="Q179" s="112" t="str">
        <f>IFERROR(INDEX(TableWRCalcPts[TM],MATCH(TableWRVORP[[#This Row],[RK]],TableWRCalcPts[RK],0)),"")</f>
        <v>SF</v>
      </c>
      <c r="R179" s="112">
        <f>IFERROR(INDEX(TableWRCalcPts[BYE],MATCH(TableWRVORP[[#This Row],[RK]],TableWRCalcPts[RK],0)),"")</f>
        <v>9</v>
      </c>
      <c r="S179" s="113">
        <f>IFERROR(INDEX(TableWRCalcPts[Custom],MATCH(TableWRVORP[[#This Row],[RK]],TableWRCalcPts[RK],0)),"")</f>
        <v>8.5978939176899996</v>
      </c>
      <c r="T179" s="114">
        <f>IFERROR((TableWRVORP[[#This Row],[FPS]]-INDEX(TableWRVORP[FPS],MATCH(WRVORPCalc,TableWRVORP[RK],0)))/INDEX(TableWRVORP[FPS],MATCH(WRVORPCalc,TableWRVORP[RK],0)),"")</f>
        <v>-0.94045889867271659</v>
      </c>
      <c r="AF179" t="s">
        <v>223</v>
      </c>
      <c r="AG179">
        <v>38</v>
      </c>
      <c r="AH179" s="83">
        <f>RANK(TableOverallMaster[[#This Row],[VORP]],TableOverallMaster[VORP])+COUNTIF($AM$2:AM179,AM179)-1</f>
        <v>94</v>
      </c>
      <c r="AI179" s="115" t="str">
        <f>IFERROR(INDEX(TableWRVORP[WIDE RECEIVER],MATCH(TableOverallMaster[[#This Row],[RK]],TableWRVORP[RK],0)),"")</f>
        <v>Jameson Williams</v>
      </c>
      <c r="AJ179" s="115" t="str">
        <f t="shared" si="2"/>
        <v>WR38</v>
      </c>
      <c r="AK179" s="115">
        <f>IFERROR(INDEX(TableWRVORP[BYE],MATCH(TableOverallMaster[[#This Row],[RK]],TableWRVORP[RK],0)),"")</f>
        <v>9</v>
      </c>
      <c r="AL179" s="116">
        <f>IFERROR(INDEX(TableWRVORP[FPS],MATCH(TableOverallMaster[[#This Row],[RK]],TableWRVORP[RK],0)),"")</f>
        <v>170.67243936779397</v>
      </c>
      <c r="AM179" s="117">
        <f>IFERROR(INDEX(TableWRVORP[VORP],MATCH(TableOverallMaster[[#This Row],[RK]],TableWRVORP[RK],0)),"")</f>
        <v>0.18192025901416503</v>
      </c>
      <c r="AO179">
        <v>178</v>
      </c>
      <c r="AP179" s="118" t="str">
        <f>IFERROR(INDEX(TableOverallMaster[OVERALL PLAYER],MATCH(TableOverallRank[[#This Row],[RK]],TableOverallMaster[OVR RK],0)),"")</f>
        <v>Josh Reynolds</v>
      </c>
      <c r="AQ179" s="119" t="str">
        <f>IFERROR(INDEX(TableOverallMaster[POS RK],MATCH(TableOverallRank[[#This Row],[OVERALL PLAYER]],TableOverallMaster[OVERALL PLAYER],0)),"")</f>
        <v>WR75</v>
      </c>
      <c r="AR179" s="120">
        <f>IFERROR(INDEX(TableOverallMaster[BYE],MATCH(TableOverallRank[[#This Row],[OVERALL PLAYER]],TableOverallMaster[OVERALL PLAYER],0)),"")</f>
        <v>9</v>
      </c>
      <c r="AS179" s="119">
        <f>IFERROR(INDEX(TableOverallMaster[Custom],MATCH(TableOverallRank[[#This Row],[OVERALL PLAYER]],TableOverallMaster[OVERALL PLAYER],0)),"")</f>
        <v>105.31443284480997</v>
      </c>
      <c r="AT179" s="121">
        <f>IFERROR(INDEX(TableOverallMaster[VORP],MATCH(TableOverallRank[[#This Row],[OVERALL PLAYER]],TableOverallMaster[OVERALL PLAYER],0)),"")</f>
        <v>-0.27068915047477843</v>
      </c>
      <c r="AV179">
        <v>178</v>
      </c>
      <c r="AW179" s="122" t="str">
        <f>IFERROR(INDEX(TableWRTECalcPts[PLAYER],MATCH(TableWRTERank[[#This Row],[RK]],TableWRTECalcPts[RK],0)),"")</f>
        <v>Deonte Harty</v>
      </c>
      <c r="AX179" s="122" t="str">
        <f>IFERROR(INDEX(TableWRTECalcPts[POS RK],MATCH(TableWRTERank[[#This Row],[WR and TE COMBINED]],TableWRTECalcPts[PLAYER],0)),"")</f>
        <v>WR130</v>
      </c>
      <c r="AY179" s="122">
        <f>IFERROR(INDEX(TableWRTECalcPts[BYE],MATCH(TableWRTERank[[#This Row],[RK]],TableWRTECalcPts[RK],0)),"")</f>
        <v>13</v>
      </c>
      <c r="AZ179" s="123">
        <f>IFERROR(INDEX(TableWRTECalcPts[Custom],MATCH(TableWRTERank[[#This Row],[RK]],TableWRTECalcPts[RK],0)),"")</f>
        <v>28.234076045145603</v>
      </c>
      <c r="BA179" s="174">
        <f>IFERROR((TableWRTERank[[#This Row],[FPS]]-INDEX(TableWRTERank[FPS],MATCH(WRTEVORPCalc,TableWRTERank[RK],0)))/INDEX(TableWRTERank[FPS],MATCH(WRTEVORPCalc,TableWRTERank[RK],0)),"")</f>
        <v>-0.81087194223010772</v>
      </c>
      <c r="BC179" t="s">
        <v>223</v>
      </c>
      <c r="BD179">
        <v>178</v>
      </c>
      <c r="BE179" s="83">
        <f>RANK(TableWRTEMaster[[#This Row],[VORP]],TableWRTEMaster[VORP])+COUNTIF($BJ$2:BJ179,BJ179)-1</f>
        <v>257</v>
      </c>
      <c r="BF179" s="115" t="str">
        <f>IFERROR(INDEX(TableWRVORP[WIDE RECEIVER],MATCH(TableWRTEMaster[[#This Row],[RK]],TableWRVORP[RK],0)),"")</f>
        <v>Danny Gray</v>
      </c>
      <c r="BG179" s="115" t="str">
        <f>_xlfn.CONCAT(TableWRTEMaster[[#This Row],[POS]],TableWRTEMaster[[#This Row],[RK]])</f>
        <v>WR178</v>
      </c>
      <c r="BH179" s="115">
        <f>IFERROR(INDEX(TableWRVORP[BYE],MATCH(TableWRTEMaster[[#This Row],[RK]],TableWRVORP[RK],0)),"")</f>
        <v>9</v>
      </c>
      <c r="BI179" s="116">
        <f>IFERROR(INDEX(TableWRVORP[FPS],MATCH(TableWRTEMaster[[#This Row],[RK]],TableWRVORP[RK],0)),"")</f>
        <v>8.5978939176899996</v>
      </c>
      <c r="BJ179" s="117">
        <f>IFERROR(INDEX(TableWRVORP[VORP],MATCH(TableWRTEMaster[[#This Row],[RK]],TableWRVORP[RK],0)),"")</f>
        <v>-0.94045889867271659</v>
      </c>
    </row>
    <row r="180" spans="15:62" x14ac:dyDescent="0.2">
      <c r="O180">
        <v>179</v>
      </c>
      <c r="P180" s="112" t="str">
        <f>IFERROR(INDEX(TableWRCalcPts[PLAYER],MATCH(TableWRVORP[[#This Row],[RK]],TableWRCalcPts[RK],0)),"")</f>
        <v>Devin Duvernay</v>
      </c>
      <c r="Q180" s="112" t="str">
        <f>IFERROR(INDEX(TableWRCalcPts[TM],MATCH(TableWRVORP[[#This Row],[RK]],TableWRCalcPts[RK],0)),"")</f>
        <v>JAX</v>
      </c>
      <c r="R180" s="112">
        <f>IFERROR(INDEX(TableWRCalcPts[BYE],MATCH(TableWRVORP[[#This Row],[RK]],TableWRCalcPts[RK],0)),"")</f>
        <v>9</v>
      </c>
      <c r="S180" s="113">
        <f>IFERROR(INDEX(TableWRCalcPts[Custom],MATCH(TableWRVORP[[#This Row],[RK]],TableWRCalcPts[RK],0)),"")</f>
        <v>7.4510595235439983</v>
      </c>
      <c r="T180" s="114">
        <f>IFERROR((TableWRVORP[[#This Row],[FPS]]-INDEX(TableWRVORP[FPS],MATCH(WRVORPCalc,TableWRVORP[RK],0)))/INDEX(TableWRVORP[FPS],MATCH(WRVORPCalc,TableWRVORP[RK],0)),"")</f>
        <v>-0.94840081834759971</v>
      </c>
      <c r="AF180" t="s">
        <v>223</v>
      </c>
      <c r="AG180">
        <v>39</v>
      </c>
      <c r="AH180" s="83">
        <f>RANK(TableOverallMaster[[#This Row],[VORP]],TableOverallMaster[VORP])+COUNTIF($AM$2:AM180,AM180)-1</f>
        <v>98</v>
      </c>
      <c r="AI180" s="115" t="str">
        <f>IFERROR(INDEX(TableWRVORP[WIDE RECEIVER],MATCH(TableOverallMaster[[#This Row],[RK]],TableWRVORP[RK],0)),"")</f>
        <v>Curtis Samuel</v>
      </c>
      <c r="AJ180" s="115" t="str">
        <f t="shared" si="2"/>
        <v>WR39</v>
      </c>
      <c r="AK180" s="115">
        <f>IFERROR(INDEX(TableWRVORP[BYE],MATCH(TableOverallMaster[[#This Row],[RK]],TableWRVORP[RK],0)),"")</f>
        <v>13</v>
      </c>
      <c r="AL180" s="116">
        <f>IFERROR(INDEX(TableWRVORP[FPS],MATCH(TableOverallMaster[[#This Row],[RK]],TableWRVORP[RK],0)),"")</f>
        <v>167.65626644121596</v>
      </c>
      <c r="AM180" s="117">
        <f>IFERROR(INDEX(TableWRVORP[VORP],MATCH(TableOverallMaster[[#This Row],[RK]],TableWRVORP[RK],0)),"")</f>
        <v>0.16103302086477414</v>
      </c>
      <c r="AO180">
        <v>179</v>
      </c>
      <c r="AP180" s="118" t="str">
        <f>IFERROR(INDEX(TableOverallMaster[OVERALL PLAYER],MATCH(TableOverallRank[[#This Row],[RK]],TableOverallMaster[OVR RK],0)),"")</f>
        <v>Bo Nix</v>
      </c>
      <c r="AQ180" s="119" t="str">
        <f>IFERROR(INDEX(TableOverallMaster[POS RK],MATCH(TableOverallRank[[#This Row],[OVERALL PLAYER]],TableOverallMaster[OVERALL PLAYER],0)),"")</f>
        <v>QB31</v>
      </c>
      <c r="AR180" s="120">
        <f>IFERROR(INDEX(TableOverallMaster[BYE],MATCH(TableOverallRank[[#This Row],[OVERALL PLAYER]],TableOverallMaster[OVERALL PLAYER],0)),"")</f>
        <v>9</v>
      </c>
      <c r="AS180" s="119">
        <f>IFERROR(INDEX(TableOverallMaster[Custom],MATCH(TableOverallRank[[#This Row],[OVERALL PLAYER]],TableOverallMaster[OVERALL PLAYER],0)),"")</f>
        <v>201.03964756350001</v>
      </c>
      <c r="AT180" s="121">
        <f>IFERROR(INDEX(TableOverallMaster[VORP],MATCH(TableOverallRank[[#This Row],[OVERALL PLAYER]],TableOverallMaster[OVERALL PLAYER],0)),"")</f>
        <v>-0.27348945321670859</v>
      </c>
      <c r="AV180">
        <v>179</v>
      </c>
      <c r="AW180" s="122" t="str">
        <f>IFERROR(INDEX(TableWRTECalcPts[PLAYER],MATCH(TableWRTERank[[#This Row],[RK]],TableWRTECalcPts[RK],0)),"")</f>
        <v>Ben Skowronek</v>
      </c>
      <c r="AX180" s="122" t="str">
        <f>IFERROR(INDEX(TableWRTECalcPts[POS RK],MATCH(TableWRTERank[[#This Row],[WR and TE COMBINED]],TableWRTECalcPts[PLAYER],0)),"")</f>
        <v>WR131</v>
      </c>
      <c r="AY180" s="122">
        <f>IFERROR(INDEX(TableWRTECalcPts[BYE],MATCH(TableWRTERank[[#This Row],[RK]],TableWRTECalcPts[RK],0)),"")</f>
        <v>10</v>
      </c>
      <c r="AZ180" s="123">
        <f>IFERROR(INDEX(TableWRTECalcPts[Custom],MATCH(TableWRTERank[[#This Row],[RK]],TableWRTECalcPts[RK],0)),"")</f>
        <v>28.195674986303992</v>
      </c>
      <c r="BA180" s="174">
        <f>IFERROR((TableWRTERank[[#This Row],[FPS]]-INDEX(TableWRTERank[FPS],MATCH(WRTEVORPCalc,TableWRTERank[RK],0)))/INDEX(TableWRTERank[FPS],MATCH(WRTEVORPCalc,TableWRTERank[RK],0)),"")</f>
        <v>-0.81112917457811884</v>
      </c>
      <c r="BC180" t="s">
        <v>223</v>
      </c>
      <c r="BD180">
        <v>179</v>
      </c>
      <c r="BE180" s="83">
        <f>RANK(TableWRTEMaster[[#This Row],[VORP]],TableWRTEMaster[VORP])+COUNTIF($BJ$2:BJ180,BJ180)-1</f>
        <v>259</v>
      </c>
      <c r="BF180" s="115" t="str">
        <f>IFERROR(INDEX(TableWRVORP[WIDE RECEIVER],MATCH(TableWRTEMaster[[#This Row],[RK]],TableWRVORP[RK],0)),"")</f>
        <v>Devin Duvernay</v>
      </c>
      <c r="BG180" s="115" t="str">
        <f>_xlfn.CONCAT(TableWRTEMaster[[#This Row],[POS]],TableWRTEMaster[[#This Row],[RK]])</f>
        <v>WR179</v>
      </c>
      <c r="BH180" s="115">
        <f>IFERROR(INDEX(TableWRVORP[BYE],MATCH(TableWRTEMaster[[#This Row],[RK]],TableWRVORP[RK],0)),"")</f>
        <v>9</v>
      </c>
      <c r="BI180" s="116">
        <f>IFERROR(INDEX(TableWRVORP[FPS],MATCH(TableWRTEMaster[[#This Row],[RK]],TableWRVORP[RK],0)),"")</f>
        <v>7.4510595235439983</v>
      </c>
      <c r="BJ180" s="117">
        <f>IFERROR(INDEX(TableWRVORP[VORP],MATCH(TableWRTEMaster[[#This Row],[RK]],TableWRVORP[RK],0)),"")</f>
        <v>-0.94840081834759971</v>
      </c>
    </row>
    <row r="181" spans="15:62" x14ac:dyDescent="0.2">
      <c r="O181">
        <v>180</v>
      </c>
      <c r="P181" s="112" t="str">
        <f>IFERROR(INDEX(TableWRCalcPts[PLAYER],MATCH(TableWRVORP[[#This Row],[RK]],TableWRCalcPts[RK],0)),"")</f>
        <v>John Metchie</v>
      </c>
      <c r="Q181" s="112" t="str">
        <f>IFERROR(INDEX(TableWRCalcPts[TM],MATCH(TableWRVORP[[#This Row],[RK]],TableWRCalcPts[RK],0)),"")</f>
        <v>HOU</v>
      </c>
      <c r="R181" s="112">
        <f>IFERROR(INDEX(TableWRCalcPts[BYE],MATCH(TableWRVORP[[#This Row],[RK]],TableWRCalcPts[RK],0)),"")</f>
        <v>7</v>
      </c>
      <c r="S181" s="113">
        <f>IFERROR(INDEX(TableWRCalcPts[Custom],MATCH(TableWRVORP[[#This Row],[RK]],TableWRCalcPts[RK],0)),"")</f>
        <v>7.2790656556800002</v>
      </c>
      <c r="T181" s="114">
        <f>IFERROR((TableWRVORP[[#This Row],[FPS]]-INDEX(TableWRVORP[FPS],MATCH(WRVORPCalc,TableWRVORP[RK],0)))/INDEX(TableWRVORP[FPS],MATCH(WRVORPCalc,TableWRVORP[RK],0)),"")</f>
        <v>-0.94959188960437468</v>
      </c>
      <c r="AF181" t="s">
        <v>223</v>
      </c>
      <c r="AG181">
        <v>40</v>
      </c>
      <c r="AH181" s="83">
        <f>RANK(TableOverallMaster[[#This Row],[VORP]],TableOverallMaster[VORP])+COUNTIF($AM$2:AM181,AM181)-1</f>
        <v>100</v>
      </c>
      <c r="AI181" s="115" t="str">
        <f>IFERROR(INDEX(TableWRVORP[WIDE RECEIVER],MATCH(TableOverallMaster[[#This Row],[RK]],TableWRVORP[RK],0)),"")</f>
        <v>Keon Coleman</v>
      </c>
      <c r="AJ181" s="115" t="str">
        <f t="shared" si="2"/>
        <v>WR40</v>
      </c>
      <c r="AK181" s="115">
        <f>IFERROR(INDEX(TableWRVORP[BYE],MATCH(TableOverallMaster[[#This Row],[RK]],TableWRVORP[RK],0)),"")</f>
        <v>13</v>
      </c>
      <c r="AL181" s="116">
        <f>IFERROR(INDEX(TableWRVORP[FPS],MATCH(TableOverallMaster[[#This Row],[RK]],TableWRVORP[RK],0)),"")</f>
        <v>166.64394539519995</v>
      </c>
      <c r="AM181" s="117">
        <f>IFERROR(INDEX(TableWRVORP[VORP],MATCH(TableOverallMaster[[#This Row],[RK]],TableWRVORP[RK],0)),"")</f>
        <v>0.15402261685728028</v>
      </c>
      <c r="AO181">
        <v>180</v>
      </c>
      <c r="AP181" s="118" t="str">
        <f>IFERROR(INDEX(TableOverallMaster[OVERALL PLAYER],MATCH(TableOverallRank[[#This Row],[RK]],TableOverallMaster[OVR RK],0)),"")</f>
        <v>Audric Estime</v>
      </c>
      <c r="AQ181" s="119" t="str">
        <f>IFERROR(INDEX(TableOverallMaster[POS RK],MATCH(TableOverallRank[[#This Row],[OVERALL PLAYER]],TableOverallMaster[OVERALL PLAYER],0)),"")</f>
        <v>RB55</v>
      </c>
      <c r="AR181" s="120">
        <f>IFERROR(INDEX(TableOverallMaster[BYE],MATCH(TableOverallRank[[#This Row],[OVERALL PLAYER]],TableOverallMaster[OVERALL PLAYER],0)),"")</f>
        <v>9</v>
      </c>
      <c r="AS181" s="119">
        <f>IFERROR(INDEX(TableOverallMaster[Custom],MATCH(TableOverallRank[[#This Row],[OVERALL PLAYER]],TableOverallMaster[OVERALL PLAYER],0)),"")</f>
        <v>81.797843901900023</v>
      </c>
      <c r="AT181" s="121">
        <f>IFERROR(INDEX(TableOverallMaster[VORP],MATCH(TableOverallRank[[#This Row],[OVERALL PLAYER]],TableOverallMaster[OVERALL PLAYER],0)),"")</f>
        <v>-0.27431477759252471</v>
      </c>
      <c r="AV181">
        <v>180</v>
      </c>
      <c r="AW181" s="122" t="str">
        <f>IFERROR(INDEX(TableWRTECalcPts[PLAYER],MATCH(TableWRTERank[[#This Row],[RK]],TableWRTECalcPts[RK],0)),"")</f>
        <v>Tim Patrick</v>
      </c>
      <c r="AX181" s="122" t="str">
        <f>IFERROR(INDEX(TableWRTECalcPts[POS RK],MATCH(TableWRTERank[[#This Row],[WR and TE COMBINED]],TableWRTECalcPts[PLAYER],0)),"")</f>
        <v>WR132</v>
      </c>
      <c r="AY181" s="122">
        <f>IFERROR(INDEX(TableWRTECalcPts[BYE],MATCH(TableWRTERank[[#This Row],[RK]],TableWRTECalcPts[RK],0)),"")</f>
        <v>9</v>
      </c>
      <c r="AZ181" s="123">
        <f>IFERROR(INDEX(TableWRTECalcPts[Custom],MATCH(TableWRTERank[[#This Row],[RK]],TableWRTECalcPts[RK],0)),"")</f>
        <v>27.941771952079996</v>
      </c>
      <c r="BA181" s="174">
        <f>IFERROR((TableWRTERank[[#This Row],[FPS]]-INDEX(TableWRTERank[FPS],MATCH(WRTEVORPCalc,TableWRTERank[RK],0)))/INDEX(TableWRTERank[FPS],MATCH(WRTEVORPCalc,TableWRTERank[RK],0)),"")</f>
        <v>-0.81282996293215914</v>
      </c>
      <c r="BC181" t="s">
        <v>223</v>
      </c>
      <c r="BD181">
        <v>180</v>
      </c>
      <c r="BE181" s="83">
        <f>RANK(TableWRTEMaster[[#This Row],[VORP]],TableWRTEMaster[VORP])+COUNTIF($BJ$2:BJ181,BJ181)-1</f>
        <v>260</v>
      </c>
      <c r="BF181" s="115" t="str">
        <f>IFERROR(INDEX(TableWRVORP[WIDE RECEIVER],MATCH(TableWRTEMaster[[#This Row],[RK]],TableWRVORP[RK],0)),"")</f>
        <v>John Metchie</v>
      </c>
      <c r="BG181" s="115" t="str">
        <f>_xlfn.CONCAT(TableWRTEMaster[[#This Row],[POS]],TableWRTEMaster[[#This Row],[RK]])</f>
        <v>WR180</v>
      </c>
      <c r="BH181" s="115">
        <f>IFERROR(INDEX(TableWRVORP[BYE],MATCH(TableWRTEMaster[[#This Row],[RK]],TableWRVORP[RK],0)),"")</f>
        <v>7</v>
      </c>
      <c r="BI181" s="116">
        <f>IFERROR(INDEX(TableWRVORP[FPS],MATCH(TableWRTEMaster[[#This Row],[RK]],TableWRVORP[RK],0)),"")</f>
        <v>7.2790656556800002</v>
      </c>
      <c r="BJ181" s="117">
        <f>IFERROR(INDEX(TableWRVORP[VORP],MATCH(TableWRTEMaster[[#This Row],[RK]],TableWRVORP[RK],0)),"")</f>
        <v>-0.94959188960437468</v>
      </c>
    </row>
    <row r="182" spans="15:62" x14ac:dyDescent="0.2">
      <c r="O182">
        <v>181</v>
      </c>
      <c r="P182" s="112" t="str">
        <f>IFERROR(INDEX(TableWRCalcPts[PLAYER],MATCH(TableWRVORP[[#This Row],[RK]],TableWRCalcPts[RK],0)),"")</f>
        <v>Casey Washington</v>
      </c>
      <c r="Q182" s="112" t="str">
        <f>IFERROR(INDEX(TableWRCalcPts[TM],MATCH(TableWRVORP[[#This Row],[RK]],TableWRCalcPts[RK],0)),"")</f>
        <v>ATL</v>
      </c>
      <c r="R182" s="112">
        <f>IFERROR(INDEX(TableWRCalcPts[BYE],MATCH(TableWRVORP[[#This Row],[RK]],TableWRCalcPts[RK],0)),"")</f>
        <v>11</v>
      </c>
      <c r="S182" s="113">
        <f>IFERROR(INDEX(TableWRCalcPts[Custom],MATCH(TableWRVORP[[#This Row],[RK]],TableWRCalcPts[RK],0)),"")</f>
        <v>6.9854693388479987</v>
      </c>
      <c r="T182" s="114">
        <f>IFERROR((TableWRVORP[[#This Row],[FPS]]-INDEX(TableWRVORP[FPS],MATCH(WRVORPCalc,TableWRVORP[RK],0)))/INDEX(TableWRVORP[FPS],MATCH(WRVORPCalc,TableWRVORP[RK],0)),"")</f>
        <v>-0.95162506752179998</v>
      </c>
      <c r="AF182" t="s">
        <v>223</v>
      </c>
      <c r="AG182">
        <v>41</v>
      </c>
      <c r="AH182" s="83">
        <f>RANK(TableOverallMaster[[#This Row],[VORP]],TableOverallMaster[VORP])+COUNTIF($AM$2:AM182,AM182)-1</f>
        <v>101</v>
      </c>
      <c r="AI182" s="115" t="str">
        <f>IFERROR(INDEX(TableWRVORP[WIDE RECEIVER],MATCH(TableOverallMaster[[#This Row],[RK]],TableWRVORP[RK],0)),"")</f>
        <v>Ladd McConkey</v>
      </c>
      <c r="AJ182" s="115" t="str">
        <f t="shared" si="2"/>
        <v>WR41</v>
      </c>
      <c r="AK182" s="115">
        <f>IFERROR(INDEX(TableWRVORP[BYE],MATCH(TableOverallMaster[[#This Row],[RK]],TableWRVORP[RK],0)),"")</f>
        <v>5</v>
      </c>
      <c r="AL182" s="116">
        <f>IFERROR(INDEX(TableWRVORP[FPS],MATCH(TableOverallMaster[[#This Row],[RK]],TableWRVORP[RK],0)),"")</f>
        <v>166.25112709127995</v>
      </c>
      <c r="AM182" s="117">
        <f>IFERROR(INDEX(TableWRVORP[VORP],MATCH(TableOverallMaster[[#This Row],[RK]],TableWRVORP[RK],0)),"")</f>
        <v>0.15130231876325634</v>
      </c>
      <c r="AO182">
        <v>181</v>
      </c>
      <c r="AP182" s="118" t="str">
        <f>IFERROR(INDEX(TableOverallMaster[OVERALL PLAYER],MATCH(TableOverallRank[[#This Row],[RK]],TableOverallMaster[OVR RK],0)),"")</f>
        <v>Marvin Mims</v>
      </c>
      <c r="AQ182" s="119" t="str">
        <f>IFERROR(INDEX(TableOverallMaster[POS RK],MATCH(TableOverallRank[[#This Row],[OVERALL PLAYER]],TableOverallMaster[OVERALL PLAYER],0)),"")</f>
        <v>WR76</v>
      </c>
      <c r="AR182" s="120">
        <f>IFERROR(INDEX(TableOverallMaster[BYE],MATCH(TableOverallRank[[#This Row],[OVERALL PLAYER]],TableOverallMaster[OVERALL PLAYER],0)),"")</f>
        <v>9</v>
      </c>
      <c r="AS182" s="119">
        <f>IFERROR(INDEX(TableOverallMaster[Custom],MATCH(TableOverallRank[[#This Row],[OVERALL PLAYER]],TableOverallMaster[OVERALL PLAYER],0)),"")</f>
        <v>104.3449333248</v>
      </c>
      <c r="AT182" s="121">
        <f>IFERROR(INDEX(TableOverallMaster[VORP],MATCH(TableOverallRank[[#This Row],[OVERALL PLAYER]],TableOverallMaster[OVERALL PLAYER],0)),"")</f>
        <v>-0.27740301199834277</v>
      </c>
      <c r="AV182">
        <v>181</v>
      </c>
      <c r="AW182" s="122" t="str">
        <f>IFERROR(INDEX(TableWRTECalcPts[PLAYER],MATCH(TableWRTERank[[#This Row],[RK]],TableWRTECalcPts[RK],0)),"")</f>
        <v>Charlie Woerner</v>
      </c>
      <c r="AX182" s="122" t="str">
        <f>IFERROR(INDEX(TableWRTECalcPts[POS RK],MATCH(TableWRTERank[[#This Row],[WR and TE COMBINED]],TableWRTECalcPts[PLAYER],0)),"")</f>
        <v>TE49</v>
      </c>
      <c r="AY182" s="122">
        <f>IFERROR(INDEX(TableWRTECalcPts[BYE],MATCH(TableWRTERank[[#This Row],[RK]],TableWRTECalcPts[RK],0)),"")</f>
        <v>11</v>
      </c>
      <c r="AZ182" s="123">
        <f>IFERROR(INDEX(TableWRTECalcPts[Custom],MATCH(TableWRTERank[[#This Row],[RK]],TableWRTECalcPts[RK],0)),"")</f>
        <v>27.385607208959996</v>
      </c>
      <c r="BA182" s="174">
        <f>IFERROR((TableWRTERank[[#This Row],[FPS]]-INDEX(TableWRTERank[FPS],MATCH(WRTEVORPCalc,TableWRTERank[RK],0)))/INDEX(TableWRTERank[FPS],MATCH(WRTEVORPCalc,TableWRTERank[RK],0)),"")</f>
        <v>-0.81655547381830196</v>
      </c>
      <c r="BC182" t="s">
        <v>223</v>
      </c>
      <c r="BD182">
        <v>181</v>
      </c>
      <c r="BE182" s="83">
        <f>RANK(TableWRTEMaster[[#This Row],[VORP]],TableWRTEMaster[VORP])+COUNTIF($BJ$2:BJ182,BJ182)-1</f>
        <v>261</v>
      </c>
      <c r="BF182" s="115" t="str">
        <f>IFERROR(INDEX(TableWRVORP[WIDE RECEIVER],MATCH(TableWRTEMaster[[#This Row],[RK]],TableWRVORP[RK],0)),"")</f>
        <v>Casey Washington</v>
      </c>
      <c r="BG182" s="115" t="str">
        <f>_xlfn.CONCAT(TableWRTEMaster[[#This Row],[POS]],TableWRTEMaster[[#This Row],[RK]])</f>
        <v>WR181</v>
      </c>
      <c r="BH182" s="115">
        <f>IFERROR(INDEX(TableWRVORP[BYE],MATCH(TableWRTEMaster[[#This Row],[RK]],TableWRVORP[RK],0)),"")</f>
        <v>11</v>
      </c>
      <c r="BI182" s="116">
        <f>IFERROR(INDEX(TableWRVORP[FPS],MATCH(TableWRTEMaster[[#This Row],[RK]],TableWRVORP[RK],0)),"")</f>
        <v>6.9854693388479987</v>
      </c>
      <c r="BJ182" s="117">
        <f>IFERROR(INDEX(TableWRVORP[VORP],MATCH(TableWRTEMaster[[#This Row],[RK]],TableWRVORP[RK],0)),"")</f>
        <v>-0.95162506752179998</v>
      </c>
    </row>
    <row r="183" spans="15:62" x14ac:dyDescent="0.2">
      <c r="O183">
        <v>182</v>
      </c>
      <c r="P183" s="112" t="str">
        <f>IFERROR(INDEX(TableWRCalcPts[PLAYER],MATCH(TableWRVORP[[#This Row],[RK]],TableWRCalcPts[RK],0)),"")</f>
        <v>David Bell</v>
      </c>
      <c r="Q183" s="112" t="str">
        <f>IFERROR(INDEX(TableWRCalcPts[TM],MATCH(TableWRVORP[[#This Row],[RK]],TableWRCalcPts[RK],0)),"")</f>
        <v>CLE</v>
      </c>
      <c r="R183" s="112">
        <f>IFERROR(INDEX(TableWRCalcPts[BYE],MATCH(TableWRVORP[[#This Row],[RK]],TableWRCalcPts[RK],0)),"")</f>
        <v>5</v>
      </c>
      <c r="S183" s="113">
        <f>IFERROR(INDEX(TableWRCalcPts[Custom],MATCH(TableWRVORP[[#This Row],[RK]],TableWRCalcPts[RK],0)),"")</f>
        <v>6.5034446400000006</v>
      </c>
      <c r="T183" s="114">
        <f>IFERROR((TableWRVORP[[#This Row],[FPS]]-INDEX(TableWRVORP[FPS],MATCH(WRVORPCalc,TableWRVORP[RK],0)))/INDEX(TableWRVORP[FPS],MATCH(WRVORPCalc,TableWRVORP[RK],0)),"")</f>
        <v>-0.95496312701766228</v>
      </c>
      <c r="AF183" t="s">
        <v>223</v>
      </c>
      <c r="AG183">
        <v>42</v>
      </c>
      <c r="AH183" s="83">
        <f>RANK(TableOverallMaster[[#This Row],[VORP]],TableOverallMaster[VORP])+COUNTIF($AM$2:AM183,AM183)-1</f>
        <v>102</v>
      </c>
      <c r="AI183" s="115" t="str">
        <f>IFERROR(INDEX(TableWRVORP[WIDE RECEIVER],MATCH(TableOverallMaster[[#This Row],[RK]],TableWRVORP[RK],0)),"")</f>
        <v>Christian Watson</v>
      </c>
      <c r="AJ183" s="115" t="str">
        <f t="shared" si="2"/>
        <v>WR42</v>
      </c>
      <c r="AK183" s="115">
        <f>IFERROR(INDEX(TableWRVORP[BYE],MATCH(TableOverallMaster[[#This Row],[RK]],TableWRVORP[RK],0)),"")</f>
        <v>6</v>
      </c>
      <c r="AL183" s="116">
        <f>IFERROR(INDEX(TableWRVORP[FPS],MATCH(TableOverallMaster[[#This Row],[RK]],TableWRVORP[RK],0)),"")</f>
        <v>165.95201752729599</v>
      </c>
      <c r="AM183" s="117">
        <f>IFERROR(INDEX(TableWRVORP[VORP],MATCH(TableOverallMaster[[#This Row],[RK]],TableWRVORP[RK],0)),"")</f>
        <v>0.14923096116945231</v>
      </c>
      <c r="AO183">
        <v>182</v>
      </c>
      <c r="AP183" s="118" t="str">
        <f>IFERROR(INDEX(TableOverallMaster[OVERALL PLAYER],MATCH(TableOverallRank[[#This Row],[RK]],TableOverallMaster[OVR RK],0)),"")</f>
        <v>Rashod Bateman</v>
      </c>
      <c r="AQ183" s="119" t="str">
        <f>IFERROR(INDEX(TableOverallMaster[POS RK],MATCH(TableOverallRank[[#This Row],[OVERALL PLAYER]],TableOverallMaster[OVERALL PLAYER],0)),"")</f>
        <v>WR77</v>
      </c>
      <c r="AR183" s="120">
        <f>IFERROR(INDEX(TableOverallMaster[BYE],MATCH(TableOverallRank[[#This Row],[OVERALL PLAYER]],TableOverallMaster[OVERALL PLAYER],0)),"")</f>
        <v>13</v>
      </c>
      <c r="AS183" s="119">
        <f>IFERROR(INDEX(TableOverallMaster[Custom],MATCH(TableOverallRank[[#This Row],[OVERALL PLAYER]],TableOverallMaster[OVERALL PLAYER],0)),"")</f>
        <v>104.22113466408</v>
      </c>
      <c r="AT183" s="121">
        <f>IFERROR(INDEX(TableOverallMaster[VORP],MATCH(TableOverallRank[[#This Row],[OVERALL PLAYER]],TableOverallMaster[OVERALL PLAYER],0)),"")</f>
        <v>-0.27826032760059105</v>
      </c>
      <c r="AV183">
        <v>182</v>
      </c>
      <c r="AW183" s="122" t="str">
        <f>IFERROR(INDEX(TableWRTECalcPts[PLAYER],MATCH(TableWRTERank[[#This Row],[RK]],TableWRTECalcPts[RK],0)),"")</f>
        <v>Pharoah Brown</v>
      </c>
      <c r="AX183" s="122" t="str">
        <f>IFERROR(INDEX(TableWRTECalcPts[POS RK],MATCH(TableWRTERank[[#This Row],[WR and TE COMBINED]],TableWRTECalcPts[PLAYER],0)),"")</f>
        <v>TE50</v>
      </c>
      <c r="AY183" s="122">
        <f>IFERROR(INDEX(TableWRTECalcPts[BYE],MATCH(TableWRTERank[[#This Row],[RK]],TableWRTECalcPts[RK],0)),"")</f>
        <v>5</v>
      </c>
      <c r="AZ183" s="123">
        <f>IFERROR(INDEX(TableWRTECalcPts[Custom],MATCH(TableWRTERank[[#This Row],[RK]],TableWRTECalcPts[RK],0)),"")</f>
        <v>26.411950109999999</v>
      </c>
      <c r="BA183" s="174">
        <f>IFERROR((TableWRTERank[[#This Row],[FPS]]-INDEX(TableWRTERank[FPS],MATCH(WRTEVORPCalc,TableWRTERank[RK],0)))/INDEX(TableWRTERank[FPS],MATCH(WRTEVORPCalc,TableWRTERank[RK],0)),"")</f>
        <v>-0.82307758829322686</v>
      </c>
      <c r="BC183" t="s">
        <v>223</v>
      </c>
      <c r="BD183">
        <v>182</v>
      </c>
      <c r="BE183" s="83">
        <f>RANK(TableWRTEMaster[[#This Row],[VORP]],TableWRTEMaster[VORP])+COUNTIF($BJ$2:BJ183,BJ183)-1</f>
        <v>262</v>
      </c>
      <c r="BF183" s="115" t="str">
        <f>IFERROR(INDEX(TableWRVORP[WIDE RECEIVER],MATCH(TableWRTEMaster[[#This Row],[RK]],TableWRVORP[RK],0)),"")</f>
        <v>David Bell</v>
      </c>
      <c r="BG183" s="115" t="str">
        <f>_xlfn.CONCAT(TableWRTEMaster[[#This Row],[POS]],TableWRTEMaster[[#This Row],[RK]])</f>
        <v>WR182</v>
      </c>
      <c r="BH183" s="115">
        <f>IFERROR(INDEX(TableWRVORP[BYE],MATCH(TableWRTEMaster[[#This Row],[RK]],TableWRVORP[RK],0)),"")</f>
        <v>5</v>
      </c>
      <c r="BI183" s="116">
        <f>IFERROR(INDEX(TableWRVORP[FPS],MATCH(TableWRTEMaster[[#This Row],[RK]],TableWRVORP[RK],0)),"")</f>
        <v>6.5034446400000006</v>
      </c>
      <c r="BJ183" s="117">
        <f>IFERROR(INDEX(TableWRVORP[VORP],MATCH(TableWRTEMaster[[#This Row],[RK]],TableWRVORP[RK],0)),"")</f>
        <v>-0.95496312701766228</v>
      </c>
    </row>
    <row r="184" spans="15:62" x14ac:dyDescent="0.2">
      <c r="O184">
        <v>183</v>
      </c>
      <c r="P184" s="112" t="str">
        <f>IFERROR(INDEX(TableWRCalcPts[PLAYER],MATCH(TableWRVORP[[#This Row],[RK]],TableWRCalcPts[RK],0)),"")</f>
        <v/>
      </c>
      <c r="Q184" s="112" t="str">
        <f>IFERROR(INDEX(TableWRCalcPts[TM],MATCH(TableWRVORP[[#This Row],[RK]],TableWRCalcPts[RK],0)),"")</f>
        <v/>
      </c>
      <c r="R184" s="112" t="str">
        <f>IFERROR(INDEX(TableWRCalcPts[BYE],MATCH(TableWRVORP[[#This Row],[RK]],TableWRCalcPts[RK],0)),"")</f>
        <v/>
      </c>
      <c r="S184" s="113" t="str">
        <f>IFERROR(INDEX(TableWRCalcPts[Custom],MATCH(TableWRVORP[[#This Row],[RK]],TableWRCalcPts[RK],0)),"")</f>
        <v/>
      </c>
      <c r="T184" s="114" t="str">
        <f>IFERROR((TableWRVORP[[#This Row],[FPS]]-INDEX(TableWRVORP[FPS],MATCH(WRVORPCalc,TableWRVORP[RK],0)))/INDEX(TableWRVORP[FPS],MATCH(WRVORPCalc,TableWRVORP[RK],0)),"")</f>
        <v/>
      </c>
      <c r="AF184" t="s">
        <v>223</v>
      </c>
      <c r="AG184">
        <v>43</v>
      </c>
      <c r="AH184" s="83">
        <f>RANK(TableOverallMaster[[#This Row],[VORP]],TableOverallMaster[VORP])+COUNTIF($AM$2:AM184,AM184)-1</f>
        <v>103</v>
      </c>
      <c r="AI184" s="115" t="str">
        <f>IFERROR(INDEX(TableWRVORP[WIDE RECEIVER],MATCH(TableOverallMaster[[#This Row],[RK]],TableWRVORP[RK],0)),"")</f>
        <v>Xavier Legette</v>
      </c>
      <c r="AJ184" s="115" t="str">
        <f t="shared" si="2"/>
        <v>WR43</v>
      </c>
      <c r="AK184" s="115">
        <f>IFERROR(INDEX(TableWRVORP[BYE],MATCH(TableOverallMaster[[#This Row],[RK]],TableWRVORP[RK],0)),"")</f>
        <v>7</v>
      </c>
      <c r="AL184" s="116">
        <f>IFERROR(INDEX(TableWRVORP[FPS],MATCH(TableOverallMaster[[#This Row],[RK]],TableWRVORP[RK],0)),"")</f>
        <v>163.16862053171394</v>
      </c>
      <c r="AM184" s="117">
        <f>IFERROR(INDEX(TableWRVORP[VORP],MATCH(TableOverallMaster[[#This Row],[RK]],TableWRVORP[RK],0)),"")</f>
        <v>0.1299557149132699</v>
      </c>
      <c r="AO184">
        <v>183</v>
      </c>
      <c r="AP184" s="118" t="str">
        <f>IFERROR(INDEX(TableOverallMaster[OVERALL PLAYER],MATCH(TableOverallRank[[#This Row],[RK]],TableOverallMaster[OVR RK],0)),"")</f>
        <v>Tyler Higbee</v>
      </c>
      <c r="AQ184" s="119" t="str">
        <f>IFERROR(INDEX(TableOverallMaster[POS RK],MATCH(TableOverallRank[[#This Row],[OVERALL PLAYER]],TableOverallMaster[OVERALL PLAYER],0)),"")</f>
        <v>TE20</v>
      </c>
      <c r="AR184" s="120">
        <f>IFERROR(INDEX(TableOverallMaster[BYE],MATCH(TableOverallRank[[#This Row],[OVERALL PLAYER]],TableOverallMaster[OVERALL PLAYER],0)),"")</f>
        <v>10</v>
      </c>
      <c r="AS184" s="119">
        <f>IFERROR(INDEX(TableOverallMaster[Custom],MATCH(TableOverallRank[[#This Row],[OVERALL PLAYER]],TableOverallMaster[OVERALL PLAYER],0)),"")</f>
        <v>94.274959189353581</v>
      </c>
      <c r="AT184" s="121">
        <f>IFERROR(INDEX(TableOverallMaster[VORP],MATCH(TableOverallRank[[#This Row],[OVERALL PLAYER]],TableOverallMaster[OVERALL PLAYER],0)),"")</f>
        <v>-0.28222085930386182</v>
      </c>
      <c r="AV184">
        <v>183</v>
      </c>
      <c r="AW184" s="122" t="str">
        <f>IFERROR(INDEX(TableWRTECalcPts[PLAYER],MATCH(TableWRTERank[[#This Row],[RK]],TableWRTECalcPts[RK],0)),"")</f>
        <v>Chris Manhertz</v>
      </c>
      <c r="AX184" s="122" t="str">
        <f>IFERROR(INDEX(TableWRTECalcPts[POS RK],MATCH(TableWRTERank[[#This Row],[WR and TE COMBINED]],TableWRTECalcPts[PLAYER],0)),"")</f>
        <v>TE51</v>
      </c>
      <c r="AY184" s="122">
        <f>IFERROR(INDEX(TableWRTECalcPts[BYE],MATCH(TableWRTERank[[#This Row],[RK]],TableWRTECalcPts[RK],0)),"")</f>
        <v>13</v>
      </c>
      <c r="AZ184" s="123">
        <f>IFERROR(INDEX(TableWRTECalcPts[Custom],MATCH(TableWRTERank[[#This Row],[RK]],TableWRTECalcPts[RK],0)),"")</f>
        <v>26.011431263999992</v>
      </c>
      <c r="BA184" s="174">
        <f>IFERROR((TableWRTERank[[#This Row],[FPS]]-INDEX(TableWRTERank[FPS],MATCH(WRTEVORPCalc,TableWRTERank[RK],0)))/INDEX(TableWRTERank[FPS],MATCH(WRTEVORPCalc,TableWRTERank[RK],0)),"")</f>
        <v>-0.82576049356425807</v>
      </c>
      <c r="BC184" t="s">
        <v>223</v>
      </c>
      <c r="BD184">
        <v>183</v>
      </c>
      <c r="BE184" s="83" t="e">
        <f>RANK(TableWRTEMaster[[#This Row],[VORP]],TableWRTEMaster[VORP])+COUNTIF($BJ$2:BJ184,BJ184)-1</f>
        <v>#VALUE!</v>
      </c>
      <c r="BF184" s="115" t="str">
        <f>IFERROR(INDEX(TableWRVORP[WIDE RECEIVER],MATCH(TableWRTEMaster[[#This Row],[RK]],TableWRVORP[RK],0)),"")</f>
        <v/>
      </c>
      <c r="BG184" s="115" t="str">
        <f>_xlfn.CONCAT(TableWRTEMaster[[#This Row],[POS]],TableWRTEMaster[[#This Row],[RK]])</f>
        <v>WR183</v>
      </c>
      <c r="BH184" s="115" t="str">
        <f>IFERROR(INDEX(TableWRVORP[BYE],MATCH(TableWRTEMaster[[#This Row],[RK]],TableWRVORP[RK],0)),"")</f>
        <v/>
      </c>
      <c r="BI184" s="116" t="str">
        <f>IFERROR(INDEX(TableWRVORP[FPS],MATCH(TableWRTEMaster[[#This Row],[RK]],TableWRVORP[RK],0)),"")</f>
        <v/>
      </c>
      <c r="BJ184" s="117" t="str">
        <f>IFERROR(INDEX(TableWRVORP[VORP],MATCH(TableWRTEMaster[[#This Row],[RK]],TableWRVORP[RK],0)),"")</f>
        <v/>
      </c>
    </row>
    <row r="185" spans="15:62" x14ac:dyDescent="0.2">
      <c r="O185">
        <v>184</v>
      </c>
      <c r="P185" s="112" t="str">
        <f>IFERROR(INDEX(TableWRCalcPts[PLAYER],MATCH(TableWRVORP[[#This Row],[RK]],TableWRCalcPts[RK],0)),"")</f>
        <v/>
      </c>
      <c r="Q185" s="112" t="str">
        <f>IFERROR(INDEX(TableWRCalcPts[TM],MATCH(TableWRVORP[[#This Row],[RK]],TableWRCalcPts[RK],0)),"")</f>
        <v/>
      </c>
      <c r="R185" s="112" t="str">
        <f>IFERROR(INDEX(TableWRCalcPts[BYE],MATCH(TableWRVORP[[#This Row],[RK]],TableWRCalcPts[RK],0)),"")</f>
        <v/>
      </c>
      <c r="S185" s="113" t="str">
        <f>IFERROR(INDEX(TableWRCalcPts[Custom],MATCH(TableWRVORP[[#This Row],[RK]],TableWRCalcPts[RK],0)),"")</f>
        <v/>
      </c>
      <c r="T185" s="114" t="str">
        <f>IFERROR((TableWRVORP[[#This Row],[FPS]]-INDEX(TableWRVORP[FPS],MATCH(WRVORPCalc,TableWRVORP[RK],0)))/INDEX(TableWRVORP[FPS],MATCH(WRVORPCalc,TableWRVORP[RK],0)),"")</f>
        <v/>
      </c>
      <c r="AF185" t="s">
        <v>223</v>
      </c>
      <c r="AG185">
        <v>44</v>
      </c>
      <c r="AH185" s="83">
        <f>RANK(TableOverallMaster[[#This Row],[VORP]],TableOverallMaster[VORP])+COUNTIF($AM$2:AM185,AM185)-1</f>
        <v>105</v>
      </c>
      <c r="AI185" s="115" t="str">
        <f>IFERROR(INDEX(TableWRVORP[WIDE RECEIVER],MATCH(TableOverallMaster[[#This Row],[RK]],TableWRVORP[RK],0)),"")</f>
        <v>Michael Pittman</v>
      </c>
      <c r="AJ185" s="115" t="str">
        <f t="shared" si="2"/>
        <v>WR44</v>
      </c>
      <c r="AK185" s="115">
        <f>IFERROR(INDEX(TableWRVORP[BYE],MATCH(TableOverallMaster[[#This Row],[RK]],TableWRVORP[RK],0)),"")</f>
        <v>11</v>
      </c>
      <c r="AL185" s="116">
        <f>IFERROR(INDEX(TableWRVORP[FPS],MATCH(TableOverallMaster[[#This Row],[RK]],TableWRVORP[RK],0)),"")</f>
        <v>161.37858230487842</v>
      </c>
      <c r="AM185" s="117">
        <f>IFERROR(INDEX(TableWRVORP[VORP],MATCH(TableOverallMaster[[#This Row],[RK]],TableWRVORP[RK],0)),"")</f>
        <v>0.11755955738166363</v>
      </c>
      <c r="AO185">
        <v>184</v>
      </c>
      <c r="AP185" s="118" t="str">
        <f>IFERROR(INDEX(TableOverallMaster[OVERALL PLAYER],MATCH(TableOverallRank[[#This Row],[RK]],TableOverallMaster[OVR RK],0)),"")</f>
        <v>Cordarrelle Patterson</v>
      </c>
      <c r="AQ185" s="119" t="str">
        <f>IFERROR(INDEX(TableOverallMaster[POS RK],MATCH(TableOverallRank[[#This Row],[OVERALL PLAYER]],TableOverallMaster[OVERALL PLAYER],0)),"")</f>
        <v>RB56</v>
      </c>
      <c r="AR185" s="120">
        <f>IFERROR(INDEX(TableOverallMaster[BYE],MATCH(TableOverallRank[[#This Row],[OVERALL PLAYER]],TableOverallMaster[OVERALL PLAYER],0)),"")</f>
        <v>6</v>
      </c>
      <c r="AS185" s="119">
        <f>IFERROR(INDEX(TableOverallMaster[Custom],MATCH(TableOverallRank[[#This Row],[OVERALL PLAYER]],TableOverallMaster[OVERALL PLAYER],0)),"")</f>
        <v>80.717055472620004</v>
      </c>
      <c r="AT185" s="121">
        <f>IFERROR(INDEX(TableOverallMaster[VORP],MATCH(TableOverallRank[[#This Row],[OVERALL PLAYER]],TableOverallMaster[OVERALL PLAYER],0)),"")</f>
        <v>-0.28390319892815452</v>
      </c>
      <c r="AV185">
        <v>184</v>
      </c>
      <c r="AW185" s="122" t="str">
        <f>IFERROR(INDEX(TableWRTECalcPts[PLAYER],MATCH(TableWRTERank[[#This Row],[RK]],TableWRTECalcPts[RK],0)),"")</f>
        <v>Ryan Flournoy</v>
      </c>
      <c r="AX185" s="122" t="str">
        <f>IFERROR(INDEX(TableWRTECalcPts[POS RK],MATCH(TableWRTERank[[#This Row],[WR and TE COMBINED]],TableWRTECalcPts[PLAYER],0)),"")</f>
        <v>WR133</v>
      </c>
      <c r="AY185" s="122">
        <f>IFERROR(INDEX(TableWRTECalcPts[BYE],MATCH(TableWRTERank[[#This Row],[RK]],TableWRTECalcPts[RK],0)),"")</f>
        <v>7</v>
      </c>
      <c r="AZ185" s="123">
        <f>IFERROR(INDEX(TableWRTECalcPts[Custom],MATCH(TableWRTERank[[#This Row],[RK]],TableWRTECalcPts[RK],0)),"")</f>
        <v>25.959249732729589</v>
      </c>
      <c r="BA185" s="174">
        <f>IFERROR((TableWRTERank[[#This Row],[FPS]]-INDEX(TableWRTERank[FPS],MATCH(WRTEVORPCalc,TableWRTERank[RK],0)))/INDEX(TableWRTERank[FPS],MATCH(WRTEVORPCalc,TableWRTERank[RK],0)),"")</f>
        <v>-0.82611003543149863</v>
      </c>
      <c r="BC185" t="s">
        <v>223</v>
      </c>
      <c r="BD185">
        <v>184</v>
      </c>
      <c r="BE185" s="83" t="e">
        <f>RANK(TableWRTEMaster[[#This Row],[VORP]],TableWRTEMaster[VORP])+COUNTIF($BJ$2:BJ185,BJ185)-1</f>
        <v>#VALUE!</v>
      </c>
      <c r="BF185" s="115" t="str">
        <f>IFERROR(INDEX(TableWRVORP[WIDE RECEIVER],MATCH(TableWRTEMaster[[#This Row],[RK]],TableWRVORP[RK],0)),"")</f>
        <v/>
      </c>
      <c r="BG185" s="115" t="str">
        <f>_xlfn.CONCAT(TableWRTEMaster[[#This Row],[POS]],TableWRTEMaster[[#This Row],[RK]])</f>
        <v>WR184</v>
      </c>
      <c r="BH185" s="115" t="str">
        <f>IFERROR(INDEX(TableWRVORP[BYE],MATCH(TableWRTEMaster[[#This Row],[RK]],TableWRVORP[RK],0)),"")</f>
        <v/>
      </c>
      <c r="BI185" s="116" t="str">
        <f>IFERROR(INDEX(TableWRVORP[FPS],MATCH(TableWRTEMaster[[#This Row],[RK]],TableWRVORP[RK],0)),"")</f>
        <v/>
      </c>
      <c r="BJ185" s="117" t="str">
        <f>IFERROR(INDEX(TableWRVORP[VORP],MATCH(TableWRTEMaster[[#This Row],[RK]],TableWRVORP[RK],0)),"")</f>
        <v/>
      </c>
    </row>
    <row r="186" spans="15:62" x14ac:dyDescent="0.2">
      <c r="O186">
        <v>185</v>
      </c>
      <c r="P186" s="112" t="str">
        <f>IFERROR(INDEX(TableWRCalcPts[PLAYER],MATCH(TableWRVORP[[#This Row],[RK]],TableWRCalcPts[RK],0)),"")</f>
        <v/>
      </c>
      <c r="Q186" s="112" t="str">
        <f>IFERROR(INDEX(TableWRCalcPts[TM],MATCH(TableWRVORP[[#This Row],[RK]],TableWRCalcPts[RK],0)),"")</f>
        <v/>
      </c>
      <c r="R186" s="112" t="str">
        <f>IFERROR(INDEX(TableWRCalcPts[BYE],MATCH(TableWRVORP[[#This Row],[RK]],TableWRCalcPts[RK],0)),"")</f>
        <v/>
      </c>
      <c r="S186" s="113" t="str">
        <f>IFERROR(INDEX(TableWRCalcPts[Custom],MATCH(TableWRVORP[[#This Row],[RK]],TableWRCalcPts[RK],0)),"")</f>
        <v/>
      </c>
      <c r="T186" s="114" t="str">
        <f>IFERROR((TableWRVORP[[#This Row],[FPS]]-INDEX(TableWRVORP[FPS],MATCH(WRVORPCalc,TableWRVORP[RK],0)))/INDEX(TableWRVORP[FPS],MATCH(WRVORPCalc,TableWRVORP[RK],0)),"")</f>
        <v/>
      </c>
      <c r="AF186" t="s">
        <v>223</v>
      </c>
      <c r="AG186">
        <v>45</v>
      </c>
      <c r="AH186" s="83">
        <f>RANK(TableOverallMaster[[#This Row],[VORP]],TableOverallMaster[VORP])+COUNTIF($AM$2:AM186,AM186)-1</f>
        <v>109</v>
      </c>
      <c r="AI186" s="115" t="str">
        <f>IFERROR(INDEX(TableWRVORP[WIDE RECEIVER],MATCH(TableOverallMaster[[#This Row],[RK]],TableWRVORP[RK],0)),"")</f>
        <v>Brandin Cooks</v>
      </c>
      <c r="AJ186" s="115" t="str">
        <f t="shared" si="2"/>
        <v>WR45</v>
      </c>
      <c r="AK186" s="115">
        <f>IFERROR(INDEX(TableWRVORP[BYE],MATCH(TableOverallMaster[[#This Row],[RK]],TableWRVORP[RK],0)),"")</f>
        <v>7</v>
      </c>
      <c r="AL186" s="116">
        <f>IFERROR(INDEX(TableWRVORP[FPS],MATCH(TableOverallMaster[[#This Row],[RK]],TableWRVORP[RK],0)),"")</f>
        <v>159.86001222374398</v>
      </c>
      <c r="AM186" s="117">
        <f>IFERROR(INDEX(TableWRVORP[VORP],MATCH(TableOverallMaster[[#This Row],[RK]],TableWRVORP[RK],0)),"")</f>
        <v>0.10704333841699659</v>
      </c>
      <c r="AO186">
        <v>185</v>
      </c>
      <c r="AP186" s="118" t="str">
        <f>IFERROR(INDEX(TableOverallMaster[OVERALL PLAYER],MATCH(TableOverallRank[[#This Row],[RK]],TableOverallMaster[OVR RK],0)),"")</f>
        <v>Bucky Irving</v>
      </c>
      <c r="AQ186" s="119" t="str">
        <f>IFERROR(INDEX(TableOverallMaster[POS RK],MATCH(TableOverallRank[[#This Row],[OVERALL PLAYER]],TableOverallMaster[OVERALL PLAYER],0)),"")</f>
        <v>RB57</v>
      </c>
      <c r="AR186" s="120">
        <f>IFERROR(INDEX(TableOverallMaster[BYE],MATCH(TableOverallRank[[#This Row],[OVERALL PLAYER]],TableOverallMaster[OVERALL PLAYER],0)),"")</f>
        <v>5</v>
      </c>
      <c r="AS186" s="119">
        <f>IFERROR(INDEX(TableOverallMaster[Custom],MATCH(TableOverallRank[[#This Row],[OVERALL PLAYER]],TableOverallMaster[OVERALL PLAYER],0)),"")</f>
        <v>80.274500634451215</v>
      </c>
      <c r="AT186" s="121">
        <f>IFERROR(INDEX(TableOverallMaster[VORP],MATCH(TableOverallRank[[#This Row],[OVERALL PLAYER]],TableOverallMaster[OVERALL PLAYER],0)),"")</f>
        <v>-0.28782940884817615</v>
      </c>
      <c r="AV186">
        <v>185</v>
      </c>
      <c r="AW186" s="122" t="str">
        <f>IFERROR(INDEX(TableWRTECalcPts[PLAYER],MATCH(TableWRTERank[[#This Row],[RK]],TableWRTECalcPts[RK],0)),"")</f>
        <v>Harrison Bryant</v>
      </c>
      <c r="AX186" s="122" t="str">
        <f>IFERROR(INDEX(TableWRTECalcPts[POS RK],MATCH(TableWRTERank[[#This Row],[WR and TE COMBINED]],TableWRTECalcPts[PLAYER],0)),"")</f>
        <v>TE52</v>
      </c>
      <c r="AY186" s="122">
        <f>IFERROR(INDEX(TableWRTECalcPts[BYE],MATCH(TableWRTERank[[#This Row],[RK]],TableWRTECalcPts[RK],0)),"")</f>
        <v>13</v>
      </c>
      <c r="AZ186" s="123">
        <f>IFERROR(INDEX(TableWRTECalcPts[Custom],MATCH(TableWRTERank[[#This Row],[RK]],TableWRTECalcPts[RK],0)),"")</f>
        <v>25.738369796999997</v>
      </c>
      <c r="BA186" s="174">
        <f>IFERROR((TableWRTERank[[#This Row],[FPS]]-INDEX(TableWRTERank[FPS],MATCH(WRTEVORPCalc,TableWRTERank[RK],0)))/INDEX(TableWRTERank[FPS],MATCH(WRTEVORPCalc,TableWRTERank[RK],0)),"")</f>
        <v>-0.82758961610479853</v>
      </c>
      <c r="BC186" t="s">
        <v>223</v>
      </c>
      <c r="BD186">
        <v>185</v>
      </c>
      <c r="BE186" s="83" t="e">
        <f>RANK(TableWRTEMaster[[#This Row],[VORP]],TableWRTEMaster[VORP])+COUNTIF($BJ$2:BJ186,BJ186)-1</f>
        <v>#VALUE!</v>
      </c>
      <c r="BF186" s="115" t="str">
        <f>IFERROR(INDEX(TableWRVORP[WIDE RECEIVER],MATCH(TableWRTEMaster[[#This Row],[RK]],TableWRVORP[RK],0)),"")</f>
        <v/>
      </c>
      <c r="BG186" s="115" t="str">
        <f>_xlfn.CONCAT(TableWRTEMaster[[#This Row],[POS]],TableWRTEMaster[[#This Row],[RK]])</f>
        <v>WR185</v>
      </c>
      <c r="BH186" s="115" t="str">
        <f>IFERROR(INDEX(TableWRVORP[BYE],MATCH(TableWRTEMaster[[#This Row],[RK]],TableWRVORP[RK],0)),"")</f>
        <v/>
      </c>
      <c r="BI186" s="116" t="str">
        <f>IFERROR(INDEX(TableWRVORP[FPS],MATCH(TableWRTEMaster[[#This Row],[RK]],TableWRVORP[RK],0)),"")</f>
        <v/>
      </c>
      <c r="BJ186" s="117" t="str">
        <f>IFERROR(INDEX(TableWRVORP[VORP],MATCH(TableWRTEMaster[[#This Row],[RK]],TableWRVORP[RK],0)),"")</f>
        <v/>
      </c>
    </row>
    <row r="187" spans="15:62" x14ac:dyDescent="0.2">
      <c r="O187">
        <v>186</v>
      </c>
      <c r="P187" s="112" t="str">
        <f>IFERROR(INDEX(TableWRCalcPts[PLAYER],MATCH(TableWRVORP[[#This Row],[RK]],TableWRCalcPts[RK],0)),"")</f>
        <v/>
      </c>
      <c r="Q187" s="112" t="str">
        <f>IFERROR(INDEX(TableWRCalcPts[TM],MATCH(TableWRVORP[[#This Row],[RK]],TableWRCalcPts[RK],0)),"")</f>
        <v/>
      </c>
      <c r="R187" s="112" t="str">
        <f>IFERROR(INDEX(TableWRCalcPts[BYE],MATCH(TableWRVORP[[#This Row],[RK]],TableWRCalcPts[RK],0)),"")</f>
        <v/>
      </c>
      <c r="S187" s="113" t="str">
        <f>IFERROR(INDEX(TableWRCalcPts[Custom],MATCH(TableWRVORP[[#This Row],[RK]],TableWRCalcPts[RK],0)),"")</f>
        <v/>
      </c>
      <c r="T187" s="114" t="str">
        <f>IFERROR((TableWRVORP[[#This Row],[FPS]]-INDEX(TableWRVORP[FPS],MATCH(WRVORPCalc,TableWRVORP[RK],0)))/INDEX(TableWRVORP[FPS],MATCH(WRVORPCalc,TableWRVORP[RK],0)),"")</f>
        <v/>
      </c>
      <c r="AF187" t="s">
        <v>223</v>
      </c>
      <c r="AG187">
        <v>46</v>
      </c>
      <c r="AH187" s="83">
        <f>RANK(TableOverallMaster[[#This Row],[VORP]],TableOverallMaster[VORP])+COUNTIF($AM$2:AM187,AM187)-1</f>
        <v>110</v>
      </c>
      <c r="AI187" s="115" t="str">
        <f>IFERROR(INDEX(TableWRVORP[WIDE RECEIVER],MATCH(TableOverallMaster[[#This Row],[RK]],TableWRVORP[RK],0)),"")</f>
        <v>Jaxon Smith-Njigba</v>
      </c>
      <c r="AJ187" s="115" t="str">
        <f t="shared" si="2"/>
        <v>WR46</v>
      </c>
      <c r="AK187" s="115">
        <f>IFERROR(INDEX(TableWRVORP[BYE],MATCH(TableOverallMaster[[#This Row],[RK]],TableWRVORP[RK],0)),"")</f>
        <v>5</v>
      </c>
      <c r="AL187" s="116">
        <f>IFERROR(INDEX(TableWRVORP[FPS],MATCH(TableOverallMaster[[#This Row],[RK]],TableWRVORP[RK],0)),"")</f>
        <v>159.726471459072</v>
      </c>
      <c r="AM187" s="117">
        <f>IFERROR(INDEX(TableWRVORP[VORP],MATCH(TableOverallMaster[[#This Row],[RK]],TableWRVORP[RK],0)),"")</f>
        <v>0.10611855796764751</v>
      </c>
      <c r="AO187">
        <v>186</v>
      </c>
      <c r="AP187" s="118" t="str">
        <f>IFERROR(INDEX(TableOverallMaster[OVERALL PLAYER],MATCH(TableOverallRank[[#This Row],[RK]],TableOverallMaster[OVR RK],0)),"")</f>
        <v>Tank Bigsby</v>
      </c>
      <c r="AQ187" s="119" t="str">
        <f>IFERROR(INDEX(TableOverallMaster[POS RK],MATCH(TableOverallRank[[#This Row],[OVERALL PLAYER]],TableOverallMaster[OVERALL PLAYER],0)),"")</f>
        <v>RB58</v>
      </c>
      <c r="AR187" s="120">
        <f>IFERROR(INDEX(TableOverallMaster[BYE],MATCH(TableOverallRank[[#This Row],[OVERALL PLAYER]],TableOverallMaster[OVERALL PLAYER],0)),"")</f>
        <v>9</v>
      </c>
      <c r="AS187" s="119">
        <f>IFERROR(INDEX(TableOverallMaster[Custom],MATCH(TableOverallRank[[#This Row],[OVERALL PLAYER]],TableOverallMaster[OVERALL PLAYER],0)),"")</f>
        <v>79.728725952917998</v>
      </c>
      <c r="AT187" s="121">
        <f>IFERROR(INDEX(TableOverallMaster[VORP],MATCH(TableOverallRank[[#This Row],[OVERALL PLAYER]],TableOverallMaster[OVERALL PLAYER],0)),"")</f>
        <v>-0.29267135335746908</v>
      </c>
      <c r="AV187">
        <v>186</v>
      </c>
      <c r="AW187" s="122" t="str">
        <f>IFERROR(INDEX(TableWRTECalcPts[PLAYER],MATCH(TableWRTERank[[#This Row],[RK]],TableWRTECalcPts[RK],0)),"")</f>
        <v>Irv Smith</v>
      </c>
      <c r="AX187" s="122" t="str">
        <f>IFERROR(INDEX(TableWRTECalcPts[POS RK],MATCH(TableWRTERank[[#This Row],[WR and TE COMBINED]],TableWRTECalcPts[PLAYER],0)),"")</f>
        <v>TE53</v>
      </c>
      <c r="AY187" s="122">
        <f>IFERROR(INDEX(TableWRTECalcPts[BYE],MATCH(TableWRTERank[[#This Row],[RK]],TableWRTECalcPts[RK],0)),"")</f>
        <v>10</v>
      </c>
      <c r="AZ187" s="123">
        <f>IFERROR(INDEX(TableWRTECalcPts[Custom],MATCH(TableWRTERank[[#This Row],[RK]],TableWRTECalcPts[RK],0)),"")</f>
        <v>25.696037848319992</v>
      </c>
      <c r="BA187" s="174">
        <f>IFERROR((TableWRTERank[[#This Row],[FPS]]-INDEX(TableWRTERank[FPS],MATCH(WRTEVORPCalc,TableWRTERank[RK],0)))/INDEX(TableWRTERank[FPS],MATCH(WRTEVORPCalc,TableWRTERank[RK],0)),"")</f>
        <v>-0.82787317981067865</v>
      </c>
      <c r="BC187" t="s">
        <v>223</v>
      </c>
      <c r="BD187">
        <v>186</v>
      </c>
      <c r="BE187" s="83" t="e">
        <f>RANK(TableWRTEMaster[[#This Row],[VORP]],TableWRTEMaster[VORP])+COUNTIF($BJ$2:BJ187,BJ187)-1</f>
        <v>#VALUE!</v>
      </c>
      <c r="BF187" s="115" t="str">
        <f>IFERROR(INDEX(TableWRVORP[WIDE RECEIVER],MATCH(TableWRTEMaster[[#This Row],[RK]],TableWRVORP[RK],0)),"")</f>
        <v/>
      </c>
      <c r="BG187" s="115" t="str">
        <f>_xlfn.CONCAT(TableWRTEMaster[[#This Row],[POS]],TableWRTEMaster[[#This Row],[RK]])</f>
        <v>WR186</v>
      </c>
      <c r="BH187" s="115" t="str">
        <f>IFERROR(INDEX(TableWRVORP[BYE],MATCH(TableWRTEMaster[[#This Row],[RK]],TableWRVORP[RK],0)),"")</f>
        <v/>
      </c>
      <c r="BI187" s="116" t="str">
        <f>IFERROR(INDEX(TableWRVORP[FPS],MATCH(TableWRTEMaster[[#This Row],[RK]],TableWRVORP[RK],0)),"")</f>
        <v/>
      </c>
      <c r="BJ187" s="117" t="str">
        <f>IFERROR(INDEX(TableWRVORP[VORP],MATCH(TableWRTEMaster[[#This Row],[RK]],TableWRVORP[RK],0)),"")</f>
        <v/>
      </c>
    </row>
    <row r="188" spans="15:62" x14ac:dyDescent="0.2">
      <c r="O188">
        <v>187</v>
      </c>
      <c r="P188" s="112" t="str">
        <f>IFERROR(INDEX(TableWRCalcPts[PLAYER],MATCH(TableWRVORP[[#This Row],[RK]],TableWRCalcPts[RK],0)),"")</f>
        <v/>
      </c>
      <c r="Q188" s="112" t="str">
        <f>IFERROR(INDEX(TableWRCalcPts[TM],MATCH(TableWRVORP[[#This Row],[RK]],TableWRCalcPts[RK],0)),"")</f>
        <v/>
      </c>
      <c r="R188" s="112" t="str">
        <f>IFERROR(INDEX(TableWRCalcPts[BYE],MATCH(TableWRVORP[[#This Row],[RK]],TableWRCalcPts[RK],0)),"")</f>
        <v/>
      </c>
      <c r="S188" s="113" t="str">
        <f>IFERROR(INDEX(TableWRCalcPts[Custom],MATCH(TableWRVORP[[#This Row],[RK]],TableWRCalcPts[RK],0)),"")</f>
        <v/>
      </c>
      <c r="T188" s="114" t="str">
        <f>IFERROR((TableWRVORP[[#This Row],[FPS]]-INDEX(TableWRVORP[FPS],MATCH(WRVORPCalc,TableWRVORP[RK],0)))/INDEX(TableWRVORP[FPS],MATCH(WRVORPCalc,TableWRVORP[RK],0)),"")</f>
        <v/>
      </c>
      <c r="AF188" t="s">
        <v>223</v>
      </c>
      <c r="AG188">
        <v>47</v>
      </c>
      <c r="AH188" s="83">
        <f>RANK(TableOverallMaster[[#This Row],[VORP]],TableOverallMaster[VORP])+COUNTIF($AM$2:AM188,AM188)-1</f>
        <v>112</v>
      </c>
      <c r="AI188" s="115" t="str">
        <f>IFERROR(INDEX(TableWRVORP[WIDE RECEIVER],MATCH(TableOverallMaster[[#This Row],[RK]],TableWRVORP[RK],0)),"")</f>
        <v>Xavier Worthy</v>
      </c>
      <c r="AJ188" s="115" t="str">
        <f t="shared" si="2"/>
        <v>WR47</v>
      </c>
      <c r="AK188" s="115">
        <f>IFERROR(INDEX(TableWRVORP[BYE],MATCH(TableOverallMaster[[#This Row],[RK]],TableWRVORP[RK],0)),"")</f>
        <v>10</v>
      </c>
      <c r="AL188" s="116">
        <f>IFERROR(INDEX(TableWRVORP[FPS],MATCH(TableOverallMaster[[#This Row],[RK]],TableWRVORP[RK],0)),"")</f>
        <v>159.24169963519995</v>
      </c>
      <c r="AM188" s="117">
        <f>IFERROR(INDEX(TableWRVORP[VORP],MATCH(TableOverallMaster[[#This Row],[RK]],TableWRVORP[RK],0)),"")</f>
        <v>0.10276147441182565</v>
      </c>
      <c r="AO188">
        <v>187</v>
      </c>
      <c r="AP188" s="118" t="str">
        <f>IFERROR(INDEX(TableOverallMaster[OVERALL PLAYER],MATCH(TableOverallRank[[#This Row],[RK]],TableOverallMaster[OVR RK],0)),"")</f>
        <v>Darius Slayton</v>
      </c>
      <c r="AQ188" s="119" t="str">
        <f>IFERROR(INDEX(TableOverallMaster[POS RK],MATCH(TableOverallRank[[#This Row],[OVERALL PLAYER]],TableOverallMaster[OVERALL PLAYER],0)),"")</f>
        <v>WR78</v>
      </c>
      <c r="AR188" s="120">
        <f>IFERROR(INDEX(TableOverallMaster[BYE],MATCH(TableOverallRank[[#This Row],[OVERALL PLAYER]],TableOverallMaster[OVERALL PLAYER],0)),"")</f>
        <v>13</v>
      </c>
      <c r="AS188" s="119">
        <f>IFERROR(INDEX(TableOverallMaster[Custom],MATCH(TableOverallRank[[#This Row],[OVERALL PLAYER]],TableOverallMaster[OVERALL PLAYER],0)),"")</f>
        <v>99.916945872307195</v>
      </c>
      <c r="AT188" s="121">
        <f>IFERROR(INDEX(TableOverallMaster[VORP],MATCH(TableOverallRank[[#This Row],[OVERALL PLAYER]],TableOverallMaster[OVERALL PLAYER],0)),"")</f>
        <v>-0.30806717837545577</v>
      </c>
      <c r="AV188">
        <v>187</v>
      </c>
      <c r="AW188" s="122" t="str">
        <f>IFERROR(INDEX(TableWRTECalcPts[PLAYER],MATCH(TableWRTERank[[#This Row],[RK]],TableWRTECalcPts[RK],0)),"")</f>
        <v>Charlie Jones</v>
      </c>
      <c r="AX188" s="122" t="str">
        <f>IFERROR(INDEX(TableWRTECalcPts[POS RK],MATCH(TableWRTERank[[#This Row],[WR and TE COMBINED]],TableWRTECalcPts[PLAYER],0)),"")</f>
        <v>WR134</v>
      </c>
      <c r="AY188" s="122">
        <f>IFERROR(INDEX(TableWRTECalcPts[BYE],MATCH(TableWRTERank[[#This Row],[RK]],TableWRTECalcPts[RK],0)),"")</f>
        <v>7</v>
      </c>
      <c r="AZ188" s="123">
        <f>IFERROR(INDEX(TableWRTECalcPts[Custom],MATCH(TableWRTERank[[#This Row],[RK]],TableWRTECalcPts[RK],0)),"")</f>
        <v>25.683274299312004</v>
      </c>
      <c r="BA188" s="174">
        <f>IFERROR((TableWRTERank[[#This Row],[FPS]]-INDEX(TableWRTERank[FPS],MATCH(WRTEVORPCalc,TableWRTERank[RK],0)))/INDEX(TableWRTERank[FPS],MATCH(WRTEVORPCalc,TableWRTERank[RK],0)),"")</f>
        <v>-0.82795867739275897</v>
      </c>
      <c r="BC188" t="s">
        <v>223</v>
      </c>
      <c r="BD188">
        <v>187</v>
      </c>
      <c r="BE188" s="83" t="e">
        <f>RANK(TableWRTEMaster[[#This Row],[VORP]],TableWRTEMaster[VORP])+COUNTIF($BJ$2:BJ188,BJ188)-1</f>
        <v>#VALUE!</v>
      </c>
      <c r="BF188" s="115" t="str">
        <f>IFERROR(INDEX(TableWRVORP[WIDE RECEIVER],MATCH(TableWRTEMaster[[#This Row],[RK]],TableWRVORP[RK],0)),"")</f>
        <v/>
      </c>
      <c r="BG188" s="115" t="str">
        <f>_xlfn.CONCAT(TableWRTEMaster[[#This Row],[POS]],TableWRTEMaster[[#This Row],[RK]])</f>
        <v>WR187</v>
      </c>
      <c r="BH188" s="115" t="str">
        <f>IFERROR(INDEX(TableWRVORP[BYE],MATCH(TableWRTEMaster[[#This Row],[RK]],TableWRVORP[RK],0)),"")</f>
        <v/>
      </c>
      <c r="BI188" s="116" t="str">
        <f>IFERROR(INDEX(TableWRVORP[FPS],MATCH(TableWRTEMaster[[#This Row],[RK]],TableWRVORP[RK],0)),"")</f>
        <v/>
      </c>
      <c r="BJ188" s="117" t="str">
        <f>IFERROR(INDEX(TableWRVORP[VORP],MATCH(TableWRTEMaster[[#This Row],[RK]],TableWRVORP[RK],0)),"")</f>
        <v/>
      </c>
    </row>
    <row r="189" spans="15:62" x14ac:dyDescent="0.2">
      <c r="O189">
        <v>188</v>
      </c>
      <c r="P189" s="112" t="str">
        <f>IFERROR(INDEX(TableWRCalcPts[PLAYER],MATCH(TableWRVORP[[#This Row],[RK]],TableWRCalcPts[RK],0)),"")</f>
        <v/>
      </c>
      <c r="Q189" s="112" t="str">
        <f>IFERROR(INDEX(TableWRCalcPts[TM],MATCH(TableWRVORP[[#This Row],[RK]],TableWRCalcPts[RK],0)),"")</f>
        <v/>
      </c>
      <c r="R189" s="112" t="str">
        <f>IFERROR(INDEX(TableWRCalcPts[BYE],MATCH(TableWRVORP[[#This Row],[RK]],TableWRCalcPts[RK],0)),"")</f>
        <v/>
      </c>
      <c r="S189" s="113" t="str">
        <f>IFERROR(INDEX(TableWRCalcPts[Custom],MATCH(TableWRVORP[[#This Row],[RK]],TableWRCalcPts[RK],0)),"")</f>
        <v/>
      </c>
      <c r="T189" s="114" t="str">
        <f>IFERROR((TableWRVORP[[#This Row],[FPS]]-INDEX(TableWRVORP[FPS],MATCH(WRVORPCalc,TableWRVORP[RK],0)))/INDEX(TableWRVORP[FPS],MATCH(WRVORPCalc,TableWRVORP[RK],0)),"")</f>
        <v/>
      </c>
      <c r="AF189" t="s">
        <v>223</v>
      </c>
      <c r="AG189">
        <v>48</v>
      </c>
      <c r="AH189" s="83">
        <f>RANK(TableOverallMaster[[#This Row],[VORP]],TableOverallMaster[VORP])+COUNTIF($AM$2:AM189,AM189)-1</f>
        <v>114</v>
      </c>
      <c r="AI189" s="115" t="str">
        <f>IFERROR(INDEX(TableWRVORP[WIDE RECEIVER],MATCH(TableOverallMaster[[#This Row],[RK]],TableWRVORP[RK],0)),"")</f>
        <v>Diontae Johnson</v>
      </c>
      <c r="AJ189" s="115" t="str">
        <f t="shared" si="2"/>
        <v>WR48</v>
      </c>
      <c r="AK189" s="115">
        <f>IFERROR(INDEX(TableWRVORP[BYE],MATCH(TableOverallMaster[[#This Row],[RK]],TableWRVORP[RK],0)),"")</f>
        <v>7</v>
      </c>
      <c r="AL189" s="116">
        <f>IFERROR(INDEX(TableWRVORP[FPS],MATCH(TableOverallMaster[[#This Row],[RK]],TableWRVORP[RK],0)),"")</f>
        <v>157.09497063649198</v>
      </c>
      <c r="AM189" s="117">
        <f>IFERROR(INDEX(TableWRVORP[VORP],MATCH(TableOverallMaster[[#This Row],[RK]],TableWRVORP[RK],0)),"")</f>
        <v>8.789520482790987E-2</v>
      </c>
      <c r="AO189">
        <v>188</v>
      </c>
      <c r="AP189" s="118" t="str">
        <f>IFERROR(INDEX(TableOverallMaster[OVERALL PLAYER],MATCH(TableOverallRank[[#This Row],[RK]],TableOverallMaster[OVR RK],0)),"")</f>
        <v>Jelani Woods</v>
      </c>
      <c r="AQ189" s="119" t="str">
        <f>IFERROR(INDEX(TableOverallMaster[POS RK],MATCH(TableOverallRank[[#This Row],[OVERALL PLAYER]],TableOverallMaster[OVERALL PLAYER],0)),"")</f>
        <v>TE21</v>
      </c>
      <c r="AR189" s="120">
        <f>IFERROR(INDEX(TableOverallMaster[BYE],MATCH(TableOverallRank[[#This Row],[OVERALL PLAYER]],TableOverallMaster[OVERALL PLAYER],0)),"")</f>
        <v>11</v>
      </c>
      <c r="AS189" s="119">
        <f>IFERROR(INDEX(TableOverallMaster[Custom],MATCH(TableOverallRank[[#This Row],[OVERALL PLAYER]],TableOverallMaster[OVERALL PLAYER],0)),"")</f>
        <v>89.963733537216015</v>
      </c>
      <c r="AT189" s="121">
        <f>IFERROR(INDEX(TableOverallMaster[VORP],MATCH(TableOverallRank[[#This Row],[OVERALL PLAYER]],TableOverallMaster[OVERALL PLAYER],0)),"")</f>
        <v>-0.31504514128231437</v>
      </c>
      <c r="AV189">
        <v>188</v>
      </c>
      <c r="AW189" s="122" t="str">
        <f>IFERROR(INDEX(TableWRTECalcPts[PLAYER],MATCH(TableWRTERank[[#This Row],[RK]],TableWRTECalcPts[RK],0)),"")</f>
        <v>Anthony Gould</v>
      </c>
      <c r="AX189" s="122" t="str">
        <f>IFERROR(INDEX(TableWRTECalcPts[POS RK],MATCH(TableWRTERank[[#This Row],[WR and TE COMBINED]],TableWRTECalcPts[PLAYER],0)),"")</f>
        <v>WR135</v>
      </c>
      <c r="AY189" s="122">
        <f>IFERROR(INDEX(TableWRTECalcPts[BYE],MATCH(TableWRTERank[[#This Row],[RK]],TableWRTECalcPts[RK],0)),"")</f>
        <v>11</v>
      </c>
      <c r="AZ189" s="123">
        <f>IFERROR(INDEX(TableWRTECalcPts[Custom],MATCH(TableWRTERank[[#This Row],[RK]],TableWRTECalcPts[RK],0)),"")</f>
        <v>25.634266435008001</v>
      </c>
      <c r="BA189" s="174">
        <f>IFERROR((TableWRTERank[[#This Row],[FPS]]-INDEX(TableWRTERank[FPS],MATCH(WRTEVORPCalc,TableWRTERank[RK],0)))/INDEX(TableWRTERank[FPS],MATCH(WRTEVORPCalc,TableWRTERank[RK],0)),"")</f>
        <v>-0.8282869602158428</v>
      </c>
      <c r="BC189" t="s">
        <v>223</v>
      </c>
      <c r="BD189">
        <v>188</v>
      </c>
      <c r="BE189" s="83" t="e">
        <f>RANK(TableWRTEMaster[[#This Row],[VORP]],TableWRTEMaster[VORP])+COUNTIF($BJ$2:BJ189,BJ189)-1</f>
        <v>#VALUE!</v>
      </c>
      <c r="BF189" s="115" t="str">
        <f>IFERROR(INDEX(TableWRVORP[WIDE RECEIVER],MATCH(TableWRTEMaster[[#This Row],[RK]],TableWRVORP[RK],0)),"")</f>
        <v/>
      </c>
      <c r="BG189" s="115" t="str">
        <f>_xlfn.CONCAT(TableWRTEMaster[[#This Row],[POS]],TableWRTEMaster[[#This Row],[RK]])</f>
        <v>WR188</v>
      </c>
      <c r="BH189" s="115" t="str">
        <f>IFERROR(INDEX(TableWRVORP[BYE],MATCH(TableWRTEMaster[[#This Row],[RK]],TableWRVORP[RK],0)),"")</f>
        <v/>
      </c>
      <c r="BI189" s="116" t="str">
        <f>IFERROR(INDEX(TableWRVORP[FPS],MATCH(TableWRTEMaster[[#This Row],[RK]],TableWRVORP[RK],0)),"")</f>
        <v/>
      </c>
      <c r="BJ189" s="117" t="str">
        <f>IFERROR(INDEX(TableWRVORP[VORP],MATCH(TableWRTEMaster[[#This Row],[RK]],TableWRVORP[RK],0)),"")</f>
        <v/>
      </c>
    </row>
    <row r="190" spans="15:62" x14ac:dyDescent="0.2">
      <c r="O190">
        <v>189</v>
      </c>
      <c r="P190" s="112" t="str">
        <f>IFERROR(INDEX(TableWRCalcPts[PLAYER],MATCH(TableWRVORP[[#This Row],[RK]],TableWRCalcPts[RK],0)),"")</f>
        <v/>
      </c>
      <c r="Q190" s="112" t="str">
        <f>IFERROR(INDEX(TableWRCalcPts[TM],MATCH(TableWRVORP[[#This Row],[RK]],TableWRCalcPts[RK],0)),"")</f>
        <v/>
      </c>
      <c r="R190" s="112" t="str">
        <f>IFERROR(INDEX(TableWRCalcPts[BYE],MATCH(TableWRVORP[[#This Row],[RK]],TableWRCalcPts[RK],0)),"")</f>
        <v/>
      </c>
      <c r="S190" s="113" t="str">
        <f>IFERROR(INDEX(TableWRCalcPts[Custom],MATCH(TableWRVORP[[#This Row],[RK]],TableWRCalcPts[RK],0)),"")</f>
        <v/>
      </c>
      <c r="T190" s="114" t="str">
        <f>IFERROR((TableWRVORP[[#This Row],[FPS]]-INDEX(TableWRVORP[FPS],MATCH(WRVORPCalc,TableWRVORP[RK],0)))/INDEX(TableWRVORP[FPS],MATCH(WRVORPCalc,TableWRVORP[RK],0)),"")</f>
        <v/>
      </c>
      <c r="AF190" t="s">
        <v>223</v>
      </c>
      <c r="AG190">
        <v>49</v>
      </c>
      <c r="AH190" s="83">
        <f>RANK(TableOverallMaster[[#This Row],[VORP]],TableOverallMaster[VORP])+COUNTIF($AM$2:AM190,AM190)-1</f>
        <v>118</v>
      </c>
      <c r="AI190" s="115" t="str">
        <f>IFERROR(INDEX(TableWRVORP[WIDE RECEIVER],MATCH(TableOverallMaster[[#This Row],[RK]],TableWRVORP[RK],0)),"")</f>
        <v>Calvin Ridley</v>
      </c>
      <c r="AJ190" s="115" t="str">
        <f t="shared" si="2"/>
        <v>WR49</v>
      </c>
      <c r="AK190" s="115">
        <f>IFERROR(INDEX(TableWRVORP[BYE],MATCH(TableOverallMaster[[#This Row],[RK]],TableWRVORP[RK],0)),"")</f>
        <v>7</v>
      </c>
      <c r="AL190" s="116">
        <f>IFERROR(INDEX(TableWRVORP[FPS],MATCH(TableOverallMaster[[#This Row],[RK]],TableWRVORP[RK],0)),"")</f>
        <v>154.50712981703998</v>
      </c>
      <c r="AM190" s="117">
        <f>IFERROR(INDEX(TableWRVORP[VORP],MATCH(TableOverallMaster[[#This Row],[RK]],TableWRVORP[RK],0)),"")</f>
        <v>6.9974200693065952E-2</v>
      </c>
      <c r="AO190">
        <v>189</v>
      </c>
      <c r="AP190" s="118" t="str">
        <f>IFERROR(INDEX(TableOverallMaster[OVERALL PLAYER],MATCH(TableOverallRank[[#This Row],[RK]],TableOverallMaster[OVR RK],0)),"")</f>
        <v>Kendrick Bourne</v>
      </c>
      <c r="AQ190" s="119" t="str">
        <f>IFERROR(INDEX(TableOverallMaster[POS RK],MATCH(TableOverallRank[[#This Row],[OVERALL PLAYER]],TableOverallMaster[OVERALL PLAYER],0)),"")</f>
        <v>WR79</v>
      </c>
      <c r="AR190" s="120">
        <f>IFERROR(INDEX(TableOverallMaster[BYE],MATCH(TableOverallRank[[#This Row],[OVERALL PLAYER]],TableOverallMaster[OVERALL PLAYER],0)),"")</f>
        <v>11</v>
      </c>
      <c r="AS190" s="119">
        <f>IFERROR(INDEX(TableOverallMaster[Custom],MATCH(TableOverallRank[[#This Row],[OVERALL PLAYER]],TableOverallMaster[OVERALL PLAYER],0)),"")</f>
        <v>98.874365364095979</v>
      </c>
      <c r="AT190" s="121">
        <f>IFERROR(INDEX(TableOverallMaster[VORP],MATCH(TableOverallRank[[#This Row],[OVERALL PLAYER]],TableOverallMaster[OVERALL PLAYER],0)),"")</f>
        <v>-0.31528713157277699</v>
      </c>
      <c r="AV190">
        <v>189</v>
      </c>
      <c r="AW190" s="122" t="str">
        <f>IFERROR(INDEX(TableWRTECalcPts[PLAYER],MATCH(TableWRTERank[[#This Row],[RK]],TableWRTECalcPts[RK],0)),"")</f>
        <v>Tutu Atwell</v>
      </c>
      <c r="AX190" s="122" t="str">
        <f>IFERROR(INDEX(TableWRTECalcPts[POS RK],MATCH(TableWRTERank[[#This Row],[WR and TE COMBINED]],TableWRTECalcPts[PLAYER],0)),"")</f>
        <v>WR136</v>
      </c>
      <c r="AY190" s="122">
        <f>IFERROR(INDEX(TableWRTECalcPts[BYE],MATCH(TableWRTERank[[#This Row],[RK]],TableWRTECalcPts[RK],0)),"")</f>
        <v>10</v>
      </c>
      <c r="AZ190" s="123">
        <f>IFERROR(INDEX(TableWRTECalcPts[Custom],MATCH(TableWRTERank[[#This Row],[RK]],TableWRTECalcPts[RK],0)),"")</f>
        <v>25.364281713758388</v>
      </c>
      <c r="BA190" s="174">
        <f>IFERROR((TableWRTERank[[#This Row],[FPS]]-INDEX(TableWRTERank[FPS],MATCH(WRTEVORPCalc,TableWRTERank[RK],0)))/INDEX(TableWRTERank[FPS],MATCH(WRTEVORPCalc,TableWRTERank[RK],0)),"")</f>
        <v>-0.8300954729461989</v>
      </c>
      <c r="BC190" t="s">
        <v>223</v>
      </c>
      <c r="BD190">
        <v>189</v>
      </c>
      <c r="BE190" s="83" t="e">
        <f>RANK(TableWRTEMaster[[#This Row],[VORP]],TableWRTEMaster[VORP])+COUNTIF($BJ$2:BJ190,BJ190)-1</f>
        <v>#VALUE!</v>
      </c>
      <c r="BF190" s="115" t="str">
        <f>IFERROR(INDEX(TableWRVORP[WIDE RECEIVER],MATCH(TableWRTEMaster[[#This Row],[RK]],TableWRVORP[RK],0)),"")</f>
        <v/>
      </c>
      <c r="BG190" s="115" t="str">
        <f>_xlfn.CONCAT(TableWRTEMaster[[#This Row],[POS]],TableWRTEMaster[[#This Row],[RK]])</f>
        <v>WR189</v>
      </c>
      <c r="BH190" s="115" t="str">
        <f>IFERROR(INDEX(TableWRVORP[BYE],MATCH(TableWRTEMaster[[#This Row],[RK]],TableWRVORP[RK],0)),"")</f>
        <v/>
      </c>
      <c r="BI190" s="116" t="str">
        <f>IFERROR(INDEX(TableWRVORP[FPS],MATCH(TableWRTEMaster[[#This Row],[RK]],TableWRVORP[RK],0)),"")</f>
        <v/>
      </c>
      <c r="BJ190" s="117" t="str">
        <f>IFERROR(INDEX(TableWRVORP[VORP],MATCH(TableWRTEMaster[[#This Row],[RK]],TableWRVORP[RK],0)),"")</f>
        <v/>
      </c>
    </row>
    <row r="191" spans="15:62" x14ac:dyDescent="0.2">
      <c r="O191">
        <v>190</v>
      </c>
      <c r="P191" s="112" t="str">
        <f>IFERROR(INDEX(TableWRCalcPts[PLAYER],MATCH(TableWRVORP[[#This Row],[RK]],TableWRCalcPts[RK],0)),"")</f>
        <v/>
      </c>
      <c r="Q191" s="112" t="str">
        <f>IFERROR(INDEX(TableWRCalcPts[TM],MATCH(TableWRVORP[[#This Row],[RK]],TableWRCalcPts[RK],0)),"")</f>
        <v/>
      </c>
      <c r="R191" s="112" t="str">
        <f>IFERROR(INDEX(TableWRCalcPts[BYE],MATCH(TableWRVORP[[#This Row],[RK]],TableWRCalcPts[RK],0)),"")</f>
        <v/>
      </c>
      <c r="S191" s="113" t="str">
        <f>IFERROR(INDEX(TableWRCalcPts[Custom],MATCH(TableWRVORP[[#This Row],[RK]],TableWRCalcPts[RK],0)),"")</f>
        <v/>
      </c>
      <c r="T191" s="114" t="str">
        <f>IFERROR((TableWRVORP[[#This Row],[FPS]]-INDEX(TableWRVORP[FPS],MATCH(WRVORPCalc,TableWRVORP[RK],0)))/INDEX(TableWRVORP[FPS],MATCH(WRVORPCalc,TableWRVORP[RK],0)),"")</f>
        <v/>
      </c>
      <c r="AF191" t="s">
        <v>223</v>
      </c>
      <c r="AG191">
        <v>50</v>
      </c>
      <c r="AH191" s="83">
        <f>RANK(TableOverallMaster[[#This Row],[VORP]],TableOverallMaster[VORP])+COUNTIF($AM$2:AM191,AM191)-1</f>
        <v>119</v>
      </c>
      <c r="AI191" s="115" t="str">
        <f>IFERROR(INDEX(TableWRVORP[WIDE RECEIVER],MATCH(TableOverallMaster[[#This Row],[RK]],TableWRVORP[RK],0)),"")</f>
        <v>Mike Williams</v>
      </c>
      <c r="AJ191" s="115" t="str">
        <f t="shared" si="2"/>
        <v>WR50</v>
      </c>
      <c r="AK191" s="115">
        <f>IFERROR(INDEX(TableWRVORP[BYE],MATCH(TableOverallMaster[[#This Row],[RK]],TableWRVORP[RK],0)),"")</f>
        <v>7</v>
      </c>
      <c r="AL191" s="116">
        <f>IFERROR(INDEX(TableWRVORP[FPS],MATCH(TableOverallMaster[[#This Row],[RK]],TableWRVORP[RK],0)),"")</f>
        <v>154.22685332053999</v>
      </c>
      <c r="AM191" s="117">
        <f>IFERROR(INDEX(TableWRVORP[VORP],MATCH(TableOverallMaster[[#This Row],[RK]],TableWRVORP[RK],0)),"")</f>
        <v>6.8033263594106524E-2</v>
      </c>
      <c r="AO191">
        <v>190</v>
      </c>
      <c r="AP191" s="118" t="str">
        <f>IFERROR(INDEX(TableOverallMaster[OVERALL PLAYER],MATCH(TableOverallRank[[#This Row],[RK]],TableOverallMaster[OVR RK],0)),"")</f>
        <v>Khalil Herbert</v>
      </c>
      <c r="AQ191" s="119" t="str">
        <f>IFERROR(INDEX(TableOverallMaster[POS RK],MATCH(TableOverallRank[[#This Row],[OVERALL PLAYER]],TableOverallMaster[OVERALL PLAYER],0)),"")</f>
        <v>RB59</v>
      </c>
      <c r="AR191" s="120">
        <f>IFERROR(INDEX(TableOverallMaster[BYE],MATCH(TableOverallRank[[#This Row],[OVERALL PLAYER]],TableOverallMaster[OVERALL PLAYER],0)),"")</f>
        <v>13</v>
      </c>
      <c r="AS191" s="119">
        <f>IFERROR(INDEX(TableOverallMaster[Custom],MATCH(TableOverallRank[[#This Row],[OVERALL PLAYER]],TableOverallMaster[OVERALL PLAYER],0)),"")</f>
        <v>76.037838458399975</v>
      </c>
      <c r="AT191" s="121">
        <f>IFERROR(INDEX(TableOverallMaster[VORP],MATCH(TableOverallRank[[#This Row],[OVERALL PLAYER]],TableOverallMaster[OVERALL PLAYER],0)),"")</f>
        <v>-0.32541576793583504</v>
      </c>
      <c r="AV191">
        <v>190</v>
      </c>
      <c r="AW191" s="122" t="str">
        <f>IFERROR(INDEX(TableWRTECalcPts[PLAYER],MATCH(TableWRTERank[[#This Row],[RK]],TableWRTECalcPts[RK],0)),"")</f>
        <v>Hayden Hurst</v>
      </c>
      <c r="AX191" s="122" t="str">
        <f>IFERROR(INDEX(TableWRTECalcPts[POS RK],MATCH(TableWRTERank[[#This Row],[WR and TE COMBINED]],TableWRTECalcPts[PLAYER],0)),"")</f>
        <v>TE54</v>
      </c>
      <c r="AY191" s="122">
        <f>IFERROR(INDEX(TableWRTECalcPts[BYE],MATCH(TableWRTERank[[#This Row],[RK]],TableWRTECalcPts[RK],0)),"")</f>
        <v>5</v>
      </c>
      <c r="AZ191" s="123">
        <f>IFERROR(INDEX(TableWRTECalcPts[Custom],MATCH(TableWRTERank[[#This Row],[RK]],TableWRTECalcPts[RK],0)),"")</f>
        <v>25.211992245510004</v>
      </c>
      <c r="BA191" s="174">
        <f>IFERROR((TableWRTERank[[#This Row],[FPS]]-INDEX(TableWRTERank[FPS],MATCH(WRTEVORPCalc,TableWRTERank[RK],0)))/INDEX(TableWRTERank[FPS],MATCH(WRTEVORPCalc,TableWRTERank[RK],0)),"")</f>
        <v>-0.83111559527294232</v>
      </c>
      <c r="BC191" t="s">
        <v>223</v>
      </c>
      <c r="BD191">
        <v>190</v>
      </c>
      <c r="BE191" s="83" t="e">
        <f>RANK(TableWRTEMaster[[#This Row],[VORP]],TableWRTEMaster[VORP])+COUNTIF($BJ$2:BJ191,BJ191)-1</f>
        <v>#VALUE!</v>
      </c>
      <c r="BF191" s="115" t="str">
        <f>IFERROR(INDEX(TableWRVORP[WIDE RECEIVER],MATCH(TableWRTEMaster[[#This Row],[RK]],TableWRVORP[RK],0)),"")</f>
        <v/>
      </c>
      <c r="BG191" s="115" t="str">
        <f>_xlfn.CONCAT(TableWRTEMaster[[#This Row],[POS]],TableWRTEMaster[[#This Row],[RK]])</f>
        <v>WR190</v>
      </c>
      <c r="BH191" s="115" t="str">
        <f>IFERROR(INDEX(TableWRVORP[BYE],MATCH(TableWRTEMaster[[#This Row],[RK]],TableWRVORP[RK],0)),"")</f>
        <v/>
      </c>
      <c r="BI191" s="116" t="str">
        <f>IFERROR(INDEX(TableWRVORP[FPS],MATCH(TableWRTEMaster[[#This Row],[RK]],TableWRVORP[RK],0)),"")</f>
        <v/>
      </c>
      <c r="BJ191" s="117" t="str">
        <f>IFERROR(INDEX(TableWRVORP[VORP],MATCH(TableWRTEMaster[[#This Row],[RK]],TableWRVORP[RK],0)),"")</f>
        <v/>
      </c>
    </row>
    <row r="192" spans="15:62" x14ac:dyDescent="0.2">
      <c r="O192">
        <v>191</v>
      </c>
      <c r="P192" s="112" t="str">
        <f>IFERROR(INDEX(TableWRCalcPts[PLAYER],MATCH(TableWRVORP[[#This Row],[RK]],TableWRCalcPts[RK],0)),"")</f>
        <v/>
      </c>
      <c r="Q192" s="112" t="str">
        <f>IFERROR(INDEX(TableWRCalcPts[TM],MATCH(TableWRVORP[[#This Row],[RK]],TableWRCalcPts[RK],0)),"")</f>
        <v/>
      </c>
      <c r="R192" s="112" t="str">
        <f>IFERROR(INDEX(TableWRCalcPts[BYE],MATCH(TableWRVORP[[#This Row],[RK]],TableWRCalcPts[RK],0)),"")</f>
        <v/>
      </c>
      <c r="S192" s="113" t="str">
        <f>IFERROR(INDEX(TableWRCalcPts[Custom],MATCH(TableWRVORP[[#This Row],[RK]],TableWRCalcPts[RK],0)),"")</f>
        <v/>
      </c>
      <c r="T192" s="114" t="str">
        <f>IFERROR((TableWRVORP[[#This Row],[FPS]]-INDEX(TableWRVORP[FPS],MATCH(WRVORPCalc,TableWRVORP[RK],0)))/INDEX(TableWRVORP[FPS],MATCH(WRVORPCalc,TableWRVORP[RK],0)),"")</f>
        <v/>
      </c>
      <c r="AF192" t="s">
        <v>223</v>
      </c>
      <c r="AG192">
        <v>51</v>
      </c>
      <c r="AH192" s="83">
        <f>RANK(TableOverallMaster[[#This Row],[VORP]],TableOverallMaster[VORP])+COUNTIF($AM$2:AM192,AM192)-1</f>
        <v>120</v>
      </c>
      <c r="AI192" s="115" t="str">
        <f>IFERROR(INDEX(TableWRVORP[WIDE RECEIVER],MATCH(TableOverallMaster[[#This Row],[RK]],TableWRVORP[RK],0)),"")</f>
        <v>Jakobi Meyers</v>
      </c>
      <c r="AJ192" s="115" t="str">
        <f t="shared" si="2"/>
        <v>WR51</v>
      </c>
      <c r="AK192" s="115">
        <f>IFERROR(INDEX(TableWRVORP[BYE],MATCH(TableOverallMaster[[#This Row],[RK]],TableWRVORP[RK],0)),"")</f>
        <v>13</v>
      </c>
      <c r="AL192" s="116">
        <f>IFERROR(INDEX(TableWRVORP[FPS],MATCH(TableOverallMaster[[#This Row],[RK]],TableWRVORP[RK],0)),"")</f>
        <v>152.92230757999994</v>
      </c>
      <c r="AM192" s="117">
        <f>IFERROR(INDEX(TableWRVORP[VORP],MATCH(TableOverallMaster[[#This Row],[RK]],TableWRVORP[RK],0)),"")</f>
        <v>5.8999180263099339E-2</v>
      </c>
      <c r="AO192">
        <v>191</v>
      </c>
      <c r="AP192" s="118" t="str">
        <f>IFERROR(INDEX(TableOverallMaster[OVERALL PLAYER],MATCH(TableOverallRank[[#This Row],[RK]],TableOverallMaster[OVR RK],0)),"")</f>
        <v>Juwan Johnson</v>
      </c>
      <c r="AQ192" s="119" t="str">
        <f>IFERROR(INDEX(TableOverallMaster[POS RK],MATCH(TableOverallRank[[#This Row],[OVERALL PLAYER]],TableOverallMaster[OVERALL PLAYER],0)),"")</f>
        <v>TE22</v>
      </c>
      <c r="AR192" s="120">
        <f>IFERROR(INDEX(TableOverallMaster[BYE],MATCH(TableOverallRank[[#This Row],[OVERALL PLAYER]],TableOverallMaster[OVERALL PLAYER],0)),"")</f>
        <v>11</v>
      </c>
      <c r="AS192" s="119">
        <f>IFERROR(INDEX(TableOverallMaster[Custom],MATCH(TableOverallRank[[#This Row],[OVERALL PLAYER]],TableOverallMaster[OVERALL PLAYER],0)),"")</f>
        <v>88.505673243704607</v>
      </c>
      <c r="AT192" s="121">
        <f>IFERROR(INDEX(TableOverallMaster[VORP],MATCH(TableOverallRank[[#This Row],[OVERALL PLAYER]],TableOverallMaster[OVERALL PLAYER],0)),"")</f>
        <v>-0.32614634221158473</v>
      </c>
      <c r="AV192">
        <v>191</v>
      </c>
      <c r="AW192" s="122" t="str">
        <f>IFERROR(INDEX(TableWRTECalcPts[PLAYER],MATCH(TableWRTERank[[#This Row],[RK]],TableWRTECalcPts[RK],0)),"")</f>
        <v>Malik Washington</v>
      </c>
      <c r="AX192" s="122" t="str">
        <f>IFERROR(INDEX(TableWRTECalcPts[POS RK],MATCH(TableWRTERank[[#This Row],[WR and TE COMBINED]],TableWRTECalcPts[PLAYER],0)),"")</f>
        <v>WR137</v>
      </c>
      <c r="AY192" s="122">
        <f>IFERROR(INDEX(TableWRTECalcPts[BYE],MATCH(TableWRTERank[[#This Row],[RK]],TableWRTECalcPts[RK],0)),"")</f>
        <v>10</v>
      </c>
      <c r="AZ192" s="123">
        <f>IFERROR(INDEX(TableWRTECalcPts[Custom],MATCH(TableWRTERank[[#This Row],[RK]],TableWRTECalcPts[RK],0)),"")</f>
        <v>25.1969371313184</v>
      </c>
      <c r="BA192" s="174">
        <f>IFERROR((TableWRTERank[[#This Row],[FPS]]-INDEX(TableWRTERank[FPS],MATCH(WRTEVORPCalc,TableWRTERank[RK],0)))/INDEX(TableWRTERank[FPS],MATCH(WRTEVORPCalc,TableWRTERank[RK],0)),"")</f>
        <v>-0.83121644307479736</v>
      </c>
      <c r="BC192" t="s">
        <v>223</v>
      </c>
      <c r="BD192">
        <v>191</v>
      </c>
      <c r="BE192" s="83" t="e">
        <f>RANK(TableWRTEMaster[[#This Row],[VORP]],TableWRTEMaster[VORP])+COUNTIF($BJ$2:BJ192,BJ192)-1</f>
        <v>#VALUE!</v>
      </c>
      <c r="BF192" s="115" t="str">
        <f>IFERROR(INDEX(TableWRVORP[WIDE RECEIVER],MATCH(TableWRTEMaster[[#This Row],[RK]],TableWRVORP[RK],0)),"")</f>
        <v/>
      </c>
      <c r="BG192" s="115" t="str">
        <f>_xlfn.CONCAT(TableWRTEMaster[[#This Row],[POS]],TableWRTEMaster[[#This Row],[RK]])</f>
        <v>WR191</v>
      </c>
      <c r="BH192" s="115" t="str">
        <f>IFERROR(INDEX(TableWRVORP[BYE],MATCH(TableWRTEMaster[[#This Row],[RK]],TableWRVORP[RK],0)),"")</f>
        <v/>
      </c>
      <c r="BI192" s="116" t="str">
        <f>IFERROR(INDEX(TableWRVORP[FPS],MATCH(TableWRTEMaster[[#This Row],[RK]],TableWRVORP[RK],0)),"")</f>
        <v/>
      </c>
      <c r="BJ192" s="117" t="str">
        <f>IFERROR(INDEX(TableWRVORP[VORP],MATCH(TableWRTEMaster[[#This Row],[RK]],TableWRVORP[RK],0)),"")</f>
        <v/>
      </c>
    </row>
    <row r="193" spans="15:62" x14ac:dyDescent="0.2">
      <c r="O193">
        <v>192</v>
      </c>
      <c r="P193" s="112" t="str">
        <f>IFERROR(INDEX(TableWRCalcPts[PLAYER],MATCH(TableWRVORP[[#This Row],[RK]],TableWRCalcPts[RK],0)),"")</f>
        <v/>
      </c>
      <c r="Q193" s="112" t="str">
        <f>IFERROR(INDEX(TableWRCalcPts[TM],MATCH(TableWRVORP[[#This Row],[RK]],TableWRCalcPts[RK],0)),"")</f>
        <v/>
      </c>
      <c r="R193" s="112" t="str">
        <f>IFERROR(INDEX(TableWRCalcPts[BYE],MATCH(TableWRVORP[[#This Row],[RK]],TableWRCalcPts[RK],0)),"")</f>
        <v/>
      </c>
      <c r="S193" s="113" t="str">
        <f>IFERROR(INDEX(TableWRCalcPts[Custom],MATCH(TableWRVORP[[#This Row],[RK]],TableWRCalcPts[RK],0)),"")</f>
        <v/>
      </c>
      <c r="T193" s="114" t="str">
        <f>IFERROR((TableWRVORP[[#This Row],[FPS]]-INDEX(TableWRVORP[FPS],MATCH(WRVORPCalc,TableWRVORP[RK],0)))/INDEX(TableWRVORP[FPS],MATCH(WRVORPCalc,TableWRVORP[RK],0)),"")</f>
        <v/>
      </c>
      <c r="AF193" t="s">
        <v>223</v>
      </c>
      <c r="AG193">
        <v>52</v>
      </c>
      <c r="AH193" s="83">
        <f>RANK(TableOverallMaster[[#This Row],[VORP]],TableOverallMaster[VORP])+COUNTIF($AM$2:AM193,AM193)-1</f>
        <v>122</v>
      </c>
      <c r="AI193" s="115" t="str">
        <f>IFERROR(INDEX(TableWRVORP[WIDE RECEIVER],MATCH(TableOverallMaster[[#This Row],[RK]],TableWRVORP[RK],0)),"")</f>
        <v>Keenan Allen</v>
      </c>
      <c r="AJ193" s="115" t="str">
        <f t="shared" si="2"/>
        <v>WR52</v>
      </c>
      <c r="AK193" s="115">
        <f>IFERROR(INDEX(TableWRVORP[BYE],MATCH(TableOverallMaster[[#This Row],[RK]],TableWRVORP[RK],0)),"")</f>
        <v>13</v>
      </c>
      <c r="AL193" s="116">
        <f>IFERROR(INDEX(TableWRVORP[FPS],MATCH(TableOverallMaster[[#This Row],[RK]],TableWRVORP[RK],0)),"")</f>
        <v>151.05445991999994</v>
      </c>
      <c r="AM193" s="117">
        <f>IFERROR(INDEX(TableWRVORP[VORP],MATCH(TableOverallMaster[[#This Row],[RK]],TableWRVORP[RK],0)),"")</f>
        <v>4.6064186199126396E-2</v>
      </c>
      <c r="AO193">
        <v>192</v>
      </c>
      <c r="AP193" s="118" t="str">
        <f>IFERROR(INDEX(TableOverallMaster[OVERALL PLAYER],MATCH(TableOverallRank[[#This Row],[RK]],TableOverallMaster[OVR RK],0)),"")</f>
        <v>Ja'Lynn Polk</v>
      </c>
      <c r="AQ193" s="119" t="str">
        <f>IFERROR(INDEX(TableOverallMaster[POS RK],MATCH(TableOverallRank[[#This Row],[OVERALL PLAYER]],TableOverallMaster[OVERALL PLAYER],0)),"")</f>
        <v>WR80</v>
      </c>
      <c r="AR193" s="120">
        <f>IFERROR(INDEX(TableOverallMaster[BYE],MATCH(TableOverallRank[[#This Row],[OVERALL PLAYER]],TableOverallMaster[OVERALL PLAYER],0)),"")</f>
        <v>11</v>
      </c>
      <c r="AS193" s="119">
        <f>IFERROR(INDEX(TableOverallMaster[Custom],MATCH(TableOverallRank[[#This Row],[OVERALL PLAYER]],TableOverallMaster[OVERALL PLAYER],0)),"")</f>
        <v>96.756904450096812</v>
      </c>
      <c r="AT193" s="121">
        <f>IFERROR(INDEX(TableOverallMaster[VORP],MATCH(TableOverallRank[[#This Row],[OVERALL PLAYER]],TableOverallMaster[OVERALL PLAYER],0)),"")</f>
        <v>-0.32995071733505166</v>
      </c>
      <c r="AV193">
        <v>192</v>
      </c>
      <c r="AW193" s="122" t="str">
        <f>IFERROR(INDEX(TableWRTECalcPts[PLAYER],MATCH(TableWRTERank[[#This Row],[RK]],TableWRTECalcPts[RK],0)),"")</f>
        <v>Bo Melton</v>
      </c>
      <c r="AX193" s="122" t="str">
        <f>IFERROR(INDEX(TableWRTECalcPts[POS RK],MATCH(TableWRTERank[[#This Row],[WR and TE COMBINED]],TableWRTECalcPts[PLAYER],0)),"")</f>
        <v>WR138</v>
      </c>
      <c r="AY193" s="122">
        <f>IFERROR(INDEX(TableWRTECalcPts[BYE],MATCH(TableWRTERank[[#This Row],[RK]],TableWRTECalcPts[RK],0)),"")</f>
        <v>6</v>
      </c>
      <c r="AZ193" s="123">
        <f>IFERROR(INDEX(TableWRTECalcPts[Custom],MATCH(TableWRTERank[[#This Row],[RK]],TableWRTECalcPts[RK],0)),"")</f>
        <v>24.724347171887999</v>
      </c>
      <c r="BA193" s="174">
        <f>IFERROR((TableWRTERank[[#This Row],[FPS]]-INDEX(TableWRTERank[FPS],MATCH(WRTEVORPCalc,TableWRTERank[RK],0)))/INDEX(TableWRTERank[FPS],MATCH(WRTEVORPCalc,TableWRTERank[RK],0)),"")</f>
        <v>-0.83438212205808371</v>
      </c>
      <c r="BC193" t="s">
        <v>223</v>
      </c>
      <c r="BD193">
        <v>192</v>
      </c>
      <c r="BE193" s="83" t="e">
        <f>RANK(TableWRTEMaster[[#This Row],[VORP]],TableWRTEMaster[VORP])+COUNTIF($BJ$2:BJ193,BJ193)-1</f>
        <v>#VALUE!</v>
      </c>
      <c r="BF193" s="115" t="str">
        <f>IFERROR(INDEX(TableWRVORP[WIDE RECEIVER],MATCH(TableWRTEMaster[[#This Row],[RK]],TableWRVORP[RK],0)),"")</f>
        <v/>
      </c>
      <c r="BG193" s="115" t="str">
        <f>_xlfn.CONCAT(TableWRTEMaster[[#This Row],[POS]],TableWRTEMaster[[#This Row],[RK]])</f>
        <v>WR192</v>
      </c>
      <c r="BH193" s="115" t="str">
        <f>IFERROR(INDEX(TableWRVORP[BYE],MATCH(TableWRTEMaster[[#This Row],[RK]],TableWRVORP[RK],0)),"")</f>
        <v/>
      </c>
      <c r="BI193" s="116" t="str">
        <f>IFERROR(INDEX(TableWRVORP[FPS],MATCH(TableWRTEMaster[[#This Row],[RK]],TableWRVORP[RK],0)),"")</f>
        <v/>
      </c>
      <c r="BJ193" s="117" t="str">
        <f>IFERROR(INDEX(TableWRVORP[VORP],MATCH(TableWRTEMaster[[#This Row],[RK]],TableWRVORP[RK],0)),"")</f>
        <v/>
      </c>
    </row>
    <row r="194" spans="15:62" x14ac:dyDescent="0.2">
      <c r="O194">
        <v>193</v>
      </c>
      <c r="P194" s="112" t="str">
        <f>IFERROR(INDEX(TableWRCalcPts[PLAYER],MATCH(TableWRVORP[[#This Row],[RK]],TableWRCalcPts[RK],0)),"")</f>
        <v/>
      </c>
      <c r="Q194" s="112" t="str">
        <f>IFERROR(INDEX(TableWRCalcPts[TM],MATCH(TableWRVORP[[#This Row],[RK]],TableWRCalcPts[RK],0)),"")</f>
        <v/>
      </c>
      <c r="R194" s="112" t="str">
        <f>IFERROR(INDEX(TableWRCalcPts[BYE],MATCH(TableWRVORP[[#This Row],[RK]],TableWRCalcPts[RK],0)),"")</f>
        <v/>
      </c>
      <c r="S194" s="113" t="str">
        <f>IFERROR(INDEX(TableWRCalcPts[Custom],MATCH(TableWRVORP[[#This Row],[RK]],TableWRCalcPts[RK],0)),"")</f>
        <v/>
      </c>
      <c r="T194" s="114" t="str">
        <f>IFERROR((TableWRVORP[[#This Row],[FPS]]-INDEX(TableWRVORP[FPS],MATCH(WRVORPCalc,TableWRVORP[RK],0)))/INDEX(TableWRVORP[FPS],MATCH(WRVORPCalc,TableWRVORP[RK],0)),"")</f>
        <v/>
      </c>
      <c r="AF194" t="s">
        <v>223</v>
      </c>
      <c r="AG194">
        <v>53</v>
      </c>
      <c r="AH194" s="83">
        <f>RANK(TableOverallMaster[[#This Row],[VORP]],TableOverallMaster[VORP])+COUNTIF($AM$2:AM194,AM194)-1</f>
        <v>127</v>
      </c>
      <c r="AI194" s="115" t="str">
        <f>IFERROR(INDEX(TableWRVORP[WIDE RECEIVER],MATCH(TableOverallMaster[[#This Row],[RK]],TableWRVORP[RK],0)),"")</f>
        <v>Tyler Lockett</v>
      </c>
      <c r="AJ194" s="115" t="str">
        <f t="shared" ref="AJ194:AJ257" si="3">CONCATENATE(AF194,AG194)</f>
        <v>WR53</v>
      </c>
      <c r="AK194" s="115">
        <f>IFERROR(INDEX(TableWRVORP[BYE],MATCH(TableOverallMaster[[#This Row],[RK]],TableWRVORP[RK],0)),"")</f>
        <v>5</v>
      </c>
      <c r="AL194" s="116">
        <f>IFERROR(INDEX(TableWRVORP[FPS],MATCH(TableOverallMaster[[#This Row],[RK]],TableWRVORP[RK],0)),"")</f>
        <v>149.2854967056096</v>
      </c>
      <c r="AM194" s="117">
        <f>IFERROR(INDEX(TableWRVORP[VORP],MATCH(TableOverallMaster[[#This Row],[RK]],TableWRVORP[RK],0)),"")</f>
        <v>3.3813974810085391E-2</v>
      </c>
      <c r="AO194">
        <v>193</v>
      </c>
      <c r="AP194" s="118" t="str">
        <f>IFERROR(INDEX(TableOverallMaster[OVERALL PLAYER],MATCH(TableOverallRank[[#This Row],[RK]],TableOverallMaster[OVR RK],0)),"")</f>
        <v>Daniel Bellinger</v>
      </c>
      <c r="AQ194" s="119" t="str">
        <f>IFERROR(INDEX(TableOverallMaster[POS RK],MATCH(TableOverallRank[[#This Row],[OVERALL PLAYER]],TableOverallMaster[OVERALL PLAYER],0)),"")</f>
        <v>TE23</v>
      </c>
      <c r="AR194" s="120">
        <f>IFERROR(INDEX(TableOverallMaster[BYE],MATCH(TableOverallRank[[#This Row],[OVERALL PLAYER]],TableOverallMaster[OVERALL PLAYER],0)),"")</f>
        <v>13</v>
      </c>
      <c r="AS194" s="119">
        <f>IFERROR(INDEX(TableOverallMaster[Custom],MATCH(TableOverallRank[[#This Row],[OVERALL PLAYER]],TableOverallMaster[OVERALL PLAYER],0)),"")</f>
        <v>87.870440020271985</v>
      </c>
      <c r="AT194" s="121">
        <f>IFERROR(INDEX(TableOverallMaster[VORP],MATCH(TableOverallRank[[#This Row],[OVERALL PLAYER]],TableOverallMaster[OVERALL PLAYER],0)),"")</f>
        <v>-0.33098280314646888</v>
      </c>
      <c r="AV194">
        <v>193</v>
      </c>
      <c r="AW194" s="122" t="str">
        <f>IFERROR(INDEX(TableWRTECalcPts[PLAYER],MATCH(TableWRTERank[[#This Row],[RK]],TableWRTECalcPts[RK],0)),"")</f>
        <v>Ray-Ray McCloud</v>
      </c>
      <c r="AX194" s="122" t="str">
        <f>IFERROR(INDEX(TableWRTECalcPts[POS RK],MATCH(TableWRTERank[[#This Row],[WR and TE COMBINED]],TableWRTECalcPts[PLAYER],0)),"")</f>
        <v>WR139</v>
      </c>
      <c r="AY194" s="122">
        <f>IFERROR(INDEX(TableWRTECalcPts[BYE],MATCH(TableWRTERank[[#This Row],[RK]],TableWRTECalcPts[RK],0)),"")</f>
        <v>11</v>
      </c>
      <c r="AZ194" s="123">
        <f>IFERROR(INDEX(TableWRTECalcPts[Custom],MATCH(TableWRTERank[[#This Row],[RK]],TableWRTECalcPts[RK],0)),"")</f>
        <v>23.756703681110395</v>
      </c>
      <c r="BA194" s="174">
        <f>IFERROR((TableWRTERank[[#This Row],[FPS]]-INDEX(TableWRTERank[FPS],MATCH(WRTEVORPCalc,TableWRTERank[RK],0)))/INDEX(TableWRTERank[FPS],MATCH(WRTEVORPCalc,TableWRTERank[RK],0)),"")</f>
        <v>-0.84086395393144908</v>
      </c>
      <c r="BC194" t="s">
        <v>223</v>
      </c>
      <c r="BD194">
        <v>193</v>
      </c>
      <c r="BE194" s="83" t="e">
        <f>RANK(TableWRTEMaster[[#This Row],[VORP]],TableWRTEMaster[VORP])+COUNTIF($BJ$2:BJ194,BJ194)-1</f>
        <v>#VALUE!</v>
      </c>
      <c r="BF194" s="115" t="str">
        <f>IFERROR(INDEX(TableWRVORP[WIDE RECEIVER],MATCH(TableWRTEMaster[[#This Row],[RK]],TableWRVORP[RK],0)),"")</f>
        <v/>
      </c>
      <c r="BG194" s="115" t="str">
        <f>_xlfn.CONCAT(TableWRTEMaster[[#This Row],[POS]],TableWRTEMaster[[#This Row],[RK]])</f>
        <v>WR193</v>
      </c>
      <c r="BH194" s="115" t="str">
        <f>IFERROR(INDEX(TableWRVORP[BYE],MATCH(TableWRTEMaster[[#This Row],[RK]],TableWRVORP[RK],0)),"")</f>
        <v/>
      </c>
      <c r="BI194" s="116" t="str">
        <f>IFERROR(INDEX(TableWRVORP[FPS],MATCH(TableWRTEMaster[[#This Row],[RK]],TableWRVORP[RK],0)),"")</f>
        <v/>
      </c>
      <c r="BJ194" s="117" t="str">
        <f>IFERROR(INDEX(TableWRVORP[VORP],MATCH(TableWRTEMaster[[#This Row],[RK]],TableWRVORP[RK],0)),"")</f>
        <v/>
      </c>
    </row>
    <row r="195" spans="15:62" x14ac:dyDescent="0.2">
      <c r="O195">
        <v>194</v>
      </c>
      <c r="P195" s="112" t="str">
        <f>IFERROR(INDEX(TableWRCalcPts[PLAYER],MATCH(TableWRVORP[[#This Row],[RK]],TableWRCalcPts[RK],0)),"")</f>
        <v/>
      </c>
      <c r="Q195" s="112" t="str">
        <f>IFERROR(INDEX(TableWRCalcPts[TM],MATCH(TableWRVORP[[#This Row],[RK]],TableWRCalcPts[RK],0)),"")</f>
        <v/>
      </c>
      <c r="R195" s="112" t="str">
        <f>IFERROR(INDEX(TableWRCalcPts[BYE],MATCH(TableWRVORP[[#This Row],[RK]],TableWRCalcPts[RK],0)),"")</f>
        <v/>
      </c>
      <c r="S195" s="113" t="str">
        <f>IFERROR(INDEX(TableWRCalcPts[Custom],MATCH(TableWRVORP[[#This Row],[RK]],TableWRCalcPts[RK],0)),"")</f>
        <v/>
      </c>
      <c r="T195" s="114" t="str">
        <f>IFERROR((TableWRVORP[[#This Row],[FPS]]-INDEX(TableWRVORP[FPS],MATCH(WRVORPCalc,TableWRVORP[RK],0)))/INDEX(TableWRVORP[FPS],MATCH(WRVORPCalc,TableWRVORP[RK],0)),"")</f>
        <v/>
      </c>
      <c r="AF195" t="s">
        <v>223</v>
      </c>
      <c r="AG195">
        <v>54</v>
      </c>
      <c r="AH195" s="83">
        <f>RANK(TableOverallMaster[[#This Row],[VORP]],TableOverallMaster[VORP])+COUNTIF($AM$2:AM195,AM195)-1</f>
        <v>128</v>
      </c>
      <c r="AI195" s="115" t="str">
        <f>IFERROR(INDEX(TableWRVORP[WIDE RECEIVER],MATCH(TableOverallMaster[[#This Row],[RK]],TableWRVORP[RK],0)),"")</f>
        <v>Marquise Brown</v>
      </c>
      <c r="AJ195" s="115" t="str">
        <f t="shared" si="3"/>
        <v>WR54</v>
      </c>
      <c r="AK195" s="115">
        <f>IFERROR(INDEX(TableWRVORP[BYE],MATCH(TableOverallMaster[[#This Row],[RK]],TableWRVORP[RK],0)),"")</f>
        <v>10</v>
      </c>
      <c r="AL195" s="116">
        <f>IFERROR(INDEX(TableWRVORP[FPS],MATCH(TableOverallMaster[[#This Row],[RK]],TableWRVORP[RK],0)),"")</f>
        <v>147.63615491071997</v>
      </c>
      <c r="AM195" s="117">
        <f>IFERROR(INDEX(TableWRVORP[VORP],MATCH(TableOverallMaster[[#This Row],[RK]],TableWRVORP[RK],0)),"")</f>
        <v>2.2392151294585216E-2</v>
      </c>
      <c r="AO195">
        <v>194</v>
      </c>
      <c r="AP195" s="118" t="str">
        <f>IFERROR(INDEX(TableOverallMaster[OVERALL PLAYER],MATCH(TableOverallRank[[#This Row],[RK]],TableOverallMaster[OVR RK],0)),"")</f>
        <v>Cade Otton</v>
      </c>
      <c r="AQ195" s="119" t="str">
        <f>IFERROR(INDEX(TableOverallMaster[POS RK],MATCH(TableOverallRank[[#This Row],[OVERALL PLAYER]],TableOverallMaster[OVERALL PLAYER],0)),"")</f>
        <v>TE24</v>
      </c>
      <c r="AR195" s="120">
        <f>IFERROR(INDEX(TableOverallMaster[BYE],MATCH(TableOverallRank[[#This Row],[OVERALL PLAYER]],TableOverallMaster[OVERALL PLAYER],0)),"")</f>
        <v>5</v>
      </c>
      <c r="AS195" s="119">
        <f>IFERROR(INDEX(TableOverallMaster[Custom],MATCH(TableOverallRank[[#This Row],[OVERALL PLAYER]],TableOverallMaster[OVERALL PLAYER],0)),"")</f>
        <v>87.511587115490997</v>
      </c>
      <c r="AT195" s="121">
        <f>IFERROR(INDEX(TableOverallMaster[VORP],MATCH(TableOverallRank[[#This Row],[OVERALL PLAYER]],TableOverallMaster[OVERALL PLAYER],0)),"")</f>
        <v>-0.33371499345283284</v>
      </c>
      <c r="AV195">
        <v>194</v>
      </c>
      <c r="AW195" s="122" t="str">
        <f>IFERROR(INDEX(TableWRTECalcPts[PLAYER],MATCH(TableWRTERank[[#This Row],[RK]],TableWRTECalcPts[RK],0)),"")</f>
        <v>Cade Stover</v>
      </c>
      <c r="AX195" s="122" t="str">
        <f>IFERROR(INDEX(TableWRTECalcPts[POS RK],MATCH(TableWRTERank[[#This Row],[WR and TE COMBINED]],TableWRTECalcPts[PLAYER],0)),"")</f>
        <v>TE55</v>
      </c>
      <c r="AY195" s="122">
        <f>IFERROR(INDEX(TableWRTECalcPts[BYE],MATCH(TableWRTERank[[#This Row],[RK]],TableWRTECalcPts[RK],0)),"")</f>
        <v>7</v>
      </c>
      <c r="AZ195" s="123">
        <f>IFERROR(INDEX(TableWRTECalcPts[Custom],MATCH(TableWRTERank[[#This Row],[RK]],TableWRTECalcPts[RK],0)),"")</f>
        <v>23.553999006720002</v>
      </c>
      <c r="BA195" s="174">
        <f>IFERROR((TableWRTERank[[#This Row],[FPS]]-INDEX(TableWRTERank[FPS],MATCH(WRTEVORPCalc,TableWRTERank[RK],0)))/INDEX(TableWRTERank[FPS],MATCH(WRTEVORPCalc,TableWRTERank[RK],0)),"")</f>
        <v>-0.84222178626522315</v>
      </c>
      <c r="BC195" t="s">
        <v>223</v>
      </c>
      <c r="BD195">
        <v>194</v>
      </c>
      <c r="BE195" s="83" t="e">
        <f>RANK(TableWRTEMaster[[#This Row],[VORP]],TableWRTEMaster[VORP])+COUNTIF($BJ$2:BJ195,BJ195)-1</f>
        <v>#VALUE!</v>
      </c>
      <c r="BF195" s="115" t="str">
        <f>IFERROR(INDEX(TableWRVORP[WIDE RECEIVER],MATCH(TableWRTEMaster[[#This Row],[RK]],TableWRVORP[RK],0)),"")</f>
        <v/>
      </c>
      <c r="BG195" s="115" t="str">
        <f>_xlfn.CONCAT(TableWRTEMaster[[#This Row],[POS]],TableWRTEMaster[[#This Row],[RK]])</f>
        <v>WR194</v>
      </c>
      <c r="BH195" s="115" t="str">
        <f>IFERROR(INDEX(TableWRVORP[BYE],MATCH(TableWRTEMaster[[#This Row],[RK]],TableWRVORP[RK],0)),"")</f>
        <v/>
      </c>
      <c r="BI195" s="116" t="str">
        <f>IFERROR(INDEX(TableWRVORP[FPS],MATCH(TableWRTEMaster[[#This Row],[RK]],TableWRVORP[RK],0)),"")</f>
        <v/>
      </c>
      <c r="BJ195" s="117" t="str">
        <f>IFERROR(INDEX(TableWRVORP[VORP],MATCH(TableWRTEMaster[[#This Row],[RK]],TableWRVORP[RK],0)),"")</f>
        <v/>
      </c>
    </row>
    <row r="196" spans="15:62" x14ac:dyDescent="0.2">
      <c r="O196">
        <v>195</v>
      </c>
      <c r="P196" s="112" t="str">
        <f>IFERROR(INDEX(TableWRCalcPts[PLAYER],MATCH(TableWRVORP[[#This Row],[RK]],TableWRCalcPts[RK],0)),"")</f>
        <v/>
      </c>
      <c r="Q196" s="112" t="str">
        <f>IFERROR(INDEX(TableWRCalcPts[TM],MATCH(TableWRVORP[[#This Row],[RK]],TableWRCalcPts[RK],0)),"")</f>
        <v/>
      </c>
      <c r="R196" s="112" t="str">
        <f>IFERROR(INDEX(TableWRCalcPts[BYE],MATCH(TableWRVORP[[#This Row],[RK]],TableWRCalcPts[RK],0)),"")</f>
        <v/>
      </c>
      <c r="S196" s="113" t="str">
        <f>IFERROR(INDEX(TableWRCalcPts[Custom],MATCH(TableWRVORP[[#This Row],[RK]],TableWRCalcPts[RK],0)),"")</f>
        <v/>
      </c>
      <c r="T196" s="114" t="str">
        <f>IFERROR((TableWRVORP[[#This Row],[FPS]]-INDEX(TableWRVORP[FPS],MATCH(WRVORPCalc,TableWRVORP[RK],0)))/INDEX(TableWRVORP[FPS],MATCH(WRVORPCalc,TableWRVORP[RK],0)),"")</f>
        <v/>
      </c>
      <c r="AF196" t="s">
        <v>223</v>
      </c>
      <c r="AG196">
        <v>55</v>
      </c>
      <c r="AH196" s="83">
        <f>RANK(TableOverallMaster[[#This Row],[VORP]],TableOverallMaster[VORP])+COUNTIF($AM$2:AM196,AM196)-1</f>
        <v>133</v>
      </c>
      <c r="AI196" s="115" t="str">
        <f>IFERROR(INDEX(TableWRVORP[WIDE RECEIVER],MATCH(TableOverallMaster[[#This Row],[RK]],TableWRVORP[RK],0)),"")</f>
        <v>Michael Wilson</v>
      </c>
      <c r="AJ196" s="115" t="str">
        <f t="shared" si="3"/>
        <v>WR55</v>
      </c>
      <c r="AK196" s="115">
        <f>IFERROR(INDEX(TableWRVORP[BYE],MATCH(TableOverallMaster[[#This Row],[RK]],TableWRVORP[RK],0)),"")</f>
        <v>14</v>
      </c>
      <c r="AL196" s="116">
        <f>IFERROR(INDEX(TableWRVORP[FPS],MATCH(TableOverallMaster[[#This Row],[RK]],TableWRVORP[RK],0)),"")</f>
        <v>144.59086635304499</v>
      </c>
      <c r="AM196" s="117">
        <f>IFERROR(INDEX(TableWRVORP[VORP],MATCH(TableOverallMaster[[#This Row],[RK]],TableWRVORP[RK],0)),"")</f>
        <v>1.3032850769780103E-3</v>
      </c>
      <c r="AO196">
        <v>195</v>
      </c>
      <c r="AP196" s="118" t="str">
        <f>IFERROR(INDEX(TableOverallMaster[OVERALL PLAYER],MATCH(TableOverallRank[[#This Row],[RK]],TableOverallMaster[OVR RK],0)),"")</f>
        <v>Dalton Schultz</v>
      </c>
      <c r="AQ196" s="119" t="str">
        <f>IFERROR(INDEX(TableOverallMaster[POS RK],MATCH(TableOverallRank[[#This Row],[OVERALL PLAYER]],TableOverallMaster[OVERALL PLAYER],0)),"")</f>
        <v>TE25</v>
      </c>
      <c r="AR196" s="120">
        <f>IFERROR(INDEX(TableOverallMaster[BYE],MATCH(TableOverallRank[[#This Row],[OVERALL PLAYER]],TableOverallMaster[OVERALL PLAYER],0)),"")</f>
        <v>7</v>
      </c>
      <c r="AS196" s="119">
        <f>IFERROR(INDEX(TableOverallMaster[Custom],MATCH(TableOverallRank[[#This Row],[OVERALL PLAYER]],TableOverallMaster[OVERALL PLAYER],0)),"")</f>
        <v>86.800296892108804</v>
      </c>
      <c r="AT196" s="121">
        <f>IFERROR(INDEX(TableOverallMaster[VORP],MATCH(TableOverallRank[[#This Row],[OVERALL PLAYER]],TableOverallMaster[OVERALL PLAYER],0)),"")</f>
        <v>-0.33913052786106718</v>
      </c>
      <c r="AV196">
        <v>195</v>
      </c>
      <c r="AW196" s="122" t="str">
        <f>IFERROR(INDEX(TableWRTECalcPts[PLAYER],MATCH(TableWRTERank[[#This Row],[RK]],TableWRTECalcPts[RK],0)),"")</f>
        <v>Chris Moore</v>
      </c>
      <c r="AX196" s="122" t="str">
        <f>IFERROR(INDEX(TableWRTECalcPts[POS RK],MATCH(TableWRTERank[[#This Row],[WR and TE COMBINED]],TableWRTECalcPts[PLAYER],0)),"")</f>
        <v>WR140</v>
      </c>
      <c r="AY196" s="122">
        <f>IFERROR(INDEX(TableWRTECalcPts[BYE],MATCH(TableWRTERank[[#This Row],[RK]],TableWRTECalcPts[RK],0)),"")</f>
        <v>14</v>
      </c>
      <c r="AZ196" s="123">
        <f>IFERROR(INDEX(TableWRTECalcPts[Custom],MATCH(TableWRTERank[[#This Row],[RK]],TableWRTECalcPts[RK],0)),"")</f>
        <v>23.404815945000003</v>
      </c>
      <c r="BA196" s="174">
        <f>IFERROR((TableWRTERank[[#This Row],[FPS]]-INDEX(TableWRTERank[FPS],MATCH(WRTEVORPCalc,TableWRTERank[RK],0)))/INDEX(TableWRTERank[FPS],MATCH(WRTEVORPCalc,TableWRTERank[RK],0)),"")</f>
        <v>-0.84322110009685536</v>
      </c>
      <c r="BC196" t="s">
        <v>223</v>
      </c>
      <c r="BD196">
        <v>195</v>
      </c>
      <c r="BE196" s="83" t="e">
        <f>RANK(TableWRTEMaster[[#This Row],[VORP]],TableWRTEMaster[VORP])+COUNTIF($BJ$2:BJ196,BJ196)-1</f>
        <v>#VALUE!</v>
      </c>
      <c r="BF196" s="115" t="str">
        <f>IFERROR(INDEX(TableWRVORP[WIDE RECEIVER],MATCH(TableWRTEMaster[[#This Row],[RK]],TableWRVORP[RK],0)),"")</f>
        <v/>
      </c>
      <c r="BG196" s="115" t="str">
        <f>_xlfn.CONCAT(TableWRTEMaster[[#This Row],[POS]],TableWRTEMaster[[#This Row],[RK]])</f>
        <v>WR195</v>
      </c>
      <c r="BH196" s="115" t="str">
        <f>IFERROR(INDEX(TableWRVORP[BYE],MATCH(TableWRTEMaster[[#This Row],[RK]],TableWRVORP[RK],0)),"")</f>
        <v/>
      </c>
      <c r="BI196" s="116" t="str">
        <f>IFERROR(INDEX(TableWRVORP[FPS],MATCH(TableWRTEMaster[[#This Row],[RK]],TableWRVORP[RK],0)),"")</f>
        <v/>
      </c>
      <c r="BJ196" s="117" t="str">
        <f>IFERROR(INDEX(TableWRVORP[VORP],MATCH(TableWRTEMaster[[#This Row],[RK]],TableWRVORP[RK],0)),"")</f>
        <v/>
      </c>
    </row>
    <row r="197" spans="15:62" x14ac:dyDescent="0.2">
      <c r="O197">
        <v>196</v>
      </c>
      <c r="P197" s="112" t="str">
        <f>IFERROR(INDEX(TableWRCalcPts[PLAYER],MATCH(TableWRVORP[[#This Row],[RK]],TableWRCalcPts[RK],0)),"")</f>
        <v/>
      </c>
      <c r="Q197" s="112" t="str">
        <f>IFERROR(INDEX(TableWRCalcPts[TM],MATCH(TableWRVORP[[#This Row],[RK]],TableWRCalcPts[RK],0)),"")</f>
        <v/>
      </c>
      <c r="R197" s="112" t="str">
        <f>IFERROR(INDEX(TableWRCalcPts[BYE],MATCH(TableWRVORP[[#This Row],[RK]],TableWRCalcPts[RK],0)),"")</f>
        <v/>
      </c>
      <c r="S197" s="113" t="str">
        <f>IFERROR(INDEX(TableWRCalcPts[Custom],MATCH(TableWRVORP[[#This Row],[RK]],TableWRCalcPts[RK],0)),"")</f>
        <v/>
      </c>
      <c r="T197" s="114" t="str">
        <f>IFERROR((TableWRVORP[[#This Row],[FPS]]-INDEX(TableWRVORP[FPS],MATCH(WRVORPCalc,TableWRVORP[RK],0)))/INDEX(TableWRVORP[FPS],MATCH(WRVORPCalc,TableWRVORP[RK],0)),"")</f>
        <v/>
      </c>
      <c r="AF197" t="s">
        <v>223</v>
      </c>
      <c r="AG197">
        <v>56</v>
      </c>
      <c r="AH197" s="83">
        <f>RANK(TableOverallMaster[[#This Row],[VORP]],TableOverallMaster[VORP])+COUNTIF($AM$2:AM197,AM197)-1</f>
        <v>135</v>
      </c>
      <c r="AI197" s="115" t="str">
        <f>IFERROR(INDEX(TableWRVORP[WIDE RECEIVER],MATCH(TableOverallMaster[[#This Row],[RK]],TableWRVORP[RK],0)),"")</f>
        <v>Roman Wilson</v>
      </c>
      <c r="AJ197" s="115" t="str">
        <f t="shared" si="3"/>
        <v>WR56</v>
      </c>
      <c r="AK197" s="115">
        <f>IFERROR(INDEX(TableWRVORP[BYE],MATCH(TableOverallMaster[[#This Row],[RK]],TableWRVORP[RK],0)),"")</f>
        <v>6</v>
      </c>
      <c r="AL197" s="116">
        <f>IFERROR(INDEX(TableWRVORP[FPS],MATCH(TableOverallMaster[[#This Row],[RK]],TableWRVORP[RK],0)),"")</f>
        <v>144.40403499564002</v>
      </c>
      <c r="AM197" s="117">
        <f>IFERROR(INDEX(TableWRVORP[VORP],MATCH(TableOverallMaster[[#This Row],[RK]],TableWRVORP[RK],0)),"")</f>
        <v>9.4630213841982645E-6</v>
      </c>
      <c r="AO197">
        <v>196</v>
      </c>
      <c r="AP197" s="118" t="str">
        <f>IFERROR(INDEX(TableOverallMaster[OVERALL PLAYER],MATCH(TableOverallRank[[#This Row],[RK]],TableOverallMaster[OVR RK],0)),"")</f>
        <v>Alexander Mattison</v>
      </c>
      <c r="AQ197" s="119" t="str">
        <f>IFERROR(INDEX(TableOverallMaster[POS RK],MATCH(TableOverallRank[[#This Row],[OVERALL PLAYER]],TableOverallMaster[OVERALL PLAYER],0)),"")</f>
        <v>RB60</v>
      </c>
      <c r="AR197" s="120">
        <f>IFERROR(INDEX(TableOverallMaster[BYE],MATCH(TableOverallRank[[#This Row],[OVERALL PLAYER]],TableOverallMaster[OVERALL PLAYER],0)),"")</f>
        <v>13</v>
      </c>
      <c r="AS197" s="119">
        <f>IFERROR(INDEX(TableOverallMaster[Custom],MATCH(TableOverallRank[[#This Row],[OVERALL PLAYER]],TableOverallMaster[OVERALL PLAYER],0)),"")</f>
        <v>73.474373489999991</v>
      </c>
      <c r="AT197" s="121">
        <f>IFERROR(INDEX(TableOverallMaster[VORP],MATCH(TableOverallRank[[#This Row],[OVERALL PLAYER]],TableOverallMaster[OVERALL PLAYER],0)),"")</f>
        <v>-0.34815803786605631</v>
      </c>
      <c r="AV197">
        <v>196</v>
      </c>
      <c r="AW197" s="122" t="str">
        <f>IFERROR(INDEX(TableWRTECalcPts[PLAYER],MATCH(TableWRTERank[[#This Row],[RK]],TableWRTECalcPts[RK],0)),"")</f>
        <v>Peyton Hendershot</v>
      </c>
      <c r="AX197" s="122" t="str">
        <f>IFERROR(INDEX(TableWRTECalcPts[POS RK],MATCH(TableWRTERank[[#This Row],[WR and TE COMBINED]],TableWRTECalcPts[PLAYER],0)),"")</f>
        <v>TE56</v>
      </c>
      <c r="AY197" s="122">
        <f>IFERROR(INDEX(TableWRTECalcPts[BYE],MATCH(TableWRTERank[[#This Row],[RK]],TableWRTECalcPts[RK],0)),"")</f>
        <v>7</v>
      </c>
      <c r="AZ197" s="123">
        <f>IFERROR(INDEX(TableWRTECalcPts[Custom],MATCH(TableWRTERank[[#This Row],[RK]],TableWRTECalcPts[RK],0)),"")</f>
        <v>23.209625030608795</v>
      </c>
      <c r="BA197" s="174">
        <f>IFERROR((TableWRTERank[[#This Row],[FPS]]-INDEX(TableWRTERank[FPS],MATCH(WRTEVORPCalc,TableWRTERank[RK],0)))/INDEX(TableWRTERank[FPS],MATCH(WRTEVORPCalc,TableWRTERank[RK],0)),"")</f>
        <v>-0.84452860095057947</v>
      </c>
      <c r="BC197" t="s">
        <v>223</v>
      </c>
      <c r="BD197">
        <v>196</v>
      </c>
      <c r="BE197" s="83" t="e">
        <f>RANK(TableWRTEMaster[[#This Row],[VORP]],TableWRTEMaster[VORP])+COUNTIF($BJ$2:BJ197,BJ197)-1</f>
        <v>#VALUE!</v>
      </c>
      <c r="BF197" s="115" t="str">
        <f>IFERROR(INDEX(TableWRVORP[WIDE RECEIVER],MATCH(TableWRTEMaster[[#This Row],[RK]],TableWRVORP[RK],0)),"")</f>
        <v/>
      </c>
      <c r="BG197" s="115" t="str">
        <f>_xlfn.CONCAT(TableWRTEMaster[[#This Row],[POS]],TableWRTEMaster[[#This Row],[RK]])</f>
        <v>WR196</v>
      </c>
      <c r="BH197" s="115" t="str">
        <f>IFERROR(INDEX(TableWRVORP[BYE],MATCH(TableWRTEMaster[[#This Row],[RK]],TableWRVORP[RK],0)),"")</f>
        <v/>
      </c>
      <c r="BI197" s="116" t="str">
        <f>IFERROR(INDEX(TableWRVORP[FPS],MATCH(TableWRTEMaster[[#This Row],[RK]],TableWRVORP[RK],0)),"")</f>
        <v/>
      </c>
      <c r="BJ197" s="117" t="str">
        <f>IFERROR(INDEX(TableWRVORP[VORP],MATCH(TableWRTEMaster[[#This Row],[RK]],TableWRVORP[RK],0)),"")</f>
        <v/>
      </c>
    </row>
    <row r="198" spans="15:62" x14ac:dyDescent="0.2">
      <c r="O198">
        <v>197</v>
      </c>
      <c r="P198" s="112" t="str">
        <f>IFERROR(INDEX(TableWRCalcPts[PLAYER],MATCH(TableWRVORP[[#This Row],[RK]],TableWRCalcPts[RK],0)),"")</f>
        <v/>
      </c>
      <c r="Q198" s="112" t="str">
        <f>IFERROR(INDEX(TableWRCalcPts[TM],MATCH(TableWRVORP[[#This Row],[RK]],TableWRCalcPts[RK],0)),"")</f>
        <v/>
      </c>
      <c r="R198" s="112" t="str">
        <f>IFERROR(INDEX(TableWRCalcPts[BYE],MATCH(TableWRVORP[[#This Row],[RK]],TableWRCalcPts[RK],0)),"")</f>
        <v/>
      </c>
      <c r="S198" s="113" t="str">
        <f>IFERROR(INDEX(TableWRCalcPts[Custom],MATCH(TableWRVORP[[#This Row],[RK]],TableWRCalcPts[RK],0)),"")</f>
        <v/>
      </c>
      <c r="T198" s="114" t="str">
        <f>IFERROR((TableWRVORP[[#This Row],[FPS]]-INDEX(TableWRVORP[FPS],MATCH(WRVORPCalc,TableWRVORP[RK],0)))/INDEX(TableWRVORP[FPS],MATCH(WRVORPCalc,TableWRVORP[RK],0)),"")</f>
        <v/>
      </c>
      <c r="AF198" t="s">
        <v>223</v>
      </c>
      <c r="AG198">
        <v>57</v>
      </c>
      <c r="AH198" s="83">
        <f>RANK(TableOverallMaster[[#This Row],[VORP]],TableOverallMaster[VORP])+COUNTIF($AM$2:AM198,AM198)-1</f>
        <v>137</v>
      </c>
      <c r="AI198" s="115" t="str">
        <f>IFERROR(INDEX(TableWRVORP[WIDE RECEIVER],MATCH(TableOverallMaster[[#This Row],[RK]],TableWRVORP[RK],0)),"")</f>
        <v>Demarcus Robinson</v>
      </c>
      <c r="AJ198" s="115" t="str">
        <f t="shared" si="3"/>
        <v>WR57</v>
      </c>
      <c r="AK198" s="115">
        <f>IFERROR(INDEX(TableWRVORP[BYE],MATCH(TableOverallMaster[[#This Row],[RK]],TableWRVORP[RK],0)),"")</f>
        <v>10</v>
      </c>
      <c r="AL198" s="116">
        <f>IFERROR(INDEX(TableWRVORP[FPS],MATCH(TableOverallMaster[[#This Row],[RK]],TableWRVORP[RK],0)),"")</f>
        <v>144.40266851009997</v>
      </c>
      <c r="AM198" s="117">
        <f>IFERROR(INDEX(TableWRVORP[VORP],MATCH(TableOverallMaster[[#This Row],[RK]],TableWRVORP[RK],0)),"")</f>
        <v>0</v>
      </c>
      <c r="AO198">
        <v>197</v>
      </c>
      <c r="AP198" s="118" t="str">
        <f>IFERROR(INDEX(TableOverallMaster[OVERALL PLAYER],MATCH(TableOverallRank[[#This Row],[RK]],TableOverallMaster[OVR RK],0)),"")</f>
        <v>Braelon Allen</v>
      </c>
      <c r="AQ198" s="119" t="str">
        <f>IFERROR(INDEX(TableOverallMaster[POS RK],MATCH(TableOverallRank[[#This Row],[OVERALL PLAYER]],TableOverallMaster[OVERALL PLAYER],0)),"")</f>
        <v>RB61</v>
      </c>
      <c r="AR198" s="120">
        <f>IFERROR(INDEX(TableOverallMaster[BYE],MATCH(TableOverallRank[[#This Row],[OVERALL PLAYER]],TableOverallMaster[OVERALL PLAYER],0)),"")</f>
        <v>7</v>
      </c>
      <c r="AS198" s="119">
        <f>IFERROR(INDEX(TableOverallMaster[Custom],MATCH(TableOverallRank[[#This Row],[OVERALL PLAYER]],TableOverallMaster[OVERALL PLAYER],0)),"")</f>
        <v>72.605119912371222</v>
      </c>
      <c r="AT198" s="121">
        <f>IFERROR(INDEX(TableOverallMaster[VORP],MATCH(TableOverallRank[[#This Row],[OVERALL PLAYER]],TableOverallMaster[OVERALL PLAYER],0)),"")</f>
        <v>-0.35586978729268604</v>
      </c>
      <c r="AV198">
        <v>197</v>
      </c>
      <c r="AW198" s="122" t="str">
        <f>IFERROR(INDEX(TableWRTECalcPts[PLAYER],MATCH(TableWRTERank[[#This Row],[RK]],TableWRTECalcPts[RK],0)),"")</f>
        <v>Xavier Gipson</v>
      </c>
      <c r="AX198" s="122" t="str">
        <f>IFERROR(INDEX(TableWRTECalcPts[POS RK],MATCH(TableWRTERank[[#This Row],[WR and TE COMBINED]],TableWRTECalcPts[PLAYER],0)),"")</f>
        <v>WR141</v>
      </c>
      <c r="AY198" s="122">
        <f>IFERROR(INDEX(TableWRTECalcPts[BYE],MATCH(TableWRTERank[[#This Row],[RK]],TableWRTECalcPts[RK],0)),"")</f>
        <v>7</v>
      </c>
      <c r="AZ198" s="123">
        <f>IFERROR(INDEX(TableWRTECalcPts[Custom],MATCH(TableWRTERank[[#This Row],[RK]],TableWRTECalcPts[RK],0)),"")</f>
        <v>22.511850487526392</v>
      </c>
      <c r="BA198" s="174">
        <f>IFERROR((TableWRTERank[[#This Row],[FPS]]-INDEX(TableWRTERank[FPS],MATCH(WRTEVORPCalc,TableWRTERank[RK],0)))/INDEX(TableWRTERank[FPS],MATCH(WRTEVORPCalc,TableWRTERank[RK],0)),"")</f>
        <v>-0.84920269561135153</v>
      </c>
      <c r="BC198" t="s">
        <v>223</v>
      </c>
      <c r="BD198">
        <v>197</v>
      </c>
      <c r="BE198" s="83" t="e">
        <f>RANK(TableWRTEMaster[[#This Row],[VORP]],TableWRTEMaster[VORP])+COUNTIF($BJ$2:BJ198,BJ198)-1</f>
        <v>#VALUE!</v>
      </c>
      <c r="BF198" s="115" t="str">
        <f>IFERROR(INDEX(TableWRVORP[WIDE RECEIVER],MATCH(TableWRTEMaster[[#This Row],[RK]],TableWRVORP[RK],0)),"")</f>
        <v/>
      </c>
      <c r="BG198" s="115" t="str">
        <f>_xlfn.CONCAT(TableWRTEMaster[[#This Row],[POS]],TableWRTEMaster[[#This Row],[RK]])</f>
        <v>WR197</v>
      </c>
      <c r="BH198" s="115" t="str">
        <f>IFERROR(INDEX(TableWRVORP[BYE],MATCH(TableWRTEMaster[[#This Row],[RK]],TableWRVORP[RK],0)),"")</f>
        <v/>
      </c>
      <c r="BI198" s="116" t="str">
        <f>IFERROR(INDEX(TableWRVORP[FPS],MATCH(TableWRTEMaster[[#This Row],[RK]],TableWRVORP[RK],0)),"")</f>
        <v/>
      </c>
      <c r="BJ198" s="117" t="str">
        <f>IFERROR(INDEX(TableWRVORP[VORP],MATCH(TableWRTEMaster[[#This Row],[RK]],TableWRVORP[RK],0)),"")</f>
        <v/>
      </c>
    </row>
    <row r="199" spans="15:62" x14ac:dyDescent="0.2">
      <c r="O199">
        <v>198</v>
      </c>
      <c r="P199" s="112" t="str">
        <f>IFERROR(INDEX(TableWRCalcPts[PLAYER],MATCH(TableWRVORP[[#This Row],[RK]],TableWRCalcPts[RK],0)),"")</f>
        <v/>
      </c>
      <c r="Q199" s="112" t="str">
        <f>IFERROR(INDEX(TableWRCalcPts[TM],MATCH(TableWRVORP[[#This Row],[RK]],TableWRCalcPts[RK],0)),"")</f>
        <v/>
      </c>
      <c r="R199" s="112" t="str">
        <f>IFERROR(INDEX(TableWRCalcPts[BYE],MATCH(TableWRVORP[[#This Row],[RK]],TableWRCalcPts[RK],0)),"")</f>
        <v/>
      </c>
      <c r="S199" s="113" t="str">
        <f>IFERROR(INDEX(TableWRCalcPts[Custom],MATCH(TableWRVORP[[#This Row],[RK]],TableWRCalcPts[RK],0)),"")</f>
        <v/>
      </c>
      <c r="T199" s="114" t="str">
        <f>IFERROR((TableWRVORP[[#This Row],[FPS]]-INDEX(TableWRVORP[FPS],MATCH(WRVORPCalc,TableWRVORP[RK],0)))/INDEX(TableWRVORP[FPS],MATCH(WRVORPCalc,TableWRVORP[RK],0)),"")</f>
        <v/>
      </c>
      <c r="AF199" t="s">
        <v>223</v>
      </c>
      <c r="AG199">
        <v>58</v>
      </c>
      <c r="AH199" s="83">
        <f>RANK(TableOverallMaster[[#This Row],[VORP]],TableOverallMaster[VORP])+COUNTIF($AM$2:AM199,AM199)-1</f>
        <v>142</v>
      </c>
      <c r="AI199" s="115" t="str">
        <f>IFERROR(INDEX(TableWRVORP[WIDE RECEIVER],MATCH(TableOverallMaster[[#This Row],[RK]],TableWRVORP[RK],0)),"")</f>
        <v>Jahan Dotson</v>
      </c>
      <c r="AJ199" s="115" t="str">
        <f t="shared" si="3"/>
        <v>WR58</v>
      </c>
      <c r="AK199" s="115">
        <f>IFERROR(INDEX(TableWRVORP[BYE],MATCH(TableOverallMaster[[#This Row],[RK]],TableWRVORP[RK],0)),"")</f>
        <v>14</v>
      </c>
      <c r="AL199" s="116">
        <f>IFERROR(INDEX(TableWRVORP[FPS],MATCH(TableOverallMaster[[#This Row],[RK]],TableWRVORP[RK],0)),"")</f>
        <v>139.82779951274537</v>
      </c>
      <c r="AM199" s="117">
        <f>IFERROR(INDEX(TableWRVORP[VORP],MATCH(TableOverallMaster[[#This Row],[RK]],TableWRVORP[RK],0)),"")</f>
        <v>-3.1681332793615367E-2</v>
      </c>
      <c r="AO199">
        <v>198</v>
      </c>
      <c r="AP199" s="118" t="str">
        <f>IFERROR(INDEX(TableOverallMaster[OVERALL PLAYER],MATCH(TableOverallRank[[#This Row],[RK]],TableOverallMaster[OVR RK],0)),"")</f>
        <v>Kenneth Gainwell</v>
      </c>
      <c r="AQ199" s="119" t="str">
        <f>IFERROR(INDEX(TableOverallMaster[POS RK],MATCH(TableOverallRank[[#This Row],[OVERALL PLAYER]],TableOverallMaster[OVERALL PLAYER],0)),"")</f>
        <v>RB62</v>
      </c>
      <c r="AR199" s="120">
        <f>IFERROR(INDEX(TableOverallMaster[BYE],MATCH(TableOverallRank[[#This Row],[OVERALL PLAYER]],TableOverallMaster[OVERALL PLAYER],0)),"")</f>
        <v>10</v>
      </c>
      <c r="AS199" s="119">
        <f>IFERROR(INDEX(TableOverallMaster[Custom],MATCH(TableOverallRank[[#This Row],[OVERALL PLAYER]],TableOverallMaster[OVERALL PLAYER],0)),"")</f>
        <v>70.970163755904011</v>
      </c>
      <c r="AT199" s="121">
        <f>IFERROR(INDEX(TableOverallMaster[VORP],MATCH(TableOverallRank[[#This Row],[OVERALL PLAYER]],TableOverallMaster[OVERALL PLAYER],0)),"")</f>
        <v>-0.3703746136479541</v>
      </c>
      <c r="AV199">
        <v>198</v>
      </c>
      <c r="AW199" s="122" t="str">
        <f>IFERROR(INDEX(TableWRTECalcPts[PLAYER],MATCH(TableWRTERank[[#This Row],[RK]],TableWRTECalcPts[RK],0)),"")</f>
        <v>Jason Brownlee</v>
      </c>
      <c r="AX199" s="122" t="str">
        <f>IFERROR(INDEX(TableWRTECalcPts[POS RK],MATCH(TableWRTERank[[#This Row],[WR and TE COMBINED]],TableWRTECalcPts[PLAYER],0)),"")</f>
        <v>WR142</v>
      </c>
      <c r="AY199" s="122">
        <f>IFERROR(INDEX(TableWRTECalcPts[BYE],MATCH(TableWRTERank[[#This Row],[RK]],TableWRTECalcPts[RK],0)),"")</f>
        <v>7</v>
      </c>
      <c r="AZ199" s="123">
        <f>IFERROR(INDEX(TableWRTECalcPts[Custom],MATCH(TableWRTERank[[#This Row],[RK]],TableWRTECalcPts[RK],0)),"")</f>
        <v>22.503602721599997</v>
      </c>
      <c r="BA199" s="174">
        <f>IFERROR((TableWRTERank[[#This Row],[FPS]]-INDEX(TableWRTERank[FPS],MATCH(WRTEVORPCalc,TableWRTERank[RK],0)))/INDEX(TableWRTERank[FPS],MATCH(WRTEVORPCalc,TableWRTERank[RK],0)),"")</f>
        <v>-0.84925794388468279</v>
      </c>
      <c r="BC199" t="s">
        <v>223</v>
      </c>
      <c r="BD199">
        <v>198</v>
      </c>
      <c r="BE199" s="83" t="e">
        <f>RANK(TableWRTEMaster[[#This Row],[VORP]],TableWRTEMaster[VORP])+COUNTIF($BJ$2:BJ199,BJ199)-1</f>
        <v>#VALUE!</v>
      </c>
      <c r="BF199" s="115" t="str">
        <f>IFERROR(INDEX(TableWRVORP[WIDE RECEIVER],MATCH(TableWRTEMaster[[#This Row],[RK]],TableWRVORP[RK],0)),"")</f>
        <v/>
      </c>
      <c r="BG199" s="115" t="str">
        <f>_xlfn.CONCAT(TableWRTEMaster[[#This Row],[POS]],TableWRTEMaster[[#This Row],[RK]])</f>
        <v>WR198</v>
      </c>
      <c r="BH199" s="115" t="str">
        <f>IFERROR(INDEX(TableWRVORP[BYE],MATCH(TableWRTEMaster[[#This Row],[RK]],TableWRVORP[RK],0)),"")</f>
        <v/>
      </c>
      <c r="BI199" s="116" t="str">
        <f>IFERROR(INDEX(TableWRVORP[FPS],MATCH(TableWRTEMaster[[#This Row],[RK]],TableWRVORP[RK],0)),"")</f>
        <v/>
      </c>
      <c r="BJ199" s="117" t="str">
        <f>IFERROR(INDEX(TableWRVORP[VORP],MATCH(TableWRTEMaster[[#This Row],[RK]],TableWRVORP[RK],0)),"")</f>
        <v/>
      </c>
    </row>
    <row r="200" spans="15:62" x14ac:dyDescent="0.2">
      <c r="O200">
        <v>199</v>
      </c>
      <c r="P200" s="112" t="str">
        <f>IFERROR(INDEX(TableWRCalcPts[PLAYER],MATCH(TableWRVORP[[#This Row],[RK]],TableWRCalcPts[RK],0)),"")</f>
        <v/>
      </c>
      <c r="Q200" s="112" t="str">
        <f>IFERROR(INDEX(TableWRCalcPts[TM],MATCH(TableWRVORP[[#This Row],[RK]],TableWRCalcPts[RK],0)),"")</f>
        <v/>
      </c>
      <c r="R200" s="112" t="str">
        <f>IFERROR(INDEX(TableWRCalcPts[BYE],MATCH(TableWRVORP[[#This Row],[RK]],TableWRCalcPts[RK],0)),"")</f>
        <v/>
      </c>
      <c r="S200" s="113" t="str">
        <f>IFERROR(INDEX(TableWRCalcPts[Custom],MATCH(TableWRVORP[[#This Row],[RK]],TableWRCalcPts[RK],0)),"")</f>
        <v/>
      </c>
      <c r="T200" s="114" t="str">
        <f>IFERROR((TableWRVORP[[#This Row],[FPS]]-INDEX(TableWRVORP[FPS],MATCH(WRVORPCalc,TableWRVORP[RK],0)))/INDEX(TableWRVORP[FPS],MATCH(WRVORPCalc,TableWRVORP[RK],0)),"")</f>
        <v/>
      </c>
      <c r="AF200" t="s">
        <v>223</v>
      </c>
      <c r="AG200">
        <v>59</v>
      </c>
      <c r="AH200" s="83">
        <f>RANK(TableOverallMaster[[#This Row],[VORP]],TableOverallMaster[VORP])+COUNTIF($AM$2:AM200,AM200)-1</f>
        <v>143</v>
      </c>
      <c r="AI200" s="115" t="str">
        <f>IFERROR(INDEX(TableWRVORP[WIDE RECEIVER],MATCH(TableOverallMaster[[#This Row],[RK]],TableWRVORP[RK],0)),"")</f>
        <v>Darnell Mooney</v>
      </c>
      <c r="AJ200" s="115" t="str">
        <f t="shared" si="3"/>
        <v>WR59</v>
      </c>
      <c r="AK200" s="115">
        <f>IFERROR(INDEX(TableWRVORP[BYE],MATCH(TableOverallMaster[[#This Row],[RK]],TableWRVORP[RK],0)),"")</f>
        <v>11</v>
      </c>
      <c r="AL200" s="116">
        <f>IFERROR(INDEX(TableWRVORP[FPS],MATCH(TableOverallMaster[[#This Row],[RK]],TableWRVORP[RK],0)),"")</f>
        <v>138.39669965721598</v>
      </c>
      <c r="AM200" s="117">
        <f>IFERROR(INDEX(TableWRVORP[VORP],MATCH(TableOverallMaster[[#This Row],[RK]],TableWRVORP[RK],0)),"")</f>
        <v>-4.1591813467518571E-2</v>
      </c>
      <c r="AO200">
        <v>199</v>
      </c>
      <c r="AP200" s="118" t="str">
        <f>IFERROR(INDEX(TableOverallMaster[OVERALL PLAYER],MATCH(TableOverallRank[[#This Row],[RK]],TableOverallMaster[OVR RK],0)),"")</f>
        <v>Tyler Conklin</v>
      </c>
      <c r="AQ200" s="119" t="str">
        <f>IFERROR(INDEX(TableOverallMaster[POS RK],MATCH(TableOverallRank[[#This Row],[OVERALL PLAYER]],TableOverallMaster[OVERALL PLAYER],0)),"")</f>
        <v>TE26</v>
      </c>
      <c r="AR200" s="120">
        <f>IFERROR(INDEX(TableOverallMaster[BYE],MATCH(TableOverallRank[[#This Row],[OVERALL PLAYER]],TableOverallMaster[OVERALL PLAYER],0)),"")</f>
        <v>7</v>
      </c>
      <c r="AS200" s="119">
        <f>IFERROR(INDEX(TableOverallMaster[Custom],MATCH(TableOverallRank[[#This Row],[OVERALL PLAYER]],TableOverallMaster[OVERALL PLAYER],0)),"")</f>
        <v>82.599242709983983</v>
      </c>
      <c r="AT200" s="121">
        <f>IFERROR(INDEX(TableOverallMaster[VORP],MATCH(TableOverallRank[[#This Row],[OVERALL PLAYER]],TableOverallMaster[OVERALL PLAYER],0)),"")</f>
        <v>-0.37111599979117865</v>
      </c>
      <c r="AV200">
        <v>199</v>
      </c>
      <c r="AW200" s="122" t="str">
        <f>IFERROR(INDEX(TableWRTECalcPts[PLAYER],MATCH(TableWRTERank[[#This Row],[RK]],TableWRTECalcPts[RK],0)),"")</f>
        <v>Brenton Strange</v>
      </c>
      <c r="AX200" s="122" t="str">
        <f>IFERROR(INDEX(TableWRTECalcPts[POS RK],MATCH(TableWRTERank[[#This Row],[WR and TE COMBINED]],TableWRTECalcPts[PLAYER],0)),"")</f>
        <v>TE57</v>
      </c>
      <c r="AY200" s="122">
        <f>IFERROR(INDEX(TableWRTECalcPts[BYE],MATCH(TableWRTERank[[#This Row],[RK]],TableWRTECalcPts[RK],0)),"")</f>
        <v>9</v>
      </c>
      <c r="AZ200" s="123">
        <f>IFERROR(INDEX(TableWRTECalcPts[Custom],MATCH(TableWRTERank[[#This Row],[RK]],TableWRTECalcPts[RK],0)),"")</f>
        <v>22.138437291515991</v>
      </c>
      <c r="BA200" s="174">
        <f>IFERROR((TableWRTERank[[#This Row],[FPS]]-INDEX(TableWRTERank[FPS],MATCH(WRTEVORPCalc,TableWRTERank[RK],0)))/INDEX(TableWRTERank[FPS],MATCH(WRTEVORPCalc,TableWRTERank[RK],0)),"")</f>
        <v>-0.8517040316704515</v>
      </c>
      <c r="BC200" t="s">
        <v>223</v>
      </c>
      <c r="BD200">
        <v>199</v>
      </c>
      <c r="BE200" s="83" t="e">
        <f>RANK(TableWRTEMaster[[#This Row],[VORP]],TableWRTEMaster[VORP])+COUNTIF($BJ$2:BJ200,BJ200)-1</f>
        <v>#VALUE!</v>
      </c>
      <c r="BF200" s="115" t="str">
        <f>IFERROR(INDEX(TableWRVORP[WIDE RECEIVER],MATCH(TableWRTEMaster[[#This Row],[RK]],TableWRVORP[RK],0)),"")</f>
        <v/>
      </c>
      <c r="BG200" s="115" t="str">
        <f>_xlfn.CONCAT(TableWRTEMaster[[#This Row],[POS]],TableWRTEMaster[[#This Row],[RK]])</f>
        <v>WR199</v>
      </c>
      <c r="BH200" s="115" t="str">
        <f>IFERROR(INDEX(TableWRVORP[BYE],MATCH(TableWRTEMaster[[#This Row],[RK]],TableWRVORP[RK],0)),"")</f>
        <v/>
      </c>
      <c r="BI200" s="116" t="str">
        <f>IFERROR(INDEX(TableWRVORP[FPS],MATCH(TableWRTEMaster[[#This Row],[RK]],TableWRVORP[RK],0)),"")</f>
        <v/>
      </c>
      <c r="BJ200" s="117" t="str">
        <f>IFERROR(INDEX(TableWRVORP[VORP],MATCH(TableWRTEMaster[[#This Row],[RK]],TableWRVORP[RK],0)),"")</f>
        <v/>
      </c>
    </row>
    <row r="201" spans="15:62" x14ac:dyDescent="0.2">
      <c r="O201">
        <v>200</v>
      </c>
      <c r="P201" s="112" t="str">
        <f>IFERROR(INDEX(TableWRCalcPts[PLAYER],MATCH(TableWRVORP[[#This Row],[RK]],TableWRCalcPts[RK],0)),"")</f>
        <v/>
      </c>
      <c r="Q201" s="112" t="str">
        <f>IFERROR(INDEX(TableWRCalcPts[TM],MATCH(TableWRVORP[[#This Row],[RK]],TableWRCalcPts[RK],0)),"")</f>
        <v/>
      </c>
      <c r="R201" s="112" t="str">
        <f>IFERROR(INDEX(TableWRCalcPts[BYE],MATCH(TableWRVORP[[#This Row],[RK]],TableWRCalcPts[RK],0)),"")</f>
        <v/>
      </c>
      <c r="S201" s="113" t="str">
        <f>IFERROR(INDEX(TableWRCalcPts[Custom],MATCH(TableWRVORP[[#This Row],[RK]],TableWRCalcPts[RK],0)),"")</f>
        <v/>
      </c>
      <c r="T201" s="114" t="str">
        <f>IFERROR((TableWRVORP[[#This Row],[FPS]]-INDEX(TableWRVORP[FPS],MATCH(WRVORPCalc,TableWRVORP[RK],0)))/INDEX(TableWRVORP[FPS],MATCH(WRVORPCalc,TableWRVORP[RK],0)),"")</f>
        <v/>
      </c>
      <c r="AF201" t="s">
        <v>223</v>
      </c>
      <c r="AG201">
        <v>60</v>
      </c>
      <c r="AH201" s="83">
        <f>RANK(TableOverallMaster[[#This Row],[VORP]],TableOverallMaster[VORP])+COUNTIF($AM$2:AM201,AM201)-1</f>
        <v>145</v>
      </c>
      <c r="AI201" s="115" t="str">
        <f>IFERROR(INDEX(TableWRVORP[WIDE RECEIVER],MATCH(TableOverallMaster[[#This Row],[RK]],TableWRVORP[RK],0)),"")</f>
        <v>Khalil Shakir</v>
      </c>
      <c r="AJ201" s="115" t="str">
        <f t="shared" si="3"/>
        <v>WR60</v>
      </c>
      <c r="AK201" s="115">
        <f>IFERROR(INDEX(TableWRVORP[BYE],MATCH(TableOverallMaster[[#This Row],[RK]],TableWRVORP[RK],0)),"")</f>
        <v>13</v>
      </c>
      <c r="AL201" s="116">
        <f>IFERROR(INDEX(TableWRVORP[FPS],MATCH(TableOverallMaster[[#This Row],[RK]],TableWRVORP[RK],0)),"")</f>
        <v>138.1168361067264</v>
      </c>
      <c r="AM201" s="117">
        <f>IFERROR(INDEX(TableWRVORP[VORP],MATCH(TableOverallMaster[[#This Row],[RK]],TableWRVORP[RK],0)),"")</f>
        <v>-4.3529890882410702E-2</v>
      </c>
      <c r="AO201">
        <v>200</v>
      </c>
      <c r="AP201" s="118" t="str">
        <f>IFERROR(INDEX(TableOverallMaster[OVERALL PLAYER],MATCH(TableOverallRank[[#This Row],[RK]],TableOverallMaster[OVR RK],0)),"")</f>
        <v>Rondale Moore</v>
      </c>
      <c r="AQ201" s="119" t="str">
        <f>IFERROR(INDEX(TableOverallMaster[POS RK],MATCH(TableOverallRank[[#This Row],[OVERALL PLAYER]],TableOverallMaster[OVERALL PLAYER],0)),"")</f>
        <v>WR81</v>
      </c>
      <c r="AR201" s="120">
        <f>IFERROR(INDEX(TableOverallMaster[BYE],MATCH(TableOverallRank[[#This Row],[OVERALL PLAYER]],TableOverallMaster[OVERALL PLAYER],0)),"")</f>
        <v>11</v>
      </c>
      <c r="AS201" s="119">
        <f>IFERROR(INDEX(TableOverallMaster[Custom],MATCH(TableOverallRank[[#This Row],[OVERALL PLAYER]],TableOverallMaster[OVERALL PLAYER],0)),"")</f>
        <v>90.224337624220794</v>
      </c>
      <c r="AT201" s="121">
        <f>IFERROR(INDEX(TableOverallMaster[VORP],MATCH(TableOverallRank[[#This Row],[OVERALL PLAYER]],TableOverallMaster[OVERALL PLAYER],0)),"")</f>
        <v>-0.37518926377797357</v>
      </c>
      <c r="AV201">
        <v>200</v>
      </c>
      <c r="AW201" s="122" t="str">
        <f>IFERROR(INDEX(TableWRTECalcPts[PLAYER],MATCH(TableWRTERank[[#This Row],[RK]],TableWRTECalcPts[RK],0)),"")</f>
        <v>Laviska Shenault</v>
      </c>
      <c r="AX201" s="122" t="str">
        <f>IFERROR(INDEX(TableWRTECalcPts[POS RK],MATCH(TableWRTERank[[#This Row],[WR and TE COMBINED]],TableWRTECalcPts[PLAYER],0)),"")</f>
        <v>WR143</v>
      </c>
      <c r="AY201" s="122">
        <f>IFERROR(INDEX(TableWRTECalcPts[BYE],MATCH(TableWRTERank[[#This Row],[RK]],TableWRTECalcPts[RK],0)),"")</f>
        <v>5</v>
      </c>
      <c r="AZ201" s="123">
        <f>IFERROR(INDEX(TableWRTECalcPts[Custom],MATCH(TableWRTERank[[#This Row],[RK]],TableWRTECalcPts[RK],0)),"")</f>
        <v>22.017378925268996</v>
      </c>
      <c r="BA201" s="174">
        <f>IFERROR((TableWRTERank[[#This Row],[FPS]]-INDEX(TableWRTERank[FPS],MATCH(WRTEVORPCalc,TableWRTERank[RK],0)))/INDEX(TableWRTERank[FPS],MATCH(WRTEVORPCalc,TableWRTERank[RK],0)),"")</f>
        <v>-0.85251495013820944</v>
      </c>
      <c r="BC201" t="s">
        <v>223</v>
      </c>
      <c r="BD201">
        <v>200</v>
      </c>
      <c r="BE201" s="83" t="e">
        <f>RANK(TableWRTEMaster[[#This Row],[VORP]],TableWRTEMaster[VORP])+COUNTIF($BJ$2:BJ201,BJ201)-1</f>
        <v>#VALUE!</v>
      </c>
      <c r="BF201" s="115" t="str">
        <f>IFERROR(INDEX(TableWRVORP[WIDE RECEIVER],MATCH(TableWRTEMaster[[#This Row],[RK]],TableWRVORP[RK],0)),"")</f>
        <v/>
      </c>
      <c r="BG201" s="115" t="str">
        <f>_xlfn.CONCAT(TableWRTEMaster[[#This Row],[POS]],TableWRTEMaster[[#This Row],[RK]])</f>
        <v>WR200</v>
      </c>
      <c r="BH201" s="115" t="str">
        <f>IFERROR(INDEX(TableWRVORP[BYE],MATCH(TableWRTEMaster[[#This Row],[RK]],TableWRVORP[RK],0)),"")</f>
        <v/>
      </c>
      <c r="BI201" s="116" t="str">
        <f>IFERROR(INDEX(TableWRVORP[FPS],MATCH(TableWRTEMaster[[#This Row],[RK]],TableWRVORP[RK],0)),"")</f>
        <v/>
      </c>
      <c r="BJ201" s="117" t="str">
        <f>IFERROR(INDEX(TableWRVORP[VORP],MATCH(TableWRTEMaster[[#This Row],[RK]],TableWRVORP[RK],0)),"")</f>
        <v/>
      </c>
    </row>
    <row r="202" spans="15:62" x14ac:dyDescent="0.2">
      <c r="O202">
        <v>201</v>
      </c>
      <c r="P202" s="112" t="str">
        <f>IFERROR(INDEX(TableWRCalcPts[PLAYER],MATCH(TableWRVORP[[#This Row],[RK]],TableWRCalcPts[RK],0)),"")</f>
        <v/>
      </c>
      <c r="Q202" s="112" t="str">
        <f>IFERROR(INDEX(TableWRCalcPts[TM],MATCH(TableWRVORP[[#This Row],[RK]],TableWRCalcPts[RK],0)),"")</f>
        <v/>
      </c>
      <c r="R202" s="112" t="str">
        <f>IFERROR(INDEX(TableWRCalcPts[BYE],MATCH(TableWRVORP[[#This Row],[RK]],TableWRCalcPts[RK],0)),"")</f>
        <v/>
      </c>
      <c r="S202" s="113" t="str">
        <f>IFERROR(INDEX(TableWRCalcPts[Custom],MATCH(TableWRVORP[[#This Row],[RK]],TableWRCalcPts[RK],0)),"")</f>
        <v/>
      </c>
      <c r="T202" s="114" t="str">
        <f>IFERROR((TableWRVORP[[#This Row],[FPS]]-INDEX(TableWRVORP[FPS],MATCH(WRVORPCalc,TableWRVORP[RK],0)))/INDEX(TableWRVORP[FPS],MATCH(WRVORPCalc,TableWRVORP[RK],0)),"")</f>
        <v/>
      </c>
      <c r="AF202" t="s">
        <v>223</v>
      </c>
      <c r="AG202">
        <v>61</v>
      </c>
      <c r="AH202" s="83">
        <f>RANK(TableOverallMaster[[#This Row],[VORP]],TableOverallMaster[VORP])+COUNTIF($AM$2:AM202,AM202)-1</f>
        <v>146</v>
      </c>
      <c r="AI202" s="115" t="str">
        <f>IFERROR(INDEX(TableWRVORP[WIDE RECEIVER],MATCH(TableOverallMaster[[#This Row],[RK]],TableWRVORP[RK],0)),"")</f>
        <v>Rashid Shaheed</v>
      </c>
      <c r="AJ202" s="115" t="str">
        <f t="shared" si="3"/>
        <v>WR61</v>
      </c>
      <c r="AK202" s="115">
        <f>IFERROR(INDEX(TableWRVORP[BYE],MATCH(TableOverallMaster[[#This Row],[RK]],TableWRVORP[RK],0)),"")</f>
        <v>11</v>
      </c>
      <c r="AL202" s="116">
        <f>IFERROR(INDEX(TableWRVORP[FPS],MATCH(TableOverallMaster[[#This Row],[RK]],TableWRVORP[RK],0)),"")</f>
        <v>137.90885669345585</v>
      </c>
      <c r="AM202" s="117">
        <f>IFERROR(INDEX(TableWRVORP[VORP],MATCH(TableOverallMaster[[#This Row],[RK]],TableWRVORP[RK],0)),"")</f>
        <v>-4.497016491208352E-2</v>
      </c>
      <c r="AO202">
        <v>201</v>
      </c>
      <c r="AP202" s="118" t="str">
        <f>IFERROR(INDEX(TableOverallMaster[OVERALL PLAYER],MATCH(TableOverallRank[[#This Row],[RK]],TableOverallMaster[OVR RK],0)),"")</f>
        <v>Troy Franklin</v>
      </c>
      <c r="AQ202" s="119" t="str">
        <f>IFERROR(INDEX(TableOverallMaster[POS RK],MATCH(TableOverallRank[[#This Row],[OVERALL PLAYER]],TableOverallMaster[OVERALL PLAYER],0)),"")</f>
        <v>WR82</v>
      </c>
      <c r="AR202" s="120">
        <f>IFERROR(INDEX(TableOverallMaster[BYE],MATCH(TableOverallRank[[#This Row],[OVERALL PLAYER]],TableOverallMaster[OVERALL PLAYER],0)),"")</f>
        <v>9</v>
      </c>
      <c r="AS202" s="119">
        <f>IFERROR(INDEX(TableOverallMaster[Custom],MATCH(TableOverallRank[[#This Row],[OVERALL PLAYER]],TableOverallMaster[OVERALL PLAYER],0)),"")</f>
        <v>90.119784211379994</v>
      </c>
      <c r="AT202" s="121">
        <f>IFERROR(INDEX(TableOverallMaster[VORP],MATCH(TableOverallRank[[#This Row],[OVERALL PLAYER]],TableOverallMaster[OVERALL PLAYER],0)),"")</f>
        <v>-0.37591330450325622</v>
      </c>
      <c r="AV202">
        <v>201</v>
      </c>
      <c r="AW202" s="122" t="str">
        <f>IFERROR(INDEX(TableWRTECalcPts[PLAYER],MATCH(TableWRTERank[[#This Row],[RK]],TableWRTECalcPts[RK],0)),"")</f>
        <v>Josh Whyle</v>
      </c>
      <c r="AX202" s="122" t="str">
        <f>IFERROR(INDEX(TableWRTECalcPts[POS RK],MATCH(TableWRTERank[[#This Row],[WR and TE COMBINED]],TableWRTECalcPts[PLAYER],0)),"")</f>
        <v>TE58</v>
      </c>
      <c r="AY202" s="122">
        <f>IFERROR(INDEX(TableWRTECalcPts[BYE],MATCH(TableWRTERank[[#This Row],[RK]],TableWRTECalcPts[RK],0)),"")</f>
        <v>7</v>
      </c>
      <c r="AZ202" s="123">
        <f>IFERROR(INDEX(TableWRTECalcPts[Custom],MATCH(TableWRTERank[[#This Row],[RK]],TableWRTECalcPts[RK],0)),"")</f>
        <v>21.713238746198993</v>
      </c>
      <c r="BA202" s="174">
        <f>IFERROR((TableWRTERank[[#This Row],[FPS]]-INDEX(TableWRTERank[FPS],MATCH(WRTEVORPCalc,TableWRTERank[RK],0)))/INDEX(TableWRTERank[FPS],MATCH(WRTEVORPCalc,TableWRTERank[RK],0)),"")</f>
        <v>-0.85455225574244886</v>
      </c>
      <c r="BC202" t="s">
        <v>10</v>
      </c>
      <c r="BD202">
        <v>1</v>
      </c>
      <c r="BE202" s="83">
        <f>RANK(TableWRTEMaster[[#This Row],[VORP]],TableWRTEMaster[VORP])+COUNTIF($BJ$2:BJ202,BJ202)-1</f>
        <v>11</v>
      </c>
      <c r="BF202" s="115" t="str">
        <f>IFERROR(INDEX(TableTEVORP[TIGHT END],MATCH(TableWRTEMaster[[#This Row],[RK]],TableTEVORP[RK],0)),"")</f>
        <v>Travis Kelce</v>
      </c>
      <c r="BG202" s="115" t="str">
        <f>_xlfn.CONCAT(TableWRTEMaster[[#This Row],[POS]],TableWRTEMaster[[#This Row],[RK]])</f>
        <v>TE1</v>
      </c>
      <c r="BH202" s="115">
        <f>IFERROR(INDEX(TableTEVORP[BYE],MATCH(TableWRTEMaster[[#This Row],[RK]],TableTEVORP[RK],0)),"")</f>
        <v>10</v>
      </c>
      <c r="BI202" s="116">
        <f>IFERROR(INDEX(TableTEVORP[FPS],MATCH(TableWRTEMaster[[#This Row],[RK]],TableTEVORP[RK],0)),"")</f>
        <v>190.78049731103991</v>
      </c>
      <c r="BJ202" s="117">
        <f>IFERROR(INDEX(TableTEVORP[VORP],MATCH(TableWRTEMaster[[#This Row],[RK]],TableTEVORP[RK],0)),"")</f>
        <v>0.45254119014208488</v>
      </c>
    </row>
    <row r="203" spans="15:62" x14ac:dyDescent="0.2">
      <c r="O203">
        <v>202</v>
      </c>
      <c r="P203" s="112" t="str">
        <f>IFERROR(INDEX(TableWRCalcPts[PLAYER],MATCH(TableWRVORP[[#This Row],[RK]],TableWRCalcPts[RK],0)),"")</f>
        <v/>
      </c>
      <c r="Q203" s="112" t="str">
        <f>IFERROR(INDEX(TableWRCalcPts[TM],MATCH(TableWRVORP[[#This Row],[RK]],TableWRCalcPts[RK],0)),"")</f>
        <v/>
      </c>
      <c r="R203" s="112" t="str">
        <f>IFERROR(INDEX(TableWRCalcPts[BYE],MATCH(TableWRVORP[[#This Row],[RK]],TableWRCalcPts[RK],0)),"")</f>
        <v/>
      </c>
      <c r="S203" s="113" t="str">
        <f>IFERROR(INDEX(TableWRCalcPts[Custom],MATCH(TableWRVORP[[#This Row],[RK]],TableWRCalcPts[RK],0)),"")</f>
        <v/>
      </c>
      <c r="T203" s="114" t="str">
        <f>IFERROR((TableWRVORP[[#This Row],[FPS]]-INDEX(TableWRVORP[FPS],MATCH(WRVORPCalc,TableWRVORP[RK],0)))/INDEX(TableWRVORP[FPS],MATCH(WRVORPCalc,TableWRVORP[RK],0)),"")</f>
        <v/>
      </c>
      <c r="AF203" t="s">
        <v>223</v>
      </c>
      <c r="AG203">
        <v>62</v>
      </c>
      <c r="AH203" s="83">
        <f>RANK(TableOverallMaster[[#This Row],[VORP]],TableOverallMaster[VORP])+COUNTIF($AM$2:AM203,AM203)-1</f>
        <v>148</v>
      </c>
      <c r="AI203" s="115" t="str">
        <f>IFERROR(INDEX(TableWRVORP[WIDE RECEIVER],MATCH(TableOverallMaster[[#This Row],[RK]],TableWRVORP[RK],0)),"")</f>
        <v>Romeo Doubs</v>
      </c>
      <c r="AJ203" s="115" t="str">
        <f t="shared" si="3"/>
        <v>WR62</v>
      </c>
      <c r="AK203" s="115">
        <f>IFERROR(INDEX(TableWRVORP[BYE],MATCH(TableOverallMaster[[#This Row],[RK]],TableWRVORP[RK],0)),"")</f>
        <v>6</v>
      </c>
      <c r="AL203" s="116">
        <f>IFERROR(INDEX(TableWRVORP[FPS],MATCH(TableOverallMaster[[#This Row],[RK]],TableWRVORP[RK],0)),"")</f>
        <v>136.87196386617603</v>
      </c>
      <c r="AM203" s="117">
        <f>IFERROR(INDEX(TableWRVORP[VORP],MATCH(TableOverallMaster[[#This Row],[RK]],TableWRVORP[RK],0)),"")</f>
        <v>-5.2150730465186791E-2</v>
      </c>
      <c r="AO203">
        <v>202</v>
      </c>
      <c r="AP203" s="118" t="str">
        <f>IFERROR(INDEX(TableOverallMaster[OVERALL PLAYER],MATCH(TableOverallRank[[#This Row],[RK]],TableOverallMaster[OVR RK],0)),"")</f>
        <v>Clyde Edwards-Helaire</v>
      </c>
      <c r="AQ203" s="119" t="str">
        <f>IFERROR(INDEX(TableOverallMaster[POS RK],MATCH(TableOverallRank[[#This Row],[OVERALL PLAYER]],TableOverallMaster[OVERALL PLAYER],0)),"")</f>
        <v>RB63</v>
      </c>
      <c r="AR203" s="120">
        <f>IFERROR(INDEX(TableOverallMaster[BYE],MATCH(TableOverallRank[[#This Row],[OVERALL PLAYER]],TableOverallMaster[OVERALL PLAYER],0)),"")</f>
        <v>10</v>
      </c>
      <c r="AS203" s="119">
        <f>IFERROR(INDEX(TableOverallMaster[Custom],MATCH(TableOverallRank[[#This Row],[OVERALL PLAYER]],TableOverallMaster[OVERALL PLAYER],0)),"")</f>
        <v>70.102759408639983</v>
      </c>
      <c r="AT203" s="121">
        <f>IFERROR(INDEX(TableOverallMaster[VORP],MATCH(TableOverallRank[[#This Row],[OVERALL PLAYER]],TableOverallMaster[OVERALL PLAYER],0)),"")</f>
        <v>-0.37806995727359316</v>
      </c>
      <c r="AV203">
        <v>202</v>
      </c>
      <c r="AW203" s="122" t="str">
        <f>IFERROR(INDEX(TableWRTECalcPts[PLAYER],MATCH(TableWRTERank[[#This Row],[RK]],TableWRTECalcPts[RK],0)),"")</f>
        <v>Antoine Green</v>
      </c>
      <c r="AX203" s="122" t="str">
        <f>IFERROR(INDEX(TableWRTECalcPts[POS RK],MATCH(TableWRTERank[[#This Row],[WR and TE COMBINED]],TableWRTECalcPts[PLAYER],0)),"")</f>
        <v>WR144</v>
      </c>
      <c r="AY203" s="122">
        <f>IFERROR(INDEX(TableWRTECalcPts[BYE],MATCH(TableWRTERank[[#This Row],[RK]],TableWRTECalcPts[RK],0)),"")</f>
        <v>9</v>
      </c>
      <c r="AZ203" s="123">
        <f>IFERROR(INDEX(TableWRTECalcPts[Custom],MATCH(TableWRTERank[[#This Row],[RK]],TableWRTECalcPts[RK],0)),"")</f>
        <v>21.58698695579999</v>
      </c>
      <c r="BA203" s="174">
        <f>IFERROR((TableWRTERank[[#This Row],[FPS]]-INDEX(TableWRTERank[FPS],MATCH(WRTEVORPCalc,TableWRTERank[RK],0)))/INDEX(TableWRTERank[FPS],MATCH(WRTEVORPCalc,TableWRTERank[RK],0)),"")</f>
        <v>-0.85539796274805291</v>
      </c>
      <c r="BC203" t="s">
        <v>10</v>
      </c>
      <c r="BD203">
        <v>2</v>
      </c>
      <c r="BE203" s="83">
        <f>RANK(TableWRTEMaster[[#This Row],[VORP]],TableWRTEMaster[VORP])+COUNTIF($BJ$2:BJ203,BJ203)-1</f>
        <v>14</v>
      </c>
      <c r="BF203" s="115" t="str">
        <f>IFERROR(INDEX(TableTEVORP[TIGHT END],MATCH(TableWRTEMaster[[#This Row],[RK]],TableTEVORP[RK],0)),"")</f>
        <v>Sam LaPorta</v>
      </c>
      <c r="BG203" s="115" t="str">
        <f>_xlfn.CONCAT(TableWRTEMaster[[#This Row],[POS]],TableWRTEMaster[[#This Row],[RK]])</f>
        <v>TE2</v>
      </c>
      <c r="BH203" s="115">
        <f>IFERROR(INDEX(TableTEVORP[BYE],MATCH(TableWRTEMaster[[#This Row],[RK]],TableTEVORP[RK],0)),"")</f>
        <v>9</v>
      </c>
      <c r="BI203" s="116">
        <f>IFERROR(INDEX(TableTEVORP[FPS],MATCH(TableWRTEMaster[[#This Row],[RK]],TableTEVORP[RK],0)),"")</f>
        <v>183.65560471586994</v>
      </c>
      <c r="BJ203" s="117">
        <f>IFERROR(INDEX(TableTEVORP[VORP],MATCH(TableWRTEMaster[[#This Row],[RK]],TableTEVORP[RK],0)),"")</f>
        <v>0.39829455531467983</v>
      </c>
    </row>
    <row r="204" spans="15:62" x14ac:dyDescent="0.2">
      <c r="O204">
        <v>203</v>
      </c>
      <c r="P204" s="112" t="str">
        <f>IFERROR(INDEX(TableWRCalcPts[PLAYER],MATCH(TableWRVORP[[#This Row],[RK]],TableWRCalcPts[RK],0)),"")</f>
        <v/>
      </c>
      <c r="Q204" s="112" t="str">
        <f>IFERROR(INDEX(TableWRCalcPts[TM],MATCH(TableWRVORP[[#This Row],[RK]],TableWRCalcPts[RK],0)),"")</f>
        <v/>
      </c>
      <c r="R204" s="112" t="str">
        <f>IFERROR(INDEX(TableWRCalcPts[BYE],MATCH(TableWRVORP[[#This Row],[RK]],TableWRCalcPts[RK],0)),"")</f>
        <v/>
      </c>
      <c r="S204" s="113" t="str">
        <f>IFERROR(INDEX(TableWRCalcPts[Custom],MATCH(TableWRVORP[[#This Row],[RK]],TableWRCalcPts[RK],0)),"")</f>
        <v/>
      </c>
      <c r="T204" s="114" t="str">
        <f>IFERROR((TableWRVORP[[#This Row],[FPS]]-INDEX(TableWRVORP[FPS],MATCH(WRVORPCalc,TableWRVORP[RK],0)))/INDEX(TableWRVORP[FPS],MATCH(WRVORPCalc,TableWRVORP[RK],0)),"")</f>
        <v/>
      </c>
      <c r="AF204" t="s">
        <v>223</v>
      </c>
      <c r="AG204">
        <v>63</v>
      </c>
      <c r="AH204" s="83">
        <f>RANK(TableOverallMaster[[#This Row],[VORP]],TableOverallMaster[VORP])+COUNTIF($AM$2:AM204,AM204)-1</f>
        <v>150</v>
      </c>
      <c r="AI204" s="115" t="str">
        <f>IFERROR(INDEX(TableWRVORP[WIDE RECEIVER],MATCH(TableOverallMaster[[#This Row],[RK]],TableWRVORP[RK],0)),"")</f>
        <v>Rome Odunze</v>
      </c>
      <c r="AJ204" s="115" t="str">
        <f t="shared" si="3"/>
        <v>WR63</v>
      </c>
      <c r="AK204" s="115">
        <f>IFERROR(INDEX(TableWRVORP[BYE],MATCH(TableOverallMaster[[#This Row],[RK]],TableWRVORP[RK],0)),"")</f>
        <v>13</v>
      </c>
      <c r="AL204" s="116">
        <f>IFERROR(INDEX(TableWRVORP[FPS],MATCH(TableOverallMaster[[#This Row],[RK]],TableWRVORP[RK],0)),"")</f>
        <v>135.18949056479997</v>
      </c>
      <c r="AM204" s="117">
        <f>IFERROR(INDEX(TableWRVORP[VORP],MATCH(TableOverallMaster[[#This Row],[RK]],TableWRVORP[RK],0)),"")</f>
        <v>-6.3801992306365199E-2</v>
      </c>
      <c r="AO204">
        <v>203</v>
      </c>
      <c r="AP204" s="118" t="str">
        <f>IFERROR(INDEX(TableOverallMaster[OVERALL PLAYER],MATCH(TableOverallRank[[#This Row],[RK]],TableOverallMaster[OVR RK],0)),"")</f>
        <v>Gardner Minshew</v>
      </c>
      <c r="AQ204" s="119" t="str">
        <f>IFERROR(INDEX(TableOverallMaster[POS RK],MATCH(TableOverallRank[[#This Row],[OVERALL PLAYER]],TableOverallMaster[OVERALL PLAYER],0)),"")</f>
        <v>QB32</v>
      </c>
      <c r="AR204" s="120">
        <f>IFERROR(INDEX(TableOverallMaster[BYE],MATCH(TableOverallRank[[#This Row],[OVERALL PLAYER]],TableOverallMaster[OVERALL PLAYER],0)),"")</f>
        <v>13</v>
      </c>
      <c r="AS204" s="119">
        <f>IFERROR(INDEX(TableOverallMaster[Custom],MATCH(TableOverallRank[[#This Row],[OVERALL PLAYER]],TableOverallMaster[OVERALL PLAYER],0)),"")</f>
        <v>162.41279159999999</v>
      </c>
      <c r="AT204" s="121">
        <f>IFERROR(INDEX(TableOverallMaster[VORP],MATCH(TableOverallRank[[#This Row],[OVERALL PLAYER]],TableOverallMaster[OVERALL PLAYER],0)),"")</f>
        <v>-0.38637207877814961</v>
      </c>
      <c r="AV204">
        <v>203</v>
      </c>
      <c r="AW204" s="122" t="str">
        <f>IFERROR(INDEX(TableWRTECalcPts[PLAYER],MATCH(TableWRTERank[[#This Row],[RK]],TableWRTECalcPts[RK],0)),"")</f>
        <v>Ko Kieft</v>
      </c>
      <c r="AX204" s="122" t="str">
        <f>IFERROR(INDEX(TableWRTECalcPts[POS RK],MATCH(TableWRTERank[[#This Row],[WR and TE COMBINED]],TableWRTECalcPts[PLAYER],0)),"")</f>
        <v>TE59</v>
      </c>
      <c r="AY204" s="122">
        <f>IFERROR(INDEX(TableWRTECalcPts[BYE],MATCH(TableWRTERank[[#This Row],[RK]],TableWRTECalcPts[RK],0)),"")</f>
        <v>5</v>
      </c>
      <c r="AZ204" s="123">
        <f>IFERROR(INDEX(TableWRTECalcPts[Custom],MATCH(TableWRTERank[[#This Row],[RK]],TableWRTECalcPts[RK],0)),"")</f>
        <v>21.524783141400004</v>
      </c>
      <c r="BA204" s="174">
        <f>IFERROR((TableWRTERank[[#This Row],[FPS]]-INDEX(TableWRTERank[FPS],MATCH(WRTEVORPCalc,TableWRTERank[RK],0)))/INDEX(TableWRTERank[FPS],MATCH(WRTEVORPCalc,TableWRTERank[RK],0)),"")</f>
        <v>-0.85581463962405679</v>
      </c>
      <c r="BC204" t="s">
        <v>10</v>
      </c>
      <c r="BD204">
        <v>3</v>
      </c>
      <c r="BE204" s="83">
        <f>RANK(TableWRTEMaster[[#This Row],[VORP]],TableWRTEMaster[VORP])+COUNTIF($BJ$2:BJ204,BJ204)-1</f>
        <v>18</v>
      </c>
      <c r="BF204" s="115" t="str">
        <f>IFERROR(INDEX(TableTEVORP[TIGHT END],MATCH(TableWRTEMaster[[#This Row],[RK]],TableTEVORP[RK],0)),"")</f>
        <v>Mark Andrews</v>
      </c>
      <c r="BG204" s="115" t="str">
        <f>_xlfn.CONCAT(TableWRTEMaster[[#This Row],[POS]],TableWRTEMaster[[#This Row],[RK]])</f>
        <v>TE3</v>
      </c>
      <c r="BH204" s="115">
        <f>IFERROR(INDEX(TableTEVORP[BYE],MATCH(TableWRTEMaster[[#This Row],[RK]],TableTEVORP[RK],0)),"")</f>
        <v>13</v>
      </c>
      <c r="BI204" s="116">
        <f>IFERROR(INDEX(TableTEVORP[FPS],MATCH(TableWRTEMaster[[#This Row],[RK]],TableTEVORP[RK],0)),"")</f>
        <v>181.76200187228162</v>
      </c>
      <c r="BJ204" s="117">
        <f>IFERROR(INDEX(TableTEVORP[VORP],MATCH(TableWRTEMaster[[#This Row],[RK]],TableTEVORP[RK],0)),"")</f>
        <v>0.383877273848022</v>
      </c>
    </row>
    <row r="205" spans="15:62" x14ac:dyDescent="0.2">
      <c r="O205">
        <v>204</v>
      </c>
      <c r="P205" s="112" t="str">
        <f>IFERROR(INDEX(TableWRCalcPts[PLAYER],MATCH(TableWRVORP[[#This Row],[RK]],TableWRCalcPts[RK],0)),"")</f>
        <v/>
      </c>
      <c r="Q205" s="112" t="str">
        <f>IFERROR(INDEX(TableWRCalcPts[TM],MATCH(TableWRVORP[[#This Row],[RK]],TableWRCalcPts[RK],0)),"")</f>
        <v/>
      </c>
      <c r="R205" s="112" t="str">
        <f>IFERROR(INDEX(TableWRCalcPts[BYE],MATCH(TableWRVORP[[#This Row],[RK]],TableWRCalcPts[RK],0)),"")</f>
        <v/>
      </c>
      <c r="S205" s="113" t="str">
        <f>IFERROR(INDEX(TableWRCalcPts[Custom],MATCH(TableWRVORP[[#This Row],[RK]],TableWRCalcPts[RK],0)),"")</f>
        <v/>
      </c>
      <c r="T205" s="114" t="str">
        <f>IFERROR((TableWRVORP[[#This Row],[FPS]]-INDEX(TableWRVORP[FPS],MATCH(WRVORPCalc,TableWRVORP[RK],0)))/INDEX(TableWRVORP[FPS],MATCH(WRVORPCalc,TableWRVORP[RK],0)),"")</f>
        <v/>
      </c>
      <c r="AF205" t="s">
        <v>223</v>
      </c>
      <c r="AG205">
        <v>64</v>
      </c>
      <c r="AH205" s="83">
        <f>RANK(TableOverallMaster[[#This Row],[VORP]],TableOverallMaster[VORP])+COUNTIF($AM$2:AM205,AM205)-1</f>
        <v>151</v>
      </c>
      <c r="AI205" s="115" t="str">
        <f>IFERROR(INDEX(TableWRVORP[WIDE RECEIVER],MATCH(TableOverallMaster[[#This Row],[RK]],TableWRVORP[RK],0)),"")</f>
        <v>Joshua Palmer</v>
      </c>
      <c r="AJ205" s="115" t="str">
        <f t="shared" si="3"/>
        <v>WR64</v>
      </c>
      <c r="AK205" s="115">
        <f>IFERROR(INDEX(TableWRVORP[BYE],MATCH(TableOverallMaster[[#This Row],[RK]],TableWRVORP[RK],0)),"")</f>
        <v>5</v>
      </c>
      <c r="AL205" s="116">
        <f>IFERROR(INDEX(TableWRVORP[FPS],MATCH(TableOverallMaster[[#This Row],[RK]],TableWRVORP[RK],0)),"")</f>
        <v>135.15931644627722</v>
      </c>
      <c r="AM205" s="117">
        <f>IFERROR(INDEX(TableWRVORP[VORP],MATCH(TableOverallMaster[[#This Row],[RK]],TableWRVORP[RK],0)),"")</f>
        <v>-6.4010950484452073E-2</v>
      </c>
      <c r="AO205">
        <v>204</v>
      </c>
      <c r="AP205" s="118" t="str">
        <f>IFERROR(INDEX(TableOverallMaster[OVERALL PLAYER],MATCH(TableOverallRank[[#This Row],[RK]],TableOverallMaster[OVR RK],0)),"")</f>
        <v>Elijah Mitchell</v>
      </c>
      <c r="AQ205" s="119" t="str">
        <f>IFERROR(INDEX(TableOverallMaster[POS RK],MATCH(TableOverallRank[[#This Row],[OVERALL PLAYER]],TableOverallMaster[OVERALL PLAYER],0)),"")</f>
        <v>RB64</v>
      </c>
      <c r="AR205" s="120">
        <f>IFERROR(INDEX(TableOverallMaster[BYE],MATCH(TableOverallRank[[#This Row],[OVERALL PLAYER]],TableOverallMaster[OVERALL PLAYER],0)),"")</f>
        <v>9</v>
      </c>
      <c r="AS205" s="119">
        <f>IFERROR(INDEX(TableOverallMaster[Custom],MATCH(TableOverallRank[[#This Row],[OVERALL PLAYER]],TableOverallMaster[OVERALL PLAYER],0)),"")</f>
        <v>68.224312325870386</v>
      </c>
      <c r="AT205" s="121">
        <f>IFERROR(INDEX(TableOverallMaster[VORP],MATCH(TableOverallRank[[#This Row],[OVERALL PLAYER]],TableOverallMaster[OVERALL PLAYER],0)),"")</f>
        <v>-0.39473495996822611</v>
      </c>
      <c r="AV205">
        <v>204</v>
      </c>
      <c r="AW205" s="122" t="str">
        <f>IFERROR(INDEX(TableWRTECalcPts[PLAYER],MATCH(TableWRTERank[[#This Row],[RK]],TableWRTECalcPts[RK],0)),"")</f>
        <v>Racey McMath</v>
      </c>
      <c r="AX205" s="122" t="str">
        <f>IFERROR(INDEX(TableWRTECalcPts[POS RK],MATCH(TableWRTERank[[#This Row],[WR and TE COMBINED]],TableWRTECalcPts[PLAYER],0)),"")</f>
        <v>WR145</v>
      </c>
      <c r="AY205" s="122">
        <f>IFERROR(INDEX(TableWRTECalcPts[BYE],MATCH(TableWRTERank[[#This Row],[RK]],TableWRTECalcPts[RK],0)),"")</f>
        <v>7</v>
      </c>
      <c r="AZ205" s="123">
        <f>IFERROR(INDEX(TableWRTECalcPts[Custom],MATCH(TableWRTERank[[#This Row],[RK]],TableWRTECalcPts[RK],0)),"")</f>
        <v>21.427072611839996</v>
      </c>
      <c r="BA205" s="174">
        <f>IFERROR((TableWRTERank[[#This Row],[FPS]]-INDEX(TableWRTERank[FPS],MATCH(WRTEVORPCalc,TableWRTERank[RK],0)))/INDEX(TableWRTERank[FPS],MATCH(WRTEVORPCalc,TableWRTERank[RK],0)),"")</f>
        <v>-0.8564691608717081</v>
      </c>
      <c r="BC205" t="s">
        <v>10</v>
      </c>
      <c r="BD205">
        <v>4</v>
      </c>
      <c r="BE205" s="83">
        <f>RANK(TableWRTEMaster[[#This Row],[VORP]],TableWRTEMaster[VORP])+COUNTIF($BJ$2:BJ205,BJ205)-1</f>
        <v>26</v>
      </c>
      <c r="BF205" s="115" t="str">
        <f>IFERROR(INDEX(TableTEVORP[TIGHT END],MATCH(TableWRTEMaster[[#This Row],[RK]],TableTEVORP[RK],0)),"")</f>
        <v>Trey McBride</v>
      </c>
      <c r="BG205" s="115" t="str">
        <f>_xlfn.CONCAT(TableWRTEMaster[[#This Row],[POS]],TableWRTEMaster[[#This Row],[RK]])</f>
        <v>TE4</v>
      </c>
      <c r="BH205" s="115">
        <f>IFERROR(INDEX(TableTEVORP[BYE],MATCH(TableWRTEMaster[[#This Row],[RK]],TableTEVORP[RK],0)),"")</f>
        <v>14</v>
      </c>
      <c r="BI205" s="116">
        <f>IFERROR(INDEX(TableTEVORP[FPS],MATCH(TableWRTEMaster[[#This Row],[RK]],TableTEVORP[RK],0)),"")</f>
        <v>168.4093531322475</v>
      </c>
      <c r="BJ205" s="117">
        <f>IFERROR(INDEX(TableTEVORP[VORP],MATCH(TableWRTEMaster[[#This Row],[RK]],TableTEVORP[RK],0)),"")</f>
        <v>0.2822145118478937</v>
      </c>
    </row>
    <row r="206" spans="15:62" x14ac:dyDescent="0.2">
      <c r="O206">
        <v>205</v>
      </c>
      <c r="P206" s="112" t="str">
        <f>IFERROR(INDEX(TableWRCalcPts[PLAYER],MATCH(TableWRVORP[[#This Row],[RK]],TableWRCalcPts[RK],0)),"")</f>
        <v/>
      </c>
      <c r="Q206" s="112" t="str">
        <f>IFERROR(INDEX(TableWRCalcPts[TM],MATCH(TableWRVORP[[#This Row],[RK]],TableWRCalcPts[RK],0)),"")</f>
        <v/>
      </c>
      <c r="R206" s="112" t="str">
        <f>IFERROR(INDEX(TableWRCalcPts[BYE],MATCH(TableWRVORP[[#This Row],[RK]],TableWRCalcPts[RK],0)),"")</f>
        <v/>
      </c>
      <c r="S206" s="113" t="str">
        <f>IFERROR(INDEX(TableWRCalcPts[Custom],MATCH(TableWRVORP[[#This Row],[RK]],TableWRCalcPts[RK],0)),"")</f>
        <v/>
      </c>
      <c r="T206" s="114" t="str">
        <f>IFERROR((TableWRVORP[[#This Row],[FPS]]-INDEX(TableWRVORP[FPS],MATCH(WRVORPCalc,TableWRVORP[RK],0)))/INDEX(TableWRVORP[FPS],MATCH(WRVORPCalc,TableWRVORP[RK],0)),"")</f>
        <v/>
      </c>
      <c r="AF206" t="s">
        <v>223</v>
      </c>
      <c r="AG206">
        <v>65</v>
      </c>
      <c r="AH206" s="83">
        <f>RANK(TableOverallMaster[[#This Row],[VORP]],TableOverallMaster[VORP])+COUNTIF($AM$2:AM206,AM206)-1</f>
        <v>153</v>
      </c>
      <c r="AI206" s="115" t="str">
        <f>IFERROR(INDEX(TableWRVORP[WIDE RECEIVER],MATCH(TableOverallMaster[[#This Row],[RK]],TableWRVORP[RK],0)),"")</f>
        <v>Gabe Davis</v>
      </c>
      <c r="AJ206" s="115" t="str">
        <f t="shared" si="3"/>
        <v>WR65</v>
      </c>
      <c r="AK206" s="115">
        <f>IFERROR(INDEX(TableWRVORP[BYE],MATCH(TableOverallMaster[[#This Row],[RK]],TableWRVORP[RK],0)),"")</f>
        <v>9</v>
      </c>
      <c r="AL206" s="116">
        <f>IFERROR(INDEX(TableWRVORP[FPS],MATCH(TableOverallMaster[[#This Row],[RK]],TableWRVORP[RK],0)),"")</f>
        <v>134.01963469439997</v>
      </c>
      <c r="AM206" s="117">
        <f>IFERROR(INDEX(TableWRVORP[VORP],MATCH(TableOverallMaster[[#This Row],[RK]],TableWRVORP[RK],0)),"")</f>
        <v>-7.1903337540980286E-2</v>
      </c>
      <c r="AO206">
        <v>205</v>
      </c>
      <c r="AP206" s="118" t="str">
        <f>IFERROR(INDEX(TableOverallMaster[OVERALL PLAYER],MATCH(TableOverallRank[[#This Row],[RK]],TableOverallMaster[OVR RK],0)),"")</f>
        <v>Nelson Agholor</v>
      </c>
      <c r="AQ206" s="119" t="str">
        <f>IFERROR(INDEX(TableOverallMaster[POS RK],MATCH(TableOverallRank[[#This Row],[OVERALL PLAYER]],TableOverallMaster[OVERALL PLAYER],0)),"")</f>
        <v>WR83</v>
      </c>
      <c r="AR206" s="120">
        <f>IFERROR(INDEX(TableOverallMaster[BYE],MATCH(TableOverallRank[[#This Row],[OVERALL PLAYER]],TableOverallMaster[OVERALL PLAYER],0)),"")</f>
        <v>13</v>
      </c>
      <c r="AS206" s="119">
        <f>IFERROR(INDEX(TableOverallMaster[Custom],MATCH(TableOverallRank[[#This Row],[OVERALL PLAYER]],TableOverallMaster[OVERALL PLAYER],0)),"")</f>
        <v>85.575717441312008</v>
      </c>
      <c r="AT206" s="121">
        <f>IFERROR(INDEX(TableOverallMaster[VORP],MATCH(TableOverallRank[[#This Row],[OVERALL PLAYER]],TableOverallMaster[OVERALL PLAYER],0)),"")</f>
        <v>-0.40738132941548394</v>
      </c>
      <c r="AV206">
        <v>205</v>
      </c>
      <c r="AW206" s="122" t="str">
        <f>IFERROR(INDEX(TableWRTECalcPts[PLAYER],MATCH(TableWRTERank[[#This Row],[RK]],TableWRTECalcPts[RK],0)),"")</f>
        <v>Tyler Scott</v>
      </c>
      <c r="AX206" s="122" t="str">
        <f>IFERROR(INDEX(TableWRTECalcPts[POS RK],MATCH(TableWRTERank[[#This Row],[WR and TE COMBINED]],TableWRTECalcPts[PLAYER],0)),"")</f>
        <v>WR146</v>
      </c>
      <c r="AY206" s="122">
        <f>IFERROR(INDEX(TableWRTECalcPts[BYE],MATCH(TableWRTERank[[#This Row],[RK]],TableWRTECalcPts[RK],0)),"")</f>
        <v>13</v>
      </c>
      <c r="AZ206" s="123">
        <f>IFERROR(INDEX(TableWRTECalcPts[Custom],MATCH(TableWRTERank[[#This Row],[RK]],TableWRTECalcPts[RK],0)),"")</f>
        <v>21.268921403519993</v>
      </c>
      <c r="BA206" s="174">
        <f>IFERROR((TableWRTERank[[#This Row],[FPS]]-INDEX(TableWRTERank[FPS],MATCH(WRTEVORPCalc,TableWRTERank[RK],0)))/INDEX(TableWRTERank[FPS],MATCH(WRTEVORPCalc,TableWRTERank[RK],0)),"")</f>
        <v>-0.85752854850017879</v>
      </c>
      <c r="BC206" t="s">
        <v>10</v>
      </c>
      <c r="BD206">
        <v>5</v>
      </c>
      <c r="BE206" s="83">
        <f>RANK(TableWRTEMaster[[#This Row],[VORP]],TableWRTEMaster[VORP])+COUNTIF($BJ$2:BJ206,BJ206)-1</f>
        <v>35</v>
      </c>
      <c r="BF206" s="115" t="str">
        <f>IFERROR(INDEX(TableTEVORP[TIGHT END],MATCH(TableWRTEMaster[[#This Row],[RK]],TableTEVORP[RK],0)),"")</f>
        <v>Kyle Pitts</v>
      </c>
      <c r="BG206" s="115" t="str">
        <f>_xlfn.CONCAT(TableWRTEMaster[[#This Row],[POS]],TableWRTEMaster[[#This Row],[RK]])</f>
        <v>TE5</v>
      </c>
      <c r="BH206" s="115">
        <f>IFERROR(INDEX(TableTEVORP[BYE],MATCH(TableWRTEMaster[[#This Row],[RK]],TableTEVORP[RK],0)),"")</f>
        <v>11</v>
      </c>
      <c r="BI206" s="116">
        <f>IFERROR(INDEX(TableTEVORP[FPS],MATCH(TableWRTEMaster[[#This Row],[RK]],TableTEVORP[RK],0)),"")</f>
        <v>161.83872421516796</v>
      </c>
      <c r="BJ206" s="117">
        <f>IFERROR(INDEX(TableTEVORP[VORP],MATCH(TableWRTEMaster[[#This Row],[RK]],TableTEVORP[RK],0)),"")</f>
        <v>0.23218786194543312</v>
      </c>
    </row>
    <row r="207" spans="15:62" x14ac:dyDescent="0.2">
      <c r="O207">
        <v>206</v>
      </c>
      <c r="P207" s="112" t="str">
        <f>IFERROR(INDEX(TableWRCalcPts[PLAYER],MATCH(TableWRVORP[[#This Row],[RK]],TableWRCalcPts[RK],0)),"")</f>
        <v/>
      </c>
      <c r="Q207" s="112" t="str">
        <f>IFERROR(INDEX(TableWRCalcPts[TM],MATCH(TableWRVORP[[#This Row],[RK]],TableWRCalcPts[RK],0)),"")</f>
        <v/>
      </c>
      <c r="R207" s="112" t="str">
        <f>IFERROR(INDEX(TableWRCalcPts[BYE],MATCH(TableWRVORP[[#This Row],[RK]],TableWRCalcPts[RK],0)),"")</f>
        <v/>
      </c>
      <c r="S207" s="113" t="str">
        <f>IFERROR(INDEX(TableWRCalcPts[Custom],MATCH(TableWRVORP[[#This Row],[RK]],TableWRCalcPts[RK],0)),"")</f>
        <v/>
      </c>
      <c r="T207" s="114" t="str">
        <f>IFERROR((TableWRVORP[[#This Row],[FPS]]-INDEX(TableWRVORP[FPS],MATCH(WRVORPCalc,TableWRVORP[RK],0)))/INDEX(TableWRVORP[FPS],MATCH(WRVORPCalc,TableWRVORP[RK],0)),"")</f>
        <v/>
      </c>
      <c r="AF207" t="s">
        <v>223</v>
      </c>
      <c r="AG207">
        <v>66</v>
      </c>
      <c r="AH207" s="83">
        <f>RANK(TableOverallMaster[[#This Row],[VORP]],TableOverallMaster[VORP])+COUNTIF($AM$2:AM207,AM207)-1</f>
        <v>155</v>
      </c>
      <c r="AI207" s="115" t="str">
        <f>IFERROR(INDEX(TableWRVORP[WIDE RECEIVER],MATCH(TableOverallMaster[[#This Row],[RK]],TableWRVORP[RK],0)),"")</f>
        <v>Jerry Jeudy</v>
      </c>
      <c r="AJ207" s="115" t="str">
        <f t="shared" si="3"/>
        <v>WR66</v>
      </c>
      <c r="AK207" s="115">
        <f>IFERROR(INDEX(TableWRVORP[BYE],MATCH(TableOverallMaster[[#This Row],[RK]],TableWRVORP[RK],0)),"")</f>
        <v>5</v>
      </c>
      <c r="AL207" s="116">
        <f>IFERROR(INDEX(TableWRVORP[FPS],MATCH(TableOverallMaster[[#This Row],[RK]],TableWRVORP[RK],0)),"")</f>
        <v>128.455263234375</v>
      </c>
      <c r="AM207" s="117">
        <f>IFERROR(INDEX(TableWRVORP[VORP],MATCH(TableOverallMaster[[#This Row],[RK]],TableWRVORP[RK],0)),"")</f>
        <v>-0.110437053831935</v>
      </c>
      <c r="AO207">
        <v>206</v>
      </c>
      <c r="AP207" s="118" t="str">
        <f>IFERROR(INDEX(TableOverallMaster[OVERALL PLAYER],MATCH(TableOverallRank[[#This Row],[RK]],TableOverallMaster[OVR RK],0)),"")</f>
        <v>Greg Dortch</v>
      </c>
      <c r="AQ207" s="119" t="str">
        <f>IFERROR(INDEX(TableOverallMaster[POS RK],MATCH(TableOverallRank[[#This Row],[OVERALL PLAYER]],TableOverallMaster[OVERALL PLAYER],0)),"")</f>
        <v>WR84</v>
      </c>
      <c r="AR207" s="120">
        <f>IFERROR(INDEX(TableOverallMaster[BYE],MATCH(TableOverallRank[[#This Row],[OVERALL PLAYER]],TableOverallMaster[OVERALL PLAYER],0)),"")</f>
        <v>14</v>
      </c>
      <c r="AS207" s="119">
        <f>IFERROR(INDEX(TableOverallMaster[Custom],MATCH(TableOverallRank[[#This Row],[OVERALL PLAYER]],TableOverallMaster[OVERALL PLAYER],0)),"")</f>
        <v>85.462192509750011</v>
      </c>
      <c r="AT207" s="121">
        <f>IFERROR(INDEX(TableOverallMaster[VORP],MATCH(TableOverallRank[[#This Row],[OVERALL PLAYER]],TableOverallMaster[OVERALL PLAYER],0)),"")</f>
        <v>-0.40816749862366625</v>
      </c>
      <c r="AV207">
        <v>206</v>
      </c>
      <c r="AW207" s="122" t="str">
        <f>IFERROR(INDEX(TableWRTECalcPts[PLAYER],MATCH(TableWRTERank[[#This Row],[RK]],TableWRTECalcPts[RK],0)),"")</f>
        <v>Darnell Washington</v>
      </c>
      <c r="AX207" s="122" t="str">
        <f>IFERROR(INDEX(TableWRTECalcPts[POS RK],MATCH(TableWRTERank[[#This Row],[WR and TE COMBINED]],TableWRTECalcPts[PLAYER],0)),"")</f>
        <v>TE60</v>
      </c>
      <c r="AY207" s="122">
        <f>IFERROR(INDEX(TableWRTECalcPts[BYE],MATCH(TableWRTERank[[#This Row],[RK]],TableWRTECalcPts[RK],0)),"")</f>
        <v>6</v>
      </c>
      <c r="AZ207" s="123">
        <f>IFERROR(INDEX(TableWRTECalcPts[Custom],MATCH(TableWRTERank[[#This Row],[RK]],TableWRTECalcPts[RK],0)),"")</f>
        <v>20.924662263749997</v>
      </c>
      <c r="BA207" s="174">
        <f>IFERROR((TableWRTERank[[#This Row],[FPS]]-INDEX(TableWRTERank[FPS],MATCH(WRTEVORPCalc,TableWRTERank[RK],0)))/INDEX(TableWRTERank[FPS],MATCH(WRTEVORPCalc,TableWRTERank[RK],0)),"")</f>
        <v>-0.85983459394576445</v>
      </c>
      <c r="BC207" t="s">
        <v>10</v>
      </c>
      <c r="BD207">
        <v>6</v>
      </c>
      <c r="BE207" s="83">
        <f>RANK(TableWRTEMaster[[#This Row],[VORP]],TableWRTEMaster[VORP])+COUNTIF($BJ$2:BJ207,BJ207)-1</f>
        <v>44</v>
      </c>
      <c r="BF207" s="115" t="str">
        <f>IFERROR(INDEX(TableTEVORP[TIGHT END],MATCH(TableWRTEMaster[[#This Row],[RK]],TableTEVORP[RK],0)),"")</f>
        <v>Dalton Kincaid</v>
      </c>
      <c r="BG207" s="115" t="str">
        <f>_xlfn.CONCAT(TableWRTEMaster[[#This Row],[POS]],TableWRTEMaster[[#This Row],[RK]])</f>
        <v>TE6</v>
      </c>
      <c r="BH207" s="115">
        <f>IFERROR(INDEX(TableTEVORP[BYE],MATCH(TableWRTEMaster[[#This Row],[RK]],TableTEVORP[RK],0)),"")</f>
        <v>13</v>
      </c>
      <c r="BI207" s="116">
        <f>IFERROR(INDEX(TableTEVORP[FPS],MATCH(TableWRTEMaster[[#This Row],[RK]],TableTEVORP[RK],0)),"")</f>
        <v>155.12491385395197</v>
      </c>
      <c r="BJ207" s="117">
        <f>IFERROR(INDEX(TableTEVORP[VORP],MATCH(TableWRTEMaster[[#This Row],[RK]],TableTEVORP[RK],0)),"")</f>
        <v>0.18107107469558348</v>
      </c>
    </row>
    <row r="208" spans="15:62" x14ac:dyDescent="0.2">
      <c r="O208">
        <v>207</v>
      </c>
      <c r="P208" s="112" t="str">
        <f>IFERROR(INDEX(TableWRCalcPts[PLAYER],MATCH(TableWRVORP[[#This Row],[RK]],TableWRCalcPts[RK],0)),"")</f>
        <v/>
      </c>
      <c r="Q208" s="112" t="str">
        <f>IFERROR(INDEX(TableWRCalcPts[TM],MATCH(TableWRVORP[[#This Row],[RK]],TableWRCalcPts[RK],0)),"")</f>
        <v/>
      </c>
      <c r="R208" s="112" t="str">
        <f>IFERROR(INDEX(TableWRCalcPts[BYE],MATCH(TableWRVORP[[#This Row],[RK]],TableWRCalcPts[RK],0)),"")</f>
        <v/>
      </c>
      <c r="S208" s="113" t="str">
        <f>IFERROR(INDEX(TableWRCalcPts[Custom],MATCH(TableWRVORP[[#This Row],[RK]],TableWRCalcPts[RK],0)),"")</f>
        <v/>
      </c>
      <c r="T208" s="114" t="str">
        <f>IFERROR((TableWRVORP[[#This Row],[FPS]]-INDEX(TableWRVORP[FPS],MATCH(WRVORPCalc,TableWRVORP[RK],0)))/INDEX(TableWRVORP[FPS],MATCH(WRVORPCalc,TableWRVORP[RK],0)),"")</f>
        <v/>
      </c>
      <c r="AF208" t="s">
        <v>223</v>
      </c>
      <c r="AG208">
        <v>67</v>
      </c>
      <c r="AH208" s="83">
        <f>RANK(TableOverallMaster[[#This Row],[VORP]],TableOverallMaster[VORP])+COUNTIF($AM$2:AM208,AM208)-1</f>
        <v>156</v>
      </c>
      <c r="AI208" s="115" t="str">
        <f>IFERROR(INDEX(TableWRVORP[WIDE RECEIVER],MATCH(TableOverallMaster[[#This Row],[RK]],TableWRVORP[RK],0)),"")</f>
        <v>Josh Downs</v>
      </c>
      <c r="AJ208" s="115" t="str">
        <f t="shared" si="3"/>
        <v>WR67</v>
      </c>
      <c r="AK208" s="115">
        <f>IFERROR(INDEX(TableWRVORP[BYE],MATCH(TableOverallMaster[[#This Row],[RK]],TableWRVORP[RK],0)),"")</f>
        <v>11</v>
      </c>
      <c r="AL208" s="116">
        <f>IFERROR(INDEX(TableWRVORP[FPS],MATCH(TableOverallMaster[[#This Row],[RK]],TableWRVORP[RK],0)),"")</f>
        <v>127.45963412582404</v>
      </c>
      <c r="AM208" s="117">
        <f>IFERROR(INDEX(TableWRVORP[VORP],MATCH(TableOverallMaster[[#This Row],[RK]],TableWRVORP[RK],0)),"")</f>
        <v>-0.11733186484078641</v>
      </c>
      <c r="AO208">
        <v>207</v>
      </c>
      <c r="AP208" s="118" t="str">
        <f>IFERROR(INDEX(TableOverallMaster[OVERALL PLAYER],MATCH(TableOverallRank[[#This Row],[RK]],TableOverallMaster[OVR RK],0)),"")</f>
        <v>Noah Fant</v>
      </c>
      <c r="AQ208" s="119" t="str">
        <f>IFERROR(INDEX(TableOverallMaster[POS RK],MATCH(TableOverallRank[[#This Row],[OVERALL PLAYER]],TableOverallMaster[OVERALL PLAYER],0)),"")</f>
        <v>TE27</v>
      </c>
      <c r="AR208" s="120">
        <f>IFERROR(INDEX(TableOverallMaster[BYE],MATCH(TableOverallRank[[#This Row],[OVERALL PLAYER]],TableOverallMaster[OVERALL PLAYER],0)),"")</f>
        <v>5</v>
      </c>
      <c r="AS208" s="119">
        <f>IFERROR(INDEX(TableOverallMaster[Custom],MATCH(TableOverallRank[[#This Row],[OVERALL PLAYER]],TableOverallMaster[OVERALL PLAYER],0)),"")</f>
        <v>77.518260897461985</v>
      </c>
      <c r="AT208" s="121">
        <f>IFERROR(INDEX(TableOverallMaster[VORP],MATCH(TableOverallRank[[#This Row],[OVERALL PLAYER]],TableOverallMaster[OVERALL PLAYER],0)),"")</f>
        <v>-0.40980095697010049</v>
      </c>
      <c r="AV208">
        <v>207</v>
      </c>
      <c r="AW208" s="122" t="str">
        <f>IFERROR(INDEX(TableWRTECalcPts[PLAYER],MATCH(TableWRTERank[[#This Row],[RK]],TableWRTECalcPts[RK],0)),"")</f>
        <v>KhaDarel Hodge</v>
      </c>
      <c r="AX208" s="122" t="str">
        <f>IFERROR(INDEX(TableWRTECalcPts[POS RK],MATCH(TableWRTERank[[#This Row],[WR and TE COMBINED]],TableWRTECalcPts[PLAYER],0)),"")</f>
        <v>WR147</v>
      </c>
      <c r="AY208" s="122">
        <f>IFERROR(INDEX(TableWRTECalcPts[BYE],MATCH(TableWRTERank[[#This Row],[RK]],TableWRTECalcPts[RK],0)),"")</f>
        <v>11</v>
      </c>
      <c r="AZ208" s="123">
        <f>IFERROR(INDEX(TableWRTECalcPts[Custom],MATCH(TableWRTERank[[#This Row],[RK]],TableWRTECalcPts[RK],0)),"")</f>
        <v>20.404002774355192</v>
      </c>
      <c r="BA208" s="174">
        <f>IFERROR((TableWRTERank[[#This Row],[FPS]]-INDEX(TableWRTERank[FPS],MATCH(WRTEVORPCalc,TableWRTERank[RK],0)))/INDEX(TableWRTERank[FPS],MATCH(WRTEVORPCalc,TableWRTERank[RK],0)),"")</f>
        <v>-0.8633222702497898</v>
      </c>
      <c r="BC208" t="s">
        <v>10</v>
      </c>
      <c r="BD208">
        <v>7</v>
      </c>
      <c r="BE208" s="83">
        <f>RANK(TableWRTEMaster[[#This Row],[VORP]],TableWRTEMaster[VORP])+COUNTIF($BJ$2:BJ208,BJ208)-1</f>
        <v>45</v>
      </c>
      <c r="BF208" s="115" t="str">
        <f>IFERROR(INDEX(TableTEVORP[TIGHT END],MATCH(TableWRTEMaster[[#This Row],[RK]],TableTEVORP[RK],0)),"")</f>
        <v>George Kittle</v>
      </c>
      <c r="BG208" s="115" t="str">
        <f>_xlfn.CONCAT(TableWRTEMaster[[#This Row],[POS]],TableWRTEMaster[[#This Row],[RK]])</f>
        <v>TE7</v>
      </c>
      <c r="BH208" s="115">
        <f>IFERROR(INDEX(TableTEVORP[BYE],MATCH(TableWRTEMaster[[#This Row],[RK]],TableTEVORP[RK],0)),"")</f>
        <v>9</v>
      </c>
      <c r="BI208" s="116">
        <f>IFERROR(INDEX(TableTEVORP[FPS],MATCH(TableWRTEMaster[[#This Row],[RK]],TableTEVORP[RK],0)),"")</f>
        <v>155.07776599922877</v>
      </c>
      <c r="BJ208" s="117">
        <f>IFERROR(INDEX(TableTEVORP[VORP],MATCH(TableWRTEMaster[[#This Row],[RK]],TableTEVORP[RK],0)),"")</f>
        <v>0.18071210613235231</v>
      </c>
    </row>
    <row r="209" spans="15:62" x14ac:dyDescent="0.2">
      <c r="O209">
        <v>208</v>
      </c>
      <c r="P209" s="112" t="str">
        <f>IFERROR(INDEX(TableWRCalcPts[PLAYER],MATCH(TableWRVORP[[#This Row],[RK]],TableWRCalcPts[RK],0)),"")</f>
        <v/>
      </c>
      <c r="Q209" s="112" t="str">
        <f>IFERROR(INDEX(TableWRCalcPts[TM],MATCH(TableWRVORP[[#This Row],[RK]],TableWRCalcPts[RK],0)),"")</f>
        <v/>
      </c>
      <c r="R209" s="112" t="str">
        <f>IFERROR(INDEX(TableWRCalcPts[BYE],MATCH(TableWRVORP[[#This Row],[RK]],TableWRCalcPts[RK],0)),"")</f>
        <v/>
      </c>
      <c r="S209" s="113" t="str">
        <f>IFERROR(INDEX(TableWRCalcPts[Custom],MATCH(TableWRVORP[[#This Row],[RK]],TableWRCalcPts[RK],0)),"")</f>
        <v/>
      </c>
      <c r="T209" s="114" t="str">
        <f>IFERROR((TableWRVORP[[#This Row],[FPS]]-INDEX(TableWRVORP[FPS],MATCH(WRVORPCalc,TableWRVORP[RK],0)))/INDEX(TableWRVORP[FPS],MATCH(WRVORPCalc,TableWRVORP[RK],0)),"")</f>
        <v/>
      </c>
      <c r="AF209" t="s">
        <v>223</v>
      </c>
      <c r="AG209">
        <v>68</v>
      </c>
      <c r="AH209" s="83">
        <f>RANK(TableOverallMaster[[#This Row],[VORP]],TableOverallMaster[VORP])+COUNTIF($AM$2:AM209,AM209)-1</f>
        <v>157</v>
      </c>
      <c r="AI209" s="115" t="str">
        <f>IFERROR(INDEX(TableWRVORP[WIDE RECEIVER],MATCH(TableOverallMaster[[#This Row],[RK]],TableWRVORP[RK],0)),"")</f>
        <v>Quentin Johnston</v>
      </c>
      <c r="AJ209" s="115" t="str">
        <f t="shared" si="3"/>
        <v>WR68</v>
      </c>
      <c r="AK209" s="115">
        <f>IFERROR(INDEX(TableWRVORP[BYE],MATCH(TableOverallMaster[[#This Row],[RK]],TableWRVORP[RK],0)),"")</f>
        <v>5</v>
      </c>
      <c r="AL209" s="116">
        <f>IFERROR(INDEX(TableWRVORP[FPS],MATCH(TableOverallMaster[[#This Row],[RK]],TableWRVORP[RK],0)),"")</f>
        <v>126.53990116431299</v>
      </c>
      <c r="AM209" s="117">
        <f>IFERROR(INDEX(TableWRVORP[VORP],MATCH(TableOverallMaster[[#This Row],[RK]],TableWRVORP[RK],0)),"")</f>
        <v>-0.12370108897632733</v>
      </c>
      <c r="AO209">
        <v>208</v>
      </c>
      <c r="AP209" s="118" t="str">
        <f>IFERROR(INDEX(TableOverallMaster[OVERALL PLAYER],MATCH(TableOverallRank[[#This Row],[RK]],TableOverallMaster[OVR RK],0)),"")</f>
        <v>Jawhar Jordan</v>
      </c>
      <c r="AQ209" s="119" t="str">
        <f>IFERROR(INDEX(TableOverallMaster[POS RK],MATCH(TableOverallRank[[#This Row],[OVERALL PLAYER]],TableOverallMaster[OVERALL PLAYER],0)),"")</f>
        <v>RB65</v>
      </c>
      <c r="AR209" s="120">
        <f>IFERROR(INDEX(TableOverallMaster[BYE],MATCH(TableOverallRank[[#This Row],[OVERALL PLAYER]],TableOverallMaster[OVERALL PLAYER],0)),"")</f>
        <v>7</v>
      </c>
      <c r="AS209" s="119">
        <f>IFERROR(INDEX(TableOverallMaster[Custom],MATCH(TableOverallRank[[#This Row],[OVERALL PLAYER]],TableOverallMaster[OVERALL PLAYER],0)),"")</f>
        <v>66.159671968000012</v>
      </c>
      <c r="AT209" s="121">
        <f>IFERROR(INDEX(TableOverallMaster[VORP],MATCH(TableOverallRank[[#This Row],[OVERALL PLAYER]],TableOverallMaster[OVERALL PLAYER],0)),"")</f>
        <v>-0.41305181192693413</v>
      </c>
      <c r="AV209">
        <v>208</v>
      </c>
      <c r="AW209" s="122" t="str">
        <f>IFERROR(INDEX(TableWRTECalcPts[PLAYER],MATCH(TableWRTERank[[#This Row],[RK]],TableWRTECalcPts[RK],0)),"")</f>
        <v>Jamari Thrash</v>
      </c>
      <c r="AX209" s="122" t="str">
        <f>IFERROR(INDEX(TableWRTECalcPts[POS RK],MATCH(TableWRTERank[[#This Row],[WR and TE COMBINED]],TableWRTECalcPts[PLAYER],0)),"")</f>
        <v>WR148</v>
      </c>
      <c r="AY209" s="122">
        <f>IFERROR(INDEX(TableWRTECalcPts[BYE],MATCH(TableWRTERank[[#This Row],[RK]],TableWRTECalcPts[RK],0)),"")</f>
        <v>5</v>
      </c>
      <c r="AZ209" s="123">
        <f>IFERROR(INDEX(TableWRTECalcPts[Custom],MATCH(TableWRTERank[[#This Row],[RK]],TableWRTECalcPts[RK],0)),"")</f>
        <v>20.346103978199999</v>
      </c>
      <c r="BA209" s="174">
        <f>IFERROR((TableWRTERank[[#This Row],[FPS]]-INDEX(TableWRTERank[FPS],MATCH(WRTEVORPCalc,TableWRTERank[RK],0)))/INDEX(TableWRTERank[FPS],MATCH(WRTEVORPCalc,TableWRTERank[RK],0)),"")</f>
        <v>-0.86371010964097572</v>
      </c>
      <c r="BC209" t="s">
        <v>10</v>
      </c>
      <c r="BD209">
        <v>8</v>
      </c>
      <c r="BE209" s="83">
        <f>RANK(TableWRTEMaster[[#This Row],[VORP]],TableWRTEMaster[VORP])+COUNTIF($BJ$2:BJ209,BJ209)-1</f>
        <v>52</v>
      </c>
      <c r="BF209" s="115" t="str">
        <f>IFERROR(INDEX(TableTEVORP[TIGHT END],MATCH(TableWRTEMaster[[#This Row],[RK]],TableTEVORP[RK],0)),"")</f>
        <v>David Njoku</v>
      </c>
      <c r="BG209" s="115" t="str">
        <f>_xlfn.CONCAT(TableWRTEMaster[[#This Row],[POS]],TableWRTEMaster[[#This Row],[RK]])</f>
        <v>TE8</v>
      </c>
      <c r="BH209" s="115">
        <f>IFERROR(INDEX(TableTEVORP[BYE],MATCH(TableWRTEMaster[[#This Row],[RK]],TableTEVORP[RK],0)),"")</f>
        <v>5</v>
      </c>
      <c r="BI209" s="116">
        <f>IFERROR(INDEX(TableTEVORP[FPS],MATCH(TableWRTEMaster[[#This Row],[RK]],TableTEVORP[RK],0)),"")</f>
        <v>146.32427848500004</v>
      </c>
      <c r="BJ209" s="117">
        <f>IFERROR(INDEX(TableTEVORP[VORP],MATCH(TableWRTEMaster[[#This Row],[RK]],TableTEVORP[RK],0)),"")</f>
        <v>0.11406587472494564</v>
      </c>
    </row>
    <row r="210" spans="15:62" x14ac:dyDescent="0.2">
      <c r="O210">
        <v>209</v>
      </c>
      <c r="P210" s="112" t="str">
        <f>IFERROR(INDEX(TableWRCalcPts[PLAYER],MATCH(TableWRVORP[[#This Row],[RK]],TableWRCalcPts[RK],0)),"")</f>
        <v/>
      </c>
      <c r="Q210" s="112" t="str">
        <f>IFERROR(INDEX(TableWRCalcPts[TM],MATCH(TableWRVORP[[#This Row],[RK]],TableWRCalcPts[RK],0)),"")</f>
        <v/>
      </c>
      <c r="R210" s="112" t="str">
        <f>IFERROR(INDEX(TableWRCalcPts[BYE],MATCH(TableWRVORP[[#This Row],[RK]],TableWRCalcPts[RK],0)),"")</f>
        <v/>
      </c>
      <c r="S210" s="113" t="str">
        <f>IFERROR(INDEX(TableWRCalcPts[Custom],MATCH(TableWRVORP[[#This Row],[RK]],TableWRCalcPts[RK],0)),"")</f>
        <v/>
      </c>
      <c r="T210" s="114" t="str">
        <f>IFERROR((TableWRVORP[[#This Row],[FPS]]-INDEX(TableWRVORP[FPS],MATCH(WRVORPCalc,TableWRVORP[RK],0)))/INDEX(TableWRVORP[FPS],MATCH(WRVORPCalc,TableWRVORP[RK],0)),"")</f>
        <v/>
      </c>
      <c r="AF210" t="s">
        <v>223</v>
      </c>
      <c r="AG210">
        <v>69</v>
      </c>
      <c r="AH210" s="83">
        <f>RANK(TableOverallMaster[[#This Row],[VORP]],TableOverallMaster[VORP])+COUNTIF($AM$2:AM210,AM210)-1</f>
        <v>158</v>
      </c>
      <c r="AI210" s="115" t="str">
        <f>IFERROR(INDEX(TableWRVORP[WIDE RECEIVER],MATCH(TableOverallMaster[[#This Row],[RK]],TableWRVORP[RK],0)),"")</f>
        <v>Wan'Dale Robinson</v>
      </c>
      <c r="AJ210" s="115" t="str">
        <f t="shared" si="3"/>
        <v>WR69</v>
      </c>
      <c r="AK210" s="115">
        <f>IFERROR(INDEX(TableWRVORP[BYE],MATCH(TableOverallMaster[[#This Row],[RK]],TableWRVORP[RK],0)),"")</f>
        <v>13</v>
      </c>
      <c r="AL210" s="116">
        <f>IFERROR(INDEX(TableWRVORP[FPS],MATCH(TableOverallMaster[[#This Row],[RK]],TableWRVORP[RK],0)),"")</f>
        <v>124.97569762585596</v>
      </c>
      <c r="AM210" s="117">
        <f>IFERROR(INDEX(TableWRVORP[VORP],MATCH(TableOverallMaster[[#This Row],[RK]],TableWRVORP[RK],0)),"")</f>
        <v>-0.13453332327362932</v>
      </c>
      <c r="AO210">
        <v>209</v>
      </c>
      <c r="AP210" s="118" t="str">
        <f>IFERROR(INDEX(TableOverallMaster[OVERALL PLAYER],MATCH(TableOverallRank[[#This Row],[RK]],TableOverallMaster[OVR RK],0)),"")</f>
        <v>Elijah Moore</v>
      </c>
      <c r="AQ210" s="119" t="str">
        <f>IFERROR(INDEX(TableOverallMaster[POS RK],MATCH(TableOverallRank[[#This Row],[OVERALL PLAYER]],TableOverallMaster[OVERALL PLAYER],0)),"")</f>
        <v>WR85</v>
      </c>
      <c r="AR210" s="120">
        <f>IFERROR(INDEX(TableOverallMaster[BYE],MATCH(TableOverallRank[[#This Row],[OVERALL PLAYER]],TableOverallMaster[OVERALL PLAYER],0)),"")</f>
        <v>5</v>
      </c>
      <c r="AS210" s="119">
        <f>IFERROR(INDEX(TableOverallMaster[Custom],MATCH(TableOverallRank[[#This Row],[OVERALL PLAYER]],TableOverallMaster[OVERALL PLAYER],0)),"")</f>
        <v>84.639138333749997</v>
      </c>
      <c r="AT210" s="121">
        <f>IFERROR(INDEX(TableOverallMaster[VORP],MATCH(TableOverallRank[[#This Row],[OVERALL PLAYER]],TableOverallMaster[OVERALL PLAYER],0)),"")</f>
        <v>-0.41386721445642766</v>
      </c>
      <c r="AV210">
        <v>209</v>
      </c>
      <c r="AW210" s="122" t="str">
        <f>IFERROR(INDEX(TableWRTECalcPts[PLAYER],MATCH(TableWRTERank[[#This Row],[RK]],TableWRTECalcPts[RK],0)),"")</f>
        <v>Johnny Mundt</v>
      </c>
      <c r="AX210" s="122" t="str">
        <f>IFERROR(INDEX(TableWRTECalcPts[POS RK],MATCH(TableWRTERank[[#This Row],[WR and TE COMBINED]],TableWRTECalcPts[PLAYER],0)),"")</f>
        <v>TE61</v>
      </c>
      <c r="AY210" s="122">
        <f>IFERROR(INDEX(TableWRTECalcPts[BYE],MATCH(TableWRTERank[[#This Row],[RK]],TableWRTECalcPts[RK],0)),"")</f>
        <v>13</v>
      </c>
      <c r="AZ210" s="123">
        <f>IFERROR(INDEX(TableWRTECalcPts[Custom],MATCH(TableWRTERank[[#This Row],[RK]],TableWRTECalcPts[RK],0)),"")</f>
        <v>19.988201519999997</v>
      </c>
      <c r="BA210" s="174">
        <f>IFERROR((TableWRTERank[[#This Row],[FPS]]-INDEX(TableWRTERank[FPS],MATCH(WRTEVORPCalc,TableWRTERank[RK],0)))/INDEX(TableWRTERank[FPS],MATCH(WRTEVORPCalc,TableWRTERank[RK],0)),"")</f>
        <v>-0.86610754586953187</v>
      </c>
      <c r="BC210" t="s">
        <v>10</v>
      </c>
      <c r="BD210">
        <v>9</v>
      </c>
      <c r="BE210" s="83">
        <f>RANK(TableWRTEMaster[[#This Row],[VORP]],TableWRTEMaster[VORP])+COUNTIF($BJ$2:BJ210,BJ210)-1</f>
        <v>53</v>
      </c>
      <c r="BF210" s="115" t="str">
        <f>IFERROR(INDEX(TableTEVORP[TIGHT END],MATCH(TableWRTEMaster[[#This Row],[RK]],TableTEVORP[RK],0)),"")</f>
        <v>Jake Ferguson</v>
      </c>
      <c r="BG210" s="115" t="str">
        <f>_xlfn.CONCAT(TableWRTEMaster[[#This Row],[POS]],TableWRTEMaster[[#This Row],[RK]])</f>
        <v>TE9</v>
      </c>
      <c r="BH210" s="115">
        <f>IFERROR(INDEX(TableTEVORP[BYE],MATCH(TableWRTEMaster[[#This Row],[RK]],TableTEVORP[RK],0)),"")</f>
        <v>7</v>
      </c>
      <c r="BI210" s="116">
        <f>IFERROR(INDEX(TableTEVORP[FPS],MATCH(TableWRTEMaster[[#This Row],[RK]],TableTEVORP[RK],0)),"")</f>
        <v>145.89143428607994</v>
      </c>
      <c r="BJ210" s="117">
        <f>IFERROR(INDEX(TableTEVORP[VORP],MATCH(TableWRTEMaster[[#This Row],[RK]],TableTEVORP[RK],0)),"")</f>
        <v>0.11077033856319402</v>
      </c>
    </row>
    <row r="211" spans="15:62" x14ac:dyDescent="0.2">
      <c r="O211">
        <v>210</v>
      </c>
      <c r="P211" s="112" t="str">
        <f>IFERROR(INDEX(TableWRCalcPts[PLAYER],MATCH(TableWRVORP[[#This Row],[RK]],TableWRCalcPts[RK],0)),"")</f>
        <v/>
      </c>
      <c r="Q211" s="112" t="str">
        <f>IFERROR(INDEX(TableWRCalcPts[TM],MATCH(TableWRVORP[[#This Row],[RK]],TableWRCalcPts[RK],0)),"")</f>
        <v/>
      </c>
      <c r="R211" s="112" t="str">
        <f>IFERROR(INDEX(TableWRCalcPts[BYE],MATCH(TableWRVORP[[#This Row],[RK]],TableWRCalcPts[RK],0)),"")</f>
        <v/>
      </c>
      <c r="S211" s="113" t="str">
        <f>IFERROR(INDEX(TableWRCalcPts[Custom],MATCH(TableWRVORP[[#This Row],[RK]],TableWRCalcPts[RK],0)),"")</f>
        <v/>
      </c>
      <c r="T211" s="114" t="str">
        <f>IFERROR((TableWRVORP[[#This Row],[FPS]]-INDEX(TableWRVORP[FPS],MATCH(WRVORPCalc,TableWRVORP[RK],0)))/INDEX(TableWRVORP[FPS],MATCH(WRVORPCalc,TableWRVORP[RK],0)),"")</f>
        <v/>
      </c>
      <c r="AF211" t="s">
        <v>223</v>
      </c>
      <c r="AG211">
        <v>70</v>
      </c>
      <c r="AH211" s="83">
        <f>RANK(TableOverallMaster[[#This Row],[VORP]],TableOverallMaster[VORP])+COUNTIF($AM$2:AM211,AM211)-1</f>
        <v>165</v>
      </c>
      <c r="AI211" s="115" t="str">
        <f>IFERROR(INDEX(TableWRVORP[WIDE RECEIVER],MATCH(TableOverallMaster[[#This Row],[RK]],TableWRVORP[RK],0)),"")</f>
        <v>Jermaine Burton</v>
      </c>
      <c r="AJ211" s="115" t="str">
        <f t="shared" si="3"/>
        <v>WR70</v>
      </c>
      <c r="AK211" s="115">
        <f>IFERROR(INDEX(TableWRVORP[BYE],MATCH(TableOverallMaster[[#This Row],[RK]],TableWRVORP[RK],0)),"")</f>
        <v>7</v>
      </c>
      <c r="AL211" s="116">
        <f>IFERROR(INDEX(TableWRVORP[FPS],MATCH(TableOverallMaster[[#This Row],[RK]],TableWRVORP[RK],0)),"")</f>
        <v>118.73828249010003</v>
      </c>
      <c r="AM211" s="117">
        <f>IFERROR(INDEX(TableWRVORP[VORP],MATCH(TableOverallMaster[[#This Row],[RK]],TableWRVORP[RK],0)),"")</f>
        <v>-0.17772792071501706</v>
      </c>
      <c r="AO211">
        <v>210</v>
      </c>
      <c r="AP211" s="118" t="str">
        <f>IFERROR(INDEX(TableOverallMaster[OVERALL PLAYER],MATCH(TableOverallRank[[#This Row],[RK]],TableOverallMaster[OVR RK],0)),"")</f>
        <v>Isaac Guerendo</v>
      </c>
      <c r="AQ211" s="119" t="str">
        <f>IFERROR(INDEX(TableOverallMaster[POS RK],MATCH(TableOverallRank[[#This Row],[OVERALL PLAYER]],TableOverallMaster[OVERALL PLAYER],0)),"")</f>
        <v>RB66</v>
      </c>
      <c r="AR211" s="120">
        <f>IFERROR(INDEX(TableOverallMaster[BYE],MATCH(TableOverallRank[[#This Row],[OVERALL PLAYER]],TableOverallMaster[OVERALL PLAYER],0)),"")</f>
        <v>9</v>
      </c>
      <c r="AS211" s="119">
        <f>IFERROR(INDEX(TableOverallMaster[Custom],MATCH(TableOverallRank[[#This Row],[OVERALL PLAYER]],TableOverallMaster[OVERALL PLAYER],0)),"")</f>
        <v>65.973710530123185</v>
      </c>
      <c r="AT211" s="121">
        <f>IFERROR(INDEX(TableOverallMaster[VORP],MATCH(TableOverallRank[[#This Row],[OVERALL PLAYER]],TableOverallMaster[OVERALL PLAYER],0)),"")</f>
        <v>-0.41470160440271997</v>
      </c>
      <c r="AV211">
        <v>210</v>
      </c>
      <c r="AW211" s="122" t="str">
        <f>IFERROR(INDEX(TableWRTECalcPts[PLAYER],MATCH(TableWRTERank[[#This Row],[RK]],TableWRTECalcPts[RK],0)),"")</f>
        <v>Jordan Akins</v>
      </c>
      <c r="AX211" s="122" t="str">
        <f>IFERROR(INDEX(TableWRTECalcPts[POS RK],MATCH(TableWRTERank[[#This Row],[WR and TE COMBINED]],TableWRTECalcPts[PLAYER],0)),"")</f>
        <v>TE62</v>
      </c>
      <c r="AY211" s="122">
        <f>IFERROR(INDEX(TableWRTECalcPts[BYE],MATCH(TableWRTERank[[#This Row],[RK]],TableWRTECalcPts[RK],0)),"")</f>
        <v>5</v>
      </c>
      <c r="AZ211" s="123">
        <f>IFERROR(INDEX(TableWRTECalcPts[Custom],MATCH(TableWRTERank[[#This Row],[RK]],TableWRTECalcPts[RK],0)),"")</f>
        <v>19.760745571875002</v>
      </c>
      <c r="BA211" s="174">
        <f>IFERROR((TableWRTERank[[#This Row],[FPS]]-INDEX(TableWRTERank[FPS],MATCH(WRTEVORPCalc,TableWRTERank[RK],0)))/INDEX(TableWRTERank[FPS],MATCH(WRTEVORPCalc,TableWRTERank[RK],0)),"")</f>
        <v>-0.86763117645083032</v>
      </c>
      <c r="BC211" t="s">
        <v>10</v>
      </c>
      <c r="BD211">
        <v>10</v>
      </c>
      <c r="BE211" s="83">
        <f>RANK(TableWRTEMaster[[#This Row],[VORP]],TableWRTEMaster[VORP])+COUNTIF($BJ$2:BJ211,BJ211)-1</f>
        <v>57</v>
      </c>
      <c r="BF211" s="115" t="str">
        <f>IFERROR(INDEX(TableTEVORP[TIGHT END],MATCH(TableWRTEMaster[[#This Row],[RK]],TableTEVORP[RK],0)),"")</f>
        <v>Evan Engram</v>
      </c>
      <c r="BG211" s="115" t="str">
        <f>_xlfn.CONCAT(TableWRTEMaster[[#This Row],[POS]],TableWRTEMaster[[#This Row],[RK]])</f>
        <v>TE10</v>
      </c>
      <c r="BH211" s="115">
        <f>IFERROR(INDEX(TableTEVORP[BYE],MATCH(TableWRTEMaster[[#This Row],[RK]],TableTEVORP[RK],0)),"")</f>
        <v>9</v>
      </c>
      <c r="BI211" s="116">
        <f>IFERROR(INDEX(TableTEVORP[FPS],MATCH(TableWRTEMaster[[#This Row],[RK]],TableTEVORP[RK],0)),"")</f>
        <v>142.99224053587196</v>
      </c>
      <c r="BJ211" s="117">
        <f>IFERROR(INDEX(TableTEVORP[VORP],MATCH(TableWRTEMaster[[#This Row],[RK]],TableTEVORP[RK],0)),"")</f>
        <v>8.8696812182172735E-2</v>
      </c>
    </row>
    <row r="212" spans="15:62" x14ac:dyDescent="0.2">
      <c r="O212">
        <v>211</v>
      </c>
      <c r="P212" s="112" t="str">
        <f>IFERROR(INDEX(TableWRCalcPts[PLAYER],MATCH(TableWRVORP[[#This Row],[RK]],TableWRCalcPts[RK],0)),"")</f>
        <v/>
      </c>
      <c r="Q212" s="112" t="str">
        <f>IFERROR(INDEX(TableWRCalcPts[TM],MATCH(TableWRVORP[[#This Row],[RK]],TableWRCalcPts[RK],0)),"")</f>
        <v/>
      </c>
      <c r="R212" s="112" t="str">
        <f>IFERROR(INDEX(TableWRCalcPts[BYE],MATCH(TableWRVORP[[#This Row],[RK]],TableWRCalcPts[RK],0)),"")</f>
        <v/>
      </c>
      <c r="S212" s="113" t="str">
        <f>IFERROR(INDEX(TableWRCalcPts[Custom],MATCH(TableWRVORP[[#This Row],[RK]],TableWRCalcPts[RK],0)),"")</f>
        <v/>
      </c>
      <c r="T212" s="114" t="str">
        <f>IFERROR((TableWRVORP[[#This Row],[FPS]]-INDEX(TableWRVORP[FPS],MATCH(WRVORPCalc,TableWRVORP[RK],0)))/INDEX(TableWRVORP[FPS],MATCH(WRVORPCalc,TableWRVORP[RK],0)),"")</f>
        <v/>
      </c>
      <c r="AF212" t="s">
        <v>223</v>
      </c>
      <c r="AG212">
        <v>71</v>
      </c>
      <c r="AH212" s="83">
        <f>RANK(TableOverallMaster[[#This Row],[VORP]],TableOverallMaster[VORP])+COUNTIF($AM$2:AM212,AM212)-1</f>
        <v>167</v>
      </c>
      <c r="AI212" s="115" t="str">
        <f>IFERROR(INDEX(TableWRVORP[WIDE RECEIVER],MATCH(TableOverallMaster[[#This Row],[RK]],TableWRVORP[RK],0)),"")</f>
        <v>Adam Thielen</v>
      </c>
      <c r="AJ212" s="115" t="str">
        <f t="shared" si="3"/>
        <v>WR71</v>
      </c>
      <c r="AK212" s="115">
        <f>IFERROR(INDEX(TableWRVORP[BYE],MATCH(TableOverallMaster[[#This Row],[RK]],TableWRVORP[RK],0)),"")</f>
        <v>7</v>
      </c>
      <c r="AL212" s="116">
        <f>IFERROR(INDEX(TableWRVORP[FPS],MATCH(TableOverallMaster[[#This Row],[RK]],TableWRVORP[RK],0)),"")</f>
        <v>117.82870796050199</v>
      </c>
      <c r="AM212" s="117">
        <f>IFERROR(INDEX(TableWRVORP[VORP],MATCH(TableOverallMaster[[#This Row],[RK]],TableWRVORP[RK],0)),"")</f>
        <v>-0.18402679689911214</v>
      </c>
      <c r="AO212">
        <v>211</v>
      </c>
      <c r="AP212" s="118" t="str">
        <f>IFERROR(INDEX(TableOverallMaster[OVERALL PLAYER],MATCH(TableOverallRank[[#This Row],[RK]],TableOverallMaster[OVR RK],0)),"")</f>
        <v>Dylan Laube</v>
      </c>
      <c r="AQ212" s="119" t="str">
        <f>IFERROR(INDEX(TableOverallMaster[POS RK],MATCH(TableOverallRank[[#This Row],[OVERALL PLAYER]],TableOverallMaster[OVERALL PLAYER],0)),"")</f>
        <v>RB67</v>
      </c>
      <c r="AR212" s="120">
        <f>IFERROR(INDEX(TableOverallMaster[BYE],MATCH(TableOverallRank[[#This Row],[OVERALL PLAYER]],TableOverallMaster[OVERALL PLAYER],0)),"")</f>
        <v>13</v>
      </c>
      <c r="AS212" s="119">
        <f>IFERROR(INDEX(TableOverallMaster[Custom],MATCH(TableOverallRank[[#This Row],[OVERALL PLAYER]],TableOverallMaster[OVERALL PLAYER],0)),"")</f>
        <v>65.827752244799996</v>
      </c>
      <c r="AT212" s="121">
        <f>IFERROR(INDEX(TableOverallMaster[VORP],MATCH(TableOverallRank[[#This Row],[OVERALL PLAYER]],TableOverallMaster[OVERALL PLAYER],0)),"")</f>
        <v>-0.41599650125689625</v>
      </c>
      <c r="AV212">
        <v>211</v>
      </c>
      <c r="AW212" s="122" t="str">
        <f>IFERROR(INDEX(TableWRTECalcPts[PLAYER],MATCH(TableWRTERank[[#This Row],[RK]],TableWRTECalcPts[RK],0)),"")</f>
        <v>Olamide Zaccheaus</v>
      </c>
      <c r="AX212" s="122" t="str">
        <f>IFERROR(INDEX(TableWRTECalcPts[POS RK],MATCH(TableWRTERank[[#This Row],[WR and TE COMBINED]],TableWRTECalcPts[PLAYER],0)),"")</f>
        <v>WR149</v>
      </c>
      <c r="AY212" s="122">
        <f>IFERROR(INDEX(TableWRTECalcPts[BYE],MATCH(TableWRTERank[[#This Row],[RK]],TableWRTECalcPts[RK],0)),"")</f>
        <v>14</v>
      </c>
      <c r="AZ212" s="123">
        <f>IFERROR(INDEX(TableWRTECalcPts[Custom],MATCH(TableWRTERank[[#This Row],[RK]],TableWRTECalcPts[RK],0)),"")</f>
        <v>19.369401620183996</v>
      </c>
      <c r="BA212" s="174">
        <f>IFERROR((TableWRTERank[[#This Row],[FPS]]-INDEX(TableWRTERank[FPS],MATCH(WRTEVORPCalc,TableWRTERank[RK],0)))/INDEX(TableWRTERank[FPS],MATCH(WRTEVORPCalc,TableWRTERank[RK],0)),"")</f>
        <v>-0.87025262301012152</v>
      </c>
      <c r="BC212" t="s">
        <v>10</v>
      </c>
      <c r="BD212">
        <v>11</v>
      </c>
      <c r="BE212" s="83">
        <f>RANK(TableWRTEMaster[[#This Row],[VORP]],TableWRTEMaster[VORP])+COUNTIF($BJ$2:BJ212,BJ212)-1</f>
        <v>66</v>
      </c>
      <c r="BF212" s="115" t="str">
        <f>IFERROR(INDEX(TableTEVORP[TIGHT END],MATCH(TableWRTEMaster[[#This Row],[RK]],TableTEVORP[RK],0)),"")</f>
        <v>Dallas Goedert</v>
      </c>
      <c r="BG212" s="115" t="str">
        <f>_xlfn.CONCAT(TableWRTEMaster[[#This Row],[POS]],TableWRTEMaster[[#This Row],[RK]])</f>
        <v>TE11</v>
      </c>
      <c r="BH212" s="115">
        <f>IFERROR(INDEX(TableTEVORP[BYE],MATCH(TableWRTEMaster[[#This Row],[RK]],TableTEVORP[RK],0)),"")</f>
        <v>10</v>
      </c>
      <c r="BI212" s="116">
        <f>IFERROR(INDEX(TableTEVORP[FPS],MATCH(TableWRTEMaster[[#This Row],[RK]],TableTEVORP[RK],0)),"")</f>
        <v>131.42193465491999</v>
      </c>
      <c r="BJ212" s="117">
        <f>IFERROR(INDEX(TableTEVORP[VORP],MATCH(TableWRTEMaster[[#This Row],[RK]],TableTEVORP[RK],0)),"")</f>
        <v>6.0423400199521805E-4</v>
      </c>
    </row>
    <row r="213" spans="15:62" x14ac:dyDescent="0.2">
      <c r="O213">
        <v>212</v>
      </c>
      <c r="P213" s="112" t="str">
        <f>IFERROR(INDEX(TableWRCalcPts[PLAYER],MATCH(TableWRVORP[[#This Row],[RK]],TableWRCalcPts[RK],0)),"")</f>
        <v/>
      </c>
      <c r="Q213" s="112" t="str">
        <f>IFERROR(INDEX(TableWRCalcPts[TM],MATCH(TableWRVORP[[#This Row],[RK]],TableWRCalcPts[RK],0)),"")</f>
        <v/>
      </c>
      <c r="R213" s="112" t="str">
        <f>IFERROR(INDEX(TableWRCalcPts[BYE],MATCH(TableWRVORP[[#This Row],[RK]],TableWRCalcPts[RK],0)),"")</f>
        <v/>
      </c>
      <c r="S213" s="113" t="str">
        <f>IFERROR(INDEX(TableWRCalcPts[Custom],MATCH(TableWRVORP[[#This Row],[RK]],TableWRCalcPts[RK],0)),"")</f>
        <v/>
      </c>
      <c r="T213" s="114" t="str">
        <f>IFERROR((TableWRVORP[[#This Row],[FPS]]-INDEX(TableWRVORP[FPS],MATCH(WRVORPCalc,TableWRVORP[RK],0)))/INDEX(TableWRVORP[FPS],MATCH(WRVORPCalc,TableWRVORP[RK],0)),"")</f>
        <v/>
      </c>
      <c r="AF213" t="s">
        <v>223</v>
      </c>
      <c r="AG213">
        <v>72</v>
      </c>
      <c r="AH213" s="83">
        <f>RANK(TableOverallMaster[[#This Row],[VORP]],TableOverallMaster[VORP])+COUNTIF($AM$2:AM213,AM213)-1</f>
        <v>171</v>
      </c>
      <c r="AI213" s="115" t="str">
        <f>IFERROR(INDEX(TableWRVORP[WIDE RECEIVER],MATCH(TableOverallMaster[[#This Row],[RK]],TableWRVORP[RK],0)),"")</f>
        <v>Malachi Corley</v>
      </c>
      <c r="AJ213" s="115" t="str">
        <f t="shared" si="3"/>
        <v>WR72</v>
      </c>
      <c r="AK213" s="115">
        <f>IFERROR(INDEX(TableWRVORP[BYE],MATCH(TableOverallMaster[[#This Row],[RK]],TableWRVORP[RK],0)),"")</f>
        <v>7</v>
      </c>
      <c r="AL213" s="116">
        <f>IFERROR(INDEX(TableWRVORP[FPS],MATCH(TableOverallMaster[[#This Row],[RK]],TableWRVORP[RK],0)),"")</f>
        <v>115.7540979246848</v>
      </c>
      <c r="AM213" s="117">
        <f>IFERROR(INDEX(TableWRVORP[VORP],MATCH(TableOverallMaster[[#This Row],[RK]],TableWRVORP[RK],0)),"")</f>
        <v>-0.19839363691129711</v>
      </c>
      <c r="AO213">
        <v>212</v>
      </c>
      <c r="AP213" s="118" t="str">
        <f>IFERROR(INDEX(TableOverallMaster[OVERALL PLAYER],MATCH(TableOverallRank[[#This Row],[RK]],TableOverallMaster[OVR RK],0)),"")</f>
        <v>Jalen Tolbert</v>
      </c>
      <c r="AQ213" s="119" t="str">
        <f>IFERROR(INDEX(TableOverallMaster[POS RK],MATCH(TableOverallRank[[#This Row],[OVERALL PLAYER]],TableOverallMaster[OVERALL PLAYER],0)),"")</f>
        <v>WR86</v>
      </c>
      <c r="AR213" s="120">
        <f>IFERROR(INDEX(TableOverallMaster[BYE],MATCH(TableOverallRank[[#This Row],[OVERALL PLAYER]],TableOverallMaster[OVERALL PLAYER],0)),"")</f>
        <v>7</v>
      </c>
      <c r="AS213" s="119">
        <f>IFERROR(INDEX(TableOverallMaster[Custom],MATCH(TableOverallRank[[#This Row],[OVERALL PLAYER]],TableOverallMaster[OVERALL PLAYER],0)),"")</f>
        <v>84.097540023587982</v>
      </c>
      <c r="AT213" s="121">
        <f>IFERROR(INDEX(TableOverallMaster[VORP],MATCH(TableOverallRank[[#This Row],[OVERALL PLAYER]],TableOverallMaster[OVERALL PLAYER],0)),"")</f>
        <v>-0.41761782596347286</v>
      </c>
      <c r="AV213">
        <v>212</v>
      </c>
      <c r="AW213" s="122" t="str">
        <f>IFERROR(INDEX(TableWRTECalcPts[PLAYER],MATCH(TableWRTERank[[#This Row],[RK]],TableWRTECalcPts[RK],0)),"")</f>
        <v>Nick Westbrook-Ikhine</v>
      </c>
      <c r="AX213" s="122" t="str">
        <f>IFERROR(INDEX(TableWRTECalcPts[POS RK],MATCH(TableWRTERank[[#This Row],[WR and TE COMBINED]],TableWRTECalcPts[PLAYER],0)),"")</f>
        <v>WR150</v>
      </c>
      <c r="AY213" s="122">
        <f>IFERROR(INDEX(TableWRTECalcPts[BYE],MATCH(TableWRTERank[[#This Row],[RK]],TableWRTECalcPts[RK],0)),"")</f>
        <v>7</v>
      </c>
      <c r="AZ213" s="123">
        <f>IFERROR(INDEX(TableWRTECalcPts[Custom],MATCH(TableWRTERank[[#This Row],[RK]],TableWRTECalcPts[RK],0)),"")</f>
        <v>19.367230632749994</v>
      </c>
      <c r="BA213" s="174">
        <f>IFERROR((TableWRTERank[[#This Row],[FPS]]-INDEX(TableWRTERank[FPS],MATCH(WRTEVORPCalc,TableWRTERank[RK],0)))/INDEX(TableWRTERank[FPS],MATCH(WRTEVORPCalc,TableWRTERank[RK],0)),"")</f>
        <v>-0.8702671655308748</v>
      </c>
      <c r="BC213" t="s">
        <v>10</v>
      </c>
      <c r="BD213">
        <v>12</v>
      </c>
      <c r="BE213" s="83">
        <f>RANK(TableWRTEMaster[[#This Row],[VORP]],TableWRTEMaster[VORP])+COUNTIF($BJ$2:BJ213,BJ213)-1</f>
        <v>69</v>
      </c>
      <c r="BF213" s="115" t="str">
        <f>IFERROR(INDEX(TableTEVORP[TIGHT END],MATCH(TableWRTEMaster[[#This Row],[RK]],TableTEVORP[RK],0)),"")</f>
        <v>Brock Bowers</v>
      </c>
      <c r="BG213" s="115" t="str">
        <f>_xlfn.CONCAT(TableWRTEMaster[[#This Row],[POS]],TableWRTEMaster[[#This Row],[RK]])</f>
        <v>TE12</v>
      </c>
      <c r="BH213" s="115">
        <f>IFERROR(INDEX(TableTEVORP[BYE],MATCH(TableWRTEMaster[[#This Row],[RK]],TableTEVORP[RK],0)),"")</f>
        <v>13</v>
      </c>
      <c r="BI213" s="116">
        <f>IFERROR(INDEX(TableTEVORP[FPS],MATCH(TableWRTEMaster[[#This Row],[RK]],TableTEVORP[RK],0)),"")</f>
        <v>131.34257300639999</v>
      </c>
      <c r="BJ213" s="117">
        <f>IFERROR(INDEX(TableTEVORP[VORP],MATCH(TableWRTEMaster[[#This Row],[RK]],TableTEVORP[RK],0)),"")</f>
        <v>0</v>
      </c>
    </row>
    <row r="214" spans="15:62" x14ac:dyDescent="0.2">
      <c r="O214">
        <v>213</v>
      </c>
      <c r="P214" s="112" t="str">
        <f>IFERROR(INDEX(TableWRCalcPts[PLAYER],MATCH(TableWRVORP[[#This Row],[RK]],TableWRCalcPts[RK],0)),"")</f>
        <v/>
      </c>
      <c r="Q214" s="112" t="str">
        <f>IFERROR(INDEX(TableWRCalcPts[TM],MATCH(TableWRVORP[[#This Row],[RK]],TableWRCalcPts[RK],0)),"")</f>
        <v/>
      </c>
      <c r="R214" s="112" t="str">
        <f>IFERROR(INDEX(TableWRCalcPts[BYE],MATCH(TableWRVORP[[#This Row],[RK]],TableWRCalcPts[RK],0)),"")</f>
        <v/>
      </c>
      <c r="S214" s="113" t="str">
        <f>IFERROR(INDEX(TableWRCalcPts[Custom],MATCH(TableWRVORP[[#This Row],[RK]],TableWRCalcPts[RK],0)),"")</f>
        <v/>
      </c>
      <c r="T214" s="114" t="str">
        <f>IFERROR((TableWRVORP[[#This Row],[FPS]]-INDEX(TableWRVORP[FPS],MATCH(WRVORPCalc,TableWRVORP[RK],0)))/INDEX(TableWRVORP[FPS],MATCH(WRVORPCalc,TableWRVORP[RK],0)),"")</f>
        <v/>
      </c>
      <c r="AF214" t="s">
        <v>223</v>
      </c>
      <c r="AG214">
        <v>73</v>
      </c>
      <c r="AH214" s="83">
        <f>RANK(TableOverallMaster[[#This Row],[VORP]],TableOverallMaster[VORP])+COUNTIF($AM$2:AM214,AM214)-1</f>
        <v>172</v>
      </c>
      <c r="AI214" s="115" t="str">
        <f>IFERROR(INDEX(TableWRVORP[WIDE RECEIVER],MATCH(TableOverallMaster[[#This Row],[RK]],TableWRVORP[RK],0)),"")</f>
        <v>Adonai Mitchell</v>
      </c>
      <c r="AJ214" s="115" t="str">
        <f t="shared" si="3"/>
        <v>WR73</v>
      </c>
      <c r="AK214" s="115">
        <f>IFERROR(INDEX(TableWRVORP[BYE],MATCH(TableOverallMaster[[#This Row],[RK]],TableWRVORP[RK],0)),"")</f>
        <v>11</v>
      </c>
      <c r="AL214" s="116">
        <f>IFERROR(INDEX(TableWRVORP[FPS],MATCH(TableOverallMaster[[#This Row],[RK]],TableWRVORP[RK],0)),"")</f>
        <v>114.04083314624</v>
      </c>
      <c r="AM214" s="117">
        <f>IFERROR(INDEX(TableWRVORP[VORP],MATCH(TableOverallMaster[[#This Row],[RK]],TableWRVORP[RK],0)),"")</f>
        <v>-0.21025813218774669</v>
      </c>
      <c r="AO214">
        <v>213</v>
      </c>
      <c r="AP214" s="118" t="str">
        <f>IFERROR(INDEX(TableOverallMaster[OVERALL PLAYER],MATCH(TableOverallRank[[#This Row],[RK]],TableOverallMaster[OVR RK],0)),"")</f>
        <v>Andrei Iosivas</v>
      </c>
      <c r="AQ214" s="119" t="str">
        <f>IFERROR(INDEX(TableOverallMaster[POS RK],MATCH(TableOverallRank[[#This Row],[OVERALL PLAYER]],TableOverallMaster[OVERALL PLAYER],0)),"")</f>
        <v>WR87</v>
      </c>
      <c r="AR214" s="120">
        <f>IFERROR(INDEX(TableOverallMaster[BYE],MATCH(TableOverallRank[[#This Row],[OVERALL PLAYER]],TableOverallMaster[OVERALL PLAYER],0)),"")</f>
        <v>7</v>
      </c>
      <c r="AS214" s="119">
        <f>IFERROR(INDEX(TableOverallMaster[Custom],MATCH(TableOverallRank[[#This Row],[OVERALL PLAYER]],TableOverallMaster[OVERALL PLAYER],0)),"")</f>
        <v>83.809426032359994</v>
      </c>
      <c r="AT214" s="121">
        <f>IFERROR(INDEX(TableOverallMaster[VORP],MATCH(TableOverallRank[[#This Row],[OVERALL PLAYER]],TableOverallMaster[OVERALL PLAYER],0)),"")</f>
        <v>-0.41961303833870561</v>
      </c>
      <c r="AV214">
        <v>213</v>
      </c>
      <c r="AW214" s="122" t="str">
        <f>IFERROR(INDEX(TableWRTECalcPts[PLAYER],MATCH(TableWRTERank[[#This Row],[RK]],TableWRTECalcPts[RK],0)),"")</f>
        <v>Isaiah McKenzie</v>
      </c>
      <c r="AX214" s="122" t="str">
        <f>IFERROR(INDEX(TableWRTECalcPts[POS RK],MATCH(TableWRTERank[[#This Row],[WR and TE COMBINED]],TableWRTECalcPts[PLAYER],0)),"")</f>
        <v>WR151</v>
      </c>
      <c r="AY214" s="122">
        <f>IFERROR(INDEX(TableWRTECalcPts[BYE],MATCH(TableWRTERank[[#This Row],[RK]],TableWRTECalcPts[RK],0)),"")</f>
        <v>13</v>
      </c>
      <c r="AZ214" s="123">
        <f>IFERROR(INDEX(TableWRTECalcPts[Custom],MATCH(TableWRTERank[[#This Row],[RK]],TableWRTECalcPts[RK],0)),"")</f>
        <v>18.749416291199992</v>
      </c>
      <c r="BA214" s="174">
        <f>IFERROR((TableWRTERank[[#This Row],[FPS]]-INDEX(TableWRTERank[FPS],MATCH(WRTEVORPCalc,TableWRTERank[RK],0)))/INDEX(TableWRTERank[FPS],MATCH(WRTEVORPCalc,TableWRTERank[RK],0)),"")</f>
        <v>-0.87440564083613714</v>
      </c>
      <c r="BC214" t="s">
        <v>10</v>
      </c>
      <c r="BD214">
        <v>13</v>
      </c>
      <c r="BE214" s="83">
        <f>RANK(TableWRTEMaster[[#This Row],[VORP]],TableWRTEMaster[VORP])+COUNTIF($BJ$2:BJ214,BJ214)-1</f>
        <v>77</v>
      </c>
      <c r="BF214" s="115" t="str">
        <f>IFERROR(INDEX(TableTEVORP[TIGHT END],MATCH(TableWRTEMaster[[#This Row],[RK]],TableTEVORP[RK],0)),"")</f>
        <v>T.J. Hockenson</v>
      </c>
      <c r="BG214" s="115" t="str">
        <f>_xlfn.CONCAT(TableWRTEMaster[[#This Row],[POS]],TableWRTEMaster[[#This Row],[RK]])</f>
        <v>TE13</v>
      </c>
      <c r="BH214" s="115">
        <f>IFERROR(INDEX(TableTEVORP[BYE],MATCH(TableWRTEMaster[[#This Row],[RK]],TableTEVORP[RK],0)),"")</f>
        <v>13</v>
      </c>
      <c r="BI214" s="116">
        <f>IFERROR(INDEX(TableTEVORP[FPS],MATCH(TableWRTEMaster[[#This Row],[RK]],TableTEVORP[RK],0)),"")</f>
        <v>122.60684427264</v>
      </c>
      <c r="BJ214" s="117">
        <f>IFERROR(INDEX(TableTEVORP[VORP],MATCH(TableWRTEMaster[[#This Row],[RK]],TableTEVORP[RK],0)),"")</f>
        <v>-6.6511021779163057E-2</v>
      </c>
    </row>
    <row r="215" spans="15:62" x14ac:dyDescent="0.2">
      <c r="O215">
        <v>214</v>
      </c>
      <c r="P215" s="112" t="str">
        <f>IFERROR(INDEX(TableWRCalcPts[PLAYER],MATCH(TableWRVORP[[#This Row],[RK]],TableWRCalcPts[RK],0)),"")</f>
        <v/>
      </c>
      <c r="Q215" s="112" t="str">
        <f>IFERROR(INDEX(TableWRCalcPts[TM],MATCH(TableWRVORP[[#This Row],[RK]],TableWRCalcPts[RK],0)),"")</f>
        <v/>
      </c>
      <c r="R215" s="112" t="str">
        <f>IFERROR(INDEX(TableWRCalcPts[BYE],MATCH(TableWRVORP[[#This Row],[RK]],TableWRCalcPts[RK],0)),"")</f>
        <v/>
      </c>
      <c r="S215" s="113" t="str">
        <f>IFERROR(INDEX(TableWRCalcPts[Custom],MATCH(TableWRVORP[[#This Row],[RK]],TableWRCalcPts[RK],0)),"")</f>
        <v/>
      </c>
      <c r="T215" s="114" t="str">
        <f>IFERROR((TableWRVORP[[#This Row],[FPS]]-INDEX(TableWRVORP[FPS],MATCH(WRVORPCalc,TableWRVORP[RK],0)))/INDEX(TableWRVORP[FPS],MATCH(WRVORPCalc,TableWRVORP[RK],0)),"")</f>
        <v/>
      </c>
      <c r="AF215" t="s">
        <v>223</v>
      </c>
      <c r="AG215">
        <v>74</v>
      </c>
      <c r="AH215" s="83">
        <f>RANK(TableOverallMaster[[#This Row],[VORP]],TableOverallMaster[VORP])+COUNTIF($AM$2:AM215,AM215)-1</f>
        <v>176</v>
      </c>
      <c r="AI215" s="115" t="str">
        <f>IFERROR(INDEX(TableWRVORP[WIDE RECEIVER],MATCH(TableOverallMaster[[#This Row],[RK]],TableWRVORP[RK],0)),"")</f>
        <v>Demario Douglas</v>
      </c>
      <c r="AJ215" s="115" t="str">
        <f t="shared" si="3"/>
        <v>WR74</v>
      </c>
      <c r="AK215" s="115">
        <f>IFERROR(INDEX(TableWRVORP[BYE],MATCH(TableOverallMaster[[#This Row],[RK]],TableWRVORP[RK],0)),"")</f>
        <v>11</v>
      </c>
      <c r="AL215" s="116">
        <f>IFERROR(INDEX(TableWRVORP[FPS],MATCH(TableOverallMaster[[#This Row],[RK]],TableWRVORP[RK],0)),"")</f>
        <v>106.29055499999998</v>
      </c>
      <c r="AM215" s="117">
        <f>IFERROR(INDEX(TableWRVORP[VORP],MATCH(TableOverallMaster[[#This Row],[RK]],TableWRVORP[RK],0)),"")</f>
        <v>-0.26392942667423286</v>
      </c>
      <c r="AO215">
        <v>214</v>
      </c>
      <c r="AP215" s="118" t="str">
        <f>IFERROR(INDEX(TableOverallMaster[OVERALL PLAYER],MATCH(TableOverallRank[[#This Row],[RK]],TableOverallMaster[OVR RK],0)),"")</f>
        <v>Luke McCaffrey</v>
      </c>
      <c r="AQ215" s="119" t="str">
        <f>IFERROR(INDEX(TableOverallMaster[POS RK],MATCH(TableOverallRank[[#This Row],[OVERALL PLAYER]],TableOverallMaster[OVERALL PLAYER],0)),"")</f>
        <v>WR88</v>
      </c>
      <c r="AR215" s="120">
        <f>IFERROR(INDEX(TableOverallMaster[BYE],MATCH(TableOverallRank[[#This Row],[OVERALL PLAYER]],TableOverallMaster[OVERALL PLAYER],0)),"")</f>
        <v>14</v>
      </c>
      <c r="AS215" s="119">
        <f>IFERROR(INDEX(TableOverallMaster[Custom],MATCH(TableOverallRank[[#This Row],[OVERALL PLAYER]],TableOverallMaster[OVERALL PLAYER],0)),"")</f>
        <v>82.713069507515968</v>
      </c>
      <c r="AT215" s="121">
        <f>IFERROR(INDEX(TableOverallMaster[VORP],MATCH(TableOverallRank[[#This Row],[OVERALL PLAYER]],TableOverallMaster[OVERALL PLAYER],0)),"")</f>
        <v>-0.42720539474150537</v>
      </c>
      <c r="AV215">
        <v>214</v>
      </c>
      <c r="AW215" s="122" t="str">
        <f>IFERROR(INDEX(TableWRTECalcPts[PLAYER],MATCH(TableWRTERank[[#This Row],[RK]],TableWRTECalcPts[RK],0)),"")</f>
        <v>Gunner Olszewski</v>
      </c>
      <c r="AX215" s="122" t="str">
        <f>IFERROR(INDEX(TableWRTECalcPts[POS RK],MATCH(TableWRTERank[[#This Row],[WR and TE COMBINED]],TableWRTECalcPts[PLAYER],0)),"")</f>
        <v>WR152</v>
      </c>
      <c r="AY215" s="122">
        <f>IFERROR(INDEX(TableWRTECalcPts[BYE],MATCH(TableWRTERank[[#This Row],[RK]],TableWRTECalcPts[RK],0)),"")</f>
        <v>13</v>
      </c>
      <c r="AZ215" s="123">
        <f>IFERROR(INDEX(TableWRTECalcPts[Custom],MATCH(TableWRTERank[[#This Row],[RK]],TableWRTECalcPts[RK],0)),"")</f>
        <v>18.156214419839991</v>
      </c>
      <c r="BA215" s="174">
        <f>IFERROR((TableWRTERank[[#This Row],[FPS]]-INDEX(TableWRTERank[FPS],MATCH(WRTEVORPCalc,TableWRTERank[RK],0)))/INDEX(TableWRTERank[FPS],MATCH(WRTEVORPCalc,TableWRTERank[RK],0)),"")</f>
        <v>-0.87837924767973963</v>
      </c>
      <c r="BC215" t="s">
        <v>10</v>
      </c>
      <c r="BD215">
        <v>14</v>
      </c>
      <c r="BE215" s="83">
        <f>RANK(TableWRTEMaster[[#This Row],[VORP]],TableWRTEMaster[VORP])+COUNTIF($BJ$2:BJ215,BJ215)-1</f>
        <v>83</v>
      </c>
      <c r="BF215" s="115" t="str">
        <f>IFERROR(INDEX(TableTEVORP[TIGHT END],MATCH(TableWRTEMaster[[#This Row],[RK]],TableTEVORP[RK],0)),"")</f>
        <v>Cole Kmet</v>
      </c>
      <c r="BG215" s="115" t="str">
        <f>_xlfn.CONCAT(TableWRTEMaster[[#This Row],[POS]],TableWRTEMaster[[#This Row],[RK]])</f>
        <v>TE14</v>
      </c>
      <c r="BH215" s="115">
        <f>IFERROR(INDEX(TableTEVORP[BYE],MATCH(TableWRTEMaster[[#This Row],[RK]],TableTEVORP[RK],0)),"")</f>
        <v>13</v>
      </c>
      <c r="BI215" s="116">
        <f>IFERROR(INDEX(TableTEVORP[FPS],MATCH(TableWRTEMaster[[#This Row],[RK]],TableTEVORP[RK],0)),"")</f>
        <v>113.3588619576</v>
      </c>
      <c r="BJ215" s="117">
        <f>IFERROR(INDEX(TableTEVORP[VORP],MATCH(TableWRTEMaster[[#This Row],[RK]],TableTEVORP[RK],0)),"")</f>
        <v>-0.13692217715213856</v>
      </c>
    </row>
    <row r="216" spans="15:62" x14ac:dyDescent="0.2">
      <c r="O216">
        <v>215</v>
      </c>
      <c r="P216" s="112" t="str">
        <f>IFERROR(INDEX(TableWRCalcPts[PLAYER],MATCH(TableWRVORP[[#This Row],[RK]],TableWRCalcPts[RK],0)),"")</f>
        <v/>
      </c>
      <c r="Q216" s="112" t="str">
        <f>IFERROR(INDEX(TableWRCalcPts[TM],MATCH(TableWRVORP[[#This Row],[RK]],TableWRCalcPts[RK],0)),"")</f>
        <v/>
      </c>
      <c r="R216" s="112" t="str">
        <f>IFERROR(INDEX(TableWRCalcPts[BYE],MATCH(TableWRVORP[[#This Row],[RK]],TableWRCalcPts[RK],0)),"")</f>
        <v/>
      </c>
      <c r="S216" s="113" t="str">
        <f>IFERROR(INDEX(TableWRCalcPts[Custom],MATCH(TableWRVORP[[#This Row],[RK]],TableWRCalcPts[RK],0)),"")</f>
        <v/>
      </c>
      <c r="T216" s="114" t="str">
        <f>IFERROR((TableWRVORP[[#This Row],[FPS]]-INDEX(TableWRVORP[FPS],MATCH(WRVORPCalc,TableWRVORP[RK],0)))/INDEX(TableWRVORP[FPS],MATCH(WRVORPCalc,TableWRVORP[RK],0)),"")</f>
        <v/>
      </c>
      <c r="AF216" t="s">
        <v>223</v>
      </c>
      <c r="AG216">
        <v>75</v>
      </c>
      <c r="AH216" s="83">
        <f>RANK(TableOverallMaster[[#This Row],[VORP]],TableOverallMaster[VORP])+COUNTIF($AM$2:AM216,AM216)-1</f>
        <v>178</v>
      </c>
      <c r="AI216" s="115" t="str">
        <f>IFERROR(INDEX(TableWRVORP[WIDE RECEIVER],MATCH(TableOverallMaster[[#This Row],[RK]],TableWRVORP[RK],0)),"")</f>
        <v>Josh Reynolds</v>
      </c>
      <c r="AJ216" s="115" t="str">
        <f t="shared" si="3"/>
        <v>WR75</v>
      </c>
      <c r="AK216" s="115">
        <f>IFERROR(INDEX(TableWRVORP[BYE],MATCH(TableOverallMaster[[#This Row],[RK]],TableWRVORP[RK],0)),"")</f>
        <v>9</v>
      </c>
      <c r="AL216" s="116">
        <f>IFERROR(INDEX(TableWRVORP[FPS],MATCH(TableOverallMaster[[#This Row],[RK]],TableWRVORP[RK],0)),"")</f>
        <v>105.31443284480997</v>
      </c>
      <c r="AM216" s="117">
        <f>IFERROR(INDEX(TableWRVORP[VORP],MATCH(TableOverallMaster[[#This Row],[RK]],TableWRVORP[RK],0)),"")</f>
        <v>-0.27068915047477843</v>
      </c>
      <c r="AO216">
        <v>215</v>
      </c>
      <c r="AP216" s="118" t="str">
        <f>IFERROR(INDEX(TableOverallMaster[OVERALL PLAYER],MATCH(TableOverallRank[[#This Row],[RK]],TableOverallMaster[OVR RK],0)),"")</f>
        <v>Van Jefferson</v>
      </c>
      <c r="AQ216" s="119" t="str">
        <f>IFERROR(INDEX(TableOverallMaster[POS RK],MATCH(TableOverallRank[[#This Row],[OVERALL PLAYER]],TableOverallMaster[OVERALL PLAYER],0)),"")</f>
        <v>WR89</v>
      </c>
      <c r="AR216" s="120">
        <f>IFERROR(INDEX(TableOverallMaster[BYE],MATCH(TableOverallRank[[#This Row],[OVERALL PLAYER]],TableOverallMaster[OVERALL PLAYER],0)),"")</f>
        <v>6</v>
      </c>
      <c r="AS216" s="119">
        <f>IFERROR(INDEX(TableOverallMaster[Custom],MATCH(TableOverallRank[[#This Row],[OVERALL PLAYER]],TableOverallMaster[OVERALL PLAYER],0)),"")</f>
        <v>82.556850116160007</v>
      </c>
      <c r="AT216" s="121">
        <f>IFERROR(INDEX(TableOverallMaster[VORP],MATCH(TableOverallRank[[#This Row],[OVERALL PLAYER]],TableOverallMaster[OVERALL PLAYER],0)),"")</f>
        <v>-0.42828722648996115</v>
      </c>
      <c r="AV216">
        <v>215</v>
      </c>
      <c r="AW216" s="122" t="str">
        <f>IFERROR(INDEX(TableWRTECalcPts[PLAYER],MATCH(TableWRTERank[[#This Row],[RK]],TableWRTECalcPts[RK],0)),"")</f>
        <v>James Mitchell</v>
      </c>
      <c r="AX216" s="122" t="str">
        <f>IFERROR(INDEX(TableWRTECalcPts[POS RK],MATCH(TableWRTERank[[#This Row],[WR and TE COMBINED]],TableWRTECalcPts[PLAYER],0)),"")</f>
        <v>TE63</v>
      </c>
      <c r="AY216" s="122">
        <f>IFERROR(INDEX(TableWRTECalcPts[BYE],MATCH(TableWRTERank[[#This Row],[RK]],TableWRTECalcPts[RK],0)),"")</f>
        <v>9</v>
      </c>
      <c r="AZ216" s="123">
        <f>IFERROR(INDEX(TableWRTECalcPts[Custom],MATCH(TableWRTERank[[#This Row],[RK]],TableWRTECalcPts[RK],0)),"")</f>
        <v>17.717118155099996</v>
      </c>
      <c r="BA216" s="174">
        <f>IFERROR((TableWRTERank[[#This Row],[FPS]]-INDEX(TableWRTERank[FPS],MATCH(WRTEVORPCalc,TableWRTERank[RK],0)))/INDEX(TableWRTERank[FPS],MATCH(WRTEVORPCalc,TableWRTERank[RK],0)),"")</f>
        <v>-0.88132056665867498</v>
      </c>
      <c r="BC216" t="s">
        <v>10</v>
      </c>
      <c r="BD216">
        <v>15</v>
      </c>
      <c r="BE216" s="83">
        <f>RANK(TableWRTEMaster[[#This Row],[VORP]],TableWRTEMaster[VORP])+COUNTIF($BJ$2:BJ216,BJ216)-1</f>
        <v>84</v>
      </c>
      <c r="BF216" s="115" t="str">
        <f>IFERROR(INDEX(TableTEVORP[TIGHT END],MATCH(TableWRTEMaster[[#This Row],[RK]],TableTEVORP[RK],0)),"")</f>
        <v>Pat Freiermuth</v>
      </c>
      <c r="BG216" s="115" t="str">
        <f>_xlfn.CONCAT(TableWRTEMaster[[#This Row],[POS]],TableWRTEMaster[[#This Row],[RK]])</f>
        <v>TE15</v>
      </c>
      <c r="BH216" s="115">
        <f>IFERROR(INDEX(TableTEVORP[BYE],MATCH(TableWRTEMaster[[#This Row],[RK]],TableTEVORP[RK],0)),"")</f>
        <v>6</v>
      </c>
      <c r="BI216" s="116">
        <f>IFERROR(INDEX(TableTEVORP[FPS],MATCH(TableWRTEMaster[[#This Row],[RK]],TableTEVORP[RK],0)),"")</f>
        <v>111.11222832065999</v>
      </c>
      <c r="BJ216" s="117">
        <f>IFERROR(INDEX(TableTEVORP[VORP],MATCH(TableWRTEMaster[[#This Row],[RK]],TableTEVORP[RK],0)),"")</f>
        <v>-0.15402732124605339</v>
      </c>
    </row>
    <row r="217" spans="15:62" x14ac:dyDescent="0.2">
      <c r="O217">
        <v>216</v>
      </c>
      <c r="P217" s="112" t="str">
        <f>IFERROR(INDEX(TableWRCalcPts[PLAYER],MATCH(TableWRVORP[[#This Row],[RK]],TableWRCalcPts[RK],0)),"")</f>
        <v/>
      </c>
      <c r="Q217" s="112" t="str">
        <f>IFERROR(INDEX(TableWRCalcPts[TM],MATCH(TableWRVORP[[#This Row],[RK]],TableWRCalcPts[RK],0)),"")</f>
        <v/>
      </c>
      <c r="R217" s="112" t="str">
        <f>IFERROR(INDEX(TableWRCalcPts[BYE],MATCH(TableWRVORP[[#This Row],[RK]],TableWRCalcPts[RK],0)),"")</f>
        <v/>
      </c>
      <c r="S217" s="113" t="str">
        <f>IFERROR(INDEX(TableWRCalcPts[Custom],MATCH(TableWRVORP[[#This Row],[RK]],TableWRCalcPts[RK],0)),"")</f>
        <v/>
      </c>
      <c r="T217" s="114" t="str">
        <f>IFERROR((TableWRVORP[[#This Row],[FPS]]-INDEX(TableWRVORP[FPS],MATCH(WRVORPCalc,TableWRVORP[RK],0)))/INDEX(TableWRVORP[FPS],MATCH(WRVORPCalc,TableWRVORP[RK],0)),"")</f>
        <v/>
      </c>
      <c r="AF217" t="s">
        <v>223</v>
      </c>
      <c r="AG217">
        <v>76</v>
      </c>
      <c r="AH217" s="83">
        <f>RANK(TableOverallMaster[[#This Row],[VORP]],TableOverallMaster[VORP])+COUNTIF($AM$2:AM217,AM217)-1</f>
        <v>181</v>
      </c>
      <c r="AI217" s="115" t="str">
        <f>IFERROR(INDEX(TableWRVORP[WIDE RECEIVER],MATCH(TableOverallMaster[[#This Row],[RK]],TableWRVORP[RK],0)),"")</f>
        <v>Marvin Mims</v>
      </c>
      <c r="AJ217" s="115" t="str">
        <f t="shared" si="3"/>
        <v>WR76</v>
      </c>
      <c r="AK217" s="115">
        <f>IFERROR(INDEX(TableWRVORP[BYE],MATCH(TableOverallMaster[[#This Row],[RK]],TableWRVORP[RK],0)),"")</f>
        <v>9</v>
      </c>
      <c r="AL217" s="116">
        <f>IFERROR(INDEX(TableWRVORP[FPS],MATCH(TableOverallMaster[[#This Row],[RK]],TableWRVORP[RK],0)),"")</f>
        <v>104.3449333248</v>
      </c>
      <c r="AM217" s="117">
        <f>IFERROR(INDEX(TableWRVORP[VORP],MATCH(TableOverallMaster[[#This Row],[RK]],TableWRVORP[RK],0)),"")</f>
        <v>-0.27740301199834277</v>
      </c>
      <c r="AO217">
        <v>216</v>
      </c>
      <c r="AP217" s="118" t="str">
        <f>IFERROR(INDEX(TableOverallMaster[OVERALL PLAYER],MATCH(TableOverallRank[[#This Row],[RK]],TableOverallMaster[OVR RK],0)),"")</f>
        <v>Eric Gray</v>
      </c>
      <c r="AQ217" s="119" t="str">
        <f>IFERROR(INDEX(TableOverallMaster[POS RK],MATCH(TableOverallRank[[#This Row],[OVERALL PLAYER]],TableOverallMaster[OVERALL PLAYER],0)),"")</f>
        <v>RB68</v>
      </c>
      <c r="AR217" s="120">
        <f>IFERROR(INDEX(TableOverallMaster[BYE],MATCH(TableOverallRank[[#This Row],[OVERALL PLAYER]],TableOverallMaster[OVERALL PLAYER],0)),"")</f>
        <v>13</v>
      </c>
      <c r="AS217" s="119">
        <f>IFERROR(INDEX(TableOverallMaster[Custom],MATCH(TableOverallRank[[#This Row],[OVERALL PLAYER]],TableOverallMaster[OVERALL PLAYER],0)),"")</f>
        <v>62.589561267430412</v>
      </c>
      <c r="AT217" s="121">
        <f>IFERROR(INDEX(TableOverallMaster[VORP],MATCH(TableOverallRank[[#This Row],[OVERALL PLAYER]],TableOverallMaster[OVERALL PLAYER],0)),"")</f>
        <v>-0.44472473206978375</v>
      </c>
      <c r="AV217">
        <v>216</v>
      </c>
      <c r="AW217" s="122" t="str">
        <f>IFERROR(INDEX(TableWRTECalcPts[PLAYER],MATCH(TableWRTERank[[#This Row],[RK]],TableWRTECalcPts[RK],0)),"")</f>
        <v>Kyle Philips</v>
      </c>
      <c r="AX217" s="122" t="str">
        <f>IFERROR(INDEX(TableWRTECalcPts[POS RK],MATCH(TableWRTERank[[#This Row],[WR and TE COMBINED]],TableWRTECalcPts[PLAYER],0)),"")</f>
        <v>WR153</v>
      </c>
      <c r="AY217" s="122">
        <f>IFERROR(INDEX(TableWRTECalcPts[BYE],MATCH(TableWRTERank[[#This Row],[RK]],TableWRTECalcPts[RK],0)),"")</f>
        <v>7</v>
      </c>
      <c r="AZ217" s="123">
        <f>IFERROR(INDEX(TableWRTECalcPts[Custom],MATCH(TableWRTERank[[#This Row],[RK]],TableWRTECalcPts[RK],0)),"")</f>
        <v>17.676948944654995</v>
      </c>
      <c r="BA217" s="174">
        <f>IFERROR((TableWRTERank[[#This Row],[FPS]]-INDEX(TableWRTERank[FPS],MATCH(WRTEVORPCalc,TableWRTERank[RK],0)))/INDEX(TableWRTERank[FPS],MATCH(WRTEVORPCalc,TableWRTERank[RK],0)),"")</f>
        <v>-0.88158964310167465</v>
      </c>
      <c r="BC217" t="s">
        <v>10</v>
      </c>
      <c r="BD217">
        <v>16</v>
      </c>
      <c r="BE217" s="83">
        <f>RANK(TableWRTEMaster[[#This Row],[VORP]],TableWRTEMaster[VORP])+COUNTIF($BJ$2:BJ217,BJ217)-1</f>
        <v>85</v>
      </c>
      <c r="BF217" s="115" t="str">
        <f>IFERROR(INDEX(TableTEVORP[TIGHT END],MATCH(TableWRTEMaster[[#This Row],[RK]],TableTEVORP[RK],0)),"")</f>
        <v>Taysom Hill</v>
      </c>
      <c r="BG217" s="115" t="str">
        <f>_xlfn.CONCAT(TableWRTEMaster[[#This Row],[POS]],TableWRTEMaster[[#This Row],[RK]])</f>
        <v>TE16</v>
      </c>
      <c r="BH217" s="115">
        <f>IFERROR(INDEX(TableTEVORP[BYE],MATCH(TableWRTEMaster[[#This Row],[RK]],TableTEVORP[RK],0)),"")</f>
        <v>11</v>
      </c>
      <c r="BI217" s="116">
        <f>IFERROR(INDEX(TableTEVORP[FPS],MATCH(TableWRTEMaster[[#This Row],[RK]],TableTEVORP[RK],0)),"")</f>
        <v>109.30098272834891</v>
      </c>
      <c r="BJ217" s="117">
        <f>IFERROR(INDEX(TableTEVORP[VORP],MATCH(TableWRTEMaster[[#This Row],[RK]],TableTEVORP[RK],0)),"")</f>
        <v>-0.16781756115724217</v>
      </c>
    </row>
    <row r="218" spans="15:62" x14ac:dyDescent="0.2">
      <c r="O218">
        <v>217</v>
      </c>
      <c r="P218" s="112" t="str">
        <f>IFERROR(INDEX(TableWRCalcPts[PLAYER],MATCH(TableWRVORP[[#This Row],[RK]],TableWRCalcPts[RK],0)),"")</f>
        <v/>
      </c>
      <c r="Q218" s="112" t="str">
        <f>IFERROR(INDEX(TableWRCalcPts[TM],MATCH(TableWRVORP[[#This Row],[RK]],TableWRCalcPts[RK],0)),"")</f>
        <v/>
      </c>
      <c r="R218" s="112" t="str">
        <f>IFERROR(INDEX(TableWRCalcPts[BYE],MATCH(TableWRVORP[[#This Row],[RK]],TableWRCalcPts[RK],0)),"")</f>
        <v/>
      </c>
      <c r="S218" s="113" t="str">
        <f>IFERROR(INDEX(TableWRCalcPts[Custom],MATCH(TableWRVORP[[#This Row],[RK]],TableWRCalcPts[RK],0)),"")</f>
        <v/>
      </c>
      <c r="T218" s="114" t="str">
        <f>IFERROR((TableWRVORP[[#This Row],[FPS]]-INDEX(TableWRVORP[FPS],MATCH(WRVORPCalc,TableWRVORP[RK],0)))/INDEX(TableWRVORP[FPS],MATCH(WRVORPCalc,TableWRVORP[RK],0)),"")</f>
        <v/>
      </c>
      <c r="AF218" t="s">
        <v>223</v>
      </c>
      <c r="AG218">
        <v>77</v>
      </c>
      <c r="AH218" s="83">
        <f>RANK(TableOverallMaster[[#This Row],[VORP]],TableOverallMaster[VORP])+COUNTIF($AM$2:AM218,AM218)-1</f>
        <v>182</v>
      </c>
      <c r="AI218" s="115" t="str">
        <f>IFERROR(INDEX(TableWRVORP[WIDE RECEIVER],MATCH(TableOverallMaster[[#This Row],[RK]],TableWRVORP[RK],0)),"")</f>
        <v>Rashod Bateman</v>
      </c>
      <c r="AJ218" s="115" t="str">
        <f t="shared" si="3"/>
        <v>WR77</v>
      </c>
      <c r="AK218" s="115">
        <f>IFERROR(INDEX(TableWRVORP[BYE],MATCH(TableOverallMaster[[#This Row],[RK]],TableWRVORP[RK],0)),"")</f>
        <v>13</v>
      </c>
      <c r="AL218" s="116">
        <f>IFERROR(INDEX(TableWRVORP[FPS],MATCH(TableOverallMaster[[#This Row],[RK]],TableWRVORP[RK],0)),"")</f>
        <v>104.22113466408</v>
      </c>
      <c r="AM218" s="117">
        <f>IFERROR(INDEX(TableWRVORP[VORP],MATCH(TableOverallMaster[[#This Row],[RK]],TableWRVORP[RK],0)),"")</f>
        <v>-0.27826032760059105</v>
      </c>
      <c r="AO218">
        <v>217</v>
      </c>
      <c r="AP218" s="118" t="str">
        <f>IFERROR(INDEX(TableOverallMaster[OVERALL PLAYER],MATCH(TableOverallRank[[#This Row],[RK]],TableOverallMaster[OVR RK],0)),"")</f>
        <v>Trey Palmer</v>
      </c>
      <c r="AQ218" s="119" t="str">
        <f>IFERROR(INDEX(TableOverallMaster[POS RK],MATCH(TableOverallRank[[#This Row],[OVERALL PLAYER]],TableOverallMaster[OVERALL PLAYER],0)),"")</f>
        <v>WR90</v>
      </c>
      <c r="AR218" s="120">
        <f>IFERROR(INDEX(TableOverallMaster[BYE],MATCH(TableOverallRank[[#This Row],[OVERALL PLAYER]],TableOverallMaster[OVERALL PLAYER],0)),"")</f>
        <v>5</v>
      </c>
      <c r="AS218" s="119">
        <f>IFERROR(INDEX(TableOverallMaster[Custom],MATCH(TableOverallRank[[#This Row],[OVERALL PLAYER]],TableOverallMaster[OVERALL PLAYER],0)),"")</f>
        <v>76.730779467434402</v>
      </c>
      <c r="AT218" s="121">
        <f>IFERROR(INDEX(TableOverallMaster[VORP],MATCH(TableOverallRank[[#This Row],[OVERALL PLAYER]],TableOverallMaster[OVERALL PLAYER],0)),"")</f>
        <v>-0.46863323054125128</v>
      </c>
      <c r="AV218">
        <v>217</v>
      </c>
      <c r="AW218" s="122" t="str">
        <f>IFERROR(INDEX(TableWRTECalcPts[PLAYER],MATCH(TableWRTERank[[#This Row],[RK]],TableWRTECalcPts[RK],0)),"")</f>
        <v>Noah Gray</v>
      </c>
      <c r="AX218" s="122" t="str">
        <f>IFERROR(INDEX(TableWRTECalcPts[POS RK],MATCH(TableWRTERank[[#This Row],[WR and TE COMBINED]],TableWRTECalcPts[PLAYER],0)),"")</f>
        <v>TE64</v>
      </c>
      <c r="AY218" s="122">
        <f>IFERROR(INDEX(TableWRTECalcPts[BYE],MATCH(TableWRTERank[[#This Row],[RK]],TableWRTECalcPts[RK],0)),"")</f>
        <v>10</v>
      </c>
      <c r="AZ218" s="123">
        <f>IFERROR(INDEX(TableWRTECalcPts[Custom],MATCH(TableWRTERank[[#This Row],[RK]],TableWRTECalcPts[RK],0)),"")</f>
        <v>17.649029798399997</v>
      </c>
      <c r="BA218" s="174">
        <f>IFERROR((TableWRTERank[[#This Row],[FPS]]-INDEX(TableWRTERank[FPS],MATCH(WRTEVORPCalc,TableWRTERank[RK],0)))/INDEX(TableWRTERank[FPS],MATCH(WRTEVORPCalc,TableWRTERank[RK],0)),"")</f>
        <v>-0.88177666157882828</v>
      </c>
      <c r="BC218" t="s">
        <v>10</v>
      </c>
      <c r="BD218">
        <v>17</v>
      </c>
      <c r="BE218" s="83">
        <f>RANK(TableWRTEMaster[[#This Row],[VORP]],TableWRTEMaster[VORP])+COUNTIF($BJ$2:BJ218,BJ218)-1</f>
        <v>88</v>
      </c>
      <c r="BF218" s="115" t="str">
        <f>IFERROR(INDEX(TableTEVORP[TIGHT END],MATCH(TableWRTEMaster[[#This Row],[RK]],TableTEVORP[RK],0)),"")</f>
        <v>Chigoziem Okonkwo</v>
      </c>
      <c r="BG218" s="115" t="str">
        <f>_xlfn.CONCAT(TableWRTEMaster[[#This Row],[POS]],TableWRTEMaster[[#This Row],[RK]])</f>
        <v>TE17</v>
      </c>
      <c r="BH218" s="115">
        <f>IFERROR(INDEX(TableTEVORP[BYE],MATCH(TableWRTEMaster[[#This Row],[RK]],TableTEVORP[RK],0)),"")</f>
        <v>7</v>
      </c>
      <c r="BI218" s="116">
        <f>IFERROR(INDEX(TableTEVORP[FPS],MATCH(TableWRTEMaster[[#This Row],[RK]],TableTEVORP[RK],0)),"")</f>
        <v>105.83006106172496</v>
      </c>
      <c r="BJ218" s="117">
        <f>IFERROR(INDEX(TableTEVORP[VORP],MATCH(TableWRTEMaster[[#This Row],[RK]],TableTEVORP[RK],0)),"")</f>
        <v>-0.19424403954254701</v>
      </c>
    </row>
    <row r="219" spans="15:62" x14ac:dyDescent="0.2">
      <c r="O219">
        <v>218</v>
      </c>
      <c r="P219" s="112" t="str">
        <f>IFERROR(INDEX(TableWRCalcPts[PLAYER],MATCH(TableWRVORP[[#This Row],[RK]],TableWRCalcPts[RK],0)),"")</f>
        <v/>
      </c>
      <c r="Q219" s="112" t="str">
        <f>IFERROR(INDEX(TableWRCalcPts[TM],MATCH(TableWRVORP[[#This Row],[RK]],TableWRCalcPts[RK],0)),"")</f>
        <v/>
      </c>
      <c r="R219" s="112" t="str">
        <f>IFERROR(INDEX(TableWRCalcPts[BYE],MATCH(TableWRVORP[[#This Row],[RK]],TableWRCalcPts[RK],0)),"")</f>
        <v/>
      </c>
      <c r="S219" s="113" t="str">
        <f>IFERROR(INDEX(TableWRCalcPts[Custom],MATCH(TableWRVORP[[#This Row],[RK]],TableWRCalcPts[RK],0)),"")</f>
        <v/>
      </c>
      <c r="T219" s="114" t="str">
        <f>IFERROR((TableWRVORP[[#This Row],[FPS]]-INDEX(TableWRVORP[FPS],MATCH(WRVORPCalc,TableWRVORP[RK],0)))/INDEX(TableWRVORP[FPS],MATCH(WRVORPCalc,TableWRVORP[RK],0)),"")</f>
        <v/>
      </c>
      <c r="AF219" t="s">
        <v>223</v>
      </c>
      <c r="AG219">
        <v>78</v>
      </c>
      <c r="AH219" s="83">
        <f>RANK(TableOverallMaster[[#This Row],[VORP]],TableOverallMaster[VORP])+COUNTIF($AM$2:AM219,AM219)-1</f>
        <v>187</v>
      </c>
      <c r="AI219" s="115" t="str">
        <f>IFERROR(INDEX(TableWRVORP[WIDE RECEIVER],MATCH(TableOverallMaster[[#This Row],[RK]],TableWRVORP[RK],0)),"")</f>
        <v>Darius Slayton</v>
      </c>
      <c r="AJ219" s="115" t="str">
        <f t="shared" si="3"/>
        <v>WR78</v>
      </c>
      <c r="AK219" s="115">
        <f>IFERROR(INDEX(TableWRVORP[BYE],MATCH(TableOverallMaster[[#This Row],[RK]],TableWRVORP[RK],0)),"")</f>
        <v>13</v>
      </c>
      <c r="AL219" s="116">
        <f>IFERROR(INDEX(TableWRVORP[FPS],MATCH(TableOverallMaster[[#This Row],[RK]],TableWRVORP[RK],0)),"")</f>
        <v>99.916945872307195</v>
      </c>
      <c r="AM219" s="117">
        <f>IFERROR(INDEX(TableWRVORP[VORP],MATCH(TableOverallMaster[[#This Row],[RK]],TableWRVORP[RK],0)),"")</f>
        <v>-0.30806717837545577</v>
      </c>
      <c r="AO219">
        <v>218</v>
      </c>
      <c r="AP219" s="118" t="str">
        <f>IFERROR(INDEX(TableOverallMaster[OVERALL PLAYER],MATCH(TableOverallRank[[#This Row],[RK]],TableOverallMaster[OVR RK],0)),"")</f>
        <v>Tyrone Tracy</v>
      </c>
      <c r="AQ219" s="119" t="str">
        <f>IFERROR(INDEX(TableOverallMaster[POS RK],MATCH(TableOverallRank[[#This Row],[OVERALL PLAYER]],TableOverallMaster[OVERALL PLAYER],0)),"")</f>
        <v>RB69</v>
      </c>
      <c r="AR219" s="120">
        <f>IFERROR(INDEX(TableOverallMaster[BYE],MATCH(TableOverallRank[[#This Row],[OVERALL PLAYER]],TableOverallMaster[OVERALL PLAYER],0)),"")</f>
        <v>13</v>
      </c>
      <c r="AS219" s="119">
        <f>IFERROR(INDEX(TableOverallMaster[Custom],MATCH(TableOverallRank[[#This Row],[OVERALL PLAYER]],TableOverallMaster[OVERALL PLAYER],0)),"")</f>
        <v>59.648622234331199</v>
      </c>
      <c r="AT219" s="121">
        <f>IFERROR(INDEX(TableOverallMaster[VORP],MATCH(TableOverallRank[[#This Row],[OVERALL PLAYER]],TableOverallMaster[OVERALL PLAYER],0)),"")</f>
        <v>-0.4708158353864062</v>
      </c>
      <c r="AV219">
        <v>218</v>
      </c>
      <c r="AW219" s="122" t="str">
        <f>IFERROR(INDEX(TableWRTECalcPts[PLAYER],MATCH(TableWRTERank[[#This Row],[RK]],TableWRTECalcPts[RK],0)),"")</f>
        <v>Quez Watkins</v>
      </c>
      <c r="AX219" s="122" t="str">
        <f>IFERROR(INDEX(TableWRTECalcPts[POS RK],MATCH(TableWRTERank[[#This Row],[WR and TE COMBINED]],TableWRTECalcPts[PLAYER],0)),"")</f>
        <v>WR154</v>
      </c>
      <c r="AY219" s="122">
        <f>IFERROR(INDEX(TableWRTECalcPts[BYE],MATCH(TableWRTERank[[#This Row],[RK]],TableWRTECalcPts[RK],0)),"")</f>
        <v>6</v>
      </c>
      <c r="AZ219" s="123">
        <f>IFERROR(INDEX(TableWRTECalcPts[Custom],MATCH(TableWRTERank[[#This Row],[RK]],TableWRTECalcPts[RK],0)),"")</f>
        <v>16.962358077000001</v>
      </c>
      <c r="BA219" s="174">
        <f>IFERROR((TableWRTERank[[#This Row],[FPS]]-INDEX(TableWRTERank[FPS],MATCH(WRTEVORPCalc,TableWRTERank[RK],0)))/INDEX(TableWRTERank[FPS],MATCH(WRTEVORPCalc,TableWRTERank[RK],0)),"")</f>
        <v>-0.88637638316299605</v>
      </c>
      <c r="BC219" t="s">
        <v>10</v>
      </c>
      <c r="BD219">
        <v>18</v>
      </c>
      <c r="BE219" s="83">
        <f>RANK(TableWRTEMaster[[#This Row],[VORP]],TableWRTEMaster[VORP])+COUNTIF($BJ$2:BJ219,BJ219)-1</f>
        <v>91</v>
      </c>
      <c r="BF219" s="115" t="str">
        <f>IFERROR(INDEX(TableTEVORP[TIGHT END],MATCH(TableWRTEMaster[[#This Row],[RK]],TableTEVORP[RK],0)),"")</f>
        <v>Luke Musgrave</v>
      </c>
      <c r="BG219" s="115" t="str">
        <f>_xlfn.CONCAT(TableWRTEMaster[[#This Row],[POS]],TableWRTEMaster[[#This Row],[RK]])</f>
        <v>TE18</v>
      </c>
      <c r="BH219" s="115">
        <f>IFERROR(INDEX(TableTEVORP[BYE],MATCH(TableWRTEMaster[[#This Row],[RK]],TableTEVORP[RK],0)),"")</f>
        <v>6</v>
      </c>
      <c r="BI219" s="116">
        <f>IFERROR(INDEX(TableTEVORP[FPS],MATCH(TableWRTEMaster[[#This Row],[RK]],TableTEVORP[RK],0)),"")</f>
        <v>99.969667209216013</v>
      </c>
      <c r="BJ219" s="117">
        <f>IFERROR(INDEX(TableTEVORP[VORP],MATCH(TableWRTEMaster[[#This Row],[RK]],TableTEVORP[RK],0)),"")</f>
        <v>-0.23886318867573314</v>
      </c>
    </row>
    <row r="220" spans="15:62" x14ac:dyDescent="0.2">
      <c r="O220">
        <v>219</v>
      </c>
      <c r="P220" s="112" t="str">
        <f>IFERROR(INDEX(TableWRCalcPts[PLAYER],MATCH(TableWRVORP[[#This Row],[RK]],TableWRCalcPts[RK],0)),"")</f>
        <v/>
      </c>
      <c r="Q220" s="112" t="str">
        <f>IFERROR(INDEX(TableWRCalcPts[TM],MATCH(TableWRVORP[[#This Row],[RK]],TableWRCalcPts[RK],0)),"")</f>
        <v/>
      </c>
      <c r="R220" s="112" t="str">
        <f>IFERROR(INDEX(TableWRCalcPts[BYE],MATCH(TableWRVORP[[#This Row],[RK]],TableWRCalcPts[RK],0)),"")</f>
        <v/>
      </c>
      <c r="S220" s="113" t="str">
        <f>IFERROR(INDEX(TableWRCalcPts[Custom],MATCH(TableWRVORP[[#This Row],[RK]],TableWRCalcPts[RK],0)),"")</f>
        <v/>
      </c>
      <c r="T220" s="114" t="str">
        <f>IFERROR((TableWRVORP[[#This Row],[FPS]]-INDEX(TableWRVORP[FPS],MATCH(WRVORPCalc,TableWRVORP[RK],0)))/INDEX(TableWRVORP[FPS],MATCH(WRVORPCalc,TableWRVORP[RK],0)),"")</f>
        <v/>
      </c>
      <c r="AF220" t="s">
        <v>223</v>
      </c>
      <c r="AG220">
        <v>79</v>
      </c>
      <c r="AH220" s="83">
        <f>RANK(TableOverallMaster[[#This Row],[VORP]],TableOverallMaster[VORP])+COUNTIF($AM$2:AM220,AM220)-1</f>
        <v>189</v>
      </c>
      <c r="AI220" s="115" t="str">
        <f>IFERROR(INDEX(TableWRVORP[WIDE RECEIVER],MATCH(TableOverallMaster[[#This Row],[RK]],TableWRVORP[RK],0)),"")</f>
        <v>Kendrick Bourne</v>
      </c>
      <c r="AJ220" s="115" t="str">
        <f t="shared" si="3"/>
        <v>WR79</v>
      </c>
      <c r="AK220" s="115">
        <f>IFERROR(INDEX(TableWRVORP[BYE],MATCH(TableOverallMaster[[#This Row],[RK]],TableWRVORP[RK],0)),"")</f>
        <v>11</v>
      </c>
      <c r="AL220" s="116">
        <f>IFERROR(INDEX(TableWRVORP[FPS],MATCH(TableOverallMaster[[#This Row],[RK]],TableWRVORP[RK],0)),"")</f>
        <v>98.874365364095979</v>
      </c>
      <c r="AM220" s="117">
        <f>IFERROR(INDEX(TableWRVORP[VORP],MATCH(TableOverallMaster[[#This Row],[RK]],TableWRVORP[RK],0)),"")</f>
        <v>-0.31528713157277699</v>
      </c>
      <c r="AO220">
        <v>219</v>
      </c>
      <c r="AP220" s="118" t="str">
        <f>IFERROR(INDEX(TableOverallMaster[OVERALL PLAYER],MATCH(TableOverallRank[[#This Row],[RK]],TableOverallMaster[OVR RK],0)),"")</f>
        <v>Jonnu Smith</v>
      </c>
      <c r="AQ220" s="119" t="str">
        <f>IFERROR(INDEX(TableOverallMaster[POS RK],MATCH(TableOverallRank[[#This Row],[OVERALL PLAYER]],TableOverallMaster[OVERALL PLAYER],0)),"")</f>
        <v>TE28</v>
      </c>
      <c r="AR220" s="120">
        <f>IFERROR(INDEX(TableOverallMaster[BYE],MATCH(TableOverallRank[[#This Row],[OVERALL PLAYER]],TableOverallMaster[OVERALL PLAYER],0)),"")</f>
        <v>10</v>
      </c>
      <c r="AS220" s="119">
        <f>IFERROR(INDEX(TableOverallMaster[Custom],MATCH(TableOverallRank[[#This Row],[OVERALL PLAYER]],TableOverallMaster[OVERALL PLAYER],0)),"")</f>
        <v>69.270961745512807</v>
      </c>
      <c r="AT220" s="121">
        <f>IFERROR(INDEX(TableOverallMaster[VORP],MATCH(TableOverallRank[[#This Row],[OVERALL PLAYER]],TableOverallMaster[OVERALL PLAYER],0)),"")</f>
        <v>-0.47259323340545939</v>
      </c>
      <c r="AV220">
        <v>219</v>
      </c>
      <c r="AW220" s="122" t="str">
        <f>IFERROR(INDEX(TableWRTECalcPts[PLAYER],MATCH(TableWRTERank[[#This Row],[RK]],TableWRTECalcPts[RK],0)),"")</f>
        <v>Tanner Hudson</v>
      </c>
      <c r="AX220" s="122" t="str">
        <f>IFERROR(INDEX(TableWRTECalcPts[POS RK],MATCH(TableWRTERank[[#This Row],[WR and TE COMBINED]],TableWRTECalcPts[PLAYER],0)),"")</f>
        <v>TE65</v>
      </c>
      <c r="AY220" s="122">
        <f>IFERROR(INDEX(TableWRTECalcPts[BYE],MATCH(TableWRTERank[[#This Row],[RK]],TableWRTECalcPts[RK],0)),"")</f>
        <v>7</v>
      </c>
      <c r="AZ220" s="123">
        <f>IFERROR(INDEX(TableWRTECalcPts[Custom],MATCH(TableWRTERank[[#This Row],[RK]],TableWRTECalcPts[RK],0)),"")</f>
        <v>16.453780198379999</v>
      </c>
      <c r="BA220" s="174">
        <f>IFERROR((TableWRTERank[[#This Row],[FPS]]-INDEX(TableWRTERank[FPS],MATCH(WRTEVORPCalc,TableWRTERank[RK],0)))/INDEX(TableWRTERank[FPS],MATCH(WRTEVORPCalc,TableWRTERank[RK],0)),"")</f>
        <v>-0.8897831298989024</v>
      </c>
      <c r="BC220" t="s">
        <v>10</v>
      </c>
      <c r="BD220">
        <v>19</v>
      </c>
      <c r="BE220" s="83">
        <f>RANK(TableWRTEMaster[[#This Row],[VORP]],TableWRTEMaster[VORP])+COUNTIF($BJ$2:BJ220,BJ220)-1</f>
        <v>92</v>
      </c>
      <c r="BF220" s="115" t="str">
        <f>IFERROR(INDEX(TableTEVORP[TIGHT END],MATCH(TableWRTEMaster[[#This Row],[RK]],TableTEVORP[RK],0)),"")</f>
        <v>Hunter Henry</v>
      </c>
      <c r="BG220" s="115" t="str">
        <f>_xlfn.CONCAT(TableWRTEMaster[[#This Row],[POS]],TableWRTEMaster[[#This Row],[RK]])</f>
        <v>TE19</v>
      </c>
      <c r="BH220" s="115">
        <f>IFERROR(INDEX(TableTEVORP[BYE],MATCH(TableWRTEMaster[[#This Row],[RK]],TableTEVORP[RK],0)),"")</f>
        <v>11</v>
      </c>
      <c r="BI220" s="116">
        <f>IFERROR(INDEX(TableTEVORP[FPS],MATCH(TableWRTEMaster[[#This Row],[RK]],TableTEVORP[RK],0)),"")</f>
        <v>96.809080357735198</v>
      </c>
      <c r="BJ220" s="117">
        <f>IFERROR(INDEX(TableTEVORP[VORP],MATCH(TableWRTEMaster[[#This Row],[RK]],TableTEVORP[RK],0)),"")</f>
        <v>-0.2629268778447188</v>
      </c>
    </row>
    <row r="221" spans="15:62" x14ac:dyDescent="0.2">
      <c r="O221">
        <v>220</v>
      </c>
      <c r="P221" s="112" t="str">
        <f>IFERROR(INDEX(TableWRCalcPts[PLAYER],MATCH(TableWRVORP[[#This Row],[RK]],TableWRCalcPts[RK],0)),"")</f>
        <v/>
      </c>
      <c r="Q221" s="112" t="str">
        <f>IFERROR(INDEX(TableWRCalcPts[TM],MATCH(TableWRVORP[[#This Row],[RK]],TableWRCalcPts[RK],0)),"")</f>
        <v/>
      </c>
      <c r="R221" s="112" t="str">
        <f>IFERROR(INDEX(TableWRCalcPts[BYE],MATCH(TableWRVORP[[#This Row],[RK]],TableWRCalcPts[RK],0)),"")</f>
        <v/>
      </c>
      <c r="S221" s="113" t="str">
        <f>IFERROR(INDEX(TableWRCalcPts[Custom],MATCH(TableWRVORP[[#This Row],[RK]],TableWRCalcPts[RK],0)),"")</f>
        <v/>
      </c>
      <c r="T221" s="114" t="str">
        <f>IFERROR((TableWRVORP[[#This Row],[FPS]]-INDEX(TableWRVORP[FPS],MATCH(WRVORPCalc,TableWRVORP[RK],0)))/INDEX(TableWRVORP[FPS],MATCH(WRVORPCalc,TableWRVORP[RK],0)),"")</f>
        <v/>
      </c>
      <c r="AF221" t="s">
        <v>223</v>
      </c>
      <c r="AG221">
        <v>80</v>
      </c>
      <c r="AH221" s="83">
        <f>RANK(TableOverallMaster[[#This Row],[VORP]],TableOverallMaster[VORP])+COUNTIF($AM$2:AM221,AM221)-1</f>
        <v>192</v>
      </c>
      <c r="AI221" s="115" t="str">
        <f>IFERROR(INDEX(TableWRVORP[WIDE RECEIVER],MATCH(TableOverallMaster[[#This Row],[RK]],TableWRVORP[RK],0)),"")</f>
        <v>Ja'Lynn Polk</v>
      </c>
      <c r="AJ221" s="115" t="str">
        <f t="shared" si="3"/>
        <v>WR80</v>
      </c>
      <c r="AK221" s="115">
        <f>IFERROR(INDEX(TableWRVORP[BYE],MATCH(TableOverallMaster[[#This Row],[RK]],TableWRVORP[RK],0)),"")</f>
        <v>11</v>
      </c>
      <c r="AL221" s="116">
        <f>IFERROR(INDEX(TableWRVORP[FPS],MATCH(TableOverallMaster[[#This Row],[RK]],TableWRVORP[RK],0)),"")</f>
        <v>96.756904450096812</v>
      </c>
      <c r="AM221" s="117">
        <f>IFERROR(INDEX(TableWRVORP[VORP],MATCH(TableOverallMaster[[#This Row],[RK]],TableWRVORP[RK],0)),"")</f>
        <v>-0.32995071733505166</v>
      </c>
      <c r="AO221">
        <v>220</v>
      </c>
      <c r="AP221" s="118" t="str">
        <f>IFERROR(INDEX(TableOverallMaster[OVERALL PLAYER],MATCH(TableOverallRank[[#This Row],[RK]],TableOverallMaster[OVR RK],0)),"")</f>
        <v>Zach Ertz</v>
      </c>
      <c r="AQ221" s="119" t="str">
        <f>IFERROR(INDEX(TableOverallMaster[POS RK],MATCH(TableOverallRank[[#This Row],[OVERALL PLAYER]],TableOverallMaster[OVERALL PLAYER],0)),"")</f>
        <v>TE29</v>
      </c>
      <c r="AR221" s="120">
        <f>IFERROR(INDEX(TableOverallMaster[BYE],MATCH(TableOverallRank[[#This Row],[OVERALL PLAYER]],TableOverallMaster[OVERALL PLAYER],0)),"")</f>
        <v>14</v>
      </c>
      <c r="AS221" s="119">
        <f>IFERROR(INDEX(TableOverallMaster[Custom],MATCH(TableOverallRank[[#This Row],[OVERALL PLAYER]],TableOverallMaster[OVERALL PLAYER],0)),"")</f>
        <v>68.546385770939992</v>
      </c>
      <c r="AT221" s="121">
        <f>IFERROR(INDEX(TableOverallMaster[VORP],MATCH(TableOverallRank[[#This Row],[OVERALL PLAYER]],TableOverallMaster[OVERALL PLAYER],0)),"")</f>
        <v>-0.4781099212393235</v>
      </c>
      <c r="AV221">
        <v>220</v>
      </c>
      <c r="AW221" s="122" t="str">
        <f>IFERROR(INDEX(TableWRTECalcPts[PLAYER],MATCH(TableWRTERank[[#This Row],[RK]],TableWRTECalcPts[RK],0)),"")</f>
        <v>Luke Schoonmaker</v>
      </c>
      <c r="AX221" s="122" t="str">
        <f>IFERROR(INDEX(TableWRTECalcPts[POS RK],MATCH(TableWRTERank[[#This Row],[WR and TE COMBINED]],TableWRTECalcPts[PLAYER],0)),"")</f>
        <v>TE66</v>
      </c>
      <c r="AY221" s="122">
        <f>IFERROR(INDEX(TableWRTECalcPts[BYE],MATCH(TableWRTERank[[#This Row],[RK]],TableWRTECalcPts[RK],0)),"")</f>
        <v>7</v>
      </c>
      <c r="AZ221" s="123">
        <f>IFERROR(INDEX(TableWRTECalcPts[Custom],MATCH(TableWRTERank[[#This Row],[RK]],TableWRTECalcPts[RK],0)),"")</f>
        <v>16.188977851703996</v>
      </c>
      <c r="BA221" s="174">
        <f>IFERROR((TableWRTERank[[#This Row],[FPS]]-INDEX(TableWRTERank[FPS],MATCH(WRTEVORPCalc,TableWRTERank[RK],0)))/INDEX(TableWRTERank[FPS],MATCH(WRTEVORPCalc,TableWRTERank[RK],0)),"")</f>
        <v>-0.89155692810783482</v>
      </c>
      <c r="BC221" t="s">
        <v>10</v>
      </c>
      <c r="BD221">
        <v>20</v>
      </c>
      <c r="BE221" s="83">
        <f>RANK(TableWRTEMaster[[#This Row],[VORP]],TableWRTEMaster[VORP])+COUNTIF($BJ$2:BJ221,BJ221)-1</f>
        <v>97</v>
      </c>
      <c r="BF221" s="115" t="str">
        <f>IFERROR(INDEX(TableTEVORP[TIGHT END],MATCH(TableWRTEMaster[[#This Row],[RK]],TableTEVORP[RK],0)),"")</f>
        <v>Tyler Higbee</v>
      </c>
      <c r="BG221" s="115" t="str">
        <f>_xlfn.CONCAT(TableWRTEMaster[[#This Row],[POS]],TableWRTEMaster[[#This Row],[RK]])</f>
        <v>TE20</v>
      </c>
      <c r="BH221" s="115">
        <f>IFERROR(INDEX(TableTEVORP[BYE],MATCH(TableWRTEMaster[[#This Row],[RK]],TableTEVORP[RK],0)),"")</f>
        <v>10</v>
      </c>
      <c r="BI221" s="116">
        <f>IFERROR(INDEX(TableTEVORP[FPS],MATCH(TableWRTEMaster[[#This Row],[RK]],TableTEVORP[RK],0)),"")</f>
        <v>94.274959189353581</v>
      </c>
      <c r="BJ221" s="117">
        <f>IFERROR(INDEX(TableTEVORP[VORP],MATCH(TableWRTEMaster[[#This Row],[RK]],TableTEVORP[RK],0)),"")</f>
        <v>-0.28222085930386182</v>
      </c>
    </row>
    <row r="222" spans="15:62" x14ac:dyDescent="0.2">
      <c r="O222">
        <v>221</v>
      </c>
      <c r="P222" s="112" t="str">
        <f>IFERROR(INDEX(TableWRCalcPts[PLAYER],MATCH(TableWRVORP[[#This Row],[RK]],TableWRCalcPts[RK],0)),"")</f>
        <v/>
      </c>
      <c r="Q222" s="112" t="str">
        <f>IFERROR(INDEX(TableWRCalcPts[TM],MATCH(TableWRVORP[[#This Row],[RK]],TableWRCalcPts[RK],0)),"")</f>
        <v/>
      </c>
      <c r="R222" s="112" t="str">
        <f>IFERROR(INDEX(TableWRCalcPts[BYE],MATCH(TableWRVORP[[#This Row],[RK]],TableWRCalcPts[RK],0)),"")</f>
        <v/>
      </c>
      <c r="S222" s="113" t="str">
        <f>IFERROR(INDEX(TableWRCalcPts[Custom],MATCH(TableWRVORP[[#This Row],[RK]],TableWRCalcPts[RK],0)),"")</f>
        <v/>
      </c>
      <c r="T222" s="114" t="str">
        <f>IFERROR((TableWRVORP[[#This Row],[FPS]]-INDEX(TableWRVORP[FPS],MATCH(WRVORPCalc,TableWRVORP[RK],0)))/INDEX(TableWRVORP[FPS],MATCH(WRVORPCalc,TableWRVORP[RK],0)),"")</f>
        <v/>
      </c>
      <c r="AF222" t="s">
        <v>223</v>
      </c>
      <c r="AG222">
        <v>81</v>
      </c>
      <c r="AH222" s="83">
        <f>RANK(TableOverallMaster[[#This Row],[VORP]],TableOverallMaster[VORP])+COUNTIF($AM$2:AM222,AM222)-1</f>
        <v>200</v>
      </c>
      <c r="AI222" s="115" t="str">
        <f>IFERROR(INDEX(TableWRVORP[WIDE RECEIVER],MATCH(TableOverallMaster[[#This Row],[RK]],TableWRVORP[RK],0)),"")</f>
        <v>Rondale Moore</v>
      </c>
      <c r="AJ222" s="115" t="str">
        <f t="shared" si="3"/>
        <v>WR81</v>
      </c>
      <c r="AK222" s="115">
        <f>IFERROR(INDEX(TableWRVORP[BYE],MATCH(TableOverallMaster[[#This Row],[RK]],TableWRVORP[RK],0)),"")</f>
        <v>11</v>
      </c>
      <c r="AL222" s="116">
        <f>IFERROR(INDEX(TableWRVORP[FPS],MATCH(TableOverallMaster[[#This Row],[RK]],TableWRVORP[RK],0)),"")</f>
        <v>90.224337624220794</v>
      </c>
      <c r="AM222" s="117">
        <f>IFERROR(INDEX(TableWRVORP[VORP],MATCH(TableOverallMaster[[#This Row],[RK]],TableWRVORP[RK],0)),"")</f>
        <v>-0.37518926377797357</v>
      </c>
      <c r="AO222">
        <v>221</v>
      </c>
      <c r="AP222" s="118" t="str">
        <f>IFERROR(INDEX(TableOverallMaster[OVERALL PLAYER],MATCH(TableOverallRank[[#This Row],[RK]],TableOverallMaster[OVR RK],0)),"")</f>
        <v>Chase Edmonds</v>
      </c>
      <c r="AQ222" s="119" t="str">
        <f>IFERROR(INDEX(TableOverallMaster[POS RK],MATCH(TableOverallRank[[#This Row],[OVERALL PLAYER]],TableOverallMaster[OVERALL PLAYER],0)),"")</f>
        <v>RB70</v>
      </c>
      <c r="AR222" s="120">
        <f>IFERROR(INDEX(TableOverallMaster[BYE],MATCH(TableOverallRank[[#This Row],[OVERALL PLAYER]],TableOverallMaster[OVERALL PLAYER],0)),"")</f>
        <v>5</v>
      </c>
      <c r="AS222" s="119">
        <f>IFERROR(INDEX(TableOverallMaster[Custom],MATCH(TableOverallRank[[#This Row],[OVERALL PLAYER]],TableOverallMaster[OVERALL PLAYER],0)),"")</f>
        <v>58.608012904245008</v>
      </c>
      <c r="AT222" s="121">
        <f>IFERROR(INDEX(TableOverallMaster[VORP],MATCH(TableOverallRank[[#This Row],[OVERALL PLAYER]],TableOverallMaster[OVERALL PLAYER],0)),"")</f>
        <v>-0.48004780015614446</v>
      </c>
      <c r="AV222">
        <v>221</v>
      </c>
      <c r="AW222" s="122" t="str">
        <f>IFERROR(INDEX(TableWRTECalcPts[PLAYER],MATCH(TableWRTERank[[#This Row],[RK]],TableWRTECalcPts[RK],0)),"")</f>
        <v>Erick All</v>
      </c>
      <c r="AX222" s="122" t="str">
        <f>IFERROR(INDEX(TableWRTECalcPts[POS RK],MATCH(TableWRTERank[[#This Row],[WR and TE COMBINED]],TableWRTECalcPts[PLAYER],0)),"")</f>
        <v>TE67</v>
      </c>
      <c r="AY222" s="122">
        <f>IFERROR(INDEX(TableWRTECalcPts[BYE],MATCH(TableWRTERank[[#This Row],[RK]],TableWRTECalcPts[RK],0)),"")</f>
        <v>7</v>
      </c>
      <c r="AZ222" s="123">
        <f>IFERROR(INDEX(TableWRTECalcPts[Custom],MATCH(TableWRTERank[[#This Row],[RK]],TableWRTECalcPts[RK],0)),"")</f>
        <v>16.098907581288</v>
      </c>
      <c r="BA222" s="174">
        <f>IFERROR((TableWRTERank[[#This Row],[FPS]]-INDEX(TableWRTERank[FPS],MATCH(WRTEVORPCalc,TableWRTERank[RK],0)))/INDEX(TableWRTERank[FPS],MATCH(WRTEVORPCalc,TableWRTERank[RK],0)),"")</f>
        <v>-0.89216027051150881</v>
      </c>
      <c r="BC222" t="s">
        <v>10</v>
      </c>
      <c r="BD222">
        <v>21</v>
      </c>
      <c r="BE222" s="83">
        <f>RANK(TableWRTEMaster[[#This Row],[VORP]],TableWRTEMaster[VORP])+COUNTIF($BJ$2:BJ222,BJ222)-1</f>
        <v>99</v>
      </c>
      <c r="BF222" s="115" t="str">
        <f>IFERROR(INDEX(TableTEVORP[TIGHT END],MATCH(TableWRTEMaster[[#This Row],[RK]],TableTEVORP[RK],0)),"")</f>
        <v>Jelani Woods</v>
      </c>
      <c r="BG222" s="115" t="str">
        <f>_xlfn.CONCAT(TableWRTEMaster[[#This Row],[POS]],TableWRTEMaster[[#This Row],[RK]])</f>
        <v>TE21</v>
      </c>
      <c r="BH222" s="115">
        <f>IFERROR(INDEX(TableTEVORP[BYE],MATCH(TableWRTEMaster[[#This Row],[RK]],TableTEVORP[RK],0)),"")</f>
        <v>11</v>
      </c>
      <c r="BI222" s="116">
        <f>IFERROR(INDEX(TableTEVORP[FPS],MATCH(TableWRTEMaster[[#This Row],[RK]],TableTEVORP[RK],0)),"")</f>
        <v>89.963733537216015</v>
      </c>
      <c r="BJ222" s="117">
        <f>IFERROR(INDEX(TableTEVORP[VORP],MATCH(TableWRTEMaster[[#This Row],[RK]],TableTEVORP[RK],0)),"")</f>
        <v>-0.31504514128231437</v>
      </c>
    </row>
    <row r="223" spans="15:62" x14ac:dyDescent="0.2">
      <c r="O223">
        <v>222</v>
      </c>
      <c r="P223" s="112" t="str">
        <f>IFERROR(INDEX(TableWRCalcPts[PLAYER],MATCH(TableWRVORP[[#This Row],[RK]],TableWRCalcPts[RK],0)),"")</f>
        <v/>
      </c>
      <c r="Q223" s="112" t="str">
        <f>IFERROR(INDEX(TableWRCalcPts[TM],MATCH(TableWRVORP[[#This Row],[RK]],TableWRCalcPts[RK],0)),"")</f>
        <v/>
      </c>
      <c r="R223" s="112" t="str">
        <f>IFERROR(INDEX(TableWRCalcPts[BYE],MATCH(TableWRVORP[[#This Row],[RK]],TableWRCalcPts[RK],0)),"")</f>
        <v/>
      </c>
      <c r="S223" s="113" t="str">
        <f>IFERROR(INDEX(TableWRCalcPts[Custom],MATCH(TableWRVORP[[#This Row],[RK]],TableWRCalcPts[RK],0)),"")</f>
        <v/>
      </c>
      <c r="T223" s="114" t="str">
        <f>IFERROR((TableWRVORP[[#This Row],[FPS]]-INDEX(TableWRVORP[FPS],MATCH(WRVORPCalc,TableWRVORP[RK],0)))/INDEX(TableWRVORP[FPS],MATCH(WRVORPCalc,TableWRVORP[RK],0)),"")</f>
        <v/>
      </c>
      <c r="AF223" t="s">
        <v>223</v>
      </c>
      <c r="AG223">
        <v>82</v>
      </c>
      <c r="AH223" s="83">
        <f>RANK(TableOverallMaster[[#This Row],[VORP]],TableOverallMaster[VORP])+COUNTIF($AM$2:AM223,AM223)-1</f>
        <v>201</v>
      </c>
      <c r="AI223" s="115" t="str">
        <f>IFERROR(INDEX(TableWRVORP[WIDE RECEIVER],MATCH(TableOverallMaster[[#This Row],[RK]],TableWRVORP[RK],0)),"")</f>
        <v>Troy Franklin</v>
      </c>
      <c r="AJ223" s="115" t="str">
        <f t="shared" si="3"/>
        <v>WR82</v>
      </c>
      <c r="AK223" s="115">
        <f>IFERROR(INDEX(TableWRVORP[BYE],MATCH(TableOverallMaster[[#This Row],[RK]],TableWRVORP[RK],0)),"")</f>
        <v>9</v>
      </c>
      <c r="AL223" s="116">
        <f>IFERROR(INDEX(TableWRVORP[FPS],MATCH(TableOverallMaster[[#This Row],[RK]],TableWRVORP[RK],0)),"")</f>
        <v>90.119784211379994</v>
      </c>
      <c r="AM223" s="117">
        <f>IFERROR(INDEX(TableWRVORP[VORP],MATCH(TableOverallMaster[[#This Row],[RK]],TableWRVORP[RK],0)),"")</f>
        <v>-0.37591330450325622</v>
      </c>
      <c r="AO223">
        <v>222</v>
      </c>
      <c r="AP223" s="118" t="str">
        <f>IFERROR(INDEX(TableOverallMaster[OVERALL PLAYER],MATCH(TableOverallRank[[#This Row],[RK]],TableOverallMaster[OVR RK],0)),"")</f>
        <v>Mike Gesicki</v>
      </c>
      <c r="AQ223" s="119" t="str">
        <f>IFERROR(INDEX(TableOverallMaster[POS RK],MATCH(TableOverallRank[[#This Row],[OVERALL PLAYER]],TableOverallMaster[OVERALL PLAYER],0)),"")</f>
        <v>TE30</v>
      </c>
      <c r="AR223" s="120">
        <f>IFERROR(INDEX(TableOverallMaster[BYE],MATCH(TableOverallRank[[#This Row],[OVERALL PLAYER]],TableOverallMaster[OVERALL PLAYER],0)),"")</f>
        <v>7</v>
      </c>
      <c r="AS223" s="119">
        <f>IFERROR(INDEX(TableOverallMaster[Custom],MATCH(TableOverallRank[[#This Row],[OVERALL PLAYER]],TableOverallMaster[OVERALL PLAYER],0)),"")</f>
        <v>67.972915915967988</v>
      </c>
      <c r="AT223" s="121">
        <f>IFERROR(INDEX(TableOverallMaster[VORP],MATCH(TableOverallRank[[#This Row],[OVERALL PLAYER]],TableOverallMaster[OVERALL PLAYER],0)),"")</f>
        <v>-0.48247613580209181</v>
      </c>
      <c r="AV223">
        <v>222</v>
      </c>
      <c r="AW223" s="122" t="str">
        <f>IFERROR(INDEX(TableWRTECalcPts[PLAYER],MATCH(TableWRTERank[[#This Row],[RK]],TableWRTECalcPts[RK],0)),"")</f>
        <v>Jordan Whittington</v>
      </c>
      <c r="AX223" s="122" t="str">
        <f>IFERROR(INDEX(TableWRTECalcPts[POS RK],MATCH(TableWRTERank[[#This Row],[WR and TE COMBINED]],TableWRTECalcPts[PLAYER],0)),"")</f>
        <v>WR155</v>
      </c>
      <c r="AY223" s="122">
        <f>IFERROR(INDEX(TableWRTECalcPts[BYE],MATCH(TableWRTERank[[#This Row],[RK]],TableWRTECalcPts[RK],0)),"")</f>
        <v>10</v>
      </c>
      <c r="AZ223" s="123">
        <f>IFERROR(INDEX(TableWRTECalcPts[Custom],MATCH(TableWRTERank[[#This Row],[RK]],TableWRTECalcPts[RK],0)),"")</f>
        <v>15.955668457276795</v>
      </c>
      <c r="BA223" s="174">
        <f>IFERROR((TableWRTERank[[#This Row],[FPS]]-INDEX(TableWRTERank[FPS],MATCH(WRTEVORPCalc,TableWRTERank[RK],0)))/INDEX(TableWRTERank[FPS],MATCH(WRTEVORPCalc,TableWRTERank[RK],0)),"")</f>
        <v>-0.89311976843442931</v>
      </c>
      <c r="BC223" t="s">
        <v>10</v>
      </c>
      <c r="BD223">
        <v>22</v>
      </c>
      <c r="BE223" s="83">
        <f>RANK(TableWRTEMaster[[#This Row],[VORP]],TableWRTEMaster[VORP])+COUNTIF($BJ$2:BJ223,BJ223)-1</f>
        <v>101</v>
      </c>
      <c r="BF223" s="115" t="str">
        <f>IFERROR(INDEX(TableTEVORP[TIGHT END],MATCH(TableWRTEMaster[[#This Row],[RK]],TableTEVORP[RK],0)),"")</f>
        <v>Juwan Johnson</v>
      </c>
      <c r="BG223" s="115" t="str">
        <f>_xlfn.CONCAT(TableWRTEMaster[[#This Row],[POS]],TableWRTEMaster[[#This Row],[RK]])</f>
        <v>TE22</v>
      </c>
      <c r="BH223" s="115">
        <f>IFERROR(INDEX(TableTEVORP[BYE],MATCH(TableWRTEMaster[[#This Row],[RK]],TableTEVORP[RK],0)),"")</f>
        <v>11</v>
      </c>
      <c r="BI223" s="116">
        <f>IFERROR(INDEX(TableTEVORP[FPS],MATCH(TableWRTEMaster[[#This Row],[RK]],TableTEVORP[RK],0)),"")</f>
        <v>88.505673243704607</v>
      </c>
      <c r="BJ223" s="117">
        <f>IFERROR(INDEX(TableTEVORP[VORP],MATCH(TableWRTEMaster[[#This Row],[RK]],TableTEVORP[RK],0)),"")</f>
        <v>-0.32614634221158473</v>
      </c>
    </row>
    <row r="224" spans="15:62" x14ac:dyDescent="0.2">
      <c r="O224">
        <v>223</v>
      </c>
      <c r="P224" s="112" t="str">
        <f>IFERROR(INDEX(TableWRCalcPts[PLAYER],MATCH(TableWRVORP[[#This Row],[RK]],TableWRCalcPts[RK],0)),"")</f>
        <v/>
      </c>
      <c r="Q224" s="112" t="str">
        <f>IFERROR(INDEX(TableWRCalcPts[TM],MATCH(TableWRVORP[[#This Row],[RK]],TableWRCalcPts[RK],0)),"")</f>
        <v/>
      </c>
      <c r="R224" s="112" t="str">
        <f>IFERROR(INDEX(TableWRCalcPts[BYE],MATCH(TableWRVORP[[#This Row],[RK]],TableWRCalcPts[RK],0)),"")</f>
        <v/>
      </c>
      <c r="S224" s="113" t="str">
        <f>IFERROR(INDEX(TableWRCalcPts[Custom],MATCH(TableWRVORP[[#This Row],[RK]],TableWRCalcPts[RK],0)),"")</f>
        <v/>
      </c>
      <c r="T224" s="114" t="str">
        <f>IFERROR((TableWRVORP[[#This Row],[FPS]]-INDEX(TableWRVORP[FPS],MATCH(WRVORPCalc,TableWRVORP[RK],0)))/INDEX(TableWRVORP[FPS],MATCH(WRVORPCalc,TableWRVORP[RK],0)),"")</f>
        <v/>
      </c>
      <c r="AF224" t="s">
        <v>223</v>
      </c>
      <c r="AG224">
        <v>83</v>
      </c>
      <c r="AH224" s="83">
        <f>RANK(TableOverallMaster[[#This Row],[VORP]],TableOverallMaster[VORP])+COUNTIF($AM$2:AM224,AM224)-1</f>
        <v>205</v>
      </c>
      <c r="AI224" s="115" t="str">
        <f>IFERROR(INDEX(TableWRVORP[WIDE RECEIVER],MATCH(TableOverallMaster[[#This Row],[RK]],TableWRVORP[RK],0)),"")</f>
        <v>Nelson Agholor</v>
      </c>
      <c r="AJ224" s="115" t="str">
        <f t="shared" si="3"/>
        <v>WR83</v>
      </c>
      <c r="AK224" s="115">
        <f>IFERROR(INDEX(TableWRVORP[BYE],MATCH(TableOverallMaster[[#This Row],[RK]],TableWRVORP[RK],0)),"")</f>
        <v>13</v>
      </c>
      <c r="AL224" s="116">
        <f>IFERROR(INDEX(TableWRVORP[FPS],MATCH(TableOverallMaster[[#This Row],[RK]],TableWRVORP[RK],0)),"")</f>
        <v>85.575717441312008</v>
      </c>
      <c r="AM224" s="117">
        <f>IFERROR(INDEX(TableWRVORP[VORP],MATCH(TableOverallMaster[[#This Row],[RK]],TableWRVORP[RK],0)),"")</f>
        <v>-0.40738132941548394</v>
      </c>
      <c r="AO224">
        <v>223</v>
      </c>
      <c r="AP224" s="118" t="str">
        <f>IFERROR(INDEX(TableOverallMaster[OVERALL PLAYER],MATCH(TableOverallRank[[#This Row],[RK]],TableOverallMaster[OVR RK],0)),"")</f>
        <v>Kimani Vidal</v>
      </c>
      <c r="AQ224" s="119" t="str">
        <f>IFERROR(INDEX(TableOverallMaster[POS RK],MATCH(TableOverallRank[[#This Row],[OVERALL PLAYER]],TableOverallMaster[OVERALL PLAYER],0)),"")</f>
        <v>RB71</v>
      </c>
      <c r="AR224" s="120">
        <f>IFERROR(INDEX(TableOverallMaster[BYE],MATCH(TableOverallRank[[#This Row],[OVERALL PLAYER]],TableOverallMaster[OVERALL PLAYER],0)),"")</f>
        <v>5</v>
      </c>
      <c r="AS224" s="119">
        <f>IFERROR(INDEX(TableOverallMaster[Custom],MATCH(TableOverallRank[[#This Row],[OVERALL PLAYER]],TableOverallMaster[OVERALL PLAYER],0)),"")</f>
        <v>57.720941137439993</v>
      </c>
      <c r="AT224" s="121">
        <f>IFERROR(INDEX(TableOverallMaster[VORP],MATCH(TableOverallRank[[#This Row],[OVERALL PLAYER]],TableOverallMaster[OVERALL PLAYER],0)),"")</f>
        <v>-0.48791762705717279</v>
      </c>
      <c r="AV224">
        <v>223</v>
      </c>
      <c r="AW224" s="122" t="str">
        <f>IFERROR(INDEX(TableWRTECalcPts[PLAYER],MATCH(TableWRTERank[[#This Row],[RK]],TableWRTECalcPts[RK],0)),"")</f>
        <v>Parris Campbell</v>
      </c>
      <c r="AX224" s="122" t="str">
        <f>IFERROR(INDEX(TableWRTECalcPts[POS RK],MATCH(TableWRTERank[[#This Row],[WR and TE COMBINED]],TableWRTECalcPts[PLAYER],0)),"")</f>
        <v>WR156</v>
      </c>
      <c r="AY224" s="122">
        <f>IFERROR(INDEX(TableWRTECalcPts[BYE],MATCH(TableWRTERank[[#This Row],[RK]],TableWRTECalcPts[RK],0)),"")</f>
        <v>10</v>
      </c>
      <c r="AZ224" s="123">
        <f>IFERROR(INDEX(TableWRTECalcPts[Custom],MATCH(TableWRTERank[[#This Row],[RK]],TableWRTECalcPts[RK],0)),"")</f>
        <v>15.950864272896006</v>
      </c>
      <c r="BA224" s="174">
        <f>IFERROR((TableWRTERank[[#This Row],[FPS]]-INDEX(TableWRTERank[FPS],MATCH(WRTEVORPCalc,TableWRTERank[RK],0)))/INDEX(TableWRTERank[FPS],MATCH(WRTEVORPCalc,TableWRTERank[RK],0)),"")</f>
        <v>-0.89315194962072542</v>
      </c>
      <c r="BC224" t="s">
        <v>10</v>
      </c>
      <c r="BD224">
        <v>23</v>
      </c>
      <c r="BE224" s="83">
        <f>RANK(TableWRTEMaster[[#This Row],[VORP]],TableWRTEMaster[VORP])+COUNTIF($BJ$2:BJ224,BJ224)-1</f>
        <v>103</v>
      </c>
      <c r="BF224" s="115" t="str">
        <f>IFERROR(INDEX(TableTEVORP[TIGHT END],MATCH(TableWRTEMaster[[#This Row],[RK]],TableTEVORP[RK],0)),"")</f>
        <v>Daniel Bellinger</v>
      </c>
      <c r="BG224" s="115" t="str">
        <f>_xlfn.CONCAT(TableWRTEMaster[[#This Row],[POS]],TableWRTEMaster[[#This Row],[RK]])</f>
        <v>TE23</v>
      </c>
      <c r="BH224" s="115">
        <f>IFERROR(INDEX(TableTEVORP[BYE],MATCH(TableWRTEMaster[[#This Row],[RK]],TableTEVORP[RK],0)),"")</f>
        <v>13</v>
      </c>
      <c r="BI224" s="116">
        <f>IFERROR(INDEX(TableTEVORP[FPS],MATCH(TableWRTEMaster[[#This Row],[RK]],TableTEVORP[RK],0)),"")</f>
        <v>87.870440020271985</v>
      </c>
      <c r="BJ224" s="117">
        <f>IFERROR(INDEX(TableTEVORP[VORP],MATCH(TableWRTEMaster[[#This Row],[RK]],TableTEVORP[RK],0)),"")</f>
        <v>-0.33098280314646888</v>
      </c>
    </row>
    <row r="225" spans="15:62" x14ac:dyDescent="0.2">
      <c r="O225">
        <v>224</v>
      </c>
      <c r="P225" s="112" t="str">
        <f>IFERROR(INDEX(TableWRCalcPts[PLAYER],MATCH(TableWRVORP[[#This Row],[RK]],TableWRCalcPts[RK],0)),"")</f>
        <v/>
      </c>
      <c r="Q225" s="112" t="str">
        <f>IFERROR(INDEX(TableWRCalcPts[TM],MATCH(TableWRVORP[[#This Row],[RK]],TableWRCalcPts[RK],0)),"")</f>
        <v/>
      </c>
      <c r="R225" s="112" t="str">
        <f>IFERROR(INDEX(TableWRCalcPts[BYE],MATCH(TableWRVORP[[#This Row],[RK]],TableWRCalcPts[RK],0)),"")</f>
        <v/>
      </c>
      <c r="S225" s="113" t="str">
        <f>IFERROR(INDEX(TableWRCalcPts[Custom],MATCH(TableWRVORP[[#This Row],[RK]],TableWRCalcPts[RK],0)),"")</f>
        <v/>
      </c>
      <c r="T225" s="114" t="str">
        <f>IFERROR((TableWRVORP[[#This Row],[FPS]]-INDEX(TableWRVORP[FPS],MATCH(WRVORPCalc,TableWRVORP[RK],0)))/INDEX(TableWRVORP[FPS],MATCH(WRVORPCalc,TableWRVORP[RK],0)),"")</f>
        <v/>
      </c>
      <c r="AF225" t="s">
        <v>223</v>
      </c>
      <c r="AG225">
        <v>84</v>
      </c>
      <c r="AH225" s="83">
        <f>RANK(TableOverallMaster[[#This Row],[VORP]],TableOverallMaster[VORP])+COUNTIF($AM$2:AM225,AM225)-1</f>
        <v>206</v>
      </c>
      <c r="AI225" s="115" t="str">
        <f>IFERROR(INDEX(TableWRVORP[WIDE RECEIVER],MATCH(TableOverallMaster[[#This Row],[RK]],TableWRVORP[RK],0)),"")</f>
        <v>Greg Dortch</v>
      </c>
      <c r="AJ225" s="115" t="str">
        <f t="shared" si="3"/>
        <v>WR84</v>
      </c>
      <c r="AK225" s="115">
        <f>IFERROR(INDEX(TableWRVORP[BYE],MATCH(TableOverallMaster[[#This Row],[RK]],TableWRVORP[RK],0)),"")</f>
        <v>14</v>
      </c>
      <c r="AL225" s="116">
        <f>IFERROR(INDEX(TableWRVORP[FPS],MATCH(TableOverallMaster[[#This Row],[RK]],TableWRVORP[RK],0)),"")</f>
        <v>85.462192509750011</v>
      </c>
      <c r="AM225" s="117">
        <f>IFERROR(INDEX(TableWRVORP[VORP],MATCH(TableOverallMaster[[#This Row],[RK]],TableWRVORP[RK],0)),"")</f>
        <v>-0.40816749862366625</v>
      </c>
      <c r="AO225">
        <v>224</v>
      </c>
      <c r="AP225" s="118" t="str">
        <f>IFERROR(INDEX(TableOverallMaster[OVERALL PLAYER],MATCH(TableOverallRank[[#This Row],[RK]],TableOverallMaster[OVR RK],0)),"")</f>
        <v>Tucker Kraft</v>
      </c>
      <c r="AQ225" s="119" t="str">
        <f>IFERROR(INDEX(TableOverallMaster[POS RK],MATCH(TableOverallRank[[#This Row],[OVERALL PLAYER]],TableOverallMaster[OVERALL PLAYER],0)),"")</f>
        <v>TE31</v>
      </c>
      <c r="AR225" s="120">
        <f>IFERROR(INDEX(TableOverallMaster[BYE],MATCH(TableOverallRank[[#This Row],[OVERALL PLAYER]],TableOverallMaster[OVERALL PLAYER],0)),"")</f>
        <v>6</v>
      </c>
      <c r="AS225" s="119">
        <f>IFERROR(INDEX(TableOverallMaster[Custom],MATCH(TableOverallRank[[#This Row],[OVERALL PLAYER]],TableOverallMaster[OVERALL PLAYER],0)),"")</f>
        <v>67.057766586496001</v>
      </c>
      <c r="AT225" s="121">
        <f>IFERROR(INDEX(TableOverallMaster[VORP],MATCH(TableOverallRank[[#This Row],[OVERALL PLAYER]],TableOverallMaster[OVERALL PLAYER],0)),"")</f>
        <v>-0.48944378771056629</v>
      </c>
      <c r="AV225">
        <v>224</v>
      </c>
      <c r="AW225" s="122" t="str">
        <f>IFERROR(INDEX(TableWRTECalcPts[PLAYER],MATCH(TableWRTERank[[#This Row],[RK]],TableWRTECalcPts[RK],0)),"")</f>
        <v>Braxton Berrios</v>
      </c>
      <c r="AX225" s="122" t="str">
        <f>IFERROR(INDEX(TableWRTECalcPts[POS RK],MATCH(TableWRTERank[[#This Row],[WR and TE COMBINED]],TableWRTECalcPts[PLAYER],0)),"")</f>
        <v>WR157</v>
      </c>
      <c r="AY225" s="122">
        <f>IFERROR(INDEX(TableWRTECalcPts[BYE],MATCH(TableWRTERank[[#This Row],[RK]],TableWRTECalcPts[RK],0)),"")</f>
        <v>10</v>
      </c>
      <c r="AZ225" s="123">
        <f>IFERROR(INDEX(TableWRTECalcPts[Custom],MATCH(TableWRTERank[[#This Row],[RK]],TableWRTECalcPts[RK],0)),"")</f>
        <v>15.83091216</v>
      </c>
      <c r="BA225" s="174">
        <f>IFERROR((TableWRTERank[[#This Row],[FPS]]-INDEX(TableWRTERank[FPS],MATCH(WRTEVORPCalc,TableWRTERank[RK],0)))/INDEX(TableWRTERank[FPS],MATCH(WRTEVORPCalc,TableWRTERank[RK],0)),"")</f>
        <v>-0.89395545776815488</v>
      </c>
      <c r="BC225" t="s">
        <v>10</v>
      </c>
      <c r="BD225">
        <v>24</v>
      </c>
      <c r="BE225" s="83">
        <f>RANK(TableWRTEMaster[[#This Row],[VORP]],TableWRTEMaster[VORP])+COUNTIF($BJ$2:BJ225,BJ225)-1</f>
        <v>104</v>
      </c>
      <c r="BF225" s="115" t="str">
        <f>IFERROR(INDEX(TableTEVORP[TIGHT END],MATCH(TableWRTEMaster[[#This Row],[RK]],TableTEVORP[RK],0)),"")</f>
        <v>Cade Otton</v>
      </c>
      <c r="BG225" s="115" t="str">
        <f>_xlfn.CONCAT(TableWRTEMaster[[#This Row],[POS]],TableWRTEMaster[[#This Row],[RK]])</f>
        <v>TE24</v>
      </c>
      <c r="BH225" s="115">
        <f>IFERROR(INDEX(TableTEVORP[BYE],MATCH(TableWRTEMaster[[#This Row],[RK]],TableTEVORP[RK],0)),"")</f>
        <v>5</v>
      </c>
      <c r="BI225" s="116">
        <f>IFERROR(INDEX(TableTEVORP[FPS],MATCH(TableWRTEMaster[[#This Row],[RK]],TableTEVORP[RK],0)),"")</f>
        <v>87.511587115490997</v>
      </c>
      <c r="BJ225" s="117">
        <f>IFERROR(INDEX(TableTEVORP[VORP],MATCH(TableWRTEMaster[[#This Row],[RK]],TableTEVORP[RK],0)),"")</f>
        <v>-0.33371499345283284</v>
      </c>
    </row>
    <row r="226" spans="15:62" x14ac:dyDescent="0.2">
      <c r="O226">
        <v>225</v>
      </c>
      <c r="P226" s="112" t="str">
        <f>IFERROR(INDEX(TableWRCalcPts[PLAYER],MATCH(TableWRVORP[[#This Row],[RK]],TableWRCalcPts[RK],0)),"")</f>
        <v/>
      </c>
      <c r="Q226" s="112" t="str">
        <f>IFERROR(INDEX(TableWRCalcPts[TM],MATCH(TableWRVORP[[#This Row],[RK]],TableWRCalcPts[RK],0)),"")</f>
        <v/>
      </c>
      <c r="R226" s="112" t="str">
        <f>IFERROR(INDEX(TableWRCalcPts[BYE],MATCH(TableWRVORP[[#This Row],[RK]],TableWRCalcPts[RK],0)),"")</f>
        <v/>
      </c>
      <c r="S226" s="113" t="str">
        <f>IFERROR(INDEX(TableWRCalcPts[Custom],MATCH(TableWRVORP[[#This Row],[RK]],TableWRCalcPts[RK],0)),"")</f>
        <v/>
      </c>
      <c r="T226" s="114" t="str">
        <f>IFERROR((TableWRVORP[[#This Row],[FPS]]-INDEX(TableWRVORP[FPS],MATCH(WRVORPCalc,TableWRVORP[RK],0)))/INDEX(TableWRVORP[FPS],MATCH(WRVORPCalc,TableWRVORP[RK],0)),"")</f>
        <v/>
      </c>
      <c r="AF226" t="s">
        <v>223</v>
      </c>
      <c r="AG226">
        <v>85</v>
      </c>
      <c r="AH226" s="83">
        <f>RANK(TableOverallMaster[[#This Row],[VORP]],TableOverallMaster[VORP])+COUNTIF($AM$2:AM226,AM226)-1</f>
        <v>209</v>
      </c>
      <c r="AI226" s="115" t="str">
        <f>IFERROR(INDEX(TableWRVORP[WIDE RECEIVER],MATCH(TableOverallMaster[[#This Row],[RK]],TableWRVORP[RK],0)),"")</f>
        <v>Elijah Moore</v>
      </c>
      <c r="AJ226" s="115" t="str">
        <f t="shared" si="3"/>
        <v>WR85</v>
      </c>
      <c r="AK226" s="115">
        <f>IFERROR(INDEX(TableWRVORP[BYE],MATCH(TableOverallMaster[[#This Row],[RK]],TableWRVORP[RK],0)),"")</f>
        <v>5</v>
      </c>
      <c r="AL226" s="116">
        <f>IFERROR(INDEX(TableWRVORP[FPS],MATCH(TableOverallMaster[[#This Row],[RK]],TableWRVORP[RK],0)),"")</f>
        <v>84.639138333749997</v>
      </c>
      <c r="AM226" s="117">
        <f>IFERROR(INDEX(TableWRVORP[VORP],MATCH(TableOverallMaster[[#This Row],[RK]],TableWRVORP[RK],0)),"")</f>
        <v>-0.41386721445642766</v>
      </c>
      <c r="AO226">
        <v>225</v>
      </c>
      <c r="AP226" s="118" t="str">
        <f>IFERROR(INDEX(TableOverallMaster[OVERALL PLAYER],MATCH(TableOverallRank[[#This Row],[RK]],TableOverallMaster[OVR RK],0)),"")</f>
        <v>Rasheen Ali</v>
      </c>
      <c r="AQ226" s="119" t="str">
        <f>IFERROR(INDEX(TableOverallMaster[POS RK],MATCH(TableOverallRank[[#This Row],[OVERALL PLAYER]],TableOverallMaster[OVERALL PLAYER],0)),"")</f>
        <v>RB72</v>
      </c>
      <c r="AR226" s="120">
        <f>IFERROR(INDEX(TableOverallMaster[BYE],MATCH(TableOverallRank[[#This Row],[OVERALL PLAYER]],TableOverallMaster[OVERALL PLAYER],0)),"")</f>
        <v>13</v>
      </c>
      <c r="AS226" s="119">
        <f>IFERROR(INDEX(TableOverallMaster[Custom],MATCH(TableOverallRank[[#This Row],[OVERALL PLAYER]],TableOverallMaster[OVERALL PLAYER],0)),"")</f>
        <v>56.086905436799995</v>
      </c>
      <c r="AT226" s="121">
        <f>IFERROR(INDEX(TableOverallMaster[VORP],MATCH(TableOverallRank[[#This Row],[OVERALL PLAYER]],TableOverallMaster[OVERALL PLAYER],0)),"")</f>
        <v>-0.50241428741246053</v>
      </c>
      <c r="AV226">
        <v>225</v>
      </c>
      <c r="AW226" s="122" t="str">
        <f>IFERROR(INDEX(TableWRTECalcPts[PLAYER],MATCH(TableWRTERank[[#This Row],[RK]],TableWRTECalcPts[RK],0)),"")</f>
        <v>Brevin Jordan</v>
      </c>
      <c r="AX226" s="122" t="str">
        <f>IFERROR(INDEX(TableWRTECalcPts[POS RK],MATCH(TableWRTERank[[#This Row],[WR and TE COMBINED]],TableWRTECalcPts[PLAYER],0)),"")</f>
        <v>TE68</v>
      </c>
      <c r="AY226" s="122">
        <f>IFERROR(INDEX(TableWRTECalcPts[BYE],MATCH(TableWRTERank[[#This Row],[RK]],TableWRTECalcPts[RK],0)),"")</f>
        <v>7</v>
      </c>
      <c r="AZ226" s="123">
        <f>IFERROR(INDEX(TableWRTECalcPts[Custom],MATCH(TableWRTERank[[#This Row],[RK]],TableWRTECalcPts[RK],0)),"")</f>
        <v>15.682476386304002</v>
      </c>
      <c r="BA226" s="174">
        <f>IFERROR((TableWRTERank[[#This Row],[FPS]]-INDEX(TableWRTERank[FPS],MATCH(WRTEVORPCalc,TableWRTERank[RK],0)))/INDEX(TableWRTERank[FPS],MATCH(WRTEVORPCalc,TableWRTERank[RK],0)),"")</f>
        <v>-0.89494976583539276</v>
      </c>
      <c r="BC226" t="s">
        <v>10</v>
      </c>
      <c r="BD226">
        <v>25</v>
      </c>
      <c r="BE226" s="83">
        <f>RANK(TableWRTEMaster[[#This Row],[VORP]],TableWRTEMaster[VORP])+COUNTIF($BJ$2:BJ226,BJ226)-1</f>
        <v>105</v>
      </c>
      <c r="BF226" s="115" t="str">
        <f>IFERROR(INDEX(TableTEVORP[TIGHT END],MATCH(TableWRTEMaster[[#This Row],[RK]],TableTEVORP[RK],0)),"")</f>
        <v>Dalton Schultz</v>
      </c>
      <c r="BG226" s="115" t="str">
        <f>_xlfn.CONCAT(TableWRTEMaster[[#This Row],[POS]],TableWRTEMaster[[#This Row],[RK]])</f>
        <v>TE25</v>
      </c>
      <c r="BH226" s="115">
        <f>IFERROR(INDEX(TableTEVORP[BYE],MATCH(TableWRTEMaster[[#This Row],[RK]],TableTEVORP[RK],0)),"")</f>
        <v>7</v>
      </c>
      <c r="BI226" s="116">
        <f>IFERROR(INDEX(TableTEVORP[FPS],MATCH(TableWRTEMaster[[#This Row],[RK]],TableTEVORP[RK],0)),"")</f>
        <v>86.800296892108804</v>
      </c>
      <c r="BJ226" s="117">
        <f>IFERROR(INDEX(TableTEVORP[VORP],MATCH(TableWRTEMaster[[#This Row],[RK]],TableTEVORP[RK],0)),"")</f>
        <v>-0.33913052786106718</v>
      </c>
    </row>
    <row r="227" spans="15:62" x14ac:dyDescent="0.2">
      <c r="AF227" t="s">
        <v>223</v>
      </c>
      <c r="AG227">
        <v>86</v>
      </c>
      <c r="AH227" s="83">
        <f>RANK(TableOverallMaster[[#This Row],[VORP]],TableOverallMaster[VORP])+COUNTIF($AM$2:AM227,AM227)-1</f>
        <v>212</v>
      </c>
      <c r="AI227" s="115" t="str">
        <f>IFERROR(INDEX(TableWRVORP[WIDE RECEIVER],MATCH(TableOverallMaster[[#This Row],[RK]],TableWRVORP[RK],0)),"")</f>
        <v>Jalen Tolbert</v>
      </c>
      <c r="AJ227" s="115" t="str">
        <f t="shared" si="3"/>
        <v>WR86</v>
      </c>
      <c r="AK227" s="115">
        <f>IFERROR(INDEX(TableWRVORP[BYE],MATCH(TableOverallMaster[[#This Row],[RK]],TableWRVORP[RK],0)),"")</f>
        <v>7</v>
      </c>
      <c r="AL227" s="116">
        <f>IFERROR(INDEX(TableWRVORP[FPS],MATCH(TableOverallMaster[[#This Row],[RK]],TableWRVORP[RK],0)),"")</f>
        <v>84.097540023587982</v>
      </c>
      <c r="AM227" s="117">
        <f>IFERROR(INDEX(TableWRVORP[VORP],MATCH(TableOverallMaster[[#This Row],[RK]],TableWRVORP[RK],0)),"")</f>
        <v>-0.41761782596347286</v>
      </c>
      <c r="AO227">
        <v>226</v>
      </c>
      <c r="AP227" s="118" t="str">
        <f>IFERROR(INDEX(TableOverallMaster[OVERALL PLAYER],MATCH(TableOverallRank[[#This Row],[RK]],TableOverallMaster[OVR RK],0)),"")</f>
        <v>Tyler Boyd</v>
      </c>
      <c r="AQ227" s="119" t="str">
        <f>IFERROR(INDEX(TableOverallMaster[POS RK],MATCH(TableOverallRank[[#This Row],[OVERALL PLAYER]],TableOverallMaster[OVERALL PLAYER],0)),"")</f>
        <v>WR91</v>
      </c>
      <c r="AR227" s="120">
        <f>IFERROR(INDEX(TableOverallMaster[BYE],MATCH(TableOverallRank[[#This Row],[OVERALL PLAYER]],TableOverallMaster[OVERALL PLAYER],0)),"")</f>
        <v>7</v>
      </c>
      <c r="AS227" s="119">
        <f>IFERROR(INDEX(TableOverallMaster[Custom],MATCH(TableOverallRank[[#This Row],[OVERALL PLAYER]],TableOverallMaster[OVERALL PLAYER],0)),"")</f>
        <v>70.655056034062497</v>
      </c>
      <c r="AT227" s="121">
        <f>IFERROR(INDEX(TableOverallMaster[VORP],MATCH(TableOverallRank[[#This Row],[OVERALL PLAYER]],TableOverallMaster[OVERALL PLAYER],0)),"")</f>
        <v>-0.51070810004372835</v>
      </c>
      <c r="AV227">
        <v>226</v>
      </c>
      <c r="AW227" s="122" t="str">
        <f>IFERROR(INDEX(TableWRTECalcPts[PLAYER],MATCH(TableWRTERank[[#This Row],[RK]],TableWRTECalcPts[RK],0)),"")</f>
        <v>Bub Means</v>
      </c>
      <c r="AX227" s="122" t="str">
        <f>IFERROR(INDEX(TableWRTECalcPts[POS RK],MATCH(TableWRTERank[[#This Row],[WR and TE COMBINED]],TableWRTECalcPts[PLAYER],0)),"")</f>
        <v>WR158</v>
      </c>
      <c r="AY227" s="122">
        <f>IFERROR(INDEX(TableWRTECalcPts[BYE],MATCH(TableWRTERank[[#This Row],[RK]],TableWRTECalcPts[RK],0)),"")</f>
        <v>11</v>
      </c>
      <c r="AZ227" s="123">
        <f>IFERROR(INDEX(TableWRTECalcPts[Custom],MATCH(TableWRTERank[[#This Row],[RK]],TableWRTECalcPts[RK],0)),"")</f>
        <v>15.27545624248336</v>
      </c>
      <c r="BA227" s="174">
        <f>IFERROR((TableWRTERank[[#This Row],[FPS]]-INDEX(TableWRTERank[FPS],MATCH(WRTEVORPCalc,TableWRTERank[RK],0)))/INDEX(TableWRTERank[FPS],MATCH(WRTEVORPCalc,TableWRTERank[RK],0)),"")</f>
        <v>-0.89767622053328799</v>
      </c>
      <c r="BC227" t="s">
        <v>10</v>
      </c>
      <c r="BD227">
        <v>26</v>
      </c>
      <c r="BE227" s="83">
        <f>RANK(TableWRTEMaster[[#This Row],[VORP]],TableWRTEMaster[VORP])+COUNTIF($BJ$2:BJ227,BJ227)-1</f>
        <v>106</v>
      </c>
      <c r="BF227" s="115" t="str">
        <f>IFERROR(INDEX(TableTEVORP[TIGHT END],MATCH(TableWRTEMaster[[#This Row],[RK]],TableTEVORP[RK],0)),"")</f>
        <v>Tyler Conklin</v>
      </c>
      <c r="BG227" s="115" t="str">
        <f>_xlfn.CONCAT(TableWRTEMaster[[#This Row],[POS]],TableWRTEMaster[[#This Row],[RK]])</f>
        <v>TE26</v>
      </c>
      <c r="BH227" s="115">
        <f>IFERROR(INDEX(TableTEVORP[BYE],MATCH(TableWRTEMaster[[#This Row],[RK]],TableTEVORP[RK],0)),"")</f>
        <v>7</v>
      </c>
      <c r="BI227" s="116">
        <f>IFERROR(INDEX(TableTEVORP[FPS],MATCH(TableWRTEMaster[[#This Row],[RK]],TableTEVORP[RK],0)),"")</f>
        <v>82.599242709983983</v>
      </c>
      <c r="BJ227" s="117">
        <f>IFERROR(INDEX(TableTEVORP[VORP],MATCH(TableWRTEMaster[[#This Row],[RK]],TableTEVORP[RK],0)),"")</f>
        <v>-0.37111599979117865</v>
      </c>
    </row>
    <row r="228" spans="15:62" x14ac:dyDescent="0.2">
      <c r="AF228" t="s">
        <v>223</v>
      </c>
      <c r="AG228">
        <v>87</v>
      </c>
      <c r="AH228" s="83">
        <f>RANK(TableOverallMaster[[#This Row],[VORP]],TableOverallMaster[VORP])+COUNTIF($AM$2:AM228,AM228)-1</f>
        <v>213</v>
      </c>
      <c r="AI228" s="115" t="str">
        <f>IFERROR(INDEX(TableWRVORP[WIDE RECEIVER],MATCH(TableOverallMaster[[#This Row],[RK]],TableWRVORP[RK],0)),"")</f>
        <v>Andrei Iosivas</v>
      </c>
      <c r="AJ228" s="115" t="str">
        <f t="shared" si="3"/>
        <v>WR87</v>
      </c>
      <c r="AK228" s="115">
        <f>IFERROR(INDEX(TableWRVORP[BYE],MATCH(TableOverallMaster[[#This Row],[RK]],TableWRVORP[RK],0)),"")</f>
        <v>7</v>
      </c>
      <c r="AL228" s="116">
        <f>IFERROR(INDEX(TableWRVORP[FPS],MATCH(TableOverallMaster[[#This Row],[RK]],TableWRVORP[RK],0)),"")</f>
        <v>83.809426032359994</v>
      </c>
      <c r="AM228" s="117">
        <f>IFERROR(INDEX(TableWRVORP[VORP],MATCH(TableOverallMaster[[#This Row],[RK]],TableWRVORP[RK],0)),"")</f>
        <v>-0.41961303833870561</v>
      </c>
      <c r="AO228">
        <v>227</v>
      </c>
      <c r="AP228" s="118" t="str">
        <f>IFERROR(INDEX(TableOverallMaster[OVERALL PLAYER],MATCH(TableOverallRank[[#This Row],[RK]],TableOverallMaster[OVR RK],0)),"")</f>
        <v>Cedrick Wilson</v>
      </c>
      <c r="AQ228" s="119" t="str">
        <f>IFERROR(INDEX(TableOverallMaster[POS RK],MATCH(TableOverallRank[[#This Row],[OVERALL PLAYER]],TableOverallMaster[OVERALL PLAYER],0)),"")</f>
        <v>WR92</v>
      </c>
      <c r="AR228" s="120">
        <f>IFERROR(INDEX(TableOverallMaster[BYE],MATCH(TableOverallRank[[#This Row],[OVERALL PLAYER]],TableOverallMaster[OVERALL PLAYER],0)),"")</f>
        <v>11</v>
      </c>
      <c r="AS228" s="119">
        <f>IFERROR(INDEX(TableOverallMaster[Custom],MATCH(TableOverallRank[[#This Row],[OVERALL PLAYER]],TableOverallMaster[OVERALL PLAYER],0)),"")</f>
        <v>69.911023376409588</v>
      </c>
      <c r="AT228" s="121">
        <f>IFERROR(INDEX(TableOverallMaster[VORP],MATCH(TableOverallRank[[#This Row],[OVERALL PLAYER]],TableOverallMaster[OVERALL PLAYER],0)),"")</f>
        <v>-0.51586058555753223</v>
      </c>
      <c r="AV228">
        <v>227</v>
      </c>
      <c r="AW228" s="122" t="str">
        <f>IFERROR(INDEX(TableWRTECalcPts[PLAYER],MATCH(TableWRTERank[[#This Row],[RK]],TableWRTECalcPts[RK],0)),"")</f>
        <v>Durham Smythe</v>
      </c>
      <c r="AX228" s="122" t="str">
        <f>IFERROR(INDEX(TableWRTECalcPts[POS RK],MATCH(TableWRTERank[[#This Row],[WR and TE COMBINED]],TableWRTECalcPts[PLAYER],0)),"")</f>
        <v>TE69</v>
      </c>
      <c r="AY228" s="122">
        <f>IFERROR(INDEX(TableWRTECalcPts[BYE],MATCH(TableWRTERank[[#This Row],[RK]],TableWRTECalcPts[RK],0)),"")</f>
        <v>10</v>
      </c>
      <c r="AZ228" s="123">
        <f>IFERROR(INDEX(TableWRTECalcPts[Custom],MATCH(TableWRTERank[[#This Row],[RK]],TableWRTECalcPts[RK],0)),"")</f>
        <v>14.89512935232</v>
      </c>
      <c r="BA228" s="174">
        <f>IFERROR((TableWRTERank[[#This Row],[FPS]]-INDEX(TableWRTERank[FPS],MATCH(WRTEVORPCalc,TableWRTERank[RK],0)))/INDEX(TableWRTERank[FPS],MATCH(WRTEVORPCalc,TableWRTERank[RK],0)),"")</f>
        <v>-0.9002238684867484</v>
      </c>
      <c r="BC228" t="s">
        <v>10</v>
      </c>
      <c r="BD228">
        <v>27</v>
      </c>
      <c r="BE228" s="83">
        <f>RANK(TableWRTEMaster[[#This Row],[VORP]],TableWRTEMaster[VORP])+COUNTIF($BJ$2:BJ228,BJ228)-1</f>
        <v>111</v>
      </c>
      <c r="BF228" s="115" t="str">
        <f>IFERROR(INDEX(TableTEVORP[TIGHT END],MATCH(TableWRTEMaster[[#This Row],[RK]],TableTEVORP[RK],0)),"")</f>
        <v>Noah Fant</v>
      </c>
      <c r="BG228" s="115" t="str">
        <f>_xlfn.CONCAT(TableWRTEMaster[[#This Row],[POS]],TableWRTEMaster[[#This Row],[RK]])</f>
        <v>TE27</v>
      </c>
      <c r="BH228" s="115">
        <f>IFERROR(INDEX(TableTEVORP[BYE],MATCH(TableWRTEMaster[[#This Row],[RK]],TableTEVORP[RK],0)),"")</f>
        <v>5</v>
      </c>
      <c r="BI228" s="116">
        <f>IFERROR(INDEX(TableTEVORP[FPS],MATCH(TableWRTEMaster[[#This Row],[RK]],TableTEVORP[RK],0)),"")</f>
        <v>77.518260897461985</v>
      </c>
      <c r="BJ228" s="117">
        <f>IFERROR(INDEX(TableTEVORP[VORP],MATCH(TableWRTEMaster[[#This Row],[RK]],TableTEVORP[RK],0)),"")</f>
        <v>-0.40980095697010049</v>
      </c>
    </row>
    <row r="229" spans="15:62" x14ac:dyDescent="0.2">
      <c r="AF229" t="s">
        <v>223</v>
      </c>
      <c r="AG229">
        <v>88</v>
      </c>
      <c r="AH229" s="83">
        <f>RANK(TableOverallMaster[[#This Row],[VORP]],TableOverallMaster[VORP])+COUNTIF($AM$2:AM229,AM229)-1</f>
        <v>214</v>
      </c>
      <c r="AI229" s="115" t="str">
        <f>IFERROR(INDEX(TableWRVORP[WIDE RECEIVER],MATCH(TableOverallMaster[[#This Row],[RK]],TableWRVORP[RK],0)),"")</f>
        <v>Luke McCaffrey</v>
      </c>
      <c r="AJ229" s="115" t="str">
        <f t="shared" si="3"/>
        <v>WR88</v>
      </c>
      <c r="AK229" s="115">
        <f>IFERROR(INDEX(TableWRVORP[BYE],MATCH(TableOverallMaster[[#This Row],[RK]],TableWRVORP[RK],0)),"")</f>
        <v>14</v>
      </c>
      <c r="AL229" s="116">
        <f>IFERROR(INDEX(TableWRVORP[FPS],MATCH(TableOverallMaster[[#This Row],[RK]],TableWRVORP[RK],0)),"")</f>
        <v>82.713069507515968</v>
      </c>
      <c r="AM229" s="117">
        <f>IFERROR(INDEX(TableWRVORP[VORP],MATCH(TableOverallMaster[[#This Row],[RK]],TableWRVORP[RK],0)),"")</f>
        <v>-0.42720539474150537</v>
      </c>
      <c r="AO229">
        <v>228</v>
      </c>
      <c r="AP229" s="118" t="str">
        <f>IFERROR(INDEX(TableOverallMaster[OVERALL PLAYER],MATCH(TableOverallRank[[#This Row],[RK]],TableOverallMaster[OVR RK],0)),"")</f>
        <v>Jalen McMillan</v>
      </c>
      <c r="AQ229" s="119" t="str">
        <f>IFERROR(INDEX(TableOverallMaster[POS RK],MATCH(TableOverallRank[[#This Row],[OVERALL PLAYER]],TableOverallMaster[OVERALL PLAYER],0)),"")</f>
        <v>WR93</v>
      </c>
      <c r="AR229" s="120">
        <f>IFERROR(INDEX(TableOverallMaster[BYE],MATCH(TableOverallRank[[#This Row],[OVERALL PLAYER]],TableOverallMaster[OVERALL PLAYER],0)),"")</f>
        <v>5</v>
      </c>
      <c r="AS229" s="119">
        <f>IFERROR(INDEX(TableOverallMaster[Custom],MATCH(TableOverallRank[[#This Row],[OVERALL PLAYER]],TableOverallMaster[OVERALL PLAYER],0)),"")</f>
        <v>68.307723575783996</v>
      </c>
      <c r="AT229" s="121">
        <f>IFERROR(INDEX(TableOverallMaster[VORP],MATCH(TableOverallRank[[#This Row],[OVERALL PLAYER]],TableOverallMaster[OVERALL PLAYER],0)),"")</f>
        <v>-0.52696356458948446</v>
      </c>
      <c r="AV229">
        <v>228</v>
      </c>
      <c r="AW229" s="122" t="str">
        <f>IFERROR(INDEX(TableWRTECalcPts[PLAYER],MATCH(TableWRTERank[[#This Row],[RK]],TableWRTECalcPts[RK],0)),"")</f>
        <v>Tip Reiman</v>
      </c>
      <c r="AX229" s="122" t="str">
        <f>IFERROR(INDEX(TableWRTECalcPts[POS RK],MATCH(TableWRTERank[[#This Row],[WR and TE COMBINED]],TableWRTECalcPts[PLAYER],0)),"")</f>
        <v>TE70</v>
      </c>
      <c r="AY229" s="122">
        <f>IFERROR(INDEX(TableWRTECalcPts[BYE],MATCH(TableWRTERank[[#This Row],[RK]],TableWRTECalcPts[RK],0)),"")</f>
        <v>14</v>
      </c>
      <c r="AZ229" s="123">
        <f>IFERROR(INDEX(TableWRTECalcPts[Custom],MATCH(TableWRTERank[[#This Row],[RK]],TableWRTECalcPts[RK],0)),"")</f>
        <v>14.747381013540004</v>
      </c>
      <c r="BA229" s="174">
        <f>IFERROR((TableWRTERank[[#This Row],[FPS]]-INDEX(TableWRTERank[FPS],MATCH(WRTEVORPCalc,TableWRTERank[RK],0)))/INDEX(TableWRTERank[FPS],MATCH(WRTEVORPCalc,TableWRTERank[RK],0)),"")</f>
        <v>-0.9012135717200862</v>
      </c>
      <c r="BC229" t="s">
        <v>10</v>
      </c>
      <c r="BD229">
        <v>28</v>
      </c>
      <c r="BE229" s="83">
        <f>RANK(TableWRTEMaster[[#This Row],[VORP]],TableWRTEMaster[VORP])+COUNTIF($BJ$2:BJ229,BJ229)-1</f>
        <v>118</v>
      </c>
      <c r="BF229" s="115" t="str">
        <f>IFERROR(INDEX(TableTEVORP[TIGHT END],MATCH(TableWRTEMaster[[#This Row],[RK]],TableTEVORP[RK],0)),"")</f>
        <v>Jonnu Smith</v>
      </c>
      <c r="BG229" s="115" t="str">
        <f>_xlfn.CONCAT(TableWRTEMaster[[#This Row],[POS]],TableWRTEMaster[[#This Row],[RK]])</f>
        <v>TE28</v>
      </c>
      <c r="BH229" s="115">
        <f>IFERROR(INDEX(TableTEVORP[BYE],MATCH(TableWRTEMaster[[#This Row],[RK]],TableTEVORP[RK],0)),"")</f>
        <v>10</v>
      </c>
      <c r="BI229" s="116">
        <f>IFERROR(INDEX(TableTEVORP[FPS],MATCH(TableWRTEMaster[[#This Row],[RK]],TableTEVORP[RK],0)),"")</f>
        <v>69.270961745512807</v>
      </c>
      <c r="BJ229" s="117">
        <f>IFERROR(INDEX(TableTEVORP[VORP],MATCH(TableWRTEMaster[[#This Row],[RK]],TableTEVORP[RK],0)),"")</f>
        <v>-0.47259323340545939</v>
      </c>
    </row>
    <row r="230" spans="15:62" x14ac:dyDescent="0.2">
      <c r="AF230" t="s">
        <v>223</v>
      </c>
      <c r="AG230">
        <v>89</v>
      </c>
      <c r="AH230" s="83">
        <f>RANK(TableOverallMaster[[#This Row],[VORP]],TableOverallMaster[VORP])+COUNTIF($AM$2:AM230,AM230)-1</f>
        <v>215</v>
      </c>
      <c r="AI230" s="115" t="str">
        <f>IFERROR(INDEX(TableWRVORP[WIDE RECEIVER],MATCH(TableOverallMaster[[#This Row],[RK]],TableWRVORP[RK],0)),"")</f>
        <v>Van Jefferson</v>
      </c>
      <c r="AJ230" s="115" t="str">
        <f t="shared" si="3"/>
        <v>WR89</v>
      </c>
      <c r="AK230" s="115">
        <f>IFERROR(INDEX(TableWRVORP[BYE],MATCH(TableOverallMaster[[#This Row],[RK]],TableWRVORP[RK],0)),"")</f>
        <v>6</v>
      </c>
      <c r="AL230" s="116">
        <f>IFERROR(INDEX(TableWRVORP[FPS],MATCH(TableOverallMaster[[#This Row],[RK]],TableWRVORP[RK],0)),"")</f>
        <v>82.556850116160007</v>
      </c>
      <c r="AM230" s="117">
        <f>IFERROR(INDEX(TableWRVORP[VORP],MATCH(TableOverallMaster[[#This Row],[RK]],TableWRVORP[RK],0)),"")</f>
        <v>-0.42828722648996115</v>
      </c>
      <c r="AO230">
        <v>229</v>
      </c>
      <c r="AP230" s="118" t="str">
        <f>IFERROR(INDEX(TableOverallMaster[OVERALL PLAYER],MATCH(TableOverallRank[[#This Row],[RK]],TableOverallMaster[OVR RK],0)),"")</f>
        <v>Michael Mayer</v>
      </c>
      <c r="AQ230" s="119" t="str">
        <f>IFERROR(INDEX(TableOverallMaster[POS RK],MATCH(TableOverallRank[[#This Row],[OVERALL PLAYER]],TableOverallMaster[OVERALL PLAYER],0)),"")</f>
        <v>TE32</v>
      </c>
      <c r="AR230" s="120">
        <f>IFERROR(INDEX(TableOverallMaster[BYE],MATCH(TableOverallRank[[#This Row],[OVERALL PLAYER]],TableOverallMaster[OVERALL PLAYER],0)),"")</f>
        <v>13</v>
      </c>
      <c r="AS230" s="119">
        <f>IFERROR(INDEX(TableOverallMaster[Custom],MATCH(TableOverallRank[[#This Row],[OVERALL PLAYER]],TableOverallMaster[OVERALL PLAYER],0)),"")</f>
        <v>61.206676159999986</v>
      </c>
      <c r="AT230" s="121">
        <f>IFERROR(INDEX(TableOverallMaster[VORP],MATCH(TableOverallRank[[#This Row],[OVERALL PLAYER]],TableOverallMaster[OVERALL PLAYER],0)),"")</f>
        <v>-0.53399210355794124</v>
      </c>
      <c r="AV230">
        <v>229</v>
      </c>
      <c r="AW230" s="122" t="str">
        <f>IFERROR(INDEX(TableWRTECalcPts[PLAYER],MATCH(TableWRTERank[[#This Row],[RK]],TableWRTECalcPts[RK],0)),"")</f>
        <v>Luke Farrell</v>
      </c>
      <c r="AX230" s="122" t="str">
        <f>IFERROR(INDEX(TableWRTECalcPts[POS RK],MATCH(TableWRTERank[[#This Row],[WR and TE COMBINED]],TableWRTECalcPts[PLAYER],0)),"")</f>
        <v>TE71</v>
      </c>
      <c r="AY230" s="122">
        <f>IFERROR(INDEX(TableWRTECalcPts[BYE],MATCH(TableWRTERank[[#This Row],[RK]],TableWRTECalcPts[RK],0)),"")</f>
        <v>9</v>
      </c>
      <c r="AZ230" s="123">
        <f>IFERROR(INDEX(TableWRTECalcPts[Custom],MATCH(TableWRTERank[[#This Row],[RK]],TableWRTECalcPts[RK],0)),"")</f>
        <v>14.710061620799998</v>
      </c>
      <c r="BA230" s="174">
        <f>IFERROR((TableWRTERank[[#This Row],[FPS]]-INDEX(TableWRTERank[FPS],MATCH(WRTEVORPCalc,TableWRTERank[RK],0)))/INDEX(TableWRTERank[FPS],MATCH(WRTEVORPCalc,TableWRTERank[RK],0)),"")</f>
        <v>-0.90146355844728732</v>
      </c>
      <c r="BC230" t="s">
        <v>10</v>
      </c>
      <c r="BD230">
        <v>29</v>
      </c>
      <c r="BE230" s="83">
        <f>RANK(TableWRTEMaster[[#This Row],[VORP]],TableWRTEMaster[VORP])+COUNTIF($BJ$2:BJ230,BJ230)-1</f>
        <v>119</v>
      </c>
      <c r="BF230" s="115" t="str">
        <f>IFERROR(INDEX(TableTEVORP[TIGHT END],MATCH(TableWRTEMaster[[#This Row],[RK]],TableTEVORP[RK],0)),"")</f>
        <v>Zach Ertz</v>
      </c>
      <c r="BG230" s="115" t="str">
        <f>_xlfn.CONCAT(TableWRTEMaster[[#This Row],[POS]],TableWRTEMaster[[#This Row],[RK]])</f>
        <v>TE29</v>
      </c>
      <c r="BH230" s="115">
        <f>IFERROR(INDEX(TableTEVORP[BYE],MATCH(TableWRTEMaster[[#This Row],[RK]],TableTEVORP[RK],0)),"")</f>
        <v>14</v>
      </c>
      <c r="BI230" s="116">
        <f>IFERROR(INDEX(TableTEVORP[FPS],MATCH(TableWRTEMaster[[#This Row],[RK]],TableTEVORP[RK],0)),"")</f>
        <v>68.546385770939992</v>
      </c>
      <c r="BJ230" s="117">
        <f>IFERROR(INDEX(TableTEVORP[VORP],MATCH(TableWRTEMaster[[#This Row],[RK]],TableTEVORP[RK],0)),"")</f>
        <v>-0.4781099212393235</v>
      </c>
    </row>
    <row r="231" spans="15:62" x14ac:dyDescent="0.2">
      <c r="AF231" t="s">
        <v>223</v>
      </c>
      <c r="AG231">
        <v>90</v>
      </c>
      <c r="AH231" s="83">
        <f>RANK(TableOverallMaster[[#This Row],[VORP]],TableOverallMaster[VORP])+COUNTIF($AM$2:AM231,AM231)-1</f>
        <v>217</v>
      </c>
      <c r="AI231" s="115" t="str">
        <f>IFERROR(INDEX(TableWRVORP[WIDE RECEIVER],MATCH(TableOverallMaster[[#This Row],[RK]],TableWRVORP[RK],0)),"")</f>
        <v>Trey Palmer</v>
      </c>
      <c r="AJ231" s="115" t="str">
        <f t="shared" si="3"/>
        <v>WR90</v>
      </c>
      <c r="AK231" s="115">
        <f>IFERROR(INDEX(TableWRVORP[BYE],MATCH(TableOverallMaster[[#This Row],[RK]],TableWRVORP[RK],0)),"")</f>
        <v>5</v>
      </c>
      <c r="AL231" s="116">
        <f>IFERROR(INDEX(TableWRVORP[FPS],MATCH(TableOverallMaster[[#This Row],[RK]],TableWRVORP[RK],0)),"")</f>
        <v>76.730779467434402</v>
      </c>
      <c r="AM231" s="117">
        <f>IFERROR(INDEX(TableWRVORP[VORP],MATCH(TableOverallMaster[[#This Row],[RK]],TableWRVORP[RK],0)),"")</f>
        <v>-0.46863323054125128</v>
      </c>
      <c r="AO231">
        <v>230</v>
      </c>
      <c r="AP231" s="118" t="str">
        <f>IFERROR(INDEX(TableOverallMaster[OVERALL PLAYER],MATCH(TableOverallRank[[#This Row],[RK]],TableOverallMaster[OVR RK],0)),"")</f>
        <v>Will Dissly</v>
      </c>
      <c r="AQ231" s="119" t="str">
        <f>IFERROR(INDEX(TableOverallMaster[POS RK],MATCH(TableOverallRank[[#This Row],[OVERALL PLAYER]],TableOverallMaster[OVERALL PLAYER],0)),"")</f>
        <v>TE33</v>
      </c>
      <c r="AR231" s="120">
        <f>IFERROR(INDEX(TableOverallMaster[BYE],MATCH(TableOverallRank[[#This Row],[OVERALL PLAYER]],TableOverallMaster[OVERALL PLAYER],0)),"")</f>
        <v>5</v>
      </c>
      <c r="AS231" s="119">
        <f>IFERROR(INDEX(TableOverallMaster[Custom],MATCH(TableOverallRank[[#This Row],[OVERALL PLAYER]],TableOverallMaster[OVERALL PLAYER],0)),"")</f>
        <v>59.707462324891488</v>
      </c>
      <c r="AT231" s="121">
        <f>IFERROR(INDEX(TableOverallMaster[VORP],MATCH(TableOverallRank[[#This Row],[OVERALL PLAYER]],TableOverallMaster[OVERALL PLAYER],0)),"")</f>
        <v>-0.54540663428314229</v>
      </c>
      <c r="AV231">
        <v>230</v>
      </c>
      <c r="AW231" s="122" t="str">
        <f>IFERROR(INDEX(TableWRTECalcPts[PLAYER],MATCH(TableWRTERank[[#This Row],[RK]],TableWRTECalcPts[RK],0)),"")</f>
        <v>Ronnie Bell</v>
      </c>
      <c r="AX231" s="122" t="str">
        <f>IFERROR(INDEX(TableWRTECalcPts[POS RK],MATCH(TableWRTERank[[#This Row],[WR and TE COMBINED]],TableWRTECalcPts[PLAYER],0)),"")</f>
        <v>WR159</v>
      </c>
      <c r="AY231" s="122">
        <f>IFERROR(INDEX(TableWRTECalcPts[BYE],MATCH(TableWRTERank[[#This Row],[RK]],TableWRTECalcPts[RK],0)),"")</f>
        <v>9</v>
      </c>
      <c r="AZ231" s="123">
        <f>IFERROR(INDEX(TableWRTECalcPts[Custom],MATCH(TableWRTERank[[#This Row],[RK]],TableWRTECalcPts[RK],0)),"")</f>
        <v>14.516737290770401</v>
      </c>
      <c r="BA231" s="174">
        <f>IFERROR((TableWRTERank[[#This Row],[FPS]]-INDEX(TableWRTERank[FPS],MATCH(WRTEVORPCalc,TableWRTERank[RK],0)))/INDEX(TableWRTERank[FPS],MATCH(WRTEVORPCalc,TableWRTERank[RK],0)),"")</f>
        <v>-0.9027585558468727</v>
      </c>
      <c r="BC231" t="s">
        <v>10</v>
      </c>
      <c r="BD231">
        <v>30</v>
      </c>
      <c r="BE231" s="83">
        <f>RANK(TableWRTEMaster[[#This Row],[VORP]],TableWRTEMaster[VORP])+COUNTIF($BJ$2:BJ231,BJ231)-1</f>
        <v>120</v>
      </c>
      <c r="BF231" s="115" t="str">
        <f>IFERROR(INDEX(TableTEVORP[TIGHT END],MATCH(TableWRTEMaster[[#This Row],[RK]],TableTEVORP[RK],0)),"")</f>
        <v>Mike Gesicki</v>
      </c>
      <c r="BG231" s="115" t="str">
        <f>_xlfn.CONCAT(TableWRTEMaster[[#This Row],[POS]],TableWRTEMaster[[#This Row],[RK]])</f>
        <v>TE30</v>
      </c>
      <c r="BH231" s="115">
        <f>IFERROR(INDEX(TableTEVORP[BYE],MATCH(TableWRTEMaster[[#This Row],[RK]],TableTEVORP[RK],0)),"")</f>
        <v>7</v>
      </c>
      <c r="BI231" s="116">
        <f>IFERROR(INDEX(TableTEVORP[FPS],MATCH(TableWRTEMaster[[#This Row],[RK]],TableTEVORP[RK],0)),"")</f>
        <v>67.972915915967988</v>
      </c>
      <c r="BJ231" s="117">
        <f>IFERROR(INDEX(TableTEVORP[VORP],MATCH(TableWRTEMaster[[#This Row],[RK]],TableTEVORP[RK],0)),"")</f>
        <v>-0.48247613580209181</v>
      </c>
    </row>
    <row r="232" spans="15:62" x14ac:dyDescent="0.2">
      <c r="AF232" t="s">
        <v>223</v>
      </c>
      <c r="AG232">
        <v>91</v>
      </c>
      <c r="AH232" s="83">
        <f>RANK(TableOverallMaster[[#This Row],[VORP]],TableOverallMaster[VORP])+COUNTIF($AM$2:AM232,AM232)-1</f>
        <v>226</v>
      </c>
      <c r="AI232" s="115" t="str">
        <f>IFERROR(INDEX(TableWRVORP[WIDE RECEIVER],MATCH(TableOverallMaster[[#This Row],[RK]],TableWRVORP[RK],0)),"")</f>
        <v>Tyler Boyd</v>
      </c>
      <c r="AJ232" s="115" t="str">
        <f t="shared" si="3"/>
        <v>WR91</v>
      </c>
      <c r="AK232" s="115">
        <f>IFERROR(INDEX(TableWRVORP[BYE],MATCH(TableOverallMaster[[#This Row],[RK]],TableWRVORP[RK],0)),"")</f>
        <v>7</v>
      </c>
      <c r="AL232" s="116">
        <f>IFERROR(INDEX(TableWRVORP[FPS],MATCH(TableOverallMaster[[#This Row],[RK]],TableWRVORP[RK],0)),"")</f>
        <v>70.655056034062497</v>
      </c>
      <c r="AM232" s="117">
        <f>IFERROR(INDEX(TableWRVORP[VORP],MATCH(TableOverallMaster[[#This Row],[RK]],TableWRVORP[RK],0)),"")</f>
        <v>-0.51070810004372835</v>
      </c>
      <c r="AO232">
        <v>231</v>
      </c>
      <c r="AP232" s="118" t="str">
        <f>IFERROR(INDEX(TableOverallMaster[OVERALL PLAYER],MATCH(TableOverallRank[[#This Row],[RK]],TableOverallMaster[OVR RK],0)),"")</f>
        <v>Ja'Tavion Sanders</v>
      </c>
      <c r="AQ232" s="119" t="str">
        <f>IFERROR(INDEX(TableOverallMaster[POS RK],MATCH(TableOverallRank[[#This Row],[OVERALL PLAYER]],TableOverallMaster[OVERALL PLAYER],0)),"")</f>
        <v>TE34</v>
      </c>
      <c r="AR232" s="120">
        <f>IFERROR(INDEX(TableOverallMaster[BYE],MATCH(TableOverallRank[[#This Row],[OVERALL PLAYER]],TableOverallMaster[OVERALL PLAYER],0)),"")</f>
        <v>7</v>
      </c>
      <c r="AS232" s="119">
        <f>IFERROR(INDEX(TableOverallMaster[Custom],MATCH(TableOverallRank[[#This Row],[OVERALL PLAYER]],TableOverallMaster[OVERALL PLAYER],0)),"")</f>
        <v>59.068966360991993</v>
      </c>
      <c r="AT232" s="121">
        <f>IFERROR(INDEX(TableOverallMaster[VORP],MATCH(TableOverallRank[[#This Row],[OVERALL PLAYER]],TableOverallMaster[OVERALL PLAYER],0)),"")</f>
        <v>-0.55026793667188389</v>
      </c>
      <c r="AV232">
        <v>231</v>
      </c>
      <c r="AW232" s="122" t="str">
        <f>IFERROR(INDEX(TableWRTECalcPts[PLAYER],MATCH(TableWRTERank[[#This Row],[RK]],TableWRTECalcPts[RK],0)),"")</f>
        <v>Trent Sherfield</v>
      </c>
      <c r="AX232" s="122" t="str">
        <f>IFERROR(INDEX(TableWRTECalcPts[POS RK],MATCH(TableWRTERank[[#This Row],[WR and TE COMBINED]],TableWRTECalcPts[PLAYER],0)),"")</f>
        <v>WR160</v>
      </c>
      <c r="AY232" s="122">
        <f>IFERROR(INDEX(TableWRTECalcPts[BYE],MATCH(TableWRTERank[[#This Row],[RK]],TableWRTECalcPts[RK],0)),"")</f>
        <v>13</v>
      </c>
      <c r="AZ232" s="123">
        <f>IFERROR(INDEX(TableWRTECalcPts[Custom],MATCH(TableWRTERank[[#This Row],[RK]],TableWRTECalcPts[RK],0)),"")</f>
        <v>14.387896891199997</v>
      </c>
      <c r="BA232" s="174">
        <f>IFERROR((TableWRTERank[[#This Row],[FPS]]-INDEX(TableWRTERank[FPS],MATCH(WRTEVORPCalc,TableWRTERank[RK],0)))/INDEX(TableWRTERank[FPS],MATCH(WRTEVORPCalc,TableWRTERank[RK],0)),"")</f>
        <v>-0.90362160284349069</v>
      </c>
      <c r="BC232" t="s">
        <v>10</v>
      </c>
      <c r="BD232">
        <v>31</v>
      </c>
      <c r="BE232" s="83">
        <f>RANK(TableWRTEMaster[[#This Row],[VORP]],TableWRTEMaster[VORP])+COUNTIF($BJ$2:BJ232,BJ232)-1</f>
        <v>121</v>
      </c>
      <c r="BF232" s="115" t="str">
        <f>IFERROR(INDEX(TableTEVORP[TIGHT END],MATCH(TableWRTEMaster[[#This Row],[RK]],TableTEVORP[RK],0)),"")</f>
        <v>Tucker Kraft</v>
      </c>
      <c r="BG232" s="115" t="str">
        <f>_xlfn.CONCAT(TableWRTEMaster[[#This Row],[POS]],TableWRTEMaster[[#This Row],[RK]])</f>
        <v>TE31</v>
      </c>
      <c r="BH232" s="115">
        <f>IFERROR(INDEX(TableTEVORP[BYE],MATCH(TableWRTEMaster[[#This Row],[RK]],TableTEVORP[RK],0)),"")</f>
        <v>6</v>
      </c>
      <c r="BI232" s="116">
        <f>IFERROR(INDEX(TableTEVORP[FPS],MATCH(TableWRTEMaster[[#This Row],[RK]],TableTEVORP[RK],0)),"")</f>
        <v>67.057766586496001</v>
      </c>
      <c r="BJ232" s="117">
        <f>IFERROR(INDEX(TableTEVORP[VORP],MATCH(TableWRTEMaster[[#This Row],[RK]],TableTEVORP[RK],0)),"")</f>
        <v>-0.48944378771056629</v>
      </c>
    </row>
    <row r="233" spans="15:62" x14ac:dyDescent="0.2">
      <c r="AF233" t="s">
        <v>223</v>
      </c>
      <c r="AG233">
        <v>92</v>
      </c>
      <c r="AH233" s="83">
        <f>RANK(TableOverallMaster[[#This Row],[VORP]],TableOverallMaster[VORP])+COUNTIF($AM$2:AM233,AM233)-1</f>
        <v>227</v>
      </c>
      <c r="AI233" s="115" t="str">
        <f>IFERROR(INDEX(TableWRVORP[WIDE RECEIVER],MATCH(TableOverallMaster[[#This Row],[RK]],TableWRVORP[RK],0)),"")</f>
        <v>Cedrick Wilson</v>
      </c>
      <c r="AJ233" s="115" t="str">
        <f t="shared" si="3"/>
        <v>WR92</v>
      </c>
      <c r="AK233" s="115">
        <f>IFERROR(INDEX(TableWRVORP[BYE],MATCH(TableOverallMaster[[#This Row],[RK]],TableWRVORP[RK],0)),"")</f>
        <v>11</v>
      </c>
      <c r="AL233" s="116">
        <f>IFERROR(INDEX(TableWRVORP[FPS],MATCH(TableOverallMaster[[#This Row],[RK]],TableWRVORP[RK],0)),"")</f>
        <v>69.911023376409588</v>
      </c>
      <c r="AM233" s="117">
        <f>IFERROR(INDEX(TableWRVORP[VORP],MATCH(TableOverallMaster[[#This Row],[RK]],TableWRVORP[RK],0)),"")</f>
        <v>-0.51586058555753223</v>
      </c>
      <c r="AO233">
        <v>232</v>
      </c>
      <c r="AP233" s="118" t="str">
        <f>IFERROR(INDEX(TableOverallMaster[OVERALL PLAYER],MATCH(TableOverallRank[[#This Row],[RK]],TableOverallMaster[OVR RK],0)),"")</f>
        <v>JuJu Smith-Schuster</v>
      </c>
      <c r="AQ233" s="119" t="str">
        <f>IFERROR(INDEX(TableOverallMaster[POS RK],MATCH(TableOverallRank[[#This Row],[OVERALL PLAYER]],TableOverallMaster[OVERALL PLAYER],0)),"")</f>
        <v>WR94</v>
      </c>
      <c r="AR233" s="120">
        <f>IFERROR(INDEX(TableOverallMaster[BYE],MATCH(TableOverallRank[[#This Row],[OVERALL PLAYER]],TableOverallMaster[OVERALL PLAYER],0)),"")</f>
        <v>11</v>
      </c>
      <c r="AS233" s="119">
        <f>IFERROR(INDEX(TableOverallMaster[Custom],MATCH(TableOverallRank[[#This Row],[OVERALL PLAYER]],TableOverallMaster[OVERALL PLAYER],0)),"")</f>
        <v>64.556631484799979</v>
      </c>
      <c r="AT233" s="121">
        <f>IFERROR(INDEX(TableOverallMaster[VORP],MATCH(TableOverallRank[[#This Row],[OVERALL PLAYER]],TableOverallMaster[OVERALL PLAYER],0)),"")</f>
        <v>-0.55294017658486216</v>
      </c>
      <c r="AV233">
        <v>232</v>
      </c>
      <c r="AW233" s="122" t="str">
        <f>IFERROR(INDEX(TableWRTECalcPts[PLAYER],MATCH(TableWRTERank[[#This Row],[RK]],TableWRTECalcPts[RK],0)),"")</f>
        <v>Brock Wright</v>
      </c>
      <c r="AX233" s="122" t="str">
        <f>IFERROR(INDEX(TableWRTECalcPts[POS RK],MATCH(TableWRTERank[[#This Row],[WR and TE COMBINED]],TableWRTECalcPts[PLAYER],0)),"")</f>
        <v>TE72</v>
      </c>
      <c r="AY233" s="122">
        <f>IFERROR(INDEX(TableWRTECalcPts[BYE],MATCH(TableWRTERank[[#This Row],[RK]],TableWRTECalcPts[RK],0)),"")</f>
        <v>9</v>
      </c>
      <c r="AZ233" s="123">
        <f>IFERROR(INDEX(TableWRTECalcPts[Custom],MATCH(TableWRTERank[[#This Row],[RK]],TableWRTECalcPts[RK],0)),"")</f>
        <v>14.383572453432</v>
      </c>
      <c r="BA233" s="174">
        <f>IFERROR((TableWRTERank[[#This Row],[FPS]]-INDEX(TableWRTERank[FPS],MATCH(WRTEVORPCalc,TableWRTERank[RK],0)))/INDEX(TableWRTERank[FPS],MATCH(WRTEVORPCalc,TableWRTERank[RK],0)),"")</f>
        <v>-0.90365057041142882</v>
      </c>
      <c r="BC233" t="s">
        <v>10</v>
      </c>
      <c r="BD233">
        <v>32</v>
      </c>
      <c r="BE233" s="83">
        <f>RANK(TableWRTEMaster[[#This Row],[VORP]],TableWRTEMaster[VORP])+COUNTIF($BJ$2:BJ233,BJ233)-1</f>
        <v>125</v>
      </c>
      <c r="BF233" s="115" t="str">
        <f>IFERROR(INDEX(TableTEVORP[TIGHT END],MATCH(TableWRTEMaster[[#This Row],[RK]],TableTEVORP[RK],0)),"")</f>
        <v>Michael Mayer</v>
      </c>
      <c r="BG233" s="115" t="str">
        <f>_xlfn.CONCAT(TableWRTEMaster[[#This Row],[POS]],TableWRTEMaster[[#This Row],[RK]])</f>
        <v>TE32</v>
      </c>
      <c r="BH233" s="115">
        <f>IFERROR(INDEX(TableTEVORP[BYE],MATCH(TableWRTEMaster[[#This Row],[RK]],TableTEVORP[RK],0)),"")</f>
        <v>13</v>
      </c>
      <c r="BI233" s="116">
        <f>IFERROR(INDEX(TableTEVORP[FPS],MATCH(TableWRTEMaster[[#This Row],[RK]],TableTEVORP[RK],0)),"")</f>
        <v>61.206676159999986</v>
      </c>
      <c r="BJ233" s="117">
        <f>IFERROR(INDEX(TableTEVORP[VORP],MATCH(TableWRTEMaster[[#This Row],[RK]],TableTEVORP[RK],0)),"")</f>
        <v>-0.53399210355794124</v>
      </c>
    </row>
    <row r="234" spans="15:62" x14ac:dyDescent="0.2">
      <c r="AF234" t="s">
        <v>223</v>
      </c>
      <c r="AG234">
        <v>93</v>
      </c>
      <c r="AH234" s="83">
        <f>RANK(TableOverallMaster[[#This Row],[VORP]],TableOverallMaster[VORP])+COUNTIF($AM$2:AM234,AM234)-1</f>
        <v>228</v>
      </c>
      <c r="AI234" s="115" t="str">
        <f>IFERROR(INDEX(TableWRVORP[WIDE RECEIVER],MATCH(TableOverallMaster[[#This Row],[RK]],TableWRVORP[RK],0)),"")</f>
        <v>Jalen McMillan</v>
      </c>
      <c r="AJ234" s="115" t="str">
        <f t="shared" si="3"/>
        <v>WR93</v>
      </c>
      <c r="AK234" s="115">
        <f>IFERROR(INDEX(TableWRVORP[BYE],MATCH(TableOverallMaster[[#This Row],[RK]],TableWRVORP[RK],0)),"")</f>
        <v>5</v>
      </c>
      <c r="AL234" s="116">
        <f>IFERROR(INDEX(TableWRVORP[FPS],MATCH(TableOverallMaster[[#This Row],[RK]],TableWRVORP[RK],0)),"")</f>
        <v>68.307723575783996</v>
      </c>
      <c r="AM234" s="117">
        <f>IFERROR(INDEX(TableWRVORP[VORP],MATCH(TableOverallMaster[[#This Row],[RK]],TableWRVORP[RK],0)),"")</f>
        <v>-0.52696356458948446</v>
      </c>
      <c r="AO234">
        <v>233</v>
      </c>
      <c r="AP234" s="118" t="str">
        <f>IFERROR(INDEX(TableOverallMaster[OVERALL PLAYER],MATCH(TableOverallRank[[#This Row],[RK]],TableOverallMaster[OVR RK],0)),"")</f>
        <v>Dawson Knox</v>
      </c>
      <c r="AQ234" s="119" t="str">
        <f>IFERROR(INDEX(TableOverallMaster[POS RK],MATCH(TableOverallRank[[#This Row],[OVERALL PLAYER]],TableOverallMaster[OVERALL PLAYER],0)),"")</f>
        <v>TE35</v>
      </c>
      <c r="AR234" s="120">
        <f>IFERROR(INDEX(TableOverallMaster[BYE],MATCH(TableOverallRank[[#This Row],[OVERALL PLAYER]],TableOverallMaster[OVERALL PLAYER],0)),"")</f>
        <v>13</v>
      </c>
      <c r="AS234" s="119">
        <f>IFERROR(INDEX(TableOverallMaster[Custom],MATCH(TableOverallRank[[#This Row],[OVERALL PLAYER]],TableOverallMaster[OVERALL PLAYER],0)),"")</f>
        <v>58.365559107071988</v>
      </c>
      <c r="AT234" s="121">
        <f>IFERROR(INDEX(TableOverallMaster[VORP],MATCH(TableOverallRank[[#This Row],[OVERALL PLAYER]],TableOverallMaster[OVERALL PLAYER],0)),"")</f>
        <v>-0.55562345269246416</v>
      </c>
      <c r="AV234">
        <v>233</v>
      </c>
      <c r="AW234" s="122" t="str">
        <f>IFERROR(INDEX(TableWRTECalcPts[PLAYER],MATCH(TableWRTERank[[#This Row],[RK]],TableWRTECalcPts[RK],0)),"")</f>
        <v>Velus Jones</v>
      </c>
      <c r="AX234" s="122" t="str">
        <f>IFERROR(INDEX(TableWRTECalcPts[POS RK],MATCH(TableWRTERank[[#This Row],[WR and TE COMBINED]],TableWRTECalcPts[PLAYER],0)),"")</f>
        <v>WR161</v>
      </c>
      <c r="AY234" s="122">
        <f>IFERROR(INDEX(TableWRTECalcPts[BYE],MATCH(TableWRTERank[[#This Row],[RK]],TableWRTECalcPts[RK],0)),"")</f>
        <v>13</v>
      </c>
      <c r="AZ234" s="123">
        <f>IFERROR(INDEX(TableWRTECalcPts[Custom],MATCH(TableWRTERank[[#This Row],[RK]],TableWRTECalcPts[RK],0)),"")</f>
        <v>14.333452842239994</v>
      </c>
      <c r="BA234" s="174">
        <f>IFERROR((TableWRTERank[[#This Row],[FPS]]-INDEX(TableWRTERank[FPS],MATCH(WRTEVORPCalc,TableWRTERank[RK],0)))/INDEX(TableWRTERank[FPS],MATCH(WRTEVORPCalc,TableWRTERank[RK],0)),"")</f>
        <v>-0.90398630035370742</v>
      </c>
      <c r="BC234" t="s">
        <v>10</v>
      </c>
      <c r="BD234">
        <v>33</v>
      </c>
      <c r="BE234" s="83">
        <f>RANK(TableWRTEMaster[[#This Row],[VORP]],TableWRTEMaster[VORP])+COUNTIF($BJ$2:BJ234,BJ234)-1</f>
        <v>126</v>
      </c>
      <c r="BF234" s="115" t="str">
        <f>IFERROR(INDEX(TableTEVORP[TIGHT END],MATCH(TableWRTEMaster[[#This Row],[RK]],TableTEVORP[RK],0)),"")</f>
        <v>Will Dissly</v>
      </c>
      <c r="BG234" s="115" t="str">
        <f>_xlfn.CONCAT(TableWRTEMaster[[#This Row],[POS]],TableWRTEMaster[[#This Row],[RK]])</f>
        <v>TE33</v>
      </c>
      <c r="BH234" s="115">
        <f>IFERROR(INDEX(TableTEVORP[BYE],MATCH(TableWRTEMaster[[#This Row],[RK]],TableTEVORP[RK],0)),"")</f>
        <v>5</v>
      </c>
      <c r="BI234" s="116">
        <f>IFERROR(INDEX(TableTEVORP[FPS],MATCH(TableWRTEMaster[[#This Row],[RK]],TableTEVORP[RK],0)),"")</f>
        <v>59.707462324891488</v>
      </c>
      <c r="BJ234" s="117">
        <f>IFERROR(INDEX(TableTEVORP[VORP],MATCH(TableWRTEMaster[[#This Row],[RK]],TableTEVORP[RK],0)),"")</f>
        <v>-0.54540663428314229</v>
      </c>
    </row>
    <row r="235" spans="15:62" x14ac:dyDescent="0.2">
      <c r="AF235" t="s">
        <v>223</v>
      </c>
      <c r="AG235">
        <v>94</v>
      </c>
      <c r="AH235" s="83">
        <f>RANK(TableOverallMaster[[#This Row],[VORP]],TableOverallMaster[VORP])+COUNTIF($AM$2:AM235,AM235)-1</f>
        <v>232</v>
      </c>
      <c r="AI235" s="115" t="str">
        <f>IFERROR(INDEX(TableWRVORP[WIDE RECEIVER],MATCH(TableOverallMaster[[#This Row],[RK]],TableWRVORP[RK],0)),"")</f>
        <v>JuJu Smith-Schuster</v>
      </c>
      <c r="AJ235" s="115" t="str">
        <f t="shared" si="3"/>
        <v>WR94</v>
      </c>
      <c r="AK235" s="115">
        <f>IFERROR(INDEX(TableWRVORP[BYE],MATCH(TableOverallMaster[[#This Row],[RK]],TableWRVORP[RK],0)),"")</f>
        <v>11</v>
      </c>
      <c r="AL235" s="116">
        <f>IFERROR(INDEX(TableWRVORP[FPS],MATCH(TableOverallMaster[[#This Row],[RK]],TableWRVORP[RK],0)),"")</f>
        <v>64.556631484799979</v>
      </c>
      <c r="AM235" s="117">
        <f>IFERROR(INDEX(TableWRVORP[VORP],MATCH(TableOverallMaster[[#This Row],[RK]],TableWRVORP[RK],0)),"")</f>
        <v>-0.55294017658486216</v>
      </c>
      <c r="AO235">
        <v>234</v>
      </c>
      <c r="AP235" s="118" t="str">
        <f>IFERROR(INDEX(TableOverallMaster[OVERALL PLAYER],MATCH(TableOverallRank[[#This Row],[RK]],TableOverallMaster[OVR RK],0)),"")</f>
        <v>D'Onta Foreman</v>
      </c>
      <c r="AQ235" s="119" t="str">
        <f>IFERROR(INDEX(TableOverallMaster[POS RK],MATCH(TableOverallRank[[#This Row],[OVERALL PLAYER]],TableOverallMaster[OVERALL PLAYER],0)),"")</f>
        <v>RB73</v>
      </c>
      <c r="AR235" s="120">
        <f>IFERROR(INDEX(TableOverallMaster[BYE],MATCH(TableOverallRank[[#This Row],[OVERALL PLAYER]],TableOverallMaster[OVERALL PLAYER],0)),"")</f>
        <v>5</v>
      </c>
      <c r="AS235" s="119">
        <f>IFERROR(INDEX(TableOverallMaster[Custom],MATCH(TableOverallRank[[#This Row],[OVERALL PLAYER]],TableOverallMaster[OVERALL PLAYER],0)),"")</f>
        <v>49.677862080000004</v>
      </c>
      <c r="AT235" s="121">
        <f>IFERROR(INDEX(TableOverallMaster[VORP],MATCH(TableOverallRank[[#This Row],[OVERALL PLAYER]],TableOverallMaster[OVERALL PLAYER],0)),"")</f>
        <v>-0.55927334178284749</v>
      </c>
      <c r="AV235">
        <v>234</v>
      </c>
      <c r="AW235" s="122" t="str">
        <f>IFERROR(INDEX(TableWRTECalcPts[PLAYER],MATCH(TableWRTERank[[#This Row],[RK]],TableWRTECalcPts[RK],0)),"")</f>
        <v>Xavier Hutchinson</v>
      </c>
      <c r="AX235" s="122" t="str">
        <f>IFERROR(INDEX(TableWRTECalcPts[POS RK],MATCH(TableWRTERank[[#This Row],[WR and TE COMBINED]],TableWRTECalcPts[PLAYER],0)),"")</f>
        <v>WR162</v>
      </c>
      <c r="AY235" s="122">
        <f>IFERROR(INDEX(TableWRTECalcPts[BYE],MATCH(TableWRTERank[[#This Row],[RK]],TableWRTECalcPts[RK],0)),"")</f>
        <v>7</v>
      </c>
      <c r="AZ235" s="123">
        <f>IFERROR(INDEX(TableWRTECalcPts[Custom],MATCH(TableWRTERank[[#This Row],[RK]],TableWRTECalcPts[RK],0)),"")</f>
        <v>14.164159959040003</v>
      </c>
      <c r="BA235" s="174">
        <f>IFERROR((TableWRTERank[[#This Row],[FPS]]-INDEX(TableWRTERank[FPS],MATCH(WRTEVORPCalc,TableWRTERank[RK],0)))/INDEX(TableWRTERank[FPS],MATCH(WRTEVORPCalc,TableWRTERank[RK],0)),"")</f>
        <v>-0.90512032131981535</v>
      </c>
      <c r="BC235" t="s">
        <v>10</v>
      </c>
      <c r="BD235">
        <v>34</v>
      </c>
      <c r="BE235" s="83">
        <f>RANK(TableWRTEMaster[[#This Row],[VORP]],TableWRTEMaster[VORP])+COUNTIF($BJ$2:BJ235,BJ235)-1</f>
        <v>127</v>
      </c>
      <c r="BF235" s="115" t="str">
        <f>IFERROR(INDEX(TableTEVORP[TIGHT END],MATCH(TableWRTEMaster[[#This Row],[RK]],TableTEVORP[RK],0)),"")</f>
        <v>Ja'Tavion Sanders</v>
      </c>
      <c r="BG235" s="115" t="str">
        <f>_xlfn.CONCAT(TableWRTEMaster[[#This Row],[POS]],TableWRTEMaster[[#This Row],[RK]])</f>
        <v>TE34</v>
      </c>
      <c r="BH235" s="115">
        <f>IFERROR(INDEX(TableTEVORP[BYE],MATCH(TableWRTEMaster[[#This Row],[RK]],TableTEVORP[RK],0)),"")</f>
        <v>7</v>
      </c>
      <c r="BI235" s="116">
        <f>IFERROR(INDEX(TableTEVORP[FPS],MATCH(TableWRTEMaster[[#This Row],[RK]],TableTEVORP[RK],0)),"")</f>
        <v>59.068966360991993</v>
      </c>
      <c r="BJ235" s="117">
        <f>IFERROR(INDEX(TableTEVORP[VORP],MATCH(TableWRTEMaster[[#This Row],[RK]],TableTEVORP[RK],0)),"")</f>
        <v>-0.55026793667188389</v>
      </c>
    </row>
    <row r="236" spans="15:62" x14ac:dyDescent="0.2">
      <c r="AF236" t="s">
        <v>223</v>
      </c>
      <c r="AG236">
        <v>95</v>
      </c>
      <c r="AH236" s="83">
        <f>RANK(TableOverallMaster[[#This Row],[VORP]],TableOverallMaster[VORP])+COUNTIF($AM$2:AM236,AM236)-1</f>
        <v>235</v>
      </c>
      <c r="AI236" s="115" t="str">
        <f>IFERROR(INDEX(TableWRVORP[WIDE RECEIVER],MATCH(TableOverallMaster[[#This Row],[RK]],TableWRVORP[RK],0)),"")</f>
        <v>Ricky Pearsall</v>
      </c>
      <c r="AJ236" s="115" t="str">
        <f t="shared" si="3"/>
        <v>WR95</v>
      </c>
      <c r="AK236" s="115">
        <f>IFERROR(INDEX(TableWRVORP[BYE],MATCH(TableOverallMaster[[#This Row],[RK]],TableWRVORP[RK],0)),"")</f>
        <v>9</v>
      </c>
      <c r="AL236" s="116">
        <f>IFERROR(INDEX(TableWRVORP[FPS],MATCH(TableOverallMaster[[#This Row],[RK]],TableWRVORP[RK],0)),"")</f>
        <v>63.409202041651184</v>
      </c>
      <c r="AM236" s="117">
        <f>IFERROR(INDEX(TableWRVORP[VORP],MATCH(TableOverallMaster[[#This Row],[RK]],TableWRVORP[RK],0)),"")</f>
        <v>-0.56088621702156327</v>
      </c>
      <c r="AO236">
        <v>235</v>
      </c>
      <c r="AP236" s="118" t="str">
        <f>IFERROR(INDEX(TableOverallMaster[OVERALL PLAYER],MATCH(TableOverallRank[[#This Row],[RK]],TableOverallMaster[OVR RK],0)),"")</f>
        <v>Ricky Pearsall</v>
      </c>
      <c r="AQ236" s="119" t="str">
        <f>IFERROR(INDEX(TableOverallMaster[POS RK],MATCH(TableOverallRank[[#This Row],[OVERALL PLAYER]],TableOverallMaster[OVERALL PLAYER],0)),"")</f>
        <v>WR95</v>
      </c>
      <c r="AR236" s="120">
        <f>IFERROR(INDEX(TableOverallMaster[BYE],MATCH(TableOverallRank[[#This Row],[OVERALL PLAYER]],TableOverallMaster[OVERALL PLAYER],0)),"")</f>
        <v>9</v>
      </c>
      <c r="AS236" s="119">
        <f>IFERROR(INDEX(TableOverallMaster[Custom],MATCH(TableOverallRank[[#This Row],[OVERALL PLAYER]],TableOverallMaster[OVERALL PLAYER],0)),"")</f>
        <v>63.409202041651184</v>
      </c>
      <c r="AT236" s="121">
        <f>IFERROR(INDEX(TableOverallMaster[VORP],MATCH(TableOverallRank[[#This Row],[OVERALL PLAYER]],TableOverallMaster[OVERALL PLAYER],0)),"")</f>
        <v>-0.56088621702156327</v>
      </c>
      <c r="AV236">
        <v>235</v>
      </c>
      <c r="AW236" s="122" t="str">
        <f>IFERROR(INDEX(TableWRTECalcPts[PLAYER],MATCH(TableWRTERank[[#This Row],[RK]],TableWRTECalcPts[RK],0)),"")</f>
        <v>Tahj Washington</v>
      </c>
      <c r="AX236" s="122" t="str">
        <f>IFERROR(INDEX(TableWRTECalcPts[POS RK],MATCH(TableWRTERank[[#This Row],[WR and TE COMBINED]],TableWRTECalcPts[PLAYER],0)),"")</f>
        <v>WR163</v>
      </c>
      <c r="AY236" s="122">
        <f>IFERROR(INDEX(TableWRTECalcPts[BYE],MATCH(TableWRTERank[[#This Row],[RK]],TableWRTECalcPts[RK],0)),"")</f>
        <v>10</v>
      </c>
      <c r="AZ236" s="123">
        <f>IFERROR(INDEX(TableWRTECalcPts[Custom],MATCH(TableWRTERank[[#This Row],[RK]],TableWRTECalcPts[RK],0)),"")</f>
        <v>14.071921919999998</v>
      </c>
      <c r="BA236" s="174">
        <f>IFERROR((TableWRTERank[[#This Row],[FPS]]-INDEX(TableWRTERank[FPS],MATCH(WRTEVORPCalc,TableWRTERank[RK],0)))/INDEX(TableWRTERank[FPS],MATCH(WRTEVORPCalc,TableWRTERank[RK],0)),"")</f>
        <v>-0.90573818468280431</v>
      </c>
      <c r="BC236" t="s">
        <v>10</v>
      </c>
      <c r="BD236">
        <v>35</v>
      </c>
      <c r="BE236" s="83">
        <f>RANK(TableWRTEMaster[[#This Row],[VORP]],TableWRTEMaster[VORP])+COUNTIF($BJ$2:BJ236,BJ236)-1</f>
        <v>129</v>
      </c>
      <c r="BF236" s="115" t="str">
        <f>IFERROR(INDEX(TableTEVORP[TIGHT END],MATCH(TableWRTEMaster[[#This Row],[RK]],TableTEVORP[RK],0)),"")</f>
        <v>Dawson Knox</v>
      </c>
      <c r="BG236" s="115" t="str">
        <f>_xlfn.CONCAT(TableWRTEMaster[[#This Row],[POS]],TableWRTEMaster[[#This Row],[RK]])</f>
        <v>TE35</v>
      </c>
      <c r="BH236" s="115">
        <f>IFERROR(INDEX(TableTEVORP[BYE],MATCH(TableWRTEMaster[[#This Row],[RK]],TableTEVORP[RK],0)),"")</f>
        <v>13</v>
      </c>
      <c r="BI236" s="116">
        <f>IFERROR(INDEX(TableTEVORP[FPS],MATCH(TableWRTEMaster[[#This Row],[RK]],TableTEVORP[RK],0)),"")</f>
        <v>58.365559107071988</v>
      </c>
      <c r="BJ236" s="117">
        <f>IFERROR(INDEX(TableTEVORP[VORP],MATCH(TableWRTEMaster[[#This Row],[RK]],TableTEVORP[RK],0)),"")</f>
        <v>-0.55562345269246416</v>
      </c>
    </row>
    <row r="237" spans="15:62" x14ac:dyDescent="0.2">
      <c r="AF237" t="s">
        <v>223</v>
      </c>
      <c r="AG237">
        <v>96</v>
      </c>
      <c r="AH237" s="83">
        <f>RANK(TableOverallMaster[[#This Row],[VORP]],TableOverallMaster[VORP])+COUNTIF($AM$2:AM237,AM237)-1</f>
        <v>239</v>
      </c>
      <c r="AI237" s="115" t="str">
        <f>IFERROR(INDEX(TableWRVORP[WIDE RECEIVER],MATCH(TableOverallMaster[[#This Row],[RK]],TableWRVORP[RK],0)),"")</f>
        <v>Brandon Powell</v>
      </c>
      <c r="AJ237" s="115" t="str">
        <f t="shared" si="3"/>
        <v>WR96</v>
      </c>
      <c r="AK237" s="115">
        <f>IFERROR(INDEX(TableWRVORP[BYE],MATCH(TableOverallMaster[[#This Row],[RK]],TableWRVORP[RK],0)),"")</f>
        <v>13</v>
      </c>
      <c r="AL237" s="116">
        <f>IFERROR(INDEX(TableWRVORP[FPS],MATCH(TableOverallMaster[[#This Row],[RK]],TableWRVORP[RK],0)),"")</f>
        <v>60.938819423999995</v>
      </c>
      <c r="AM237" s="117">
        <f>IFERROR(INDEX(TableWRVORP[VORP],MATCH(TableOverallMaster[[#This Row],[RK]],TableWRVORP[RK],0)),"")</f>
        <v>-0.57799381373802139</v>
      </c>
      <c r="AO237">
        <v>236</v>
      </c>
      <c r="AP237" s="118" t="str">
        <f>IFERROR(INDEX(TableOverallMaster[OVERALL PLAYER],MATCH(TableOverallRank[[#This Row],[RK]],TableOverallMaster[OVR RK],0)),"")</f>
        <v>Justin Fields</v>
      </c>
      <c r="AQ237" s="119" t="str">
        <f>IFERROR(INDEX(TableOverallMaster[POS RK],MATCH(TableOverallRank[[#This Row],[OVERALL PLAYER]],TableOverallMaster[OVERALL PLAYER],0)),"")</f>
        <v>QB33</v>
      </c>
      <c r="AR237" s="120">
        <f>IFERROR(INDEX(TableOverallMaster[BYE],MATCH(TableOverallRank[[#This Row],[OVERALL PLAYER]],TableOverallMaster[OVERALL PLAYER],0)),"")</f>
        <v>6</v>
      </c>
      <c r="AS237" s="119">
        <f>IFERROR(INDEX(TableOverallMaster[Custom],MATCH(TableOverallRank[[#This Row],[OVERALL PLAYER]],TableOverallMaster[OVERALL PLAYER],0)),"")</f>
        <v>100.70848563300001</v>
      </c>
      <c r="AT237" s="121">
        <f>IFERROR(INDEX(TableOverallMaster[VORP],MATCH(TableOverallRank[[#This Row],[OVERALL PLAYER]],TableOverallMaster[OVERALL PLAYER],0)),"")</f>
        <v>-0.56138634889518879</v>
      </c>
      <c r="AV237">
        <v>236</v>
      </c>
      <c r="AW237" s="122" t="str">
        <f>IFERROR(INDEX(TableWRTECalcPts[PLAYER],MATCH(TableWRTERank[[#This Row],[RK]],TableWRTECalcPts[RK],0)),"")</f>
        <v>Elijah Higgins</v>
      </c>
      <c r="AX237" s="122" t="str">
        <f>IFERROR(INDEX(TableWRTECalcPts[POS RK],MATCH(TableWRTERank[[#This Row],[WR and TE COMBINED]],TableWRTECalcPts[PLAYER],0)),"")</f>
        <v>TE73</v>
      </c>
      <c r="AY237" s="122">
        <f>IFERROR(INDEX(TableWRTECalcPts[BYE],MATCH(TableWRTERank[[#This Row],[RK]],TableWRTECalcPts[RK],0)),"")</f>
        <v>14</v>
      </c>
      <c r="AZ237" s="123">
        <f>IFERROR(INDEX(TableWRTECalcPts[Custom],MATCH(TableWRTERank[[#This Row],[RK]],TableWRTECalcPts[RK],0)),"")</f>
        <v>14.041592247900002</v>
      </c>
      <c r="BA237" s="174">
        <f>IFERROR((TableWRTERank[[#This Row],[FPS]]-INDEX(TableWRTERank[FPS],MATCH(WRTEVORPCalc,TableWRTERank[RK],0)))/INDEX(TableWRTERank[FPS],MATCH(WRTEVORPCalc,TableWRTERank[RK],0)),"")</f>
        <v>-0.9059413502465683</v>
      </c>
      <c r="BC237" t="s">
        <v>10</v>
      </c>
      <c r="BD237">
        <v>36</v>
      </c>
      <c r="BE237" s="83">
        <f>RANK(TableWRTEMaster[[#This Row],[VORP]],TableWRTEMaster[VORP])+COUNTIF($BJ$2:BJ237,BJ237)-1</f>
        <v>131</v>
      </c>
      <c r="BF237" s="115" t="str">
        <f>IFERROR(INDEX(TableTEVORP[TIGHT END],MATCH(TableWRTEMaster[[#This Row],[RK]],TableTEVORP[RK],0)),"")</f>
        <v>Colby Parkinson</v>
      </c>
      <c r="BG237" s="115" t="str">
        <f>_xlfn.CONCAT(TableWRTEMaster[[#This Row],[POS]],TableWRTEMaster[[#This Row],[RK]])</f>
        <v>TE36</v>
      </c>
      <c r="BH237" s="115">
        <f>IFERROR(INDEX(TableTEVORP[BYE],MATCH(TableWRTEMaster[[#This Row],[RK]],TableTEVORP[RK],0)),"")</f>
        <v>10</v>
      </c>
      <c r="BI237" s="116">
        <f>IFERROR(INDEX(TableTEVORP[FPS],MATCH(TableWRTEMaster[[#This Row],[RK]],TableTEVORP[RK],0)),"")</f>
        <v>55.509939280947187</v>
      </c>
      <c r="BJ237" s="117">
        <f>IFERROR(INDEX(TableTEVORP[VORP],MATCH(TableWRTEMaster[[#This Row],[RK]],TableTEVORP[RK],0)),"")</f>
        <v>-0.57736522126574819</v>
      </c>
    </row>
    <row r="238" spans="15:62" x14ac:dyDescent="0.2">
      <c r="AF238" t="s">
        <v>223</v>
      </c>
      <c r="AG238">
        <v>97</v>
      </c>
      <c r="AH238" s="83">
        <f>RANK(TableOverallMaster[[#This Row],[VORP]],TableOverallMaster[VORP])+COUNTIF($AM$2:AM238,AM238)-1</f>
        <v>243</v>
      </c>
      <c r="AI238" s="115" t="str">
        <f>IFERROR(INDEX(TableWRVORP[WIDE RECEIVER],MATCH(TableOverallMaster[[#This Row],[RK]],TableWRVORP[RK],0)),"")</f>
        <v>Kalif Raymond</v>
      </c>
      <c r="AJ238" s="115" t="str">
        <f t="shared" si="3"/>
        <v>WR97</v>
      </c>
      <c r="AK238" s="115">
        <f>IFERROR(INDEX(TableWRVORP[BYE],MATCH(TableOverallMaster[[#This Row],[RK]],TableWRVORP[RK],0)),"")</f>
        <v>9</v>
      </c>
      <c r="AL238" s="116">
        <f>IFERROR(INDEX(TableWRVORP[FPS],MATCH(TableOverallMaster[[#This Row],[RK]],TableWRVORP[RK],0)),"")</f>
        <v>60.254049846143992</v>
      </c>
      <c r="AM238" s="117">
        <f>IFERROR(INDEX(TableWRVORP[VORP],MATCH(TableOverallMaster[[#This Row],[RK]],TableWRVORP[RK],0)),"")</f>
        <v>-0.58273589769617284</v>
      </c>
      <c r="AO238">
        <v>237</v>
      </c>
      <c r="AP238" s="118" t="str">
        <f>IFERROR(INDEX(TableOverallMaster[OVERALL PLAYER],MATCH(TableOverallRank[[#This Row],[RK]],TableOverallMaster[OVR RK],0)),"")</f>
        <v>Colby Parkinson</v>
      </c>
      <c r="AQ238" s="119" t="str">
        <f>IFERROR(INDEX(TableOverallMaster[POS RK],MATCH(TableOverallRank[[#This Row],[OVERALL PLAYER]],TableOverallMaster[OVERALL PLAYER],0)),"")</f>
        <v>TE36</v>
      </c>
      <c r="AR238" s="120">
        <f>IFERROR(INDEX(TableOverallMaster[BYE],MATCH(TableOverallRank[[#This Row],[OVERALL PLAYER]],TableOverallMaster[OVERALL PLAYER],0)),"")</f>
        <v>10</v>
      </c>
      <c r="AS238" s="119">
        <f>IFERROR(INDEX(TableOverallMaster[Custom],MATCH(TableOverallRank[[#This Row],[OVERALL PLAYER]],TableOverallMaster[OVERALL PLAYER],0)),"")</f>
        <v>55.509939280947187</v>
      </c>
      <c r="AT238" s="121">
        <f>IFERROR(INDEX(TableOverallMaster[VORP],MATCH(TableOverallRank[[#This Row],[OVERALL PLAYER]],TableOverallMaster[OVERALL PLAYER],0)),"")</f>
        <v>-0.57736522126574819</v>
      </c>
      <c r="AV238">
        <v>237</v>
      </c>
      <c r="AW238" s="122" t="str">
        <f>IFERROR(INDEX(TableWRTECalcPts[PLAYER],MATCH(TableWRTERank[[#This Row],[RK]],TableWRTECalcPts[RK],0)),"")</f>
        <v>Kylen Granson</v>
      </c>
      <c r="AX238" s="122" t="str">
        <f>IFERROR(INDEX(TableWRTECalcPts[POS RK],MATCH(TableWRTERank[[#This Row],[WR and TE COMBINED]],TableWRTECalcPts[PLAYER],0)),"")</f>
        <v>TE74</v>
      </c>
      <c r="AY238" s="122">
        <f>IFERROR(INDEX(TableWRTECalcPts[BYE],MATCH(TableWRTERank[[#This Row],[RK]],TableWRTECalcPts[RK],0)),"")</f>
        <v>11</v>
      </c>
      <c r="AZ238" s="123">
        <f>IFERROR(INDEX(TableWRTECalcPts[Custom],MATCH(TableWRTERank[[#This Row],[RK]],TableWRTECalcPts[RK],0)),"")</f>
        <v>13.906188357600001</v>
      </c>
      <c r="BA238" s="174">
        <f>IFERROR((TableWRTERank[[#This Row],[FPS]]-INDEX(TableWRTERank[FPS],MATCH(WRTEVORPCalc,TableWRTERank[RK],0)))/INDEX(TableWRTERank[FPS],MATCH(WRTEVORPCalc,TableWRTERank[RK],0)),"")</f>
        <v>-0.90684836327387552</v>
      </c>
      <c r="BC238" t="s">
        <v>10</v>
      </c>
      <c r="BD238">
        <v>37</v>
      </c>
      <c r="BE238" s="83">
        <f>RANK(TableWRTEMaster[[#This Row],[VORP]],TableWRTEMaster[VORP])+COUNTIF($BJ$2:BJ238,BJ238)-1</f>
        <v>132</v>
      </c>
      <c r="BF238" s="115" t="str">
        <f>IFERROR(INDEX(TableTEVORP[TIGHT END],MATCH(TableWRTEMaster[[#This Row],[RK]],TableTEVORP[RK],0)),"")</f>
        <v>Isaiah Likely</v>
      </c>
      <c r="BG238" s="115" t="str">
        <f>_xlfn.CONCAT(TableWRTEMaster[[#This Row],[POS]],TableWRTEMaster[[#This Row],[RK]])</f>
        <v>TE37</v>
      </c>
      <c r="BH238" s="115">
        <f>IFERROR(INDEX(TableTEVORP[BYE],MATCH(TableWRTEMaster[[#This Row],[RK]],TableTEVORP[RK],0)),"")</f>
        <v>13</v>
      </c>
      <c r="BI238" s="116">
        <f>IFERROR(INDEX(TableTEVORP[FPS],MATCH(TableWRTEMaster[[#This Row],[RK]],TableTEVORP[RK],0)),"")</f>
        <v>55.486040377824011</v>
      </c>
      <c r="BJ238" s="117">
        <f>IFERROR(INDEX(TableTEVORP[VORP],MATCH(TableWRTEMaster[[#This Row],[RK]],TableTEVORP[RK],0)),"")</f>
        <v>-0.57754717980802528</v>
      </c>
    </row>
    <row r="239" spans="15:62" x14ac:dyDescent="0.2">
      <c r="AF239" t="s">
        <v>223</v>
      </c>
      <c r="AG239">
        <v>98</v>
      </c>
      <c r="AH239" s="83">
        <f>RANK(TableOverallMaster[[#This Row],[VORP]],TableOverallMaster[VORP])+COUNTIF($AM$2:AM239,AM239)-1</f>
        <v>246</v>
      </c>
      <c r="AI239" s="115" t="str">
        <f>IFERROR(INDEX(TableWRVORP[WIDE RECEIVER],MATCH(TableOverallMaster[[#This Row],[RK]],TableWRVORP[RK],0)),"")</f>
        <v>Dontayvion Wicks</v>
      </c>
      <c r="AJ239" s="115" t="str">
        <f t="shared" si="3"/>
        <v>WR98</v>
      </c>
      <c r="AK239" s="115">
        <f>IFERROR(INDEX(TableWRVORP[BYE],MATCH(TableOverallMaster[[#This Row],[RK]],TableWRVORP[RK],0)),"")</f>
        <v>6</v>
      </c>
      <c r="AL239" s="116">
        <f>IFERROR(INDEX(TableWRVORP[FPS],MATCH(TableOverallMaster[[#This Row],[RK]],TableWRVORP[RK],0)),"")</f>
        <v>59.706570083328018</v>
      </c>
      <c r="AM239" s="117">
        <f>IFERROR(INDEX(TableWRVORP[VORP],MATCH(TableOverallMaster[[#This Row],[RK]],TableWRVORP[RK],0)),"")</f>
        <v>-0.58652723873207402</v>
      </c>
      <c r="AO239">
        <v>238</v>
      </c>
      <c r="AP239" s="118" t="str">
        <f>IFERROR(INDEX(TableOverallMaster[OVERALL PLAYER],MATCH(TableOverallRank[[#This Row],[RK]],TableOverallMaster[OVR RK],0)),"")</f>
        <v>Isaiah Likely</v>
      </c>
      <c r="AQ239" s="119" t="str">
        <f>IFERROR(INDEX(TableOverallMaster[POS RK],MATCH(TableOverallRank[[#This Row],[OVERALL PLAYER]],TableOverallMaster[OVERALL PLAYER],0)),"")</f>
        <v>TE37</v>
      </c>
      <c r="AR239" s="120">
        <f>IFERROR(INDEX(TableOverallMaster[BYE],MATCH(TableOverallRank[[#This Row],[OVERALL PLAYER]],TableOverallMaster[OVERALL PLAYER],0)),"")</f>
        <v>13</v>
      </c>
      <c r="AS239" s="119">
        <f>IFERROR(INDEX(TableOverallMaster[Custom],MATCH(TableOverallRank[[#This Row],[OVERALL PLAYER]],TableOverallMaster[OVERALL PLAYER],0)),"")</f>
        <v>55.486040377824011</v>
      </c>
      <c r="AT239" s="121">
        <f>IFERROR(INDEX(TableOverallMaster[VORP],MATCH(TableOverallRank[[#This Row],[OVERALL PLAYER]],TableOverallMaster[OVERALL PLAYER],0)),"")</f>
        <v>-0.57754717980802528</v>
      </c>
      <c r="AV239">
        <v>238</v>
      </c>
      <c r="AW239" s="122" t="str">
        <f>IFERROR(INDEX(TableWRTECalcPts[PLAYER],MATCH(TableWRTERank[[#This Row],[RK]],TableWRTECalcPts[RK],0)),"")</f>
        <v>Zach Pascal</v>
      </c>
      <c r="AX239" s="122" t="str">
        <f>IFERROR(INDEX(TableWRTECalcPts[POS RK],MATCH(TableWRTERank[[#This Row],[WR and TE COMBINED]],TableWRTECalcPts[PLAYER],0)),"")</f>
        <v>WR164</v>
      </c>
      <c r="AY239" s="122">
        <f>IFERROR(INDEX(TableWRTECalcPts[BYE],MATCH(TableWRTERank[[#This Row],[RK]],TableWRTECalcPts[RK],0)),"")</f>
        <v>14</v>
      </c>
      <c r="AZ239" s="123">
        <f>IFERROR(INDEX(TableWRTECalcPts[Custom],MATCH(TableWRTERank[[#This Row],[RK]],TableWRTECalcPts[RK],0)),"")</f>
        <v>13.635885183900001</v>
      </c>
      <c r="BA239" s="174">
        <f>IFERROR((TableWRTERank[[#This Row],[FPS]]-INDEX(TableWRTERank[FPS],MATCH(WRTEVORPCalc,TableWRTERank[RK],0)))/INDEX(TableWRTERank[FPS],MATCH(WRTEVORPCalc,TableWRTERank[RK],0)),"")</f>
        <v>-0.90865900918164932</v>
      </c>
      <c r="BC239" t="s">
        <v>10</v>
      </c>
      <c r="BD239">
        <v>38</v>
      </c>
      <c r="BE239" s="83">
        <f>RANK(TableWRTEMaster[[#This Row],[VORP]],TableWRTEMaster[VORP])+COUNTIF($BJ$2:BJ239,BJ239)-1</f>
        <v>134</v>
      </c>
      <c r="BF239" s="115" t="str">
        <f>IFERROR(INDEX(TableTEVORP[TIGHT END],MATCH(TableWRTEMaster[[#This Row],[RK]],TableTEVORP[RK],0)),"")</f>
        <v>Austin Hooper</v>
      </c>
      <c r="BG239" s="115" t="str">
        <f>_xlfn.CONCAT(TableWRTEMaster[[#This Row],[POS]],TableWRTEMaster[[#This Row],[RK]])</f>
        <v>TE38</v>
      </c>
      <c r="BH239" s="115">
        <f>IFERROR(INDEX(TableTEVORP[BYE],MATCH(TableWRTEMaster[[#This Row],[RK]],TableTEVORP[RK],0)),"")</f>
        <v>11</v>
      </c>
      <c r="BI239" s="116">
        <f>IFERROR(INDEX(TableTEVORP[FPS],MATCH(TableWRTEMaster[[#This Row],[RK]],TableTEVORP[RK],0)),"")</f>
        <v>55.186056155999992</v>
      </c>
      <c r="BJ239" s="117">
        <f>IFERROR(INDEX(TableTEVORP[VORP],MATCH(TableWRTEMaster[[#This Row],[RK]],TableTEVORP[RK],0)),"")</f>
        <v>-0.5798311629443188</v>
      </c>
    </row>
    <row r="240" spans="15:62" x14ac:dyDescent="0.2">
      <c r="AF240" t="s">
        <v>223</v>
      </c>
      <c r="AG240">
        <v>99</v>
      </c>
      <c r="AH240" s="83">
        <f>RANK(TableOverallMaster[[#This Row],[VORP]],TableOverallMaster[VORP])+COUNTIF($AM$2:AM240,AM240)-1</f>
        <v>252</v>
      </c>
      <c r="AI240" s="115" t="str">
        <f>IFERROR(INDEX(TableWRVORP[WIDE RECEIVER],MATCH(TableOverallMaster[[#This Row],[RK]],TableWRVORP[RK],0)),"")</f>
        <v>Odell Beckham</v>
      </c>
      <c r="AJ240" s="115" t="str">
        <f t="shared" si="3"/>
        <v>WR99</v>
      </c>
      <c r="AK240" s="115">
        <f>IFERROR(INDEX(TableWRVORP[BYE],MATCH(TableOverallMaster[[#This Row],[RK]],TableWRVORP[RK],0)),"")</f>
        <v>10</v>
      </c>
      <c r="AL240" s="116">
        <f>IFERROR(INDEX(TableWRVORP[FPS],MATCH(TableOverallMaster[[#This Row],[RK]],TableWRVORP[RK],0)),"")</f>
        <v>57.496219514294395</v>
      </c>
      <c r="AM240" s="117">
        <f>IFERROR(INDEX(TableWRVORP[VORP],MATCH(TableOverallMaster[[#This Row],[RK]],TableWRVORP[RK],0)),"")</f>
        <v>-0.60183409276627786</v>
      </c>
      <c r="AO240">
        <v>239</v>
      </c>
      <c r="AP240" s="118" t="str">
        <f>IFERROR(INDEX(TableOverallMaster[OVERALL PLAYER],MATCH(TableOverallRank[[#This Row],[RK]],TableOverallMaster[OVR RK],0)),"")</f>
        <v>Brandon Powell</v>
      </c>
      <c r="AQ240" s="119" t="str">
        <f>IFERROR(INDEX(TableOverallMaster[POS RK],MATCH(TableOverallRank[[#This Row],[OVERALL PLAYER]],TableOverallMaster[OVERALL PLAYER],0)),"")</f>
        <v>WR96</v>
      </c>
      <c r="AR240" s="120">
        <f>IFERROR(INDEX(TableOverallMaster[BYE],MATCH(TableOverallRank[[#This Row],[OVERALL PLAYER]],TableOverallMaster[OVERALL PLAYER],0)),"")</f>
        <v>13</v>
      </c>
      <c r="AS240" s="119">
        <f>IFERROR(INDEX(TableOverallMaster[Custom],MATCH(TableOverallRank[[#This Row],[OVERALL PLAYER]],TableOverallMaster[OVERALL PLAYER],0)),"")</f>
        <v>60.938819423999995</v>
      </c>
      <c r="AT240" s="121">
        <f>IFERROR(INDEX(TableOverallMaster[VORP],MATCH(TableOverallRank[[#This Row],[OVERALL PLAYER]],TableOverallMaster[OVERALL PLAYER],0)),"")</f>
        <v>-0.57799381373802139</v>
      </c>
      <c r="AV240">
        <v>239</v>
      </c>
      <c r="AW240" s="122" t="str">
        <f>IFERROR(INDEX(TableWRTECalcPts[PLAYER],MATCH(TableWRTERank[[#This Row],[RK]],TableWRTECalcPts[RK],0)),"")</f>
        <v>Tim Jones</v>
      </c>
      <c r="AX240" s="122" t="str">
        <f>IFERROR(INDEX(TableWRTECalcPts[POS RK],MATCH(TableWRTERank[[#This Row],[WR and TE COMBINED]],TableWRTECalcPts[PLAYER],0)),"")</f>
        <v>WR165</v>
      </c>
      <c r="AY240" s="122">
        <f>IFERROR(INDEX(TableWRTECalcPts[BYE],MATCH(TableWRTERank[[#This Row],[RK]],TableWRTECalcPts[RK],0)),"")</f>
        <v>9</v>
      </c>
      <c r="AZ240" s="123">
        <f>IFERROR(INDEX(TableWRTECalcPts[Custom],MATCH(TableWRTERank[[#This Row],[RK]],TableWRTECalcPts[RK],0)),"")</f>
        <v>13.501545220799994</v>
      </c>
      <c r="BA240" s="174">
        <f>IFERROR((TableWRTERank[[#This Row],[FPS]]-INDEX(TableWRTERank[FPS],MATCH(WRTEVORPCalc,TableWRTERank[RK],0)))/INDEX(TableWRTERank[FPS],MATCH(WRTEVORPCalc,TableWRTERank[RK],0)),"")</f>
        <v>-0.90955889541349766</v>
      </c>
      <c r="BC240" t="s">
        <v>10</v>
      </c>
      <c r="BD240">
        <v>39</v>
      </c>
      <c r="BE240" s="83">
        <f>RANK(TableWRTEMaster[[#This Row],[VORP]],TableWRTEMaster[VORP])+COUNTIF($BJ$2:BJ240,BJ240)-1</f>
        <v>135</v>
      </c>
      <c r="BF240" s="115" t="str">
        <f>IFERROR(INDEX(TableTEVORP[TIGHT END],MATCH(TableWRTEMaster[[#This Row],[RK]],TableTEVORP[RK],0)),"")</f>
        <v>Tommy Tremble</v>
      </c>
      <c r="BG240" s="115" t="str">
        <f>_xlfn.CONCAT(TableWRTEMaster[[#This Row],[POS]],TableWRTEMaster[[#This Row],[RK]])</f>
        <v>TE39</v>
      </c>
      <c r="BH240" s="115">
        <f>IFERROR(INDEX(TableTEVORP[BYE],MATCH(TableWRTEMaster[[#This Row],[RK]],TableTEVORP[RK],0)),"")</f>
        <v>7</v>
      </c>
      <c r="BI240" s="116">
        <f>IFERROR(INDEX(TableTEVORP[FPS],MATCH(TableWRTEMaster[[#This Row],[RK]],TableTEVORP[RK],0)),"")</f>
        <v>54.994295502719993</v>
      </c>
      <c r="BJ240" s="117">
        <f>IFERROR(INDEX(TableTEVORP[VORP],MATCH(TableWRTEMaster[[#This Row],[RK]],TableTEVORP[RK],0)),"")</f>
        <v>-0.58129116672596126</v>
      </c>
    </row>
    <row r="241" spans="32:62" x14ac:dyDescent="0.2">
      <c r="AF241" t="s">
        <v>223</v>
      </c>
      <c r="AG241">
        <v>100</v>
      </c>
      <c r="AH241" s="83">
        <f>RANK(TableOverallMaster[[#This Row],[VORP]],TableOverallMaster[VORP])+COUNTIF($AM$2:AM241,AM241)-1</f>
        <v>253</v>
      </c>
      <c r="AI241" s="115" t="str">
        <f>IFERROR(INDEX(TableWRVORP[WIDE RECEIVER],MATCH(TableOverallMaster[[#This Row],[RK]],TableWRVORP[RK],0)),"")</f>
        <v>DeVante Parker</v>
      </c>
      <c r="AJ241" s="115" t="str">
        <f t="shared" si="3"/>
        <v>WR100</v>
      </c>
      <c r="AK241" s="115">
        <f>IFERROR(INDEX(TableWRVORP[BYE],MATCH(TableOverallMaster[[#This Row],[RK]],TableWRVORP[RK],0)),"")</f>
        <v>10</v>
      </c>
      <c r="AL241" s="116">
        <f>IFERROR(INDEX(TableWRVORP[FPS],MATCH(TableOverallMaster[[#This Row],[RK]],TableWRVORP[RK],0)),"")</f>
        <v>56.040648476400008</v>
      </c>
      <c r="AM241" s="117">
        <f>IFERROR(INDEX(TableWRVORP[VORP],MATCH(TableOverallMaster[[#This Row],[RK]],TableWRVORP[RK],0)),"")</f>
        <v>-0.61191403833039038</v>
      </c>
      <c r="AO241">
        <v>240</v>
      </c>
      <c r="AP241" s="118" t="str">
        <f>IFERROR(INDEX(TableOverallMaster[OVERALL PLAYER],MATCH(TableOverallRank[[#This Row],[RK]],TableOverallMaster[OVR RK],0)),"")</f>
        <v>Aidan O'Connell</v>
      </c>
      <c r="AQ241" s="119" t="str">
        <f>IFERROR(INDEX(TableOverallMaster[POS RK],MATCH(TableOverallRank[[#This Row],[OVERALL PLAYER]],TableOverallMaster[OVERALL PLAYER],0)),"")</f>
        <v>QB34</v>
      </c>
      <c r="AR241" s="120">
        <f>IFERROR(INDEX(TableOverallMaster[BYE],MATCH(TableOverallRank[[#This Row],[OVERALL PLAYER]],TableOverallMaster[OVERALL PLAYER],0)),"")</f>
        <v>13</v>
      </c>
      <c r="AS241" s="119">
        <f>IFERROR(INDEX(TableOverallMaster[Custom],MATCH(TableOverallRank[[#This Row],[OVERALL PLAYER]],TableOverallMaster[OVERALL PLAYER],0)),"")</f>
        <v>98.655392280000015</v>
      </c>
      <c r="AT241" s="121">
        <f>IFERROR(INDEX(TableOverallMaster[VORP],MATCH(TableOverallRank[[#This Row],[OVERALL PLAYER]],TableOverallMaster[OVERALL PLAYER],0)),"")</f>
        <v>-0.57958203125501739</v>
      </c>
      <c r="AV241">
        <v>240</v>
      </c>
      <c r="AW241" s="122" t="str">
        <f>IFERROR(INDEX(TableWRTECalcPts[PLAYER],MATCH(TableWRTERank[[#This Row],[RK]],TableWRTECalcPts[RK],0)),"")</f>
        <v>C.J. Uzomah</v>
      </c>
      <c r="AX241" s="122" t="str">
        <f>IFERROR(INDEX(TableWRTECalcPts[POS RK],MATCH(TableWRTERank[[#This Row],[WR and TE COMBINED]],TableWRTECalcPts[PLAYER],0)),"")</f>
        <v>TE75</v>
      </c>
      <c r="AY241" s="122">
        <f>IFERROR(INDEX(TableWRTECalcPts[BYE],MATCH(TableWRTERank[[#This Row],[RK]],TableWRTECalcPts[RK],0)),"")</f>
        <v>10</v>
      </c>
      <c r="AZ241" s="123">
        <f>IFERROR(INDEX(TableWRTECalcPts[Custom],MATCH(TableWRTERank[[#This Row],[RK]],TableWRTECalcPts[RK],0)),"")</f>
        <v>13.372270636032002</v>
      </c>
      <c r="BA241" s="174">
        <f>IFERROR((TableWRTERank[[#This Row],[FPS]]-INDEX(TableWRTERank[FPS],MATCH(WRTEVORPCalc,TableWRTERank[RK],0)))/INDEX(TableWRTERank[FPS],MATCH(WRTEVORPCalc,TableWRTERank[RK],0)),"")</f>
        <v>-0.91042485083194613</v>
      </c>
      <c r="BC241" t="s">
        <v>10</v>
      </c>
      <c r="BD241">
        <v>40</v>
      </c>
      <c r="BE241" s="83">
        <f>RANK(TableWRTEMaster[[#This Row],[VORP]],TableWRTEMaster[VORP])+COUNTIF($BJ$2:BJ241,BJ241)-1</f>
        <v>138</v>
      </c>
      <c r="BF241" s="115" t="str">
        <f>IFERROR(INDEX(TableTEVORP[TIGHT END],MATCH(TableWRTEMaster[[#This Row],[RK]],TableTEVORP[RK],0)),"")</f>
        <v>Greg Dulcich</v>
      </c>
      <c r="BG241" s="115" t="str">
        <f>_xlfn.CONCAT(TableWRTEMaster[[#This Row],[POS]],TableWRTEMaster[[#This Row],[RK]])</f>
        <v>TE40</v>
      </c>
      <c r="BH241" s="115">
        <f>IFERROR(INDEX(TableTEVORP[BYE],MATCH(TableWRTEMaster[[#This Row],[RK]],TableTEVORP[RK],0)),"")</f>
        <v>9</v>
      </c>
      <c r="BI241" s="116">
        <f>IFERROR(INDEX(TableTEVORP[FPS],MATCH(TableWRTEMaster[[#This Row],[RK]],TableTEVORP[RK],0)),"")</f>
        <v>52.664460695448014</v>
      </c>
      <c r="BJ241" s="117">
        <f>IFERROR(INDEX(TableTEVORP[VORP],MATCH(TableWRTEMaster[[#This Row],[RK]],TableTEVORP[RK],0)),"")</f>
        <v>-0.59902977770290966</v>
      </c>
    </row>
    <row r="242" spans="32:62" x14ac:dyDescent="0.2">
      <c r="AF242" t="s">
        <v>223</v>
      </c>
      <c r="AG242">
        <v>101</v>
      </c>
      <c r="AH242" s="83">
        <f>RANK(TableOverallMaster[[#This Row],[VORP]],TableOverallMaster[VORP])+COUNTIF($AM$2:AM242,AM242)-1</f>
        <v>255</v>
      </c>
      <c r="AI242" s="115" t="str">
        <f>IFERROR(INDEX(TableWRVORP[WIDE RECEIVER],MATCH(TableOverallMaster[[#This Row],[RK]],TableWRVORP[RK],0)),"")</f>
        <v>Kadarius Toney</v>
      </c>
      <c r="AJ242" s="115" t="str">
        <f t="shared" si="3"/>
        <v>WR101</v>
      </c>
      <c r="AK242" s="115">
        <f>IFERROR(INDEX(TableWRVORP[BYE],MATCH(TableOverallMaster[[#This Row],[RK]],TableWRVORP[RK],0)),"")</f>
        <v>10</v>
      </c>
      <c r="AL242" s="116">
        <f>IFERROR(INDEX(TableWRVORP[FPS],MATCH(TableOverallMaster[[#This Row],[RK]],TableWRVORP[RK],0)),"")</f>
        <v>54.303811994879979</v>
      </c>
      <c r="AM242" s="117">
        <f>IFERROR(INDEX(TableWRVORP[VORP],MATCH(TableOverallMaster[[#This Row],[RK]],TableWRVORP[RK],0)),"")</f>
        <v>-0.62394176953120639</v>
      </c>
      <c r="AO242">
        <v>241</v>
      </c>
      <c r="AP242" s="118" t="str">
        <f>IFERROR(INDEX(TableOverallMaster[OVERALL PLAYER],MATCH(TableOverallRank[[#This Row],[RK]],TableOverallMaster[OVR RK],0)),"")</f>
        <v>Austin Hooper</v>
      </c>
      <c r="AQ242" s="119" t="str">
        <f>IFERROR(INDEX(TableOverallMaster[POS RK],MATCH(TableOverallRank[[#This Row],[OVERALL PLAYER]],TableOverallMaster[OVERALL PLAYER],0)),"")</f>
        <v>TE38</v>
      </c>
      <c r="AR242" s="120">
        <f>IFERROR(INDEX(TableOverallMaster[BYE],MATCH(TableOverallRank[[#This Row],[OVERALL PLAYER]],TableOverallMaster[OVERALL PLAYER],0)),"")</f>
        <v>11</v>
      </c>
      <c r="AS242" s="119">
        <f>IFERROR(INDEX(TableOverallMaster[Custom],MATCH(TableOverallRank[[#This Row],[OVERALL PLAYER]],TableOverallMaster[OVERALL PLAYER],0)),"")</f>
        <v>55.186056155999992</v>
      </c>
      <c r="AT242" s="121">
        <f>IFERROR(INDEX(TableOverallMaster[VORP],MATCH(TableOverallRank[[#This Row],[OVERALL PLAYER]],TableOverallMaster[OVERALL PLAYER],0)),"")</f>
        <v>-0.5798311629443188</v>
      </c>
      <c r="AV242">
        <v>241</v>
      </c>
      <c r="AW242" s="122" t="str">
        <f>IFERROR(INDEX(TableWRTECalcPts[PLAYER],MATCH(TableWRTERank[[#This Row],[RK]],TableWRTECalcPts[RK],0)),"")</f>
        <v>Brandon Johnson</v>
      </c>
      <c r="AX242" s="122" t="str">
        <f>IFERROR(INDEX(TableWRTECalcPts[POS RK],MATCH(TableWRTERank[[#This Row],[WR and TE COMBINED]],TableWRTECalcPts[PLAYER],0)),"")</f>
        <v>WR166</v>
      </c>
      <c r="AY242" s="122">
        <f>IFERROR(INDEX(TableWRTECalcPts[BYE],MATCH(TableWRTERank[[#This Row],[RK]],TableWRTECalcPts[RK],0)),"")</f>
        <v>9</v>
      </c>
      <c r="AZ242" s="123">
        <f>IFERROR(INDEX(TableWRTECalcPts[Custom],MATCH(TableWRTERank[[#This Row],[RK]],TableWRTECalcPts[RK],0)),"")</f>
        <v>13.243490175300002</v>
      </c>
      <c r="BA242" s="174">
        <f>IFERROR((TableWRTERank[[#This Row],[FPS]]-INDEX(TableWRTERank[FPS],MATCH(WRTEVORPCalc,TableWRTERank[RK],0)))/INDEX(TableWRTERank[FPS],MATCH(WRTEVORPCalc,TableWRTERank[RK],0)),"")</f>
        <v>-0.91128749632379824</v>
      </c>
      <c r="BC242" t="s">
        <v>10</v>
      </c>
      <c r="BD242">
        <v>41</v>
      </c>
      <c r="BE242" s="83">
        <f>RANK(TableWRTEMaster[[#This Row],[VORP]],TableWRTEMaster[VORP])+COUNTIF($BJ$2:BJ242,BJ242)-1</f>
        <v>142</v>
      </c>
      <c r="BF242" s="115" t="str">
        <f>IFERROR(INDEX(TableTEVORP[TIGHT END],MATCH(TableWRTEMaster[[#This Row],[RK]],TableTEVORP[RK],0)),"")</f>
        <v>Ben Sinnott</v>
      </c>
      <c r="BG242" s="115" t="str">
        <f>_xlfn.CONCAT(TableWRTEMaster[[#This Row],[POS]],TableWRTEMaster[[#This Row],[RK]])</f>
        <v>TE41</v>
      </c>
      <c r="BH242" s="115">
        <f>IFERROR(INDEX(TableTEVORP[BYE],MATCH(TableWRTEMaster[[#This Row],[RK]],TableTEVORP[RK],0)),"")</f>
        <v>14</v>
      </c>
      <c r="BI242" s="116">
        <f>IFERROR(INDEX(TableTEVORP[FPS],MATCH(TableWRTEMaster[[#This Row],[RK]],TableTEVORP[RK],0)),"")</f>
        <v>48.575699465383998</v>
      </c>
      <c r="BJ242" s="117">
        <f>IFERROR(INDEX(TableTEVORP[VORP],MATCH(TableWRTEMaster[[#This Row],[RK]],TableTEVORP[RK],0)),"")</f>
        <v>-0.6301602873044293</v>
      </c>
    </row>
    <row r="243" spans="32:62" x14ac:dyDescent="0.2">
      <c r="AF243" t="s">
        <v>223</v>
      </c>
      <c r="AG243">
        <v>102</v>
      </c>
      <c r="AH243" s="83">
        <f>RANK(TableOverallMaster[[#This Row],[VORP]],TableOverallMaster[VORP])+COUNTIF($AM$2:AM243,AM243)-1</f>
        <v>262</v>
      </c>
      <c r="AI243" s="115" t="str">
        <f>IFERROR(INDEX(TableWRVORP[WIDE RECEIVER],MATCH(TableOverallMaster[[#This Row],[RK]],TableWRVORP[RK],0)),"")</f>
        <v>Michael Gallup</v>
      </c>
      <c r="AJ243" s="115" t="str">
        <f t="shared" si="3"/>
        <v>WR102</v>
      </c>
      <c r="AK243" s="115">
        <f>IFERROR(INDEX(TableWRVORP[BYE],MATCH(TableOverallMaster[[#This Row],[RK]],TableWRVORP[RK],0)),"")</f>
        <v>13</v>
      </c>
      <c r="AL243" s="116">
        <f>IFERROR(INDEX(TableWRVORP[FPS],MATCH(TableOverallMaster[[#This Row],[RK]],TableWRVORP[RK],0)),"")</f>
        <v>48.195139829759995</v>
      </c>
      <c r="AM243" s="117">
        <f>IFERROR(INDEX(TableWRVORP[VORP],MATCH(TableOverallMaster[[#This Row],[RK]],TableWRVORP[RK],0)),"")</f>
        <v>-0.66624481162971672</v>
      </c>
      <c r="AO243">
        <v>242</v>
      </c>
      <c r="AP243" s="118" t="str">
        <f>IFERROR(INDEX(TableOverallMaster[OVERALL PLAYER],MATCH(TableOverallRank[[#This Row],[RK]],TableOverallMaster[OVR RK],0)),"")</f>
        <v>Tommy Tremble</v>
      </c>
      <c r="AQ243" s="119" t="str">
        <f>IFERROR(INDEX(TableOverallMaster[POS RK],MATCH(TableOverallRank[[#This Row],[OVERALL PLAYER]],TableOverallMaster[OVERALL PLAYER],0)),"")</f>
        <v>TE39</v>
      </c>
      <c r="AR243" s="120">
        <f>IFERROR(INDEX(TableOverallMaster[BYE],MATCH(TableOverallRank[[#This Row],[OVERALL PLAYER]],TableOverallMaster[OVERALL PLAYER],0)),"")</f>
        <v>7</v>
      </c>
      <c r="AS243" s="119">
        <f>IFERROR(INDEX(TableOverallMaster[Custom],MATCH(TableOverallRank[[#This Row],[OVERALL PLAYER]],TableOverallMaster[OVERALL PLAYER],0)),"")</f>
        <v>54.994295502719993</v>
      </c>
      <c r="AT243" s="121">
        <f>IFERROR(INDEX(TableOverallMaster[VORP],MATCH(TableOverallRank[[#This Row],[OVERALL PLAYER]],TableOverallMaster[OVERALL PLAYER],0)),"")</f>
        <v>-0.58129116672596126</v>
      </c>
      <c r="AV243">
        <v>242</v>
      </c>
      <c r="AW243" s="122" t="str">
        <f>IFERROR(INDEX(TableWRTECalcPts[PLAYER],MATCH(TableWRTERank[[#This Row],[RK]],TableWRTECalcPts[RK],0)),"")</f>
        <v>Ian Thomas</v>
      </c>
      <c r="AX243" s="122" t="str">
        <f>IFERROR(INDEX(TableWRTECalcPts[POS RK],MATCH(TableWRTERank[[#This Row],[WR and TE COMBINED]],TableWRTECalcPts[PLAYER],0)),"")</f>
        <v>TE76</v>
      </c>
      <c r="AY243" s="122">
        <f>IFERROR(INDEX(TableWRTECalcPts[BYE],MATCH(TableWRTERank[[#This Row],[RK]],TableWRTECalcPts[RK],0)),"")</f>
        <v>7</v>
      </c>
      <c r="AZ243" s="123">
        <f>IFERROR(INDEX(TableWRTECalcPts[Custom],MATCH(TableWRTERank[[#This Row],[RK]],TableWRTECalcPts[RK],0)),"")</f>
        <v>13.026638221379997</v>
      </c>
      <c r="BA243" s="174">
        <f>IFERROR((TableWRTERank[[#This Row],[FPS]]-INDEX(TableWRTERank[FPS],MATCH(WRTEVORPCalc,TableWRTERank[RK],0)))/INDEX(TableWRTERank[FPS],MATCH(WRTEVORPCalc,TableWRTERank[RK],0)),"")</f>
        <v>-0.91274009526144084</v>
      </c>
      <c r="BC243" t="s">
        <v>10</v>
      </c>
      <c r="BD243">
        <v>42</v>
      </c>
      <c r="BE243" s="83">
        <f>RANK(TableWRTEMaster[[#This Row],[VORP]],TableWRTEMaster[VORP])+COUNTIF($BJ$2:BJ243,BJ243)-1</f>
        <v>143</v>
      </c>
      <c r="BF243" s="115" t="str">
        <f>IFERROR(INDEX(TableTEVORP[TIGHT END],MATCH(TableWRTEMaster[[#This Row],[RK]],TableTEVORP[RK],0)),"")</f>
        <v>Jeremy Ruckert</v>
      </c>
      <c r="BG243" s="115" t="str">
        <f>_xlfn.CONCAT(TableWRTEMaster[[#This Row],[POS]],TableWRTEMaster[[#This Row],[RK]])</f>
        <v>TE42</v>
      </c>
      <c r="BH243" s="115">
        <f>IFERROR(INDEX(TableTEVORP[BYE],MATCH(TableWRTEMaster[[#This Row],[RK]],TableTEVORP[RK],0)),"")</f>
        <v>7</v>
      </c>
      <c r="BI243" s="116">
        <f>IFERROR(INDEX(TableTEVORP[FPS],MATCH(TableWRTEMaster[[#This Row],[RK]],TableTEVORP[RK],0)),"")</f>
        <v>47.942912402985584</v>
      </c>
      <c r="BJ243" s="117">
        <f>IFERROR(INDEX(TableTEVORP[VORP],MATCH(TableWRTEMaster[[#This Row],[RK]],TableTEVORP[RK],0)),"")</f>
        <v>-0.6349781239579535</v>
      </c>
    </row>
    <row r="244" spans="32:62" x14ac:dyDescent="0.2">
      <c r="AF244" t="s">
        <v>223</v>
      </c>
      <c r="AG244">
        <v>103</v>
      </c>
      <c r="AH244" s="83">
        <f>RANK(TableOverallMaster[[#This Row],[VORP]],TableOverallMaster[VORP])+COUNTIF($AM$2:AM244,AM244)-1</f>
        <v>265</v>
      </c>
      <c r="AI244" s="115" t="str">
        <f>IFERROR(INDEX(TableWRVORP[WIDE RECEIVER],MATCH(TableOverallMaster[[#This Row],[RK]],TableWRVORP[RK],0)),"")</f>
        <v>Jamison Crowder</v>
      </c>
      <c r="AJ244" s="115" t="str">
        <f t="shared" si="3"/>
        <v>WR103</v>
      </c>
      <c r="AK244" s="115">
        <f>IFERROR(INDEX(TableWRVORP[BYE],MATCH(TableOverallMaster[[#This Row],[RK]],TableWRVORP[RK],0)),"")</f>
        <v>14</v>
      </c>
      <c r="AL244" s="116">
        <f>IFERROR(INDEX(TableWRVORP[FPS],MATCH(TableOverallMaster[[#This Row],[RK]],TableWRVORP[RK],0)),"")</f>
        <v>45.974796266700011</v>
      </c>
      <c r="AM244" s="117">
        <f>IFERROR(INDEX(TableWRVORP[VORP],MATCH(TableOverallMaster[[#This Row],[RK]],TableWRVORP[RK],0)),"")</f>
        <v>-0.68162086794480259</v>
      </c>
      <c r="AO244">
        <v>243</v>
      </c>
      <c r="AP244" s="118" t="str">
        <f>IFERROR(INDEX(TableOverallMaster[OVERALL PLAYER],MATCH(TableOverallRank[[#This Row],[RK]],TableOverallMaster[OVR RK],0)),"")</f>
        <v>Kalif Raymond</v>
      </c>
      <c r="AQ244" s="119" t="str">
        <f>IFERROR(INDEX(TableOverallMaster[POS RK],MATCH(TableOverallRank[[#This Row],[OVERALL PLAYER]],TableOverallMaster[OVERALL PLAYER],0)),"")</f>
        <v>WR97</v>
      </c>
      <c r="AR244" s="120">
        <f>IFERROR(INDEX(TableOverallMaster[BYE],MATCH(TableOverallRank[[#This Row],[OVERALL PLAYER]],TableOverallMaster[OVERALL PLAYER],0)),"")</f>
        <v>9</v>
      </c>
      <c r="AS244" s="119">
        <f>IFERROR(INDEX(TableOverallMaster[Custom],MATCH(TableOverallRank[[#This Row],[OVERALL PLAYER]],TableOverallMaster[OVERALL PLAYER],0)),"")</f>
        <v>60.254049846143992</v>
      </c>
      <c r="AT244" s="121">
        <f>IFERROR(INDEX(TableOverallMaster[VORP],MATCH(TableOverallRank[[#This Row],[OVERALL PLAYER]],TableOverallMaster[OVERALL PLAYER],0)),"")</f>
        <v>-0.58273589769617284</v>
      </c>
      <c r="AV244">
        <v>243</v>
      </c>
      <c r="AW244" s="122" t="str">
        <f>IFERROR(INDEX(TableWRTECalcPts[PLAYER],MATCH(TableWRTERank[[#This Row],[RK]],TableWRTECalcPts[RK],0)),"")</f>
        <v>Jalen Nailor</v>
      </c>
      <c r="AX244" s="122" t="str">
        <f>IFERROR(INDEX(TableWRTECalcPts[POS RK],MATCH(TableWRTERank[[#This Row],[WR and TE COMBINED]],TableWRTECalcPts[PLAYER],0)),"")</f>
        <v>WR167</v>
      </c>
      <c r="AY244" s="122">
        <f>IFERROR(INDEX(TableWRTECalcPts[BYE],MATCH(TableWRTERank[[#This Row],[RK]],TableWRTECalcPts[RK],0)),"")</f>
        <v>13</v>
      </c>
      <c r="AZ244" s="123">
        <f>IFERROR(INDEX(TableWRTECalcPts[Custom],MATCH(TableWRTERank[[#This Row],[RK]],TableWRTECalcPts[RK],0)),"")</f>
        <v>13.011927264000001</v>
      </c>
      <c r="BA244" s="174">
        <f>IFERROR((TableWRTERank[[#This Row],[FPS]]-INDEX(TableWRTERank[FPS],MATCH(WRTEVORPCalc,TableWRTERank[RK],0)))/INDEX(TableWRTERank[FPS],MATCH(WRTEVORPCalc,TableWRTERank[RK],0)),"")</f>
        <v>-0.91283863770330298</v>
      </c>
      <c r="BC244" t="s">
        <v>10</v>
      </c>
      <c r="BD244">
        <v>43</v>
      </c>
      <c r="BE244" s="83">
        <f>RANK(TableWRTEMaster[[#This Row],[VORP]],TableWRTEMaster[VORP])+COUNTIF($BJ$2:BJ244,BJ244)-1</f>
        <v>144</v>
      </c>
      <c r="BF244" s="115" t="str">
        <f>IFERROR(INDEX(TableTEVORP[TIGHT END],MATCH(TableWRTEMaster[[#This Row],[RK]],TableTEVORP[RK],0)),"")</f>
        <v>Donald Parham</v>
      </c>
      <c r="BG244" s="115" t="str">
        <f>_xlfn.CONCAT(TableWRTEMaster[[#This Row],[POS]],TableWRTEMaster[[#This Row],[RK]])</f>
        <v>TE43</v>
      </c>
      <c r="BH244" s="115">
        <f>IFERROR(INDEX(TableTEVORP[BYE],MATCH(TableWRTEMaster[[#This Row],[RK]],TableTEVORP[RK],0)),"")</f>
        <v>5</v>
      </c>
      <c r="BI244" s="116">
        <f>IFERROR(INDEX(TableTEVORP[FPS],MATCH(TableWRTEMaster[[#This Row],[RK]],TableTEVORP[RK],0)),"")</f>
        <v>47.064153670841982</v>
      </c>
      <c r="BJ244" s="117">
        <f>IFERROR(INDEX(TableTEVORP[VORP],MATCH(TableWRTEMaster[[#This Row],[RK]],TableTEVORP[RK],0)),"")</f>
        <v>-0.64166870959236744</v>
      </c>
    </row>
    <row r="245" spans="32:62" x14ac:dyDescent="0.2">
      <c r="AF245" t="s">
        <v>223</v>
      </c>
      <c r="AG245">
        <v>104</v>
      </c>
      <c r="AH245" s="83">
        <f>RANK(TableOverallMaster[[#This Row],[VORP]],TableOverallMaster[VORP])+COUNTIF($AM$2:AM245,AM245)-1</f>
        <v>266</v>
      </c>
      <c r="AI245" s="115" t="str">
        <f>IFERROR(INDEX(TableWRVORP[WIDE RECEIVER],MATCH(TableOverallMaster[[#This Row],[RK]],TableWRVORP[RK],0)),"")</f>
        <v>A.T. Perry</v>
      </c>
      <c r="AJ245" s="115" t="str">
        <f t="shared" si="3"/>
        <v>WR104</v>
      </c>
      <c r="AK245" s="115">
        <f>IFERROR(INDEX(TableWRVORP[BYE],MATCH(TableOverallMaster[[#This Row],[RK]],TableWRVORP[RK],0)),"")</f>
        <v>11</v>
      </c>
      <c r="AL245" s="116">
        <f>IFERROR(INDEX(TableWRVORP[FPS],MATCH(TableOverallMaster[[#This Row],[RK]],TableWRVORP[RK],0)),"")</f>
        <v>45.816955573996985</v>
      </c>
      <c r="AM245" s="117">
        <f>IFERROR(INDEX(TableWRVORP[VORP],MATCH(TableOverallMaster[[#This Row],[RK]],TableWRVORP[RK],0)),"")</f>
        <v>-0.6827139273344357</v>
      </c>
      <c r="AO245">
        <v>244</v>
      </c>
      <c r="AP245" s="118" t="str">
        <f>IFERROR(INDEX(TableOverallMaster[OVERALL PLAYER],MATCH(TableOverallRank[[#This Row],[RK]],TableOverallMaster[OVR RK],0)),"")</f>
        <v>Jamaal Williams</v>
      </c>
      <c r="AQ245" s="119" t="str">
        <f>IFERROR(INDEX(TableOverallMaster[POS RK],MATCH(TableOverallRank[[#This Row],[OVERALL PLAYER]],TableOverallMaster[OVERALL PLAYER],0)),"")</f>
        <v>RB74</v>
      </c>
      <c r="AR245" s="120">
        <f>IFERROR(INDEX(TableOverallMaster[BYE],MATCH(TableOverallRank[[#This Row],[OVERALL PLAYER]],TableOverallMaster[OVERALL PLAYER],0)),"")</f>
        <v>11</v>
      </c>
      <c r="AS245" s="119">
        <f>IFERROR(INDEX(TableOverallMaster[Custom],MATCH(TableOverallRank[[#This Row],[OVERALL PLAYER]],TableOverallMaster[OVERALL PLAYER],0)),"")</f>
        <v>47.008275267918272</v>
      </c>
      <c r="AT245" s="121">
        <f>IFERROR(INDEX(TableOverallMaster[VORP],MATCH(TableOverallRank[[#This Row],[OVERALL PLAYER]],TableOverallMaster[OVERALL PLAYER],0)),"")</f>
        <v>-0.58295709195338952</v>
      </c>
      <c r="AV245">
        <v>244</v>
      </c>
      <c r="AW245" s="122" t="str">
        <f>IFERROR(INDEX(TableWRTECalcPts[PLAYER],MATCH(TableWRTERank[[#This Row],[RK]],TableWRTECalcPts[RK],0)),"")</f>
        <v>David Moore</v>
      </c>
      <c r="AX245" s="122" t="str">
        <f>IFERROR(INDEX(TableWRTECalcPts[POS RK],MATCH(TableWRTERank[[#This Row],[WR and TE COMBINED]],TableWRTECalcPts[PLAYER],0)),"")</f>
        <v>WR168</v>
      </c>
      <c r="AY245" s="122">
        <f>IFERROR(INDEX(TableWRTECalcPts[BYE],MATCH(TableWRTERank[[#This Row],[RK]],TableWRTECalcPts[RK],0)),"")</f>
        <v>7</v>
      </c>
      <c r="AZ245" s="123">
        <f>IFERROR(INDEX(TableWRTECalcPts[Custom],MATCH(TableWRTERank[[#This Row],[RK]],TableWRTECalcPts[RK],0)),"")</f>
        <v>12.832094951199998</v>
      </c>
      <c r="BA245" s="174">
        <f>IFERROR((TableWRTERank[[#This Row],[FPS]]-INDEX(TableWRTERank[FPS],MATCH(WRTEVORPCalc,TableWRTERank[RK],0)))/INDEX(TableWRTERank[FPS],MATCH(WRTEVORPCalc,TableWRTERank[RK],0)),"")</f>
        <v>-0.9140432578222597</v>
      </c>
      <c r="BC245" t="s">
        <v>10</v>
      </c>
      <c r="BD245">
        <v>44</v>
      </c>
      <c r="BE245" s="83">
        <f>RANK(TableWRTEMaster[[#This Row],[VORP]],TableWRTEMaster[VORP])+COUNTIF($BJ$2:BJ245,BJ245)-1</f>
        <v>145</v>
      </c>
      <c r="BF245" s="115" t="str">
        <f>IFERROR(INDEX(TableTEVORP[TIGHT END],MATCH(TableWRTEMaster[[#This Row],[RK]],TableTEVORP[RK],0)),"")</f>
        <v>Josh Oliver</v>
      </c>
      <c r="BG245" s="115" t="str">
        <f>_xlfn.CONCAT(TableWRTEMaster[[#This Row],[POS]],TableWRTEMaster[[#This Row],[RK]])</f>
        <v>TE44</v>
      </c>
      <c r="BH245" s="115">
        <f>IFERROR(INDEX(TableTEVORP[BYE],MATCH(TableWRTEMaster[[#This Row],[RK]],TableTEVORP[RK],0)),"")</f>
        <v>13</v>
      </c>
      <c r="BI245" s="116">
        <f>IFERROR(INDEX(TableTEVORP[FPS],MATCH(TableWRTEMaster[[#This Row],[RK]],TableTEVORP[RK],0)),"")</f>
        <v>46.24948826064</v>
      </c>
      <c r="BJ245" s="117">
        <f>IFERROR(INDEX(TableTEVORP[VORP],MATCH(TableWRTEMaster[[#This Row],[RK]],TableTEVORP[RK],0)),"")</f>
        <v>-0.64787130934014536</v>
      </c>
    </row>
    <row r="246" spans="32:62" x14ac:dyDescent="0.2">
      <c r="AF246" t="s">
        <v>223</v>
      </c>
      <c r="AG246">
        <v>105</v>
      </c>
      <c r="AH246" s="83">
        <f>RANK(TableOverallMaster[[#This Row],[VORP]],TableOverallMaster[VORP])+COUNTIF($AM$2:AM246,AM246)-1</f>
        <v>269</v>
      </c>
      <c r="AI246" s="115" t="str">
        <f>IFERROR(INDEX(TableWRVORP[WIDE RECEIVER],MATCH(TableOverallMaster[[#This Row],[RK]],TableWRVORP[RK],0)),"")</f>
        <v>Devontez Walker</v>
      </c>
      <c r="AJ246" s="115" t="str">
        <f t="shared" si="3"/>
        <v>WR105</v>
      </c>
      <c r="AK246" s="115">
        <f>IFERROR(INDEX(TableWRVORP[BYE],MATCH(TableOverallMaster[[#This Row],[RK]],TableWRVORP[RK],0)),"")</f>
        <v>13</v>
      </c>
      <c r="AL246" s="116">
        <f>IFERROR(INDEX(TableWRVORP[FPS],MATCH(TableOverallMaster[[#This Row],[RK]],TableWRVORP[RK],0)),"")</f>
        <v>41.847989055196805</v>
      </c>
      <c r="AM246" s="117">
        <f>IFERROR(INDEX(TableWRVORP[VORP],MATCH(TableOverallMaster[[#This Row],[RK]],TableWRVORP[RK],0)),"")</f>
        <v>-0.71019933712464722</v>
      </c>
      <c r="AO246">
        <v>245</v>
      </c>
      <c r="AP246" s="118" t="str">
        <f>IFERROR(INDEX(TableOverallMaster[OVERALL PLAYER],MATCH(TableOverallRank[[#This Row],[RK]],TableOverallMaster[OVR RK],0)),"")</f>
        <v>AJ Dillon</v>
      </c>
      <c r="AQ246" s="119" t="str">
        <f>IFERROR(INDEX(TableOverallMaster[POS RK],MATCH(TableOverallRank[[#This Row],[OVERALL PLAYER]],TableOverallMaster[OVERALL PLAYER],0)),"")</f>
        <v>RB75</v>
      </c>
      <c r="AR246" s="120">
        <f>IFERROR(INDEX(TableOverallMaster[BYE],MATCH(TableOverallRank[[#This Row],[OVERALL PLAYER]],TableOverallMaster[OVERALL PLAYER],0)),"")</f>
        <v>6</v>
      </c>
      <c r="AS246" s="119">
        <f>IFERROR(INDEX(TableOverallMaster[Custom],MATCH(TableOverallRank[[#This Row],[OVERALL PLAYER]],TableOverallMaster[OVERALL PLAYER],0)),"")</f>
        <v>46.699534555968008</v>
      </c>
      <c r="AT246" s="121">
        <f>IFERROR(INDEX(TableOverallMaster[VORP],MATCH(TableOverallRank[[#This Row],[OVERALL PLAYER]],TableOverallMaster[OVERALL PLAYER],0)),"")</f>
        <v>-0.58569614425025174</v>
      </c>
      <c r="AV246">
        <v>245</v>
      </c>
      <c r="AW246" s="122" t="str">
        <f>IFERROR(INDEX(TableWRTECalcPts[PLAYER],MATCH(TableWRTERank[[#This Row],[RK]],TableWRTECalcPts[RK],0)),"")</f>
        <v>Stanley Morgan</v>
      </c>
      <c r="AX246" s="122" t="str">
        <f>IFERROR(INDEX(TableWRTECalcPts[POS RK],MATCH(TableWRTERank[[#This Row],[WR and TE COMBINED]],TableWRTECalcPts[PLAYER],0)),"")</f>
        <v>WR169</v>
      </c>
      <c r="AY246" s="122">
        <f>IFERROR(INDEX(TableWRTECalcPts[BYE],MATCH(TableWRTERank[[#This Row],[RK]],TableWRTECalcPts[RK],0)),"")</f>
        <v>11</v>
      </c>
      <c r="AZ246" s="123">
        <f>IFERROR(INDEX(TableWRTECalcPts[Custom],MATCH(TableWRTERank[[#This Row],[RK]],TableWRTECalcPts[RK],0)),"")</f>
        <v>12.684391177919998</v>
      </c>
      <c r="BA246" s="174">
        <f>IFERROR((TableWRTERank[[#This Row],[FPS]]-INDEX(TableWRTERank[FPS],MATCH(WRTEVORPCalc,TableWRTERank[RK],0)))/INDEX(TableWRTERank[FPS],MATCH(WRTEVORPCalc,TableWRTERank[RK],0)),"")</f>
        <v>-0.91503266253028215</v>
      </c>
      <c r="BC246" t="s">
        <v>10</v>
      </c>
      <c r="BD246">
        <v>45</v>
      </c>
      <c r="BE246" s="83">
        <f>RANK(TableWRTEMaster[[#This Row],[VORP]],TableWRTEMaster[VORP])+COUNTIF($BJ$2:BJ246,BJ246)-1</f>
        <v>147</v>
      </c>
      <c r="BF246" s="115" t="str">
        <f>IFERROR(INDEX(TableTEVORP[TIGHT END],MATCH(TableWRTEMaster[[#This Row],[RK]],TableTEVORP[RK],0)),"")</f>
        <v>Theo Johnson</v>
      </c>
      <c r="BG246" s="115" t="str">
        <f>_xlfn.CONCAT(TableWRTEMaster[[#This Row],[POS]],TableWRTEMaster[[#This Row],[RK]])</f>
        <v>TE45</v>
      </c>
      <c r="BH246" s="115">
        <f>IFERROR(INDEX(TableTEVORP[BYE],MATCH(TableWRTEMaster[[#This Row],[RK]],TableTEVORP[RK],0)),"")</f>
        <v>13</v>
      </c>
      <c r="BI246" s="116">
        <f>IFERROR(INDEX(TableTEVORP[FPS],MATCH(TableWRTEMaster[[#This Row],[RK]],TableTEVORP[RK],0)),"")</f>
        <v>43.712904661977589</v>
      </c>
      <c r="BJ246" s="117">
        <f>IFERROR(INDEX(TableTEVORP[VORP],MATCH(TableWRTEMaster[[#This Row],[RK]],TableTEVORP[RK],0)),"")</f>
        <v>-0.66718403894944578</v>
      </c>
    </row>
    <row r="247" spans="32:62" x14ac:dyDescent="0.2">
      <c r="AF247" t="s">
        <v>223</v>
      </c>
      <c r="AG247">
        <v>106</v>
      </c>
      <c r="AH247" s="83">
        <f>RANK(TableOverallMaster[[#This Row],[VORP]],TableOverallMaster[VORP])+COUNTIF($AM$2:AM247,AM247)-1</f>
        <v>270</v>
      </c>
      <c r="AI247" s="115" t="str">
        <f>IFERROR(INDEX(TableWRVORP[WIDE RECEIVER],MATCH(TableOverallMaster[[#This Row],[RK]],TableWRVORP[RK],0)),"")</f>
        <v>Allen Lazard</v>
      </c>
      <c r="AJ247" s="115" t="str">
        <f t="shared" si="3"/>
        <v>WR106</v>
      </c>
      <c r="AK247" s="115">
        <f>IFERROR(INDEX(TableWRVORP[BYE],MATCH(TableOverallMaster[[#This Row],[RK]],TableWRVORP[RK],0)),"")</f>
        <v>7</v>
      </c>
      <c r="AL247" s="116">
        <f>IFERROR(INDEX(TableWRVORP[FPS],MATCH(TableOverallMaster[[#This Row],[RK]],TableWRVORP[RK],0)),"")</f>
        <v>41.839992226031995</v>
      </c>
      <c r="AM247" s="117">
        <f>IFERROR(INDEX(TableWRVORP[VORP],MATCH(TableOverallMaster[[#This Row],[RK]],TableWRVORP[RK],0)),"")</f>
        <v>-0.71025471580460731</v>
      </c>
      <c r="AO247">
        <v>246</v>
      </c>
      <c r="AP247" s="118" t="str">
        <f>IFERROR(INDEX(TableOverallMaster[OVERALL PLAYER],MATCH(TableOverallRank[[#This Row],[RK]],TableOverallMaster[OVR RK],0)),"")</f>
        <v>Dontayvion Wicks</v>
      </c>
      <c r="AQ247" s="119" t="str">
        <f>IFERROR(INDEX(TableOverallMaster[POS RK],MATCH(TableOverallRank[[#This Row],[OVERALL PLAYER]],TableOverallMaster[OVERALL PLAYER],0)),"")</f>
        <v>WR98</v>
      </c>
      <c r="AR247" s="120">
        <f>IFERROR(INDEX(TableOverallMaster[BYE],MATCH(TableOverallRank[[#This Row],[OVERALL PLAYER]],TableOverallMaster[OVERALL PLAYER],0)),"")</f>
        <v>6</v>
      </c>
      <c r="AS247" s="119">
        <f>IFERROR(INDEX(TableOverallMaster[Custom],MATCH(TableOverallRank[[#This Row],[OVERALL PLAYER]],TableOverallMaster[OVERALL PLAYER],0)),"")</f>
        <v>59.706570083328018</v>
      </c>
      <c r="AT247" s="121">
        <f>IFERROR(INDEX(TableOverallMaster[VORP],MATCH(TableOverallRank[[#This Row],[OVERALL PLAYER]],TableOverallMaster[OVERALL PLAYER],0)),"")</f>
        <v>-0.58652723873207402</v>
      </c>
      <c r="AV247">
        <v>246</v>
      </c>
      <c r="AW247" s="122" t="str">
        <f>IFERROR(INDEX(TableWRTECalcPts[PLAYER],MATCH(TableWRTERank[[#This Row],[RK]],TableWRTECalcPts[RK],0)),"")</f>
        <v>Cameron Latu</v>
      </c>
      <c r="AX247" s="122" t="str">
        <f>IFERROR(INDEX(TableWRTECalcPts[POS RK],MATCH(TableWRTERank[[#This Row],[WR and TE COMBINED]],TableWRTECalcPts[PLAYER],0)),"")</f>
        <v>TE77</v>
      </c>
      <c r="AY247" s="122">
        <f>IFERROR(INDEX(TableWRTECalcPts[BYE],MATCH(TableWRTERank[[#This Row],[RK]],TableWRTECalcPts[RK],0)),"")</f>
        <v>9</v>
      </c>
      <c r="AZ247" s="123">
        <f>IFERROR(INDEX(TableWRTECalcPts[Custom],MATCH(TableWRTERank[[#This Row],[RK]],TableWRTECalcPts[RK],0)),"")</f>
        <v>12.40591113216</v>
      </c>
      <c r="BA247" s="174">
        <f>IFERROR((TableWRTERank[[#This Row],[FPS]]-INDEX(TableWRTERank[FPS],MATCH(WRTEVORPCalc,TableWRTERank[RK],0)))/INDEX(TableWRTERank[FPS],MATCH(WRTEVORPCalc,TableWRTERank[RK],0)),"")</f>
        <v>-0.91689808182355192</v>
      </c>
      <c r="BC247" t="s">
        <v>10</v>
      </c>
      <c r="BD247">
        <v>46</v>
      </c>
      <c r="BE247" s="83">
        <f>RANK(TableWRTEMaster[[#This Row],[VORP]],TableWRTEMaster[VORP])+COUNTIF($BJ$2:BJ247,BJ247)-1</f>
        <v>152</v>
      </c>
      <c r="BF247" s="115" t="str">
        <f>IFERROR(INDEX(TableTEVORP[TIGHT END],MATCH(TableWRTEMaster[[#This Row],[RK]],TableTEVORP[RK],0)),"")</f>
        <v>Mo Alie-Cox</v>
      </c>
      <c r="BG247" s="115" t="str">
        <f>_xlfn.CONCAT(TableWRTEMaster[[#This Row],[POS]],TableWRTEMaster[[#This Row],[RK]])</f>
        <v>TE46</v>
      </c>
      <c r="BH247" s="115">
        <f>IFERROR(INDEX(TableTEVORP[BYE],MATCH(TableWRTEMaster[[#This Row],[RK]],TableTEVORP[RK],0)),"")</f>
        <v>11</v>
      </c>
      <c r="BI247" s="116">
        <f>IFERROR(INDEX(TableTEVORP[FPS],MATCH(TableWRTEMaster[[#This Row],[RK]],TableTEVORP[RK],0)),"")</f>
        <v>36.596044523500012</v>
      </c>
      <c r="BJ247" s="117">
        <f>IFERROR(INDEX(TableTEVORP[VORP],MATCH(TableWRTEMaster[[#This Row],[RK]],TableTEVORP[RK],0)),"")</f>
        <v>-0.72136951724162746</v>
      </c>
    </row>
    <row r="248" spans="32:62" x14ac:dyDescent="0.2">
      <c r="AF248" t="s">
        <v>223</v>
      </c>
      <c r="AG248">
        <v>107</v>
      </c>
      <c r="AH248" s="83">
        <f>RANK(TableOverallMaster[[#This Row],[VORP]],TableOverallMaster[VORP])+COUNTIF($AM$2:AM248,AM248)-1</f>
        <v>272</v>
      </c>
      <c r="AI248" s="115" t="str">
        <f>IFERROR(INDEX(TableWRVORP[WIDE RECEIVER],MATCH(TableOverallMaster[[#This Row],[RK]],TableWRVORP[RK],0)),"")</f>
        <v>Cedric Tillman</v>
      </c>
      <c r="AJ248" s="115" t="str">
        <f t="shared" si="3"/>
        <v>WR107</v>
      </c>
      <c r="AK248" s="115">
        <f>IFERROR(INDEX(TableWRVORP[BYE],MATCH(TableOverallMaster[[#This Row],[RK]],TableWRVORP[RK],0)),"")</f>
        <v>5</v>
      </c>
      <c r="AL248" s="116">
        <f>IFERROR(INDEX(TableWRVORP[FPS],MATCH(TableOverallMaster[[#This Row],[RK]],TableWRVORP[RK],0)),"")</f>
        <v>40.104575279999999</v>
      </c>
      <c r="AM248" s="117">
        <f>IFERROR(INDEX(TableWRVORP[VORP],MATCH(TableOverallMaster[[#This Row],[RK]],TableWRVORP[RK],0)),"")</f>
        <v>-0.72227261660891695</v>
      </c>
      <c r="AO248">
        <v>247</v>
      </c>
      <c r="AP248" s="118" t="str">
        <f>IFERROR(INDEX(TableOverallMaster[OVERALL PLAYER],MATCH(TableOverallRank[[#This Row],[RK]],TableOverallMaster[OVR RK],0)),"")</f>
        <v>Isaiah Davis</v>
      </c>
      <c r="AQ248" s="119" t="str">
        <f>IFERROR(INDEX(TableOverallMaster[POS RK],MATCH(TableOverallRank[[#This Row],[OVERALL PLAYER]],TableOverallMaster[OVERALL PLAYER],0)),"")</f>
        <v>RB76</v>
      </c>
      <c r="AR248" s="120">
        <f>IFERROR(INDEX(TableOverallMaster[BYE],MATCH(TableOverallRank[[#This Row],[OVERALL PLAYER]],TableOverallMaster[OVERALL PLAYER],0)),"")</f>
        <v>7</v>
      </c>
      <c r="AS248" s="119">
        <f>IFERROR(INDEX(TableOverallMaster[Custom],MATCH(TableOverallRank[[#This Row],[OVERALL PLAYER]],TableOverallMaster[OVERALL PLAYER],0)),"")</f>
        <v>46.256093781296009</v>
      </c>
      <c r="AT248" s="121">
        <f>IFERROR(INDEX(TableOverallMaster[VORP],MATCH(TableOverallRank[[#This Row],[OVERALL PLAYER]],TableOverallMaster[OVERALL PLAYER],0)),"")</f>
        <v>-0.589630213925466</v>
      </c>
      <c r="AV248">
        <v>247</v>
      </c>
      <c r="AW248" s="122" t="str">
        <f>IFERROR(INDEX(TableWRTECalcPts[PLAYER],MATCH(TableWRTERank[[#This Row],[RK]],TableWRTECalcPts[RK],0)),"")</f>
        <v>Deven Thompkins</v>
      </c>
      <c r="AX248" s="122" t="str">
        <f>IFERROR(INDEX(TableWRTECalcPts[POS RK],MATCH(TableWRTERank[[#This Row],[WR and TE COMBINED]],TableWRTECalcPts[PLAYER],0)),"")</f>
        <v>WR170</v>
      </c>
      <c r="AY248" s="122">
        <f>IFERROR(INDEX(TableWRTECalcPts[BYE],MATCH(TableWRTERank[[#This Row],[RK]],TableWRTECalcPts[RK],0)),"")</f>
        <v>5</v>
      </c>
      <c r="AZ248" s="123">
        <f>IFERROR(INDEX(TableWRTECalcPts[Custom],MATCH(TableWRTERank[[#This Row],[RK]],TableWRTECalcPts[RK],0)),"")</f>
        <v>12.059571848015997</v>
      </c>
      <c r="BA248" s="174">
        <f>IFERROR((TableWRTERank[[#This Row],[FPS]]-INDEX(TableWRTERank[FPS],MATCH(WRTEVORPCalc,TableWRTERank[RK],0)))/INDEX(TableWRTERank[FPS],MATCH(WRTEVORPCalc,TableWRTERank[RK],0)),"")</f>
        <v>-0.91921806127089878</v>
      </c>
      <c r="BC248" t="s">
        <v>10</v>
      </c>
      <c r="BD248">
        <v>47</v>
      </c>
      <c r="BE248" s="83">
        <f>RANK(TableWRTEMaster[[#This Row],[VORP]],TableWRTEMaster[VORP])+COUNTIF($BJ$2:BJ248,BJ248)-1</f>
        <v>162</v>
      </c>
      <c r="BF248" s="115" t="str">
        <f>IFERROR(INDEX(TableTEVORP[TIGHT END],MATCH(TableWRTEMaster[[#This Row],[RK]],TableTEVORP[RK],0)),"")</f>
        <v>Adam Trautman</v>
      </c>
      <c r="BG248" s="115" t="str">
        <f>_xlfn.CONCAT(TableWRTEMaster[[#This Row],[POS]],TableWRTEMaster[[#This Row],[RK]])</f>
        <v>TE47</v>
      </c>
      <c r="BH248" s="115">
        <f>IFERROR(INDEX(TableTEVORP[BYE],MATCH(TableWRTEMaster[[#This Row],[RK]],TableTEVORP[RK],0)),"")</f>
        <v>9</v>
      </c>
      <c r="BI248" s="116">
        <f>IFERROR(INDEX(TableTEVORP[FPS],MATCH(TableWRTEMaster[[#This Row],[RK]],TableTEVORP[RK],0)),"")</f>
        <v>31.824565295600003</v>
      </c>
      <c r="BJ248" s="117">
        <f>IFERROR(INDEX(TableTEVORP[VORP],MATCH(TableWRTEMaster[[#This Row],[RK]],TableTEVORP[RK],0)),"")</f>
        <v>-0.75769802153906896</v>
      </c>
    </row>
    <row r="249" spans="32:62" x14ac:dyDescent="0.2">
      <c r="AF249" t="s">
        <v>223</v>
      </c>
      <c r="AG249">
        <v>108</v>
      </c>
      <c r="AH249" s="83">
        <f>RANK(TableOverallMaster[[#This Row],[VORP]],TableOverallMaster[VORP])+COUNTIF($AM$2:AM249,AM249)-1</f>
        <v>273</v>
      </c>
      <c r="AI249" s="115" t="str">
        <f>IFERROR(INDEX(TableWRVORP[WIDE RECEIVER],MATCH(TableOverallMaster[[#This Row],[RK]],TableWRVORP[RK],0)),"")</f>
        <v>Tre Tucker</v>
      </c>
      <c r="AJ249" s="115" t="str">
        <f t="shared" si="3"/>
        <v>WR108</v>
      </c>
      <c r="AK249" s="115">
        <f>IFERROR(INDEX(TableWRVORP[BYE],MATCH(TableOverallMaster[[#This Row],[RK]],TableWRVORP[RK],0)),"")</f>
        <v>13</v>
      </c>
      <c r="AL249" s="116">
        <f>IFERROR(INDEX(TableWRVORP[FPS],MATCH(TableOverallMaster[[#This Row],[RK]],TableWRVORP[RK],0)),"")</f>
        <v>38.374922018159985</v>
      </c>
      <c r="AM249" s="117">
        <f>IFERROR(INDEX(TableWRVORP[VORP],MATCH(TableOverallMaster[[#This Row],[RK]],TableWRVORP[RK],0)),"")</f>
        <v>-0.73425060344036552</v>
      </c>
      <c r="AO249">
        <v>248</v>
      </c>
      <c r="AP249" s="118" t="str">
        <f>IFERROR(INDEX(TableOverallMaster[OVERALL PLAYER],MATCH(TableOverallRank[[#This Row],[RK]],TableOverallMaster[OVR RK],0)),"")</f>
        <v>Will Shipley</v>
      </c>
      <c r="AQ249" s="119" t="str">
        <f>IFERROR(INDEX(TableOverallMaster[POS RK],MATCH(TableOverallRank[[#This Row],[OVERALL PLAYER]],TableOverallMaster[OVERALL PLAYER],0)),"")</f>
        <v>RB77</v>
      </c>
      <c r="AR249" s="120">
        <f>IFERROR(INDEX(TableOverallMaster[BYE],MATCH(TableOverallRank[[#This Row],[OVERALL PLAYER]],TableOverallMaster[OVERALL PLAYER],0)),"")</f>
        <v>10</v>
      </c>
      <c r="AS249" s="119">
        <f>IFERROR(INDEX(TableOverallMaster[Custom],MATCH(TableOverallRank[[#This Row],[OVERALL PLAYER]],TableOverallMaster[OVERALL PLAYER],0)),"")</f>
        <v>46.071657628416006</v>
      </c>
      <c r="AT249" s="121">
        <f>IFERROR(INDEX(TableOverallMaster[VORP],MATCH(TableOverallRank[[#This Row],[OVERALL PLAYER]],TableOverallMaster[OVERALL PLAYER],0)),"")</f>
        <v>-0.59126647454357262</v>
      </c>
      <c r="AV249">
        <v>248</v>
      </c>
      <c r="AW249" s="122" t="str">
        <f>IFERROR(INDEX(TableWRTECalcPts[PLAYER],MATCH(TableWRTERank[[#This Row],[RK]],TableWRTECalcPts[RK],0)),"")</f>
        <v>Foster Moreau</v>
      </c>
      <c r="AX249" s="122" t="str">
        <f>IFERROR(INDEX(TableWRTECalcPts[POS RK],MATCH(TableWRTERank[[#This Row],[WR and TE COMBINED]],TableWRTECalcPts[PLAYER],0)),"")</f>
        <v>TE78</v>
      </c>
      <c r="AY249" s="122">
        <f>IFERROR(INDEX(TableWRTECalcPts[BYE],MATCH(TableWRTERank[[#This Row],[RK]],TableWRTECalcPts[RK],0)),"")</f>
        <v>11</v>
      </c>
      <c r="AZ249" s="123">
        <f>IFERROR(INDEX(TableWRTECalcPts[Custom],MATCH(TableWRTERank[[#This Row],[RK]],TableWRTECalcPts[RK],0)),"")</f>
        <v>11.647049984397826</v>
      </c>
      <c r="BA249" s="174">
        <f>IFERROR((TableWRTERank[[#This Row],[FPS]]-INDEX(TableWRTERank[FPS],MATCH(WRTEVORPCalc,TableWRTERank[RK],0)))/INDEX(TableWRTERank[FPS],MATCH(WRTEVORPCalc,TableWRTERank[RK],0)),"")</f>
        <v>-0.92198136964794541</v>
      </c>
      <c r="BC249" t="s">
        <v>10</v>
      </c>
      <c r="BD249">
        <v>48</v>
      </c>
      <c r="BE249" s="83">
        <f>RANK(TableWRTEMaster[[#This Row],[VORP]],TableWRTEMaster[VORP])+COUNTIF($BJ$2:BJ249,BJ249)-1</f>
        <v>164</v>
      </c>
      <c r="BF249" s="115" t="str">
        <f>IFERROR(INDEX(TableTEVORP[TIGHT END],MATCH(TableWRTEMaster[[#This Row],[RK]],TableTEVORP[RK],0)),"")</f>
        <v>Gerald Everett</v>
      </c>
      <c r="BG249" s="115" t="str">
        <f>_xlfn.CONCAT(TableWRTEMaster[[#This Row],[POS]],TableWRTEMaster[[#This Row],[RK]])</f>
        <v>TE48</v>
      </c>
      <c r="BH249" s="115">
        <f>IFERROR(INDEX(TableTEVORP[BYE],MATCH(TableWRTEMaster[[#This Row],[RK]],TableTEVORP[RK],0)),"")</f>
        <v>13</v>
      </c>
      <c r="BI249" s="116">
        <f>IFERROR(INDEX(TableTEVORP[FPS],MATCH(TableWRTEMaster[[#This Row],[RK]],TableTEVORP[RK],0)),"")</f>
        <v>31.095113212799991</v>
      </c>
      <c r="BJ249" s="117">
        <f>IFERROR(INDEX(TableTEVORP[VORP],MATCH(TableWRTEMaster[[#This Row],[RK]],TableTEVORP[RK],0)),"")</f>
        <v>-0.76325183448869394</v>
      </c>
    </row>
    <row r="250" spans="32:62" x14ac:dyDescent="0.2">
      <c r="AF250" t="s">
        <v>223</v>
      </c>
      <c r="AG250">
        <v>109</v>
      </c>
      <c r="AH250" s="83">
        <f>RANK(TableOverallMaster[[#This Row],[VORP]],TableOverallMaster[VORP])+COUNTIF($AM$2:AM250,AM250)-1</f>
        <v>274</v>
      </c>
      <c r="AI250" s="115" t="str">
        <f>IFERROR(INDEX(TableWRVORP[WIDE RECEIVER],MATCH(TableOverallMaster[[#This Row],[RK]],TableWRVORP[RK],0)),"")</f>
        <v>Jake Bobo</v>
      </c>
      <c r="AJ250" s="115" t="str">
        <f t="shared" si="3"/>
        <v>WR109</v>
      </c>
      <c r="AK250" s="115">
        <f>IFERROR(INDEX(TableWRVORP[BYE],MATCH(TableOverallMaster[[#This Row],[RK]],TableWRVORP[RK],0)),"")</f>
        <v>5</v>
      </c>
      <c r="AL250" s="116">
        <f>IFERROR(INDEX(TableWRVORP[FPS],MATCH(TableOverallMaster[[#This Row],[RK]],TableWRVORP[RK],0)),"")</f>
        <v>38.272134722472003</v>
      </c>
      <c r="AM250" s="117">
        <f>IFERROR(INDEX(TableWRVORP[VORP],MATCH(TableOverallMaster[[#This Row],[RK]],TableWRVORP[RK],0)),"")</f>
        <v>-0.73496241366346271</v>
      </c>
      <c r="AO250">
        <v>249</v>
      </c>
      <c r="AP250" s="118" t="str">
        <f>IFERROR(INDEX(TableOverallMaster[OVERALL PLAYER],MATCH(TableOverallRank[[#This Row],[RK]],TableOverallMaster[OVR RK],0)),"")</f>
        <v>Deuce Vaughn</v>
      </c>
      <c r="AQ250" s="119" t="str">
        <f>IFERROR(INDEX(TableOverallMaster[POS RK],MATCH(TableOverallRank[[#This Row],[OVERALL PLAYER]],TableOverallMaster[OVERALL PLAYER],0)),"")</f>
        <v>RB78</v>
      </c>
      <c r="AR250" s="120">
        <f>IFERROR(INDEX(TableOverallMaster[BYE],MATCH(TableOverallRank[[#This Row],[OVERALL PLAYER]],TableOverallMaster[OVERALL PLAYER],0)),"")</f>
        <v>7</v>
      </c>
      <c r="AS250" s="119">
        <f>IFERROR(INDEX(TableOverallMaster[Custom],MATCH(TableOverallRank[[#This Row],[OVERALL PLAYER]],TableOverallMaster[OVERALL PLAYER],0)),"")</f>
        <v>45.58296467793599</v>
      </c>
      <c r="AT250" s="121">
        <f>IFERROR(INDEX(TableOverallMaster[VORP],MATCH(TableOverallRank[[#This Row],[OVERALL PLAYER]],TableOverallMaster[OVERALL PLAYER],0)),"")</f>
        <v>-0.59560200755448389</v>
      </c>
      <c r="AV250">
        <v>249</v>
      </c>
      <c r="AW250" s="122" t="str">
        <f>IFERROR(INDEX(TableWRTECalcPts[PLAYER],MATCH(TableWRTERank[[#This Row],[RK]],TableWRTECalcPts[RK],0)),"")</f>
        <v>Jalen Guyton</v>
      </c>
      <c r="AX250" s="122" t="str">
        <f>IFERROR(INDEX(TableWRTECalcPts[POS RK],MATCH(TableWRTERank[[#This Row],[WR and TE COMBINED]],TableWRTECalcPts[PLAYER],0)),"")</f>
        <v>WR171</v>
      </c>
      <c r="AY250" s="122">
        <f>IFERROR(INDEX(TableWRTECalcPts[BYE],MATCH(TableWRTERank[[#This Row],[RK]],TableWRTECalcPts[RK],0)),"")</f>
        <v>13</v>
      </c>
      <c r="AZ250" s="123">
        <f>IFERROR(INDEX(TableWRTECalcPts[Custom],MATCH(TableWRTERank[[#This Row],[RK]],TableWRTECalcPts[RK],0)),"")</f>
        <v>11.151155399999997</v>
      </c>
      <c r="BA250" s="174">
        <f>IFERROR((TableWRTERank[[#This Row],[FPS]]-INDEX(TableWRTERank[FPS],MATCH(WRTEVORPCalc,TableWRTERank[RK],0)))/INDEX(TableWRTERank[FPS],MATCH(WRTEVORPCalc,TableWRTERank[RK],0)),"")</f>
        <v>-0.92530315639442173</v>
      </c>
      <c r="BC250" t="s">
        <v>10</v>
      </c>
      <c r="BD250">
        <v>49</v>
      </c>
      <c r="BE250" s="83">
        <f>RANK(TableWRTEMaster[[#This Row],[VORP]],TableWRTEMaster[VORP])+COUNTIF($BJ$2:BJ250,BJ250)-1</f>
        <v>173</v>
      </c>
      <c r="BF250" s="115" t="str">
        <f>IFERROR(INDEX(TableTEVORP[TIGHT END],MATCH(TableWRTEMaster[[#This Row],[RK]],TableTEVORP[RK],0)),"")</f>
        <v>Charlie Woerner</v>
      </c>
      <c r="BG250" s="115" t="str">
        <f>_xlfn.CONCAT(TableWRTEMaster[[#This Row],[POS]],TableWRTEMaster[[#This Row],[RK]])</f>
        <v>TE49</v>
      </c>
      <c r="BH250" s="115">
        <f>IFERROR(INDEX(TableTEVORP[BYE],MATCH(TableWRTEMaster[[#This Row],[RK]],TableTEVORP[RK],0)),"")</f>
        <v>11</v>
      </c>
      <c r="BI250" s="116">
        <f>IFERROR(INDEX(TableTEVORP[FPS],MATCH(TableWRTEMaster[[#This Row],[RK]],TableTEVORP[RK],0)),"")</f>
        <v>27.385607208959996</v>
      </c>
      <c r="BJ250" s="117">
        <f>IFERROR(INDEX(TableTEVORP[VORP],MATCH(TableWRTEMaster[[#This Row],[RK]],TableTEVORP[RK],0)),"")</f>
        <v>-0.79149481708702651</v>
      </c>
    </row>
    <row r="251" spans="32:62" x14ac:dyDescent="0.2">
      <c r="AF251" t="s">
        <v>223</v>
      </c>
      <c r="AG251">
        <v>110</v>
      </c>
      <c r="AH251" s="83">
        <f>RANK(TableOverallMaster[[#This Row],[VORP]],TableOverallMaster[VORP])+COUNTIF($AM$2:AM251,AM251)-1</f>
        <v>276</v>
      </c>
      <c r="AI251" s="115" t="str">
        <f>IFERROR(INDEX(TableWRVORP[WIDE RECEIVER],MATCH(TableOverallMaster[[#This Row],[RK]],TableWRVORP[RK],0)),"")</f>
        <v>Justin Watson</v>
      </c>
      <c r="AJ251" s="115" t="str">
        <f t="shared" si="3"/>
        <v>WR110</v>
      </c>
      <c r="AK251" s="115">
        <f>IFERROR(INDEX(TableWRVORP[BYE],MATCH(TableOverallMaster[[#This Row],[RK]],TableWRVORP[RK],0)),"")</f>
        <v>10</v>
      </c>
      <c r="AL251" s="116">
        <f>IFERROR(INDEX(TableWRVORP[FPS],MATCH(TableOverallMaster[[#This Row],[RK]],TableWRVORP[RK],0)),"")</f>
        <v>37.446326628479994</v>
      </c>
      <c r="AM251" s="117">
        <f>IFERROR(INDEX(TableWRVORP[VORP],MATCH(TableOverallMaster[[#This Row],[RK]],TableWRVORP[RK],0)),"")</f>
        <v>-0.74068120059802856</v>
      </c>
      <c r="AO251">
        <v>250</v>
      </c>
      <c r="AP251" s="118" t="str">
        <f>IFERROR(INDEX(TableOverallMaster[OVERALL PLAYER],MATCH(TableOverallRank[[#This Row],[RK]],TableOverallMaster[OVR RK],0)),"")</f>
        <v>Dameon Pierce</v>
      </c>
      <c r="AQ251" s="119" t="str">
        <f>IFERROR(INDEX(TableOverallMaster[POS RK],MATCH(TableOverallRank[[#This Row],[OVERALL PLAYER]],TableOverallMaster[OVERALL PLAYER],0)),"")</f>
        <v>RB79</v>
      </c>
      <c r="AR251" s="120">
        <f>IFERROR(INDEX(TableOverallMaster[BYE],MATCH(TableOverallRank[[#This Row],[OVERALL PLAYER]],TableOverallMaster[OVERALL PLAYER],0)),"")</f>
        <v>7</v>
      </c>
      <c r="AS251" s="119">
        <f>IFERROR(INDEX(TableOverallMaster[Custom],MATCH(TableOverallRank[[#This Row],[OVERALL PLAYER]],TableOverallMaster[OVERALL PLAYER],0)),"")</f>
        <v>45.497728859648007</v>
      </c>
      <c r="AT251" s="121">
        <f>IFERROR(INDEX(TableOverallMaster[VORP],MATCH(TableOverallRank[[#This Row],[OVERALL PLAYER]],TableOverallMaster[OVERALL PLAYER],0)),"")</f>
        <v>-0.59635819342443885</v>
      </c>
      <c r="AV251">
        <v>250</v>
      </c>
      <c r="AW251" s="122" t="str">
        <f>IFERROR(INDEX(TableWRTECalcPts[PLAYER],MATCH(TableWRTERank[[#This Row],[RK]],TableWRTECalcPts[RK],0)),"")</f>
        <v>Johnny Wilson</v>
      </c>
      <c r="AX251" s="122" t="str">
        <f>IFERROR(INDEX(TableWRTECalcPts[POS RK],MATCH(TableWRTERank[[#This Row],[WR and TE COMBINED]],TableWRTECalcPts[PLAYER],0)),"")</f>
        <v>WR172</v>
      </c>
      <c r="AY251" s="122">
        <f>IFERROR(INDEX(TableWRTECalcPts[BYE],MATCH(TableWRTERank[[#This Row],[RK]],TableWRTECalcPts[RK],0)),"")</f>
        <v>10</v>
      </c>
      <c r="AZ251" s="123">
        <f>IFERROR(INDEX(TableWRTECalcPts[Custom],MATCH(TableWRTERank[[#This Row],[RK]],TableWRTECalcPts[RK],0)),"")</f>
        <v>10.9824441780816</v>
      </c>
      <c r="BA251" s="174">
        <f>IFERROR((TableWRTERank[[#This Row],[FPS]]-INDEX(TableWRTERank[FPS],MATCH(WRTEVORPCalc,TableWRTERank[RK],0)))/INDEX(TableWRTERank[FPS],MATCH(WRTEVORPCalc,TableWRTERank[RK],0)),"")</f>
        <v>-0.92643328105918454</v>
      </c>
      <c r="BC251" t="s">
        <v>10</v>
      </c>
      <c r="BD251">
        <v>50</v>
      </c>
      <c r="BE251" s="83">
        <f>RANK(TableWRTEMaster[[#This Row],[VORP]],TableWRTEMaster[VORP])+COUNTIF($BJ$2:BJ251,BJ251)-1</f>
        <v>177</v>
      </c>
      <c r="BF251" s="115" t="str">
        <f>IFERROR(INDEX(TableTEVORP[TIGHT END],MATCH(TableWRTEMaster[[#This Row],[RK]],TableTEVORP[RK],0)),"")</f>
        <v>Pharoah Brown</v>
      </c>
      <c r="BG251" s="115" t="str">
        <f>_xlfn.CONCAT(TableWRTEMaster[[#This Row],[POS]],TableWRTEMaster[[#This Row],[RK]])</f>
        <v>TE50</v>
      </c>
      <c r="BH251" s="115">
        <f>IFERROR(INDEX(TableTEVORP[BYE],MATCH(TableWRTEMaster[[#This Row],[RK]],TableTEVORP[RK],0)),"")</f>
        <v>5</v>
      </c>
      <c r="BI251" s="116">
        <f>IFERROR(INDEX(TableTEVORP[FPS],MATCH(TableWRTEMaster[[#This Row],[RK]],TableTEVORP[RK],0)),"")</f>
        <v>26.411950109999999</v>
      </c>
      <c r="BJ251" s="117">
        <f>IFERROR(INDEX(TableTEVORP[VORP],MATCH(TableWRTEMaster[[#This Row],[RK]],TableTEVORP[RK],0)),"")</f>
        <v>-0.79890792828679391</v>
      </c>
    </row>
    <row r="252" spans="32:62" x14ac:dyDescent="0.2">
      <c r="AF252" t="s">
        <v>10</v>
      </c>
      <c r="AG252">
        <v>1</v>
      </c>
      <c r="AH252" s="83">
        <f>RANK(TableOverallMaster[[#This Row],[VORP]],TableOverallMaster[VORP])+COUNTIF($AM$2:AM252,AM252)-1</f>
        <v>43</v>
      </c>
      <c r="AI252" s="115" t="str">
        <f>IFERROR(INDEX(TableTEVORP[TIGHT END],MATCH(TableOverallMaster[[#This Row],[RK]],TableTEVORP[RK],0)),"")</f>
        <v>Travis Kelce</v>
      </c>
      <c r="AJ252" s="115" t="str">
        <f t="shared" si="3"/>
        <v>TE1</v>
      </c>
      <c r="AK252" s="115">
        <f>IFERROR(INDEX(TableTEVORP[BYE],MATCH(TableOverallMaster[[#This Row],[RK]],TableTEVORP[RK],0)),"")</f>
        <v>10</v>
      </c>
      <c r="AL252" s="116">
        <f>IFERROR(INDEX(TableTEVORP[FPS],MATCH(TableOverallMaster[[#This Row],[RK]],TableTEVORP[RK],0)),"")</f>
        <v>190.78049731103991</v>
      </c>
      <c r="AM252" s="117">
        <f>IFERROR(INDEX(TableTEVORP[VORP],MATCH(TableOverallMaster[[#This Row],[RK]],TableTEVORP[RK],0)),"")</f>
        <v>0.45254119014208488</v>
      </c>
      <c r="AO252">
        <v>251</v>
      </c>
      <c r="AP252" s="118" t="str">
        <f>IFERROR(INDEX(TableOverallMaster[OVERALL PLAYER],MATCH(TableOverallRank[[#This Row],[RK]],TableOverallMaster[OVR RK],0)),"")</f>
        <v>Greg Dulcich</v>
      </c>
      <c r="AQ252" s="119" t="str">
        <f>IFERROR(INDEX(TableOverallMaster[POS RK],MATCH(TableOverallRank[[#This Row],[OVERALL PLAYER]],TableOverallMaster[OVERALL PLAYER],0)),"")</f>
        <v>TE40</v>
      </c>
      <c r="AR252" s="120">
        <f>IFERROR(INDEX(TableOverallMaster[BYE],MATCH(TableOverallRank[[#This Row],[OVERALL PLAYER]],TableOverallMaster[OVERALL PLAYER],0)),"")</f>
        <v>9</v>
      </c>
      <c r="AS252" s="119">
        <f>IFERROR(INDEX(TableOverallMaster[Custom],MATCH(TableOverallRank[[#This Row],[OVERALL PLAYER]],TableOverallMaster[OVERALL PLAYER],0)),"")</f>
        <v>52.664460695448014</v>
      </c>
      <c r="AT252" s="121">
        <f>IFERROR(INDEX(TableOverallMaster[VORP],MATCH(TableOverallRank[[#This Row],[OVERALL PLAYER]],TableOverallMaster[OVERALL PLAYER],0)),"")</f>
        <v>-0.59902977770290966</v>
      </c>
      <c r="AV252">
        <v>251</v>
      </c>
      <c r="AW252" s="122" t="str">
        <f>IFERROR(INDEX(TableWRTECalcPts[PLAYER],MATCH(TableWRTERank[[#This Row],[RK]],TableWRTECalcPts[RK],0)),"")</f>
        <v>Dyami Brown</v>
      </c>
      <c r="AX252" s="122" t="str">
        <f>IFERROR(INDEX(TableWRTECalcPts[POS RK],MATCH(TableWRTERank[[#This Row],[WR and TE COMBINED]],TableWRTECalcPts[PLAYER],0)),"")</f>
        <v>WR173</v>
      </c>
      <c r="AY252" s="122">
        <f>IFERROR(INDEX(TableWRTECalcPts[BYE],MATCH(TableWRTERank[[#This Row],[RK]],TableWRTECalcPts[RK],0)),"")</f>
        <v>14</v>
      </c>
      <c r="AZ252" s="123">
        <f>IFERROR(INDEX(TableWRTECalcPts[Custom],MATCH(TableWRTERank[[#This Row],[RK]],TableWRTECalcPts[RK],0)),"")</f>
        <v>10.908131822153999</v>
      </c>
      <c r="BA252" s="174">
        <f>IFERROR((TableWRTERank[[#This Row],[FPS]]-INDEX(TableWRTERank[FPS],MATCH(WRTEVORPCalc,TableWRTERank[RK],0)))/INDEX(TableWRTERank[FPS],MATCH(WRTEVORPCalc,TableWRTERank[RK],0)),"")</f>
        <v>-0.92693106790095769</v>
      </c>
      <c r="BC252" t="s">
        <v>10</v>
      </c>
      <c r="BD252">
        <v>51</v>
      </c>
      <c r="BE252" s="83">
        <f>RANK(TableWRTEMaster[[#This Row],[VORP]],TableWRTEMaster[VORP])+COUNTIF($BJ$2:BJ252,BJ252)-1</f>
        <v>179</v>
      </c>
      <c r="BF252" s="115" t="str">
        <f>IFERROR(INDEX(TableTEVORP[TIGHT END],MATCH(TableWRTEMaster[[#This Row],[RK]],TableTEVORP[RK],0)),"")</f>
        <v>Chris Manhertz</v>
      </c>
      <c r="BG252" s="115" t="str">
        <f>_xlfn.CONCAT(TableWRTEMaster[[#This Row],[POS]],TableWRTEMaster[[#This Row],[RK]])</f>
        <v>TE51</v>
      </c>
      <c r="BH252" s="115">
        <f>IFERROR(INDEX(TableTEVORP[BYE],MATCH(TableWRTEMaster[[#This Row],[RK]],TableTEVORP[RK],0)),"")</f>
        <v>13</v>
      </c>
      <c r="BI252" s="116">
        <f>IFERROR(INDEX(TableTEVORP[FPS],MATCH(TableWRTEMaster[[#This Row],[RK]],TableTEVORP[RK],0)),"")</f>
        <v>26.011431263999992</v>
      </c>
      <c r="BJ252" s="117">
        <f>IFERROR(INDEX(TableTEVORP[VORP],MATCH(TableWRTEMaster[[#This Row],[RK]],TableTEVORP[RK],0)),"")</f>
        <v>-0.80195734963458865</v>
      </c>
    </row>
    <row r="253" spans="32:62" x14ac:dyDescent="0.2">
      <c r="AF253" t="s">
        <v>10</v>
      </c>
      <c r="AG253">
        <v>2</v>
      </c>
      <c r="AH253" s="83">
        <f>RANK(TableOverallMaster[[#This Row],[VORP]],TableOverallMaster[VORP])+COUNTIF($AM$2:AM253,AM253)-1</f>
        <v>50</v>
      </c>
      <c r="AI253" s="115" t="str">
        <f>IFERROR(INDEX(TableTEVORP[TIGHT END],MATCH(TableOverallMaster[[#This Row],[RK]],TableTEVORP[RK],0)),"")</f>
        <v>Sam LaPorta</v>
      </c>
      <c r="AJ253" s="115" t="str">
        <f t="shared" si="3"/>
        <v>TE2</v>
      </c>
      <c r="AK253" s="115">
        <f>IFERROR(INDEX(TableTEVORP[BYE],MATCH(TableOverallMaster[[#This Row],[RK]],TableTEVORP[RK],0)),"")</f>
        <v>9</v>
      </c>
      <c r="AL253" s="116">
        <f>IFERROR(INDEX(TableTEVORP[FPS],MATCH(TableOverallMaster[[#This Row],[RK]],TableTEVORP[RK],0)),"")</f>
        <v>183.65560471586994</v>
      </c>
      <c r="AM253" s="117">
        <f>IFERROR(INDEX(TableTEVORP[VORP],MATCH(TableOverallMaster[[#This Row],[RK]],TableTEVORP[RK],0)),"")</f>
        <v>0.39829455531467983</v>
      </c>
      <c r="AO253">
        <v>252</v>
      </c>
      <c r="AP253" s="118" t="str">
        <f>IFERROR(INDEX(TableOverallMaster[OVERALL PLAYER],MATCH(TableOverallRank[[#This Row],[RK]],TableOverallMaster[OVR RK],0)),"")</f>
        <v>Odell Beckham</v>
      </c>
      <c r="AQ253" s="119" t="str">
        <f>IFERROR(INDEX(TableOverallMaster[POS RK],MATCH(TableOverallRank[[#This Row],[OVERALL PLAYER]],TableOverallMaster[OVERALL PLAYER],0)),"")</f>
        <v>WR99</v>
      </c>
      <c r="AR253" s="120">
        <f>IFERROR(INDEX(TableOverallMaster[BYE],MATCH(TableOverallRank[[#This Row],[OVERALL PLAYER]],TableOverallMaster[OVERALL PLAYER],0)),"")</f>
        <v>10</v>
      </c>
      <c r="AS253" s="119">
        <f>IFERROR(INDEX(TableOverallMaster[Custom],MATCH(TableOverallRank[[#This Row],[OVERALL PLAYER]],TableOverallMaster[OVERALL PLAYER],0)),"")</f>
        <v>57.496219514294395</v>
      </c>
      <c r="AT253" s="121">
        <f>IFERROR(INDEX(TableOverallMaster[VORP],MATCH(TableOverallRank[[#This Row],[OVERALL PLAYER]],TableOverallMaster[OVERALL PLAYER],0)),"")</f>
        <v>-0.60183409276627786</v>
      </c>
      <c r="AV253">
        <v>252</v>
      </c>
      <c r="AW253" s="122" t="str">
        <f>IFERROR(INDEX(TableWRTECalcPts[PLAYER],MATCH(TableWRTERank[[#This Row],[RK]],TableWRTECalcPts[RK],0)),"")</f>
        <v>Julian Hill</v>
      </c>
      <c r="AX253" s="122" t="str">
        <f>IFERROR(INDEX(TableWRTECalcPts[POS RK],MATCH(TableWRTERank[[#This Row],[WR and TE COMBINED]],TableWRTECalcPts[PLAYER],0)),"")</f>
        <v>TE79</v>
      </c>
      <c r="AY253" s="122">
        <f>IFERROR(INDEX(TableWRTECalcPts[BYE],MATCH(TableWRTERank[[#This Row],[RK]],TableWRTECalcPts[RK],0)),"")</f>
        <v>10</v>
      </c>
      <c r="AZ253" s="123">
        <f>IFERROR(INDEX(TableWRTECalcPts[Custom],MATCH(TableWRTERank[[#This Row],[RK]],TableWRTECalcPts[RK],0)),"")</f>
        <v>10.617792785711998</v>
      </c>
      <c r="BA253" s="174">
        <f>IFERROR((TableWRTERank[[#This Row],[FPS]]-INDEX(TableWRTERank[FPS],MATCH(WRTEVORPCalc,TableWRTERank[RK],0)))/INDEX(TableWRTERank[FPS],MATCH(WRTEVORPCalc,TableWRTERank[RK],0)),"")</f>
        <v>-0.92887592552510145</v>
      </c>
      <c r="BC253" t="s">
        <v>10</v>
      </c>
      <c r="BD253">
        <v>52</v>
      </c>
      <c r="BE253" s="83">
        <f>RANK(TableWRTEMaster[[#This Row],[VORP]],TableWRTEMaster[VORP])+COUNTIF($BJ$2:BJ253,BJ253)-1</f>
        <v>180</v>
      </c>
      <c r="BF253" s="115" t="str">
        <f>IFERROR(INDEX(TableTEVORP[TIGHT END],MATCH(TableWRTEMaster[[#This Row],[RK]],TableTEVORP[RK],0)),"")</f>
        <v>Harrison Bryant</v>
      </c>
      <c r="BG253" s="115" t="str">
        <f>_xlfn.CONCAT(TableWRTEMaster[[#This Row],[POS]],TableWRTEMaster[[#This Row],[RK]])</f>
        <v>TE52</v>
      </c>
      <c r="BH253" s="115">
        <f>IFERROR(INDEX(TableTEVORP[BYE],MATCH(TableWRTEMaster[[#This Row],[RK]],TableTEVORP[RK],0)),"")</f>
        <v>13</v>
      </c>
      <c r="BI253" s="116">
        <f>IFERROR(INDEX(TableTEVORP[FPS],MATCH(TableWRTEMaster[[#This Row],[RK]],TableTEVORP[RK],0)),"")</f>
        <v>25.738369796999997</v>
      </c>
      <c r="BJ253" s="117">
        <f>IFERROR(INDEX(TableTEVORP[VORP],MATCH(TableWRTEMaster[[#This Row],[RK]],TableTEVORP[RK],0)),"")</f>
        <v>-0.80403635159678333</v>
      </c>
    </row>
    <row r="254" spans="32:62" x14ac:dyDescent="0.2">
      <c r="AF254" t="s">
        <v>10</v>
      </c>
      <c r="AG254">
        <v>3</v>
      </c>
      <c r="AH254" s="83">
        <f>RANK(TableOverallMaster[[#This Row],[VORP]],TableOverallMaster[VORP])+COUNTIF($AM$2:AM254,AM254)-1</f>
        <v>55</v>
      </c>
      <c r="AI254" s="115" t="str">
        <f>IFERROR(INDEX(TableTEVORP[TIGHT END],MATCH(TableOverallMaster[[#This Row],[RK]],TableTEVORP[RK],0)),"")</f>
        <v>Mark Andrews</v>
      </c>
      <c r="AJ254" s="115" t="str">
        <f t="shared" si="3"/>
        <v>TE3</v>
      </c>
      <c r="AK254" s="115">
        <f>IFERROR(INDEX(TableTEVORP[BYE],MATCH(TableOverallMaster[[#This Row],[RK]],TableTEVORP[RK],0)),"")</f>
        <v>13</v>
      </c>
      <c r="AL254" s="116">
        <f>IFERROR(INDEX(TableTEVORP[FPS],MATCH(TableOverallMaster[[#This Row],[RK]],TableTEVORP[RK],0)),"")</f>
        <v>181.76200187228162</v>
      </c>
      <c r="AM254" s="117">
        <f>IFERROR(INDEX(TableTEVORP[VORP],MATCH(TableOverallMaster[[#This Row],[RK]],TableTEVORP[RK],0)),"")</f>
        <v>0.383877273848022</v>
      </c>
      <c r="AO254">
        <v>253</v>
      </c>
      <c r="AP254" s="118" t="str">
        <f>IFERROR(INDEX(TableOverallMaster[OVERALL PLAYER],MATCH(TableOverallRank[[#This Row],[RK]],TableOverallMaster[OVR RK],0)),"")</f>
        <v>DeVante Parker</v>
      </c>
      <c r="AQ254" s="119" t="str">
        <f>IFERROR(INDEX(TableOverallMaster[POS RK],MATCH(TableOverallRank[[#This Row],[OVERALL PLAYER]],TableOverallMaster[OVERALL PLAYER],0)),"")</f>
        <v>WR100</v>
      </c>
      <c r="AR254" s="120">
        <f>IFERROR(INDEX(TableOverallMaster[BYE],MATCH(TableOverallRank[[#This Row],[OVERALL PLAYER]],TableOverallMaster[OVERALL PLAYER],0)),"")</f>
        <v>10</v>
      </c>
      <c r="AS254" s="119">
        <f>IFERROR(INDEX(TableOverallMaster[Custom],MATCH(TableOverallRank[[#This Row],[OVERALL PLAYER]],TableOverallMaster[OVERALL PLAYER],0)),"")</f>
        <v>56.040648476400008</v>
      </c>
      <c r="AT254" s="121">
        <f>IFERROR(INDEX(TableOverallMaster[VORP],MATCH(TableOverallRank[[#This Row],[OVERALL PLAYER]],TableOverallMaster[OVERALL PLAYER],0)),"")</f>
        <v>-0.61191403833039038</v>
      </c>
      <c r="AV254">
        <v>253</v>
      </c>
      <c r="AW254" s="122" t="str">
        <f>IFERROR(INDEX(TableWRTECalcPts[PLAYER],MATCH(TableWRTERank[[#This Row],[RK]],TableWRTECalcPts[RK],0)),"")</f>
        <v>Andy Isabella</v>
      </c>
      <c r="AX254" s="122" t="str">
        <f>IFERROR(INDEX(TableWRTECalcPts[POS RK],MATCH(TableWRTERank[[#This Row],[WR and TE COMBINED]],TableWRTECalcPts[PLAYER],0)),"")</f>
        <v>WR174</v>
      </c>
      <c r="AY254" s="122">
        <f>IFERROR(INDEX(TableWRTECalcPts[BYE],MATCH(TableWRTERank[[#This Row],[RK]],TableWRTECalcPts[RK],0)),"")</f>
        <v>13</v>
      </c>
      <c r="AZ254" s="123">
        <f>IFERROR(INDEX(TableWRTECalcPts[Custom],MATCH(TableWRTERank[[#This Row],[RK]],TableWRTECalcPts[RK],0)),"")</f>
        <v>10.255012024319997</v>
      </c>
      <c r="BA254" s="174">
        <f>IFERROR((TableWRTERank[[#This Row],[FPS]]-INDEX(TableWRTERank[FPS],MATCH(WRTEVORPCalc,TableWRTERank[RK],0)))/INDEX(TableWRTERank[FPS],MATCH(WRTEVORPCalc,TableWRTERank[RK],0)),"")</f>
        <v>-0.93130603943032164</v>
      </c>
      <c r="BC254" t="s">
        <v>10</v>
      </c>
      <c r="BD254">
        <v>53</v>
      </c>
      <c r="BE254" s="83">
        <f>RANK(TableWRTEMaster[[#This Row],[VORP]],TableWRTEMaster[VORP])+COUNTIF($BJ$2:BJ254,BJ254)-1</f>
        <v>182</v>
      </c>
      <c r="BF254" s="115" t="str">
        <f>IFERROR(INDEX(TableTEVORP[TIGHT END],MATCH(TableWRTEMaster[[#This Row],[RK]],TableTEVORP[RK],0)),"")</f>
        <v>Irv Smith</v>
      </c>
      <c r="BG254" s="115" t="str">
        <f>_xlfn.CONCAT(TableWRTEMaster[[#This Row],[POS]],TableWRTEMaster[[#This Row],[RK]])</f>
        <v>TE53</v>
      </c>
      <c r="BH254" s="115">
        <f>IFERROR(INDEX(TableTEVORP[BYE],MATCH(TableWRTEMaster[[#This Row],[RK]],TableTEVORP[RK],0)),"")</f>
        <v>10</v>
      </c>
      <c r="BI254" s="116">
        <f>IFERROR(INDEX(TableTEVORP[FPS],MATCH(TableWRTEMaster[[#This Row],[RK]],TableTEVORP[RK],0)),"")</f>
        <v>25.696037848319992</v>
      </c>
      <c r="BJ254" s="117">
        <f>IFERROR(INDEX(TableTEVORP[VORP],MATCH(TableWRTEMaster[[#This Row],[RK]],TableTEVORP[RK],0)),"")</f>
        <v>-0.8043586534042706</v>
      </c>
    </row>
    <row r="255" spans="32:62" x14ac:dyDescent="0.2">
      <c r="AF255" t="s">
        <v>10</v>
      </c>
      <c r="AG255">
        <v>4</v>
      </c>
      <c r="AH255" s="83">
        <f>RANK(TableOverallMaster[[#This Row],[VORP]],TableOverallMaster[VORP])+COUNTIF($AM$2:AM255,AM255)-1</f>
        <v>71</v>
      </c>
      <c r="AI255" s="115" t="str">
        <f>IFERROR(INDEX(TableTEVORP[TIGHT END],MATCH(TableOverallMaster[[#This Row],[RK]],TableTEVORP[RK],0)),"")</f>
        <v>Trey McBride</v>
      </c>
      <c r="AJ255" s="115" t="str">
        <f t="shared" si="3"/>
        <v>TE4</v>
      </c>
      <c r="AK255" s="115">
        <f>IFERROR(INDEX(TableTEVORP[BYE],MATCH(TableOverallMaster[[#This Row],[RK]],TableTEVORP[RK],0)),"")</f>
        <v>14</v>
      </c>
      <c r="AL255" s="116">
        <f>IFERROR(INDEX(TableTEVORP[FPS],MATCH(TableOverallMaster[[#This Row],[RK]],TableTEVORP[RK],0)),"")</f>
        <v>168.4093531322475</v>
      </c>
      <c r="AM255" s="117">
        <f>IFERROR(INDEX(TableTEVORP[VORP],MATCH(TableOverallMaster[[#This Row],[RK]],TableTEVORP[RK],0)),"")</f>
        <v>0.2822145118478937</v>
      </c>
      <c r="AO255">
        <v>254</v>
      </c>
      <c r="AP255" s="118" t="str">
        <f>IFERROR(INDEX(TableOverallMaster[OVERALL PLAYER],MATCH(TableOverallRank[[#This Row],[RK]],TableOverallMaster[OVR RK],0)),"")</f>
        <v>Jase McClellan</v>
      </c>
      <c r="AQ255" s="119" t="str">
        <f>IFERROR(INDEX(TableOverallMaster[POS RK],MATCH(TableOverallRank[[#This Row],[OVERALL PLAYER]],TableOverallMaster[OVERALL PLAYER],0)),"")</f>
        <v>RB80</v>
      </c>
      <c r="AR255" s="120">
        <f>IFERROR(INDEX(TableOverallMaster[BYE],MATCH(TableOverallRank[[#This Row],[OVERALL PLAYER]],TableOverallMaster[OVERALL PLAYER],0)),"")</f>
        <v>11</v>
      </c>
      <c r="AS255" s="119">
        <f>IFERROR(INDEX(TableOverallMaster[Custom],MATCH(TableOverallRank[[#This Row],[OVERALL PLAYER]],TableOverallMaster[OVERALL PLAYER],0)),"")</f>
        <v>42.690711185337598</v>
      </c>
      <c r="AT255" s="121">
        <f>IFERROR(INDEX(TableOverallMaster[VORP],MATCH(TableOverallRank[[#This Row],[OVERALL PLAYER]],TableOverallMaster[OVERALL PLAYER],0)),"")</f>
        <v>-0.62126118778363804</v>
      </c>
      <c r="AV255">
        <v>254</v>
      </c>
      <c r="AW255" s="122" t="str">
        <f>IFERROR(INDEX(TableWRTECalcPts[PLAYER],MATCH(TableWRTERank[[#This Row],[RK]],TableWRTECalcPts[RK],0)),"")</f>
        <v>Justin Shorter</v>
      </c>
      <c r="AX255" s="122" t="str">
        <f>IFERROR(INDEX(TableWRTECalcPts[POS RK],MATCH(TableWRTERank[[#This Row],[WR and TE COMBINED]],TableWRTECalcPts[PLAYER],0)),"")</f>
        <v>WR175</v>
      </c>
      <c r="AY255" s="122">
        <f>IFERROR(INDEX(TableWRTECalcPts[BYE],MATCH(TableWRTERank[[#This Row],[RK]],TableWRTECalcPts[RK],0)),"")</f>
        <v>13</v>
      </c>
      <c r="AZ255" s="123">
        <f>IFERROR(INDEX(TableWRTECalcPts[Custom],MATCH(TableWRTERank[[#This Row],[RK]],TableWRTECalcPts[RK],0)),"")</f>
        <v>10.112884991999998</v>
      </c>
      <c r="BA255" s="174">
        <f>IFERROR((TableWRTERank[[#This Row],[FPS]]-INDEX(TableWRTERank[FPS],MATCH(WRTEVORPCalc,TableWRTERank[RK],0)))/INDEX(TableWRTERank[FPS],MATCH(WRTEVORPCalc,TableWRTERank[RK],0)),"")</f>
        <v>-0.9322580879243576</v>
      </c>
      <c r="BC255" t="s">
        <v>10</v>
      </c>
      <c r="BD255">
        <v>54</v>
      </c>
      <c r="BE255" s="83">
        <f>RANK(TableWRTEMaster[[#This Row],[VORP]],TableWRTEMaster[VORP])+COUNTIF($BJ$2:BJ255,BJ255)-1</f>
        <v>186</v>
      </c>
      <c r="BF255" s="115" t="str">
        <f>IFERROR(INDEX(TableTEVORP[TIGHT END],MATCH(TableWRTEMaster[[#This Row],[RK]],TableTEVORP[RK],0)),"")</f>
        <v>Hayden Hurst</v>
      </c>
      <c r="BG255" s="115" t="str">
        <f>_xlfn.CONCAT(TableWRTEMaster[[#This Row],[POS]],TableWRTEMaster[[#This Row],[RK]])</f>
        <v>TE54</v>
      </c>
      <c r="BH255" s="115">
        <f>IFERROR(INDEX(TableTEVORP[BYE],MATCH(TableWRTEMaster[[#This Row],[RK]],TableTEVORP[RK],0)),"")</f>
        <v>5</v>
      </c>
      <c r="BI255" s="116">
        <f>IFERROR(INDEX(TableTEVORP[FPS],MATCH(TableWRTEMaster[[#This Row],[RK]],TableTEVORP[RK],0)),"")</f>
        <v>25.211992245510004</v>
      </c>
      <c r="BJ255" s="117">
        <f>IFERROR(INDEX(TableTEVORP[VORP],MATCH(TableWRTEMaster[[#This Row],[RK]],TableTEVORP[RK],0)),"")</f>
        <v>-0.80804402054555846</v>
      </c>
    </row>
    <row r="256" spans="32:62" x14ac:dyDescent="0.2">
      <c r="AF256" t="s">
        <v>10</v>
      </c>
      <c r="AG256">
        <v>5</v>
      </c>
      <c r="AH256" s="83">
        <f>RANK(TableOverallMaster[[#This Row],[VORP]],TableOverallMaster[VORP])+COUNTIF($AM$2:AM256,AM256)-1</f>
        <v>84</v>
      </c>
      <c r="AI256" s="115" t="str">
        <f>IFERROR(INDEX(TableTEVORP[TIGHT END],MATCH(TableOverallMaster[[#This Row],[RK]],TableTEVORP[RK],0)),"")</f>
        <v>Kyle Pitts</v>
      </c>
      <c r="AJ256" s="115" t="str">
        <f t="shared" si="3"/>
        <v>TE5</v>
      </c>
      <c r="AK256" s="115">
        <f>IFERROR(INDEX(TableTEVORP[BYE],MATCH(TableOverallMaster[[#This Row],[RK]],TableTEVORP[RK],0)),"")</f>
        <v>11</v>
      </c>
      <c r="AL256" s="116">
        <f>IFERROR(INDEX(TableTEVORP[FPS],MATCH(TableOverallMaster[[#This Row],[RK]],TableTEVORP[RK],0)),"")</f>
        <v>161.83872421516796</v>
      </c>
      <c r="AM256" s="117">
        <f>IFERROR(INDEX(TableTEVORP[VORP],MATCH(TableOverallMaster[[#This Row],[RK]],TableTEVORP[RK],0)),"")</f>
        <v>0.23218786194543312</v>
      </c>
      <c r="AO256">
        <v>255</v>
      </c>
      <c r="AP256" s="118" t="str">
        <f>IFERROR(INDEX(TableOverallMaster[OVERALL PLAYER],MATCH(TableOverallRank[[#This Row],[RK]],TableOverallMaster[OVR RK],0)),"")</f>
        <v>Kadarius Toney</v>
      </c>
      <c r="AQ256" s="119" t="str">
        <f>IFERROR(INDEX(TableOverallMaster[POS RK],MATCH(TableOverallRank[[#This Row],[OVERALL PLAYER]],TableOverallMaster[OVERALL PLAYER],0)),"")</f>
        <v>WR101</v>
      </c>
      <c r="AR256" s="120">
        <f>IFERROR(INDEX(TableOverallMaster[BYE],MATCH(TableOverallRank[[#This Row],[OVERALL PLAYER]],TableOverallMaster[OVERALL PLAYER],0)),"")</f>
        <v>10</v>
      </c>
      <c r="AS256" s="119">
        <f>IFERROR(INDEX(TableOverallMaster[Custom],MATCH(TableOverallRank[[#This Row],[OVERALL PLAYER]],TableOverallMaster[OVERALL PLAYER],0)),"")</f>
        <v>54.303811994879979</v>
      </c>
      <c r="AT256" s="121">
        <f>IFERROR(INDEX(TableOverallMaster[VORP],MATCH(TableOverallRank[[#This Row],[OVERALL PLAYER]],TableOverallMaster[OVERALL PLAYER],0)),"")</f>
        <v>-0.62394176953120639</v>
      </c>
      <c r="AV256">
        <v>255</v>
      </c>
      <c r="AW256" s="122" t="str">
        <f>IFERROR(INDEX(TableWRTECalcPts[PLAYER],MATCH(TableWRTERank[[#This Row],[RK]],TableWRTECalcPts[RK],0)),"")</f>
        <v>Ainias Smith</v>
      </c>
      <c r="AX256" s="122" t="str">
        <f>IFERROR(INDEX(TableWRTECalcPts[POS RK],MATCH(TableWRTERank[[#This Row],[WR and TE COMBINED]],TableWRTECalcPts[PLAYER],0)),"")</f>
        <v>WR176</v>
      </c>
      <c r="AY256" s="122">
        <f>IFERROR(INDEX(TableWRTECalcPts[BYE],MATCH(TableWRTERank[[#This Row],[RK]],TableWRTECalcPts[RK],0)),"")</f>
        <v>10</v>
      </c>
      <c r="AZ256" s="123">
        <f>IFERROR(INDEX(TableWRTECalcPts[Custom],MATCH(TableWRTERank[[#This Row],[RK]],TableWRTECalcPts[RK],0)),"")</f>
        <v>9.9783691363440035</v>
      </c>
      <c r="BA256" s="174">
        <f>IFERROR((TableWRTERank[[#This Row],[FPS]]-INDEX(TableWRTERank[FPS],MATCH(WRTEVORPCalc,TableWRTERank[RK],0)))/INDEX(TableWRTERank[FPS],MATCH(WRTEVORPCalc,TableWRTERank[RK],0)),"")</f>
        <v>-0.9331591523855709</v>
      </c>
      <c r="BC256" t="s">
        <v>10</v>
      </c>
      <c r="BD256">
        <v>55</v>
      </c>
      <c r="BE256" s="83">
        <f>RANK(TableWRTEMaster[[#This Row],[VORP]],TableWRTEMaster[VORP])+COUNTIF($BJ$2:BJ256,BJ256)-1</f>
        <v>188</v>
      </c>
      <c r="BF256" s="115" t="str">
        <f>IFERROR(INDEX(TableTEVORP[TIGHT END],MATCH(TableWRTEMaster[[#This Row],[RK]],TableTEVORP[RK],0)),"")</f>
        <v>Cade Stover</v>
      </c>
      <c r="BG256" s="115" t="str">
        <f>_xlfn.CONCAT(TableWRTEMaster[[#This Row],[POS]],TableWRTEMaster[[#This Row],[RK]])</f>
        <v>TE55</v>
      </c>
      <c r="BH256" s="115">
        <f>IFERROR(INDEX(TableTEVORP[BYE],MATCH(TableWRTEMaster[[#This Row],[RK]],TableTEVORP[RK],0)),"")</f>
        <v>7</v>
      </c>
      <c r="BI256" s="116">
        <f>IFERROR(INDEX(TableTEVORP[FPS],MATCH(TableWRTEMaster[[#This Row],[RK]],TableTEVORP[RK],0)),"")</f>
        <v>23.553999006720002</v>
      </c>
      <c r="BJ256" s="117">
        <f>IFERROR(INDEX(TableTEVORP[VORP],MATCH(TableWRTEMaster[[#This Row],[RK]],TableTEVORP[RK],0)),"")</f>
        <v>-0.82066744645262679</v>
      </c>
    </row>
    <row r="257" spans="32:62" x14ac:dyDescent="0.2">
      <c r="AF257" t="s">
        <v>10</v>
      </c>
      <c r="AG257">
        <v>6</v>
      </c>
      <c r="AH257" s="83">
        <f>RANK(TableOverallMaster[[#This Row],[VORP]],TableOverallMaster[VORP])+COUNTIF($AM$2:AM257,AM257)-1</f>
        <v>95</v>
      </c>
      <c r="AI257" s="115" t="str">
        <f>IFERROR(INDEX(TableTEVORP[TIGHT END],MATCH(TableOverallMaster[[#This Row],[RK]],TableTEVORP[RK],0)),"")</f>
        <v>Dalton Kincaid</v>
      </c>
      <c r="AJ257" s="115" t="str">
        <f t="shared" si="3"/>
        <v>TE6</v>
      </c>
      <c r="AK257" s="115">
        <f>IFERROR(INDEX(TableTEVORP[BYE],MATCH(TableOverallMaster[[#This Row],[RK]],TableTEVORP[RK],0)),"")</f>
        <v>13</v>
      </c>
      <c r="AL257" s="116">
        <f>IFERROR(INDEX(TableTEVORP[FPS],MATCH(TableOverallMaster[[#This Row],[RK]],TableTEVORP[RK],0)),"")</f>
        <v>155.12491385395197</v>
      </c>
      <c r="AM257" s="117">
        <f>IFERROR(INDEX(TableTEVORP[VORP],MATCH(TableOverallMaster[[#This Row],[RK]],TableTEVORP[RK],0)),"")</f>
        <v>0.18107107469558348</v>
      </c>
      <c r="AO257">
        <v>256</v>
      </c>
      <c r="AP257" s="118" t="str">
        <f>IFERROR(INDEX(TableOverallMaster[OVERALL PLAYER],MATCH(TableOverallRank[[#This Row],[RK]],TableOverallMaster[OVR RK],0)),"")</f>
        <v>Ben Sinnott</v>
      </c>
      <c r="AQ257" s="119" t="str">
        <f>IFERROR(INDEX(TableOverallMaster[POS RK],MATCH(TableOverallRank[[#This Row],[OVERALL PLAYER]],TableOverallMaster[OVERALL PLAYER],0)),"")</f>
        <v>TE41</v>
      </c>
      <c r="AR257" s="120">
        <f>IFERROR(INDEX(TableOverallMaster[BYE],MATCH(TableOverallRank[[#This Row],[OVERALL PLAYER]],TableOverallMaster[OVERALL PLAYER],0)),"")</f>
        <v>14</v>
      </c>
      <c r="AS257" s="119">
        <f>IFERROR(INDEX(TableOverallMaster[Custom],MATCH(TableOverallRank[[#This Row],[OVERALL PLAYER]],TableOverallMaster[OVERALL PLAYER],0)),"")</f>
        <v>48.575699465383998</v>
      </c>
      <c r="AT257" s="121">
        <f>IFERROR(INDEX(TableOverallMaster[VORP],MATCH(TableOverallRank[[#This Row],[OVERALL PLAYER]],TableOverallMaster[OVERALL PLAYER],0)),"")</f>
        <v>-0.6301602873044293</v>
      </c>
      <c r="AV257">
        <v>256</v>
      </c>
      <c r="AW257" s="122" t="str">
        <f>IFERROR(INDEX(TableWRTECalcPts[PLAYER],MATCH(TableWRTERank[[#This Row],[RK]],TableWRTECalcPts[RK],0)),"")</f>
        <v>Jha'Quan Jackson</v>
      </c>
      <c r="AX257" s="122" t="str">
        <f>IFERROR(INDEX(TableWRTECalcPts[POS RK],MATCH(TableWRTERank[[#This Row],[WR and TE COMBINED]],TableWRTECalcPts[PLAYER],0)),"")</f>
        <v>WR177</v>
      </c>
      <c r="AY257" s="122">
        <f>IFERROR(INDEX(TableWRTECalcPts[BYE],MATCH(TableWRTERank[[#This Row],[RK]],TableWRTECalcPts[RK],0)),"")</f>
        <v>7</v>
      </c>
      <c r="AZ257" s="123">
        <f>IFERROR(INDEX(TableWRTECalcPts[Custom],MATCH(TableWRTERank[[#This Row],[RK]],TableWRTECalcPts[RK],0)),"")</f>
        <v>9.8307059800949972</v>
      </c>
      <c r="BA257" s="174">
        <f>IFERROR((TableWRTERank[[#This Row],[FPS]]-INDEX(TableWRTERank[FPS],MATCH(WRTEVORPCalc,TableWRTERank[RK],0)))/INDEX(TableWRTERank[FPS],MATCH(WRTEVORPCalc,TableWRTERank[RK],0)),"")</f>
        <v>-0.93414828501739122</v>
      </c>
      <c r="BC257" t="s">
        <v>10</v>
      </c>
      <c r="BD257">
        <v>56</v>
      </c>
      <c r="BE257" s="83">
        <f>RANK(TableWRTEMaster[[#This Row],[VORP]],TableWRTEMaster[VORP])+COUNTIF($BJ$2:BJ257,BJ257)-1</f>
        <v>191</v>
      </c>
      <c r="BF257" s="115" t="str">
        <f>IFERROR(INDEX(TableTEVORP[TIGHT END],MATCH(TableWRTEMaster[[#This Row],[RK]],TableTEVORP[RK],0)),"")</f>
        <v>Peyton Hendershot</v>
      </c>
      <c r="BG257" s="115" t="str">
        <f>_xlfn.CONCAT(TableWRTEMaster[[#This Row],[POS]],TableWRTEMaster[[#This Row],[RK]])</f>
        <v>TE56</v>
      </c>
      <c r="BH257" s="115">
        <f>IFERROR(INDEX(TableTEVORP[BYE],MATCH(TableWRTEMaster[[#This Row],[RK]],TableTEVORP[RK],0)),"")</f>
        <v>7</v>
      </c>
      <c r="BI257" s="116">
        <f>IFERROR(INDEX(TableTEVORP[FPS],MATCH(TableWRTEMaster[[#This Row],[RK]],TableTEVORP[RK],0)),"")</f>
        <v>23.209625030608795</v>
      </c>
      <c r="BJ257" s="117">
        <f>IFERROR(INDEX(TableTEVORP[VORP],MATCH(TableWRTEMaster[[#This Row],[RK]],TableTEVORP[RK],0)),"")</f>
        <v>-0.82328939886476993</v>
      </c>
    </row>
    <row r="258" spans="32:62" x14ac:dyDescent="0.2">
      <c r="AF258" t="s">
        <v>10</v>
      </c>
      <c r="AG258">
        <v>7</v>
      </c>
      <c r="AH258" s="83">
        <f>RANK(TableOverallMaster[[#This Row],[VORP]],TableOverallMaster[VORP])+COUNTIF($AM$2:AM258,AM258)-1</f>
        <v>96</v>
      </c>
      <c r="AI258" s="115" t="str">
        <f>IFERROR(INDEX(TableTEVORP[TIGHT END],MATCH(TableOverallMaster[[#This Row],[RK]],TableTEVORP[RK],0)),"")</f>
        <v>George Kittle</v>
      </c>
      <c r="AJ258" s="115" t="str">
        <f t="shared" ref="AJ258:AJ301" si="4">CONCATENATE(AF258,AG258)</f>
        <v>TE7</v>
      </c>
      <c r="AK258" s="115">
        <f>IFERROR(INDEX(TableTEVORP[BYE],MATCH(TableOverallMaster[[#This Row],[RK]],TableTEVORP[RK],0)),"")</f>
        <v>9</v>
      </c>
      <c r="AL258" s="116">
        <f>IFERROR(INDEX(TableTEVORP[FPS],MATCH(TableOverallMaster[[#This Row],[RK]],TableTEVORP[RK],0)),"")</f>
        <v>155.07776599922877</v>
      </c>
      <c r="AM258" s="117">
        <f>IFERROR(INDEX(TableTEVORP[VORP],MATCH(TableOverallMaster[[#This Row],[RK]],TableTEVORP[RK],0)),"")</f>
        <v>0.18071210613235231</v>
      </c>
      <c r="AO258">
        <v>257</v>
      </c>
      <c r="AP258" s="118" t="str">
        <f>IFERROR(INDEX(TableOverallMaster[OVERALL PLAYER],MATCH(TableOverallRank[[#This Row],[RK]],TableOverallMaster[OVR RK],0)),"")</f>
        <v>Keaton Mitchell</v>
      </c>
      <c r="AQ258" s="119" t="str">
        <f>IFERROR(INDEX(TableOverallMaster[POS RK],MATCH(TableOverallRank[[#This Row],[OVERALL PLAYER]],TableOverallMaster[OVERALL PLAYER],0)),"")</f>
        <v>RB81</v>
      </c>
      <c r="AR258" s="120">
        <f>IFERROR(INDEX(TableOverallMaster[BYE],MATCH(TableOverallRank[[#This Row],[OVERALL PLAYER]],TableOverallMaster[OVERALL PLAYER],0)),"")</f>
        <v>13</v>
      </c>
      <c r="AS258" s="119">
        <f>IFERROR(INDEX(TableOverallMaster[Custom],MATCH(TableOverallRank[[#This Row],[OVERALL PLAYER]],TableOverallMaster[OVERALL PLAYER],0)),"")</f>
        <v>41.590578107601594</v>
      </c>
      <c r="AT258" s="121">
        <f>IFERROR(INDEX(TableOverallMaster[VORP],MATCH(TableOverallRank[[#This Row],[OVERALL PLAYER]],TableOverallMaster[OVERALL PLAYER],0)),"")</f>
        <v>-0.63102122886922118</v>
      </c>
      <c r="AV258">
        <v>257</v>
      </c>
      <c r="AW258" s="122" t="str">
        <f>IFERROR(INDEX(TableWRTECalcPts[PLAYER],MATCH(TableWRTERank[[#This Row],[RK]],TableWRTECalcPts[RK],0)),"")</f>
        <v>Danny Gray</v>
      </c>
      <c r="AX258" s="122" t="str">
        <f>IFERROR(INDEX(TableWRTECalcPts[POS RK],MATCH(TableWRTERank[[#This Row],[WR and TE COMBINED]],TableWRTECalcPts[PLAYER],0)),"")</f>
        <v>WR178</v>
      </c>
      <c r="AY258" s="122">
        <f>IFERROR(INDEX(TableWRTECalcPts[BYE],MATCH(TableWRTERank[[#This Row],[RK]],TableWRTECalcPts[RK],0)),"")</f>
        <v>9</v>
      </c>
      <c r="AZ258" s="123">
        <f>IFERROR(INDEX(TableWRTECalcPts[Custom],MATCH(TableWRTERank[[#This Row],[RK]],TableWRTECalcPts[RK],0)),"")</f>
        <v>8.5978939176899996</v>
      </c>
      <c r="BA258" s="174">
        <f>IFERROR((TableWRTERank[[#This Row],[FPS]]-INDEX(TableWRTERank[FPS],MATCH(WRTEVORPCalc,TableWRTERank[RK],0)))/INDEX(TableWRTERank[FPS],MATCH(WRTEVORPCalc,TableWRTERank[RK],0)),"")</f>
        <v>-0.9424063682847571</v>
      </c>
      <c r="BC258" t="s">
        <v>10</v>
      </c>
      <c r="BD258">
        <v>57</v>
      </c>
      <c r="BE258" s="83">
        <f>RANK(TableWRTEMaster[[#This Row],[VORP]],TableWRTEMaster[VORP])+COUNTIF($BJ$2:BJ258,BJ258)-1</f>
        <v>195</v>
      </c>
      <c r="BF258" s="115" t="str">
        <f>IFERROR(INDEX(TableTEVORP[TIGHT END],MATCH(TableWRTEMaster[[#This Row],[RK]],TableTEVORP[RK],0)),"")</f>
        <v>Brenton Strange</v>
      </c>
      <c r="BG258" s="115" t="str">
        <f>_xlfn.CONCAT(TableWRTEMaster[[#This Row],[POS]],TableWRTEMaster[[#This Row],[RK]])</f>
        <v>TE57</v>
      </c>
      <c r="BH258" s="115">
        <f>IFERROR(INDEX(TableTEVORP[BYE],MATCH(TableWRTEMaster[[#This Row],[RK]],TableTEVORP[RK],0)),"")</f>
        <v>9</v>
      </c>
      <c r="BI258" s="116">
        <f>IFERROR(INDEX(TableTEVORP[FPS],MATCH(TableWRTEMaster[[#This Row],[RK]],TableTEVORP[RK],0)),"")</f>
        <v>22.138437291515991</v>
      </c>
      <c r="BJ258" s="117">
        <f>IFERROR(INDEX(TableTEVORP[VORP],MATCH(TableWRTEMaster[[#This Row],[RK]],TableTEVORP[RK],0)),"")</f>
        <v>-0.83144507691015579</v>
      </c>
    </row>
    <row r="259" spans="32:62" x14ac:dyDescent="0.2">
      <c r="AF259" t="s">
        <v>10</v>
      </c>
      <c r="AG259">
        <v>8</v>
      </c>
      <c r="AH259" s="83">
        <f>RANK(TableOverallMaster[[#This Row],[VORP]],TableOverallMaster[VORP])+COUNTIF($AM$2:AM259,AM259)-1</f>
        <v>107</v>
      </c>
      <c r="AI259" s="115" t="str">
        <f>IFERROR(INDEX(TableTEVORP[TIGHT END],MATCH(TableOverallMaster[[#This Row],[RK]],TableTEVORP[RK],0)),"")</f>
        <v>David Njoku</v>
      </c>
      <c r="AJ259" s="115" t="str">
        <f t="shared" si="4"/>
        <v>TE8</v>
      </c>
      <c r="AK259" s="115">
        <f>IFERROR(INDEX(TableTEVORP[BYE],MATCH(TableOverallMaster[[#This Row],[RK]],TableTEVORP[RK],0)),"")</f>
        <v>5</v>
      </c>
      <c r="AL259" s="116">
        <f>IFERROR(INDEX(TableTEVORP[FPS],MATCH(TableOverallMaster[[#This Row],[RK]],TableTEVORP[RK],0)),"")</f>
        <v>146.32427848500004</v>
      </c>
      <c r="AM259" s="117">
        <f>IFERROR(INDEX(TableTEVORP[VORP],MATCH(TableOverallMaster[[#This Row],[RK]],TableTEVORP[RK],0)),"")</f>
        <v>0.11406587472494564</v>
      </c>
      <c r="AO259">
        <v>258</v>
      </c>
      <c r="AP259" s="118" t="str">
        <f>IFERROR(INDEX(TableOverallMaster[OVERALL PLAYER],MATCH(TableOverallRank[[#This Row],[RK]],TableOverallMaster[OVR RK],0)),"")</f>
        <v>Jeremy Ruckert</v>
      </c>
      <c r="AQ259" s="119" t="str">
        <f>IFERROR(INDEX(TableOverallMaster[POS RK],MATCH(TableOverallRank[[#This Row],[OVERALL PLAYER]],TableOverallMaster[OVERALL PLAYER],0)),"")</f>
        <v>TE42</v>
      </c>
      <c r="AR259" s="120">
        <f>IFERROR(INDEX(TableOverallMaster[BYE],MATCH(TableOverallRank[[#This Row],[OVERALL PLAYER]],TableOverallMaster[OVERALL PLAYER],0)),"")</f>
        <v>7</v>
      </c>
      <c r="AS259" s="119">
        <f>IFERROR(INDEX(TableOverallMaster[Custom],MATCH(TableOverallRank[[#This Row],[OVERALL PLAYER]],TableOverallMaster[OVERALL PLAYER],0)),"")</f>
        <v>47.942912402985584</v>
      </c>
      <c r="AT259" s="121">
        <f>IFERROR(INDEX(TableOverallMaster[VORP],MATCH(TableOverallRank[[#This Row],[OVERALL PLAYER]],TableOverallMaster[OVERALL PLAYER],0)),"")</f>
        <v>-0.6349781239579535</v>
      </c>
      <c r="AV259">
        <v>258</v>
      </c>
      <c r="AW259" s="122" t="str">
        <f>IFERROR(INDEX(TableWRTECalcPts[PLAYER],MATCH(TableWRTERank[[#This Row],[RK]],TableWRTECalcPts[RK],0)),"")</f>
        <v>Charlie Kolar</v>
      </c>
      <c r="AX259" s="122" t="str">
        <f>IFERROR(INDEX(TableWRTECalcPts[POS RK],MATCH(TableWRTERank[[#This Row],[WR and TE COMBINED]],TableWRTECalcPts[PLAYER],0)),"")</f>
        <v>TE80</v>
      </c>
      <c r="AY259" s="122">
        <f>IFERROR(INDEX(TableWRTECalcPts[BYE],MATCH(TableWRTERank[[#This Row],[RK]],TableWRTECalcPts[RK],0)),"")</f>
        <v>13</v>
      </c>
      <c r="AZ259" s="123">
        <f>IFERROR(INDEX(TableWRTECalcPts[Custom],MATCH(TableWRTERank[[#This Row],[RK]],TableWRTECalcPts[RK],0)),"")</f>
        <v>7.4937179652608013</v>
      </c>
      <c r="BA259" s="174">
        <f>IFERROR((TableWRTERank[[#This Row],[FPS]]-INDEX(TableWRTERank[FPS],MATCH(WRTEVORPCalc,TableWRTERank[RK],0)))/INDEX(TableWRTERank[FPS],MATCH(WRTEVORPCalc,TableWRTERank[RK],0)),"")</f>
        <v>-0.94980277300454452</v>
      </c>
      <c r="BC259" t="s">
        <v>10</v>
      </c>
      <c r="BD259">
        <v>58</v>
      </c>
      <c r="BE259" s="83">
        <f>RANK(TableWRTEMaster[[#This Row],[VORP]],TableWRTEMaster[VORP])+COUNTIF($BJ$2:BJ259,BJ259)-1</f>
        <v>196</v>
      </c>
      <c r="BF259" s="115" t="str">
        <f>IFERROR(INDEX(TableTEVORP[TIGHT END],MATCH(TableWRTEMaster[[#This Row],[RK]],TableTEVORP[RK],0)),"")</f>
        <v>Josh Whyle</v>
      </c>
      <c r="BG259" s="115" t="str">
        <f>_xlfn.CONCAT(TableWRTEMaster[[#This Row],[POS]],TableWRTEMaster[[#This Row],[RK]])</f>
        <v>TE58</v>
      </c>
      <c r="BH259" s="115">
        <f>IFERROR(INDEX(TableTEVORP[BYE],MATCH(TableWRTEMaster[[#This Row],[RK]],TableTEVORP[RK],0)),"")</f>
        <v>7</v>
      </c>
      <c r="BI259" s="116">
        <f>IFERROR(INDEX(TableTEVORP[FPS],MATCH(TableWRTEMaster[[#This Row],[RK]],TableTEVORP[RK],0)),"")</f>
        <v>21.713238746198993</v>
      </c>
      <c r="BJ259" s="117">
        <f>IFERROR(INDEX(TableTEVORP[VORP],MATCH(TableWRTEMaster[[#This Row],[RK]],TableTEVORP[RK],0)),"")</f>
        <v>-0.83468240153068296</v>
      </c>
    </row>
    <row r="260" spans="32:62" x14ac:dyDescent="0.2">
      <c r="AF260" t="s">
        <v>10</v>
      </c>
      <c r="AG260">
        <v>9</v>
      </c>
      <c r="AH260" s="83">
        <f>RANK(TableOverallMaster[[#This Row],[VORP]],TableOverallMaster[VORP])+COUNTIF($AM$2:AM260,AM260)-1</f>
        <v>108</v>
      </c>
      <c r="AI260" s="115" t="str">
        <f>IFERROR(INDEX(TableTEVORP[TIGHT END],MATCH(TableOverallMaster[[#This Row],[RK]],TableTEVORP[RK],0)),"")</f>
        <v>Jake Ferguson</v>
      </c>
      <c r="AJ260" s="115" t="str">
        <f t="shared" si="4"/>
        <v>TE9</v>
      </c>
      <c r="AK260" s="115">
        <f>IFERROR(INDEX(TableTEVORP[BYE],MATCH(TableOverallMaster[[#This Row],[RK]],TableTEVORP[RK],0)),"")</f>
        <v>7</v>
      </c>
      <c r="AL260" s="116">
        <f>IFERROR(INDEX(TableTEVORP[FPS],MATCH(TableOverallMaster[[#This Row],[RK]],TableTEVORP[RK],0)),"")</f>
        <v>145.89143428607994</v>
      </c>
      <c r="AM260" s="117">
        <f>IFERROR(INDEX(TableTEVORP[VORP],MATCH(TableOverallMaster[[#This Row],[RK]],TableTEVORP[RK],0)),"")</f>
        <v>0.11077033856319402</v>
      </c>
      <c r="AO260">
        <v>259</v>
      </c>
      <c r="AP260" s="118" t="str">
        <f>IFERROR(INDEX(TableOverallMaster[OVERALL PLAYER],MATCH(TableOverallRank[[#This Row],[RK]],TableOverallMaster[OVR RK],0)),"")</f>
        <v>Donald Parham</v>
      </c>
      <c r="AQ260" s="119" t="str">
        <f>IFERROR(INDEX(TableOverallMaster[POS RK],MATCH(TableOverallRank[[#This Row],[OVERALL PLAYER]],TableOverallMaster[OVERALL PLAYER],0)),"")</f>
        <v>TE43</v>
      </c>
      <c r="AR260" s="120">
        <f>IFERROR(INDEX(TableOverallMaster[BYE],MATCH(TableOverallRank[[#This Row],[OVERALL PLAYER]],TableOverallMaster[OVERALL PLAYER],0)),"")</f>
        <v>5</v>
      </c>
      <c r="AS260" s="119">
        <f>IFERROR(INDEX(TableOverallMaster[Custom],MATCH(TableOverallRank[[#This Row],[OVERALL PLAYER]],TableOverallMaster[OVERALL PLAYER],0)),"")</f>
        <v>47.064153670841982</v>
      </c>
      <c r="AT260" s="121">
        <f>IFERROR(INDEX(TableOverallMaster[VORP],MATCH(TableOverallRank[[#This Row],[OVERALL PLAYER]],TableOverallMaster[OVERALL PLAYER],0)),"")</f>
        <v>-0.64166870959236744</v>
      </c>
      <c r="AV260">
        <v>259</v>
      </c>
      <c r="AW260" s="122" t="str">
        <f>IFERROR(INDEX(TableWRTECalcPts[PLAYER],MATCH(TableWRTERank[[#This Row],[RK]],TableWRTECalcPts[RK],0)),"")</f>
        <v>Devin Duvernay</v>
      </c>
      <c r="AX260" s="122" t="str">
        <f>IFERROR(INDEX(TableWRTECalcPts[POS RK],MATCH(TableWRTERank[[#This Row],[WR and TE COMBINED]],TableWRTECalcPts[PLAYER],0)),"")</f>
        <v>WR179</v>
      </c>
      <c r="AY260" s="122">
        <f>IFERROR(INDEX(TableWRTECalcPts[BYE],MATCH(TableWRTERank[[#This Row],[RK]],TableWRTECalcPts[RK],0)),"")</f>
        <v>9</v>
      </c>
      <c r="AZ260" s="123">
        <f>IFERROR(INDEX(TableWRTECalcPts[Custom],MATCH(TableWRTERank[[#This Row],[RK]],TableWRTECalcPts[RK],0)),"")</f>
        <v>7.4510595235439983</v>
      </c>
      <c r="BA260" s="174">
        <f>IFERROR((TableWRTERank[[#This Row],[FPS]]-INDEX(TableWRTERank[FPS],MATCH(WRTEVORPCalc,TableWRTERank[RK],0)))/INDEX(TableWRTERank[FPS],MATCH(WRTEVORPCalc,TableWRTERank[RK],0)),"")</f>
        <v>-0.95008852374830854</v>
      </c>
      <c r="BC260" t="s">
        <v>10</v>
      </c>
      <c r="BD260">
        <v>59</v>
      </c>
      <c r="BE260" s="83">
        <f>RANK(TableWRTEMaster[[#This Row],[VORP]],TableWRTEMaster[VORP])+COUNTIF($BJ$2:BJ260,BJ260)-1</f>
        <v>198</v>
      </c>
      <c r="BF260" s="115" t="str">
        <f>IFERROR(INDEX(TableTEVORP[TIGHT END],MATCH(TableWRTEMaster[[#This Row],[RK]],TableTEVORP[RK],0)),"")</f>
        <v>Ko Kieft</v>
      </c>
      <c r="BG260" s="115" t="str">
        <f>_xlfn.CONCAT(TableWRTEMaster[[#This Row],[POS]],TableWRTEMaster[[#This Row],[RK]])</f>
        <v>TE59</v>
      </c>
      <c r="BH260" s="115">
        <f>IFERROR(INDEX(TableTEVORP[BYE],MATCH(TableWRTEMaster[[#This Row],[RK]],TableTEVORP[RK],0)),"")</f>
        <v>5</v>
      </c>
      <c r="BI260" s="116">
        <f>IFERROR(INDEX(TableTEVORP[FPS],MATCH(TableWRTEMaster[[#This Row],[RK]],TableTEVORP[RK],0)),"")</f>
        <v>21.524783141400004</v>
      </c>
      <c r="BJ260" s="117">
        <f>IFERROR(INDEX(TableTEVORP[VORP],MATCH(TableWRTEMaster[[#This Row],[RK]],TableTEVORP[RK],0)),"")</f>
        <v>-0.83611724173889024</v>
      </c>
    </row>
    <row r="261" spans="32:62" x14ac:dyDescent="0.2">
      <c r="AF261" t="s">
        <v>10</v>
      </c>
      <c r="AG261">
        <v>10</v>
      </c>
      <c r="AH261" s="83">
        <f>RANK(TableOverallMaster[[#This Row],[VORP]],TableOverallMaster[VORP])+COUNTIF($AM$2:AM261,AM261)-1</f>
        <v>113</v>
      </c>
      <c r="AI261" s="115" t="str">
        <f>IFERROR(INDEX(TableTEVORP[TIGHT END],MATCH(TableOverallMaster[[#This Row],[RK]],TableTEVORP[RK],0)),"")</f>
        <v>Evan Engram</v>
      </c>
      <c r="AJ261" s="115" t="str">
        <f t="shared" si="4"/>
        <v>TE10</v>
      </c>
      <c r="AK261" s="115">
        <f>IFERROR(INDEX(TableTEVORP[BYE],MATCH(TableOverallMaster[[#This Row],[RK]],TableTEVORP[RK],0)),"")</f>
        <v>9</v>
      </c>
      <c r="AL261" s="116">
        <f>IFERROR(INDEX(TableTEVORP[FPS],MATCH(TableOverallMaster[[#This Row],[RK]],TableTEVORP[RK],0)),"")</f>
        <v>142.99224053587196</v>
      </c>
      <c r="AM261" s="117">
        <f>IFERROR(INDEX(TableTEVORP[VORP],MATCH(TableOverallMaster[[#This Row],[RK]],TableTEVORP[RK],0)),"")</f>
        <v>8.8696812182172735E-2</v>
      </c>
      <c r="AO261">
        <v>260</v>
      </c>
      <c r="AP261" s="118" t="str">
        <f>IFERROR(INDEX(TableOverallMaster[OVERALL PLAYER],MATCH(TableOverallRank[[#This Row],[RK]],TableOverallMaster[OVR RK],0)),"")</f>
        <v>Trey Sermon</v>
      </c>
      <c r="AQ261" s="119" t="str">
        <f>IFERROR(INDEX(TableOverallMaster[POS RK],MATCH(TableOverallRank[[#This Row],[OVERALL PLAYER]],TableOverallMaster[OVERALL PLAYER],0)),"")</f>
        <v>RB82</v>
      </c>
      <c r="AR261" s="120">
        <f>IFERROR(INDEX(TableOverallMaster[BYE],MATCH(TableOverallRank[[#This Row],[OVERALL PLAYER]],TableOverallMaster[OVERALL PLAYER],0)),"")</f>
        <v>11</v>
      </c>
      <c r="AS261" s="119">
        <f>IFERROR(INDEX(TableOverallMaster[Custom],MATCH(TableOverallRank[[#This Row],[OVERALL PLAYER]],TableOverallMaster[OVERALL PLAYER],0)),"")</f>
        <v>40.170814067999999</v>
      </c>
      <c r="AT261" s="121">
        <f>IFERROR(INDEX(TableOverallMaster[VORP],MATCH(TableOverallRank[[#This Row],[OVERALL PLAYER]],TableOverallMaster[OVERALL PLAYER],0)),"")</f>
        <v>-0.64361693718740209</v>
      </c>
      <c r="AV261">
        <v>260</v>
      </c>
      <c r="AW261" s="122" t="str">
        <f>IFERROR(INDEX(TableWRTECalcPts[PLAYER],MATCH(TableWRTERank[[#This Row],[RK]],TableWRTECalcPts[RK],0)),"")</f>
        <v>AJ Barner</v>
      </c>
      <c r="AX261" s="122" t="str">
        <f>IFERROR(INDEX(TableWRTECalcPts[POS RK],MATCH(TableWRTERank[[#This Row],[WR and TE COMBINED]],TableWRTECalcPts[PLAYER],0)),"")</f>
        <v>TE81</v>
      </c>
      <c r="AY261" s="122">
        <f>IFERROR(INDEX(TableWRTECalcPts[BYE],MATCH(TableWRTERank[[#This Row],[RK]],TableWRTECalcPts[RK],0)),"")</f>
        <v>5</v>
      </c>
      <c r="AZ261" s="123">
        <f>IFERROR(INDEX(TableWRTECalcPts[Custom],MATCH(TableWRTERank[[#This Row],[RK]],TableWRTECalcPts[RK],0)),"")</f>
        <v>7.3655150392362003</v>
      </c>
      <c r="BA261" s="174">
        <f>IFERROR((TableWRTERank[[#This Row],[FPS]]-INDEX(TableWRTERank[FPS],MATCH(WRTEVORPCalc,TableWRTERank[RK],0)))/INDEX(TableWRTERank[FPS],MATCH(WRTEVORPCalc,TableWRTERank[RK],0)),"")</f>
        <v>-0.95066154983721596</v>
      </c>
      <c r="BC261" t="s">
        <v>10</v>
      </c>
      <c r="BD261">
        <v>60</v>
      </c>
      <c r="BE261" s="83">
        <f>RANK(TableWRTEMaster[[#This Row],[VORP]],TableWRTEMaster[VORP])+COUNTIF($BJ$2:BJ261,BJ261)-1</f>
        <v>200</v>
      </c>
      <c r="BF261" s="115" t="str">
        <f>IFERROR(INDEX(TableTEVORP[TIGHT END],MATCH(TableWRTEMaster[[#This Row],[RK]],TableTEVORP[RK],0)),"")</f>
        <v>Darnell Washington</v>
      </c>
      <c r="BG261" s="115" t="str">
        <f>_xlfn.CONCAT(TableWRTEMaster[[#This Row],[POS]],TableWRTEMaster[[#This Row],[RK]])</f>
        <v>TE60</v>
      </c>
      <c r="BH261" s="115">
        <f>IFERROR(INDEX(TableTEVORP[BYE],MATCH(TableWRTEMaster[[#This Row],[RK]],TableTEVORP[RK],0)),"")</f>
        <v>6</v>
      </c>
      <c r="BI261" s="116">
        <f>IFERROR(INDEX(TableTEVORP[FPS],MATCH(TableWRTEMaster[[#This Row],[RK]],TableTEVORP[RK],0)),"")</f>
        <v>20.924662263749997</v>
      </c>
      <c r="BJ261" s="117">
        <f>IFERROR(INDEX(TableTEVORP[VORP],MATCH(TableWRTEMaster[[#This Row],[RK]],TableTEVORP[RK],0)),"")</f>
        <v>-0.8406863685948166</v>
      </c>
    </row>
    <row r="262" spans="32:62" x14ac:dyDescent="0.2">
      <c r="AF262" t="s">
        <v>10</v>
      </c>
      <c r="AG262">
        <v>11</v>
      </c>
      <c r="AH262" s="83">
        <f>RANK(TableOverallMaster[[#This Row],[VORP]],TableOverallMaster[VORP])+COUNTIF($AM$2:AM262,AM262)-1</f>
        <v>134</v>
      </c>
      <c r="AI262" s="115" t="str">
        <f>IFERROR(INDEX(TableTEVORP[TIGHT END],MATCH(TableOverallMaster[[#This Row],[RK]],TableTEVORP[RK],0)),"")</f>
        <v>Dallas Goedert</v>
      </c>
      <c r="AJ262" s="115" t="str">
        <f t="shared" si="4"/>
        <v>TE11</v>
      </c>
      <c r="AK262" s="115">
        <f>IFERROR(INDEX(TableTEVORP[BYE],MATCH(TableOverallMaster[[#This Row],[RK]],TableTEVORP[RK],0)),"")</f>
        <v>10</v>
      </c>
      <c r="AL262" s="116">
        <f>IFERROR(INDEX(TableTEVORP[FPS],MATCH(TableOverallMaster[[#This Row],[RK]],TableTEVORP[RK],0)),"")</f>
        <v>131.42193465491999</v>
      </c>
      <c r="AM262" s="117">
        <f>IFERROR(INDEX(TableTEVORP[VORP],MATCH(TableOverallMaster[[#This Row],[RK]],TableTEVORP[RK],0)),"")</f>
        <v>6.0423400199521805E-4</v>
      </c>
      <c r="AO262">
        <v>261</v>
      </c>
      <c r="AP262" s="118" t="str">
        <f>IFERROR(INDEX(TableOverallMaster[OVERALL PLAYER],MATCH(TableOverallRank[[#This Row],[RK]],TableOverallMaster[OVR RK],0)),"")</f>
        <v>Josh Oliver</v>
      </c>
      <c r="AQ262" s="119" t="str">
        <f>IFERROR(INDEX(TableOverallMaster[POS RK],MATCH(TableOverallRank[[#This Row],[OVERALL PLAYER]],TableOverallMaster[OVERALL PLAYER],0)),"")</f>
        <v>TE44</v>
      </c>
      <c r="AR262" s="120">
        <f>IFERROR(INDEX(TableOverallMaster[BYE],MATCH(TableOverallRank[[#This Row],[OVERALL PLAYER]],TableOverallMaster[OVERALL PLAYER],0)),"")</f>
        <v>13</v>
      </c>
      <c r="AS262" s="119">
        <f>IFERROR(INDEX(TableOverallMaster[Custom],MATCH(TableOverallRank[[#This Row],[OVERALL PLAYER]],TableOverallMaster[OVERALL PLAYER],0)),"")</f>
        <v>46.24948826064</v>
      </c>
      <c r="AT262" s="121">
        <f>IFERROR(INDEX(TableOverallMaster[VORP],MATCH(TableOverallRank[[#This Row],[OVERALL PLAYER]],TableOverallMaster[OVERALL PLAYER],0)),"")</f>
        <v>-0.64787130934014536</v>
      </c>
      <c r="AV262">
        <v>261</v>
      </c>
      <c r="AW262" s="122" t="str">
        <f>IFERROR(INDEX(TableWRTECalcPts[PLAYER],MATCH(TableWRTERank[[#This Row],[RK]],TableWRTECalcPts[RK],0)),"")</f>
        <v>John Metchie</v>
      </c>
      <c r="AX262" s="122" t="str">
        <f>IFERROR(INDEX(TableWRTECalcPts[POS RK],MATCH(TableWRTERank[[#This Row],[WR and TE COMBINED]],TableWRTECalcPts[PLAYER],0)),"")</f>
        <v>WR180</v>
      </c>
      <c r="AY262" s="122">
        <f>IFERROR(INDEX(TableWRTECalcPts[BYE],MATCH(TableWRTERank[[#This Row],[RK]],TableWRTECalcPts[RK],0)),"")</f>
        <v>7</v>
      </c>
      <c r="AZ262" s="123">
        <f>IFERROR(INDEX(TableWRTECalcPts[Custom],MATCH(TableWRTERank[[#This Row],[RK]],TableWRTECalcPts[RK],0)),"")</f>
        <v>7.2790656556800002</v>
      </c>
      <c r="BA262" s="174">
        <f>IFERROR((TableWRTERank[[#This Row],[FPS]]-INDEX(TableWRTERank[FPS],MATCH(WRTEVORPCalc,TableWRTERank[RK],0)))/INDEX(TableWRTERank[FPS],MATCH(WRTEVORPCalc,TableWRTERank[RK],0)),"")</f>
        <v>-0.9512406374610235</v>
      </c>
      <c r="BC262" t="s">
        <v>10</v>
      </c>
      <c r="BD262">
        <v>61</v>
      </c>
      <c r="BE262" s="83">
        <f>RANK(TableWRTEMaster[[#This Row],[VORP]],TableWRTEMaster[VORP])+COUNTIF($BJ$2:BJ262,BJ262)-1</f>
        <v>204</v>
      </c>
      <c r="BF262" s="115" t="str">
        <f>IFERROR(INDEX(TableTEVORP[TIGHT END],MATCH(TableWRTEMaster[[#This Row],[RK]],TableTEVORP[RK],0)),"")</f>
        <v>Johnny Mundt</v>
      </c>
      <c r="BG262" s="115" t="str">
        <f>_xlfn.CONCAT(TableWRTEMaster[[#This Row],[POS]],TableWRTEMaster[[#This Row],[RK]])</f>
        <v>TE61</v>
      </c>
      <c r="BH262" s="115">
        <f>IFERROR(INDEX(TableTEVORP[BYE],MATCH(TableWRTEMaster[[#This Row],[RK]],TableTEVORP[RK],0)),"")</f>
        <v>13</v>
      </c>
      <c r="BI262" s="116">
        <f>IFERROR(INDEX(TableTEVORP[FPS],MATCH(TableWRTEMaster[[#This Row],[RK]],TableTEVORP[RK],0)),"")</f>
        <v>19.988201519999997</v>
      </c>
      <c r="BJ262" s="117">
        <f>IFERROR(INDEX(TableTEVORP[VORP],MATCH(TableWRTEMaster[[#This Row],[RK]],TableTEVORP[RK],0)),"")</f>
        <v>-0.84781627873982635</v>
      </c>
    </row>
    <row r="263" spans="32:62" x14ac:dyDescent="0.2">
      <c r="AF263" t="s">
        <v>10</v>
      </c>
      <c r="AG263">
        <v>12</v>
      </c>
      <c r="AH263" s="83">
        <f>RANK(TableOverallMaster[[#This Row],[VORP]],TableOverallMaster[VORP])+COUNTIF($AM$2:AM263,AM263)-1</f>
        <v>138</v>
      </c>
      <c r="AI263" s="115" t="str">
        <f>IFERROR(INDEX(TableTEVORP[TIGHT END],MATCH(TableOverallMaster[[#This Row],[RK]],TableTEVORP[RK],0)),"")</f>
        <v>Brock Bowers</v>
      </c>
      <c r="AJ263" s="115" t="str">
        <f t="shared" si="4"/>
        <v>TE12</v>
      </c>
      <c r="AK263" s="115">
        <f>IFERROR(INDEX(TableTEVORP[BYE],MATCH(TableOverallMaster[[#This Row],[RK]],TableTEVORP[RK],0)),"")</f>
        <v>13</v>
      </c>
      <c r="AL263" s="116">
        <f>IFERROR(INDEX(TableTEVORP[FPS],MATCH(TableOverallMaster[[#This Row],[RK]],TableTEVORP[RK],0)),"")</f>
        <v>131.34257300639999</v>
      </c>
      <c r="AM263" s="117">
        <f>IFERROR(INDEX(TableTEVORP[VORP],MATCH(TableOverallMaster[[#This Row],[RK]],TableTEVORP[RK],0)),"")</f>
        <v>0</v>
      </c>
      <c r="AO263">
        <v>262</v>
      </c>
      <c r="AP263" s="118" t="str">
        <f>IFERROR(INDEX(TableOverallMaster[OVERALL PLAYER],MATCH(TableOverallRank[[#This Row],[RK]],TableOverallMaster[OVR RK],0)),"")</f>
        <v>Michael Gallup</v>
      </c>
      <c r="AQ263" s="119" t="str">
        <f>IFERROR(INDEX(TableOverallMaster[POS RK],MATCH(TableOverallRank[[#This Row],[OVERALL PLAYER]],TableOverallMaster[OVERALL PLAYER],0)),"")</f>
        <v>WR102</v>
      </c>
      <c r="AR263" s="120">
        <f>IFERROR(INDEX(TableOverallMaster[BYE],MATCH(TableOverallRank[[#This Row],[OVERALL PLAYER]],TableOverallMaster[OVERALL PLAYER],0)),"")</f>
        <v>13</v>
      </c>
      <c r="AS263" s="119">
        <f>IFERROR(INDEX(TableOverallMaster[Custom],MATCH(TableOverallRank[[#This Row],[OVERALL PLAYER]],TableOverallMaster[OVERALL PLAYER],0)),"")</f>
        <v>48.195139829759995</v>
      </c>
      <c r="AT263" s="121">
        <f>IFERROR(INDEX(TableOverallMaster[VORP],MATCH(TableOverallRank[[#This Row],[OVERALL PLAYER]],TableOverallMaster[OVERALL PLAYER],0)),"")</f>
        <v>-0.66624481162971672</v>
      </c>
      <c r="AV263">
        <v>262</v>
      </c>
      <c r="AW263" s="122" t="str">
        <f>IFERROR(INDEX(TableWRTECalcPts[PLAYER],MATCH(TableWRTERank[[#This Row],[RK]],TableWRTECalcPts[RK],0)),"")</f>
        <v>Albert Okwuegbunam</v>
      </c>
      <c r="AX263" s="122" t="str">
        <f>IFERROR(INDEX(TableWRTECalcPts[POS RK],MATCH(TableWRTERank[[#This Row],[WR and TE COMBINED]],TableWRTECalcPts[PLAYER],0)),"")</f>
        <v>TE82</v>
      </c>
      <c r="AY263" s="122">
        <f>IFERROR(INDEX(TableWRTECalcPts[BYE],MATCH(TableWRTERank[[#This Row],[RK]],TableWRTECalcPts[RK],0)),"")</f>
        <v>10</v>
      </c>
      <c r="AZ263" s="123">
        <f>IFERROR(INDEX(TableWRTECalcPts[Custom],MATCH(TableWRTERank[[#This Row],[RK]],TableWRTECalcPts[RK],0)),"")</f>
        <v>7.1468614526400014</v>
      </c>
      <c r="BA263" s="174">
        <f>IFERROR((TableWRTERank[[#This Row],[FPS]]-INDEX(TableWRTERank[FPS],MATCH(WRTEVORPCalc,TableWRTERank[RK],0)))/INDEX(TableWRTERank[FPS],MATCH(WRTEVORPCalc,TableWRTERank[RK],0)),"")</f>
        <v>-0.95212621714530266</v>
      </c>
      <c r="BC263" t="s">
        <v>10</v>
      </c>
      <c r="BD263">
        <v>62</v>
      </c>
      <c r="BE263" s="83">
        <f>RANK(TableWRTEMaster[[#This Row],[VORP]],TableWRTEMaster[VORP])+COUNTIF($BJ$2:BJ263,BJ263)-1</f>
        <v>205</v>
      </c>
      <c r="BF263" s="115" t="str">
        <f>IFERROR(INDEX(TableTEVORP[TIGHT END],MATCH(TableWRTEMaster[[#This Row],[RK]],TableTEVORP[RK],0)),"")</f>
        <v>Jordan Akins</v>
      </c>
      <c r="BG263" s="115" t="str">
        <f>_xlfn.CONCAT(TableWRTEMaster[[#This Row],[POS]],TableWRTEMaster[[#This Row],[RK]])</f>
        <v>TE62</v>
      </c>
      <c r="BH263" s="115">
        <f>IFERROR(INDEX(TableTEVORP[BYE],MATCH(TableWRTEMaster[[#This Row],[RK]],TableTEVORP[RK],0)),"")</f>
        <v>5</v>
      </c>
      <c r="BI263" s="116">
        <f>IFERROR(INDEX(TableTEVORP[FPS],MATCH(TableWRTEMaster[[#This Row],[RK]],TableTEVORP[RK],0)),"")</f>
        <v>19.760745571875002</v>
      </c>
      <c r="BJ263" s="117">
        <f>IFERROR(INDEX(TableTEVORP[VORP],MATCH(TableWRTEMaster[[#This Row],[RK]],TableTEVORP[RK],0)),"")</f>
        <v>-0.84954805498661801</v>
      </c>
    </row>
    <row r="264" spans="32:62" x14ac:dyDescent="0.2">
      <c r="AF264" t="s">
        <v>10</v>
      </c>
      <c r="AG264">
        <v>13</v>
      </c>
      <c r="AH264" s="83">
        <f>RANK(TableOverallMaster[[#This Row],[VORP]],TableOverallMaster[VORP])+COUNTIF($AM$2:AM264,AM264)-1</f>
        <v>152</v>
      </c>
      <c r="AI264" s="115" t="str">
        <f>IFERROR(INDEX(TableTEVORP[TIGHT END],MATCH(TableOverallMaster[[#This Row],[RK]],TableTEVORP[RK],0)),"")</f>
        <v>T.J. Hockenson</v>
      </c>
      <c r="AJ264" s="115" t="str">
        <f t="shared" si="4"/>
        <v>TE13</v>
      </c>
      <c r="AK264" s="115">
        <f>IFERROR(INDEX(TableTEVORP[BYE],MATCH(TableOverallMaster[[#This Row],[RK]],TableTEVORP[RK],0)),"")</f>
        <v>13</v>
      </c>
      <c r="AL264" s="116">
        <f>IFERROR(INDEX(TableTEVORP[FPS],MATCH(TableOverallMaster[[#This Row],[RK]],TableTEVORP[RK],0)),"")</f>
        <v>122.60684427264</v>
      </c>
      <c r="AM264" s="117">
        <f>IFERROR(INDEX(TableTEVORP[VORP],MATCH(TableOverallMaster[[#This Row],[RK]],TableTEVORP[RK],0)),"")</f>
        <v>-6.6511021779163057E-2</v>
      </c>
      <c r="AO264">
        <v>263</v>
      </c>
      <c r="AP264" s="118" t="str">
        <f>IFERROR(INDEX(TableOverallMaster[OVERALL PLAYER],MATCH(TableOverallRank[[#This Row],[RK]],TableOverallMaster[OVR RK],0)),"")</f>
        <v>Theo Johnson</v>
      </c>
      <c r="AQ264" s="119" t="str">
        <f>IFERROR(INDEX(TableOverallMaster[POS RK],MATCH(TableOverallRank[[#This Row],[OVERALL PLAYER]],TableOverallMaster[OVERALL PLAYER],0)),"")</f>
        <v>TE45</v>
      </c>
      <c r="AR264" s="120">
        <f>IFERROR(INDEX(TableOverallMaster[BYE],MATCH(TableOverallRank[[#This Row],[OVERALL PLAYER]],TableOverallMaster[OVERALL PLAYER],0)),"")</f>
        <v>13</v>
      </c>
      <c r="AS264" s="119">
        <f>IFERROR(INDEX(TableOverallMaster[Custom],MATCH(TableOverallRank[[#This Row],[OVERALL PLAYER]],TableOverallMaster[OVERALL PLAYER],0)),"")</f>
        <v>43.712904661977589</v>
      </c>
      <c r="AT264" s="121">
        <f>IFERROR(INDEX(TableOverallMaster[VORP],MATCH(TableOverallRank[[#This Row],[OVERALL PLAYER]],TableOverallMaster[OVERALL PLAYER],0)),"")</f>
        <v>-0.66718403894944578</v>
      </c>
      <c r="AV264">
        <v>263</v>
      </c>
      <c r="AW264" s="122" t="str">
        <f>IFERROR(INDEX(TableWRTECalcPts[PLAYER],MATCH(TableWRTERank[[#This Row],[RK]],TableWRTECalcPts[RK],0)),"")</f>
        <v>Cole Turner</v>
      </c>
      <c r="AX264" s="122" t="str">
        <f>IFERROR(INDEX(TableWRTECalcPts[POS RK],MATCH(TableWRTERank[[#This Row],[WR and TE COMBINED]],TableWRTECalcPts[PLAYER],0)),"")</f>
        <v>TE83</v>
      </c>
      <c r="AY264" s="122">
        <f>IFERROR(INDEX(TableWRTECalcPts[BYE],MATCH(TableWRTERank[[#This Row],[RK]],TableWRTECalcPts[RK],0)),"")</f>
        <v>14</v>
      </c>
      <c r="AZ264" s="123">
        <f>IFERROR(INDEX(TableWRTECalcPts[Custom],MATCH(TableWRTERank[[#This Row],[RK]],TableWRTECalcPts[RK],0)),"")</f>
        <v>7.0733155196480002</v>
      </c>
      <c r="BA264" s="174">
        <f>IFERROR((TableWRTERank[[#This Row],[FPS]]-INDEX(TableWRTERank[FPS],MATCH(WRTEVORPCalc,TableWRTERank[RK],0)))/INDEX(TableWRTERank[FPS],MATCH(WRTEVORPCalc,TableWRTERank[RK],0)),"")</f>
        <v>-0.95261887004605317</v>
      </c>
      <c r="BC264" t="s">
        <v>10</v>
      </c>
      <c r="BD264">
        <v>63</v>
      </c>
      <c r="BE264" s="83">
        <f>RANK(TableWRTEMaster[[#This Row],[VORP]],TableWRTEMaster[VORP])+COUNTIF($BJ$2:BJ264,BJ264)-1</f>
        <v>211</v>
      </c>
      <c r="BF264" s="115" t="str">
        <f>IFERROR(INDEX(TableTEVORP[TIGHT END],MATCH(TableWRTEMaster[[#This Row],[RK]],TableTEVORP[RK],0)),"")</f>
        <v>James Mitchell</v>
      </c>
      <c r="BG264" s="115" t="str">
        <f>_xlfn.CONCAT(TableWRTEMaster[[#This Row],[POS]],TableWRTEMaster[[#This Row],[RK]])</f>
        <v>TE63</v>
      </c>
      <c r="BH264" s="115">
        <f>IFERROR(INDEX(TableTEVORP[BYE],MATCH(TableWRTEMaster[[#This Row],[RK]],TableTEVORP[RK],0)),"")</f>
        <v>9</v>
      </c>
      <c r="BI264" s="116">
        <f>IFERROR(INDEX(TableTEVORP[FPS],MATCH(TableWRTEMaster[[#This Row],[RK]],TableTEVORP[RK],0)),"")</f>
        <v>17.717118155099996</v>
      </c>
      <c r="BJ264" s="117">
        <f>IFERROR(INDEX(TableTEVORP[VORP],MATCH(TableWRTEMaster[[#This Row],[RK]],TableTEVORP[RK],0)),"")</f>
        <v>-0.86510757517871462</v>
      </c>
    </row>
    <row r="265" spans="32:62" x14ac:dyDescent="0.2">
      <c r="AF265" t="s">
        <v>10</v>
      </c>
      <c r="AG265">
        <v>14</v>
      </c>
      <c r="AH265" s="83">
        <f>RANK(TableOverallMaster[[#This Row],[VORP]],TableOverallMaster[VORP])+COUNTIF($AM$2:AM265,AM265)-1</f>
        <v>159</v>
      </c>
      <c r="AI265" s="115" t="str">
        <f>IFERROR(INDEX(TableTEVORP[TIGHT END],MATCH(TableOverallMaster[[#This Row],[RK]],TableTEVORP[RK],0)),"")</f>
        <v>Cole Kmet</v>
      </c>
      <c r="AJ265" s="115" t="str">
        <f t="shared" si="4"/>
        <v>TE14</v>
      </c>
      <c r="AK265" s="115">
        <f>IFERROR(INDEX(TableTEVORP[BYE],MATCH(TableOverallMaster[[#This Row],[RK]],TableTEVORP[RK],0)),"")</f>
        <v>13</v>
      </c>
      <c r="AL265" s="116">
        <f>IFERROR(INDEX(TableTEVORP[FPS],MATCH(TableOverallMaster[[#This Row],[RK]],TableTEVORP[RK],0)),"")</f>
        <v>113.3588619576</v>
      </c>
      <c r="AM265" s="117">
        <f>IFERROR(INDEX(TableTEVORP[VORP],MATCH(TableOverallMaster[[#This Row],[RK]],TableTEVORP[RK],0)),"")</f>
        <v>-0.13692217715213856</v>
      </c>
      <c r="AO265">
        <v>264</v>
      </c>
      <c r="AP265" s="118" t="str">
        <f>IFERROR(INDEX(TableOverallMaster[OVERALL PLAYER],MATCH(TableOverallRank[[#This Row],[RK]],TableOverallMaster[OVR RK],0)),"")</f>
        <v>Miles Sanders</v>
      </c>
      <c r="AQ265" s="119" t="str">
        <f>IFERROR(INDEX(TableOverallMaster[POS RK],MATCH(TableOverallRank[[#This Row],[OVERALL PLAYER]],TableOverallMaster[OVERALL PLAYER],0)),"")</f>
        <v>RB83</v>
      </c>
      <c r="AR265" s="120">
        <f>IFERROR(INDEX(TableOverallMaster[BYE],MATCH(TableOverallRank[[#This Row],[OVERALL PLAYER]],TableOverallMaster[OVERALL PLAYER],0)),"")</f>
        <v>7</v>
      </c>
      <c r="AS265" s="119">
        <f>IFERROR(INDEX(TableOverallMaster[Custom],MATCH(TableOverallRank[[#This Row],[OVERALL PLAYER]],TableOverallMaster[OVERALL PLAYER],0)),"")</f>
        <v>37.084329000767994</v>
      </c>
      <c r="AT265" s="121">
        <f>IFERROR(INDEX(TableOverallMaster[VORP],MATCH(TableOverallRank[[#This Row],[OVERALL PLAYER]],TableOverallMaster[OVERALL PLAYER],0)),"")</f>
        <v>-0.67099927999288989</v>
      </c>
      <c r="AV265">
        <v>264</v>
      </c>
      <c r="AW265" s="122" t="str">
        <f>IFERROR(INDEX(TableWRTECalcPts[PLAYER],MATCH(TableWRTERank[[#This Row],[RK]],TableWRTECalcPts[RK],0)),"")</f>
        <v>Casey Washington</v>
      </c>
      <c r="AX265" s="122" t="str">
        <f>IFERROR(INDEX(TableWRTECalcPts[POS RK],MATCH(TableWRTERank[[#This Row],[WR and TE COMBINED]],TableWRTECalcPts[PLAYER],0)),"")</f>
        <v>WR181</v>
      </c>
      <c r="AY265" s="122">
        <f>IFERROR(INDEX(TableWRTECalcPts[BYE],MATCH(TableWRTERank[[#This Row],[RK]],TableWRTECalcPts[RK],0)),"")</f>
        <v>11</v>
      </c>
      <c r="AZ265" s="123">
        <f>IFERROR(INDEX(TableWRTECalcPts[Custom],MATCH(TableWRTERank[[#This Row],[RK]],TableWRTECalcPts[RK],0)),"")</f>
        <v>6.9854693388479987</v>
      </c>
      <c r="BA265" s="174">
        <f>IFERROR((TableWRTERank[[#This Row],[FPS]]-INDEX(TableWRTERank[FPS],MATCH(WRTEVORPCalc,TableWRTERank[RK],0)))/INDEX(TableWRTERank[FPS],MATCH(WRTEVORPCalc,TableWRTERank[RK],0)),"")</f>
        <v>-0.95320731422005911</v>
      </c>
      <c r="BC265" t="s">
        <v>10</v>
      </c>
      <c r="BD265">
        <v>64</v>
      </c>
      <c r="BE265" s="83">
        <f>RANK(TableWRTEMaster[[#This Row],[VORP]],TableWRTEMaster[VORP])+COUNTIF($BJ$2:BJ265,BJ265)-1</f>
        <v>212</v>
      </c>
      <c r="BF265" s="115" t="str">
        <f>IFERROR(INDEX(TableTEVORP[TIGHT END],MATCH(TableWRTEMaster[[#This Row],[RK]],TableTEVORP[RK],0)),"")</f>
        <v>Noah Gray</v>
      </c>
      <c r="BG265" s="115" t="str">
        <f>_xlfn.CONCAT(TableWRTEMaster[[#This Row],[POS]],TableWRTEMaster[[#This Row],[RK]])</f>
        <v>TE64</v>
      </c>
      <c r="BH265" s="115">
        <f>IFERROR(INDEX(TableTEVORP[BYE],MATCH(TableWRTEMaster[[#This Row],[RK]],TableTEVORP[RK],0)),"")</f>
        <v>10</v>
      </c>
      <c r="BI265" s="116">
        <f>IFERROR(INDEX(TableTEVORP[FPS],MATCH(TableWRTEMaster[[#This Row],[RK]],TableTEVORP[RK],0)),"")</f>
        <v>17.649029798399997</v>
      </c>
      <c r="BJ265" s="117">
        <f>IFERROR(INDEX(TableTEVORP[VORP],MATCH(TableWRTEMaster[[#This Row],[RK]],TableTEVORP[RK],0)),"")</f>
        <v>-0.86562597797181873</v>
      </c>
    </row>
    <row r="266" spans="32:62" x14ac:dyDescent="0.2">
      <c r="AF266" t="s">
        <v>10</v>
      </c>
      <c r="AG266">
        <v>15</v>
      </c>
      <c r="AH266" s="83">
        <f>RANK(TableOverallMaster[[#This Row],[VORP]],TableOverallMaster[VORP])+COUNTIF($AM$2:AM266,AM266)-1</f>
        <v>161</v>
      </c>
      <c r="AI266" s="115" t="str">
        <f>IFERROR(INDEX(TableTEVORP[TIGHT END],MATCH(TableOverallMaster[[#This Row],[RK]],TableTEVORP[RK],0)),"")</f>
        <v>Pat Freiermuth</v>
      </c>
      <c r="AJ266" s="115" t="str">
        <f t="shared" si="4"/>
        <v>TE15</v>
      </c>
      <c r="AK266" s="115">
        <f>IFERROR(INDEX(TableTEVORP[BYE],MATCH(TableOverallMaster[[#This Row],[RK]],TableTEVORP[RK],0)),"")</f>
        <v>6</v>
      </c>
      <c r="AL266" s="116">
        <f>IFERROR(INDEX(TableTEVORP[FPS],MATCH(TableOverallMaster[[#This Row],[RK]],TableTEVORP[RK],0)),"")</f>
        <v>111.11222832065999</v>
      </c>
      <c r="AM266" s="117">
        <f>IFERROR(INDEX(TableTEVORP[VORP],MATCH(TableOverallMaster[[#This Row],[RK]],TableTEVORP[RK],0)),"")</f>
        <v>-0.15402732124605339</v>
      </c>
      <c r="AO266">
        <v>265</v>
      </c>
      <c r="AP266" s="118" t="str">
        <f>IFERROR(INDEX(TableOverallMaster[OVERALL PLAYER],MATCH(TableOverallRank[[#This Row],[RK]],TableOverallMaster[OVR RK],0)),"")</f>
        <v>Jamison Crowder</v>
      </c>
      <c r="AQ266" s="119" t="str">
        <f>IFERROR(INDEX(TableOverallMaster[POS RK],MATCH(TableOverallRank[[#This Row],[OVERALL PLAYER]],TableOverallMaster[OVERALL PLAYER],0)),"")</f>
        <v>WR103</v>
      </c>
      <c r="AR266" s="120">
        <f>IFERROR(INDEX(TableOverallMaster[BYE],MATCH(TableOverallRank[[#This Row],[OVERALL PLAYER]],TableOverallMaster[OVERALL PLAYER],0)),"")</f>
        <v>14</v>
      </c>
      <c r="AS266" s="119">
        <f>IFERROR(INDEX(TableOverallMaster[Custom],MATCH(TableOverallRank[[#This Row],[OVERALL PLAYER]],TableOverallMaster[OVERALL PLAYER],0)),"")</f>
        <v>45.974796266700011</v>
      </c>
      <c r="AT266" s="121">
        <f>IFERROR(INDEX(TableOverallMaster[VORP],MATCH(TableOverallRank[[#This Row],[OVERALL PLAYER]],TableOverallMaster[OVERALL PLAYER],0)),"")</f>
        <v>-0.68162086794480259</v>
      </c>
      <c r="AV266">
        <v>265</v>
      </c>
      <c r="AW266" s="122" t="str">
        <f>IFERROR(INDEX(TableWRTECalcPts[PLAYER],MATCH(TableWRTERank[[#This Row],[RK]],TableWRTECalcPts[RK],0)),"")</f>
        <v>Payne Durham</v>
      </c>
      <c r="AX266" s="122" t="str">
        <f>IFERROR(INDEX(TableWRTECalcPts[POS RK],MATCH(TableWRTERank[[#This Row],[WR and TE COMBINED]],TableWRTECalcPts[PLAYER],0)),"")</f>
        <v>TE84</v>
      </c>
      <c r="AY266" s="122">
        <f>IFERROR(INDEX(TableWRTECalcPts[BYE],MATCH(TableWRTERank[[#This Row],[RK]],TableWRTECalcPts[RK],0)),"")</f>
        <v>5</v>
      </c>
      <c r="AZ266" s="123">
        <f>IFERROR(INDEX(TableWRTECalcPts[Custom],MATCH(TableWRTERank[[#This Row],[RK]],TableWRTECalcPts[RK],0)),"")</f>
        <v>6.6706367481600006</v>
      </c>
      <c r="BA266" s="174">
        <f>IFERROR((TableWRTERank[[#This Row],[FPS]]-INDEX(TableWRTERank[FPS],MATCH(WRTEVORPCalc,TableWRTERank[RK],0)))/INDEX(TableWRTERank[FPS],MATCH(WRTEVORPCalc,TableWRTERank[RK],0)),"")</f>
        <v>-0.95531624373856971</v>
      </c>
      <c r="BC266" t="s">
        <v>10</v>
      </c>
      <c r="BD266">
        <v>65</v>
      </c>
      <c r="BE266" s="83">
        <f>RANK(TableWRTEMaster[[#This Row],[VORP]],TableWRTEMaster[VORP])+COUNTIF($BJ$2:BJ266,BJ266)-1</f>
        <v>217</v>
      </c>
      <c r="BF266" s="115" t="str">
        <f>IFERROR(INDEX(TableTEVORP[TIGHT END],MATCH(TableWRTEMaster[[#This Row],[RK]],TableTEVORP[RK],0)),"")</f>
        <v>Tanner Hudson</v>
      </c>
      <c r="BG266" s="115" t="str">
        <f>_xlfn.CONCAT(TableWRTEMaster[[#This Row],[POS]],TableWRTEMaster[[#This Row],[RK]])</f>
        <v>TE65</v>
      </c>
      <c r="BH266" s="115">
        <f>IFERROR(INDEX(TableTEVORP[BYE],MATCH(TableWRTEMaster[[#This Row],[RK]],TableTEVORP[RK],0)),"")</f>
        <v>7</v>
      </c>
      <c r="BI266" s="116">
        <f>IFERROR(INDEX(TableTEVORP[FPS],MATCH(TableWRTEMaster[[#This Row],[RK]],TableTEVORP[RK],0)),"")</f>
        <v>16.453780198379999</v>
      </c>
      <c r="BJ266" s="117">
        <f>IFERROR(INDEX(TableTEVORP[VORP],MATCH(TableWRTEMaster[[#This Row],[RK]],TableTEVORP[RK],0)),"")</f>
        <v>-0.87472622302306924</v>
      </c>
    </row>
    <row r="267" spans="32:62" x14ac:dyDescent="0.2">
      <c r="AF267" t="s">
        <v>10</v>
      </c>
      <c r="AG267">
        <v>16</v>
      </c>
      <c r="AH267" s="83">
        <f>RANK(TableOverallMaster[[#This Row],[VORP]],TableOverallMaster[VORP])+COUNTIF($AM$2:AM267,AM267)-1</f>
        <v>164</v>
      </c>
      <c r="AI267" s="115" t="str">
        <f>IFERROR(INDEX(TableTEVORP[TIGHT END],MATCH(TableOverallMaster[[#This Row],[RK]],TableTEVORP[RK],0)),"")</f>
        <v>Taysom Hill</v>
      </c>
      <c r="AJ267" s="115" t="str">
        <f t="shared" si="4"/>
        <v>TE16</v>
      </c>
      <c r="AK267" s="115">
        <f>IFERROR(INDEX(TableTEVORP[BYE],MATCH(TableOverallMaster[[#This Row],[RK]],TableTEVORP[RK],0)),"")</f>
        <v>11</v>
      </c>
      <c r="AL267" s="116">
        <f>IFERROR(INDEX(TableTEVORP[FPS],MATCH(TableOverallMaster[[#This Row],[RK]],TableTEVORP[RK],0)),"")</f>
        <v>109.30098272834891</v>
      </c>
      <c r="AM267" s="117">
        <f>IFERROR(INDEX(TableTEVORP[VORP],MATCH(TableOverallMaster[[#This Row],[RK]],TableTEVORP[RK],0)),"")</f>
        <v>-0.16781756115724217</v>
      </c>
      <c r="AO267">
        <v>266</v>
      </c>
      <c r="AP267" s="118" t="str">
        <f>IFERROR(INDEX(TableOverallMaster[OVERALL PLAYER],MATCH(TableOverallRank[[#This Row],[RK]],TableOverallMaster[OVR RK],0)),"")</f>
        <v>A.T. Perry</v>
      </c>
      <c r="AQ267" s="119" t="str">
        <f>IFERROR(INDEX(TableOverallMaster[POS RK],MATCH(TableOverallRank[[#This Row],[OVERALL PLAYER]],TableOverallMaster[OVERALL PLAYER],0)),"")</f>
        <v>WR104</v>
      </c>
      <c r="AR267" s="120">
        <f>IFERROR(INDEX(TableOverallMaster[BYE],MATCH(TableOverallRank[[#This Row],[OVERALL PLAYER]],TableOverallMaster[OVERALL PLAYER],0)),"")</f>
        <v>11</v>
      </c>
      <c r="AS267" s="119">
        <f>IFERROR(INDEX(TableOverallMaster[Custom],MATCH(TableOverallRank[[#This Row],[OVERALL PLAYER]],TableOverallMaster[OVERALL PLAYER],0)),"")</f>
        <v>45.816955573996985</v>
      </c>
      <c r="AT267" s="121">
        <f>IFERROR(INDEX(TableOverallMaster[VORP],MATCH(TableOverallRank[[#This Row],[OVERALL PLAYER]],TableOverallMaster[OVERALL PLAYER],0)),"")</f>
        <v>-0.6827139273344357</v>
      </c>
      <c r="AV267">
        <v>266</v>
      </c>
      <c r="AW267" s="122" t="str">
        <f>IFERROR(INDEX(TableWRTECalcPts[PLAYER],MATCH(TableWRTERank[[#This Row],[RK]],TableWRTECalcPts[RK],0)),"")</f>
        <v>Quintin Morris</v>
      </c>
      <c r="AX267" s="122" t="str">
        <f>IFERROR(INDEX(TableWRTECalcPts[POS RK],MATCH(TableWRTERank[[#This Row],[WR and TE COMBINED]],TableWRTECalcPts[PLAYER],0)),"")</f>
        <v>TE85</v>
      </c>
      <c r="AY267" s="122">
        <f>IFERROR(INDEX(TableWRTECalcPts[BYE],MATCH(TableWRTERank[[#This Row],[RK]],TableWRTECalcPts[RK],0)),"")</f>
        <v>13</v>
      </c>
      <c r="AZ267" s="123">
        <f>IFERROR(INDEX(TableWRTECalcPts[Custom],MATCH(TableWRTERank[[#This Row],[RK]],TableWRTECalcPts[RK],0)),"")</f>
        <v>6.5208368332799989</v>
      </c>
      <c r="BA267" s="174">
        <f>IFERROR((TableWRTERank[[#This Row],[FPS]]-INDEX(TableWRTERank[FPS],MATCH(WRTEVORPCalc,TableWRTERank[RK],0)))/INDEX(TableWRTERank[FPS],MATCH(WRTEVORPCalc,TableWRTERank[RK],0)),"")</f>
        <v>-0.95631968960696123</v>
      </c>
      <c r="BC267" t="s">
        <v>10</v>
      </c>
      <c r="BD267">
        <v>66</v>
      </c>
      <c r="BE267" s="83">
        <f>RANK(TableWRTEMaster[[#This Row],[VORP]],TableWRTEMaster[VORP])+COUNTIF($BJ$2:BJ267,BJ267)-1</f>
        <v>218</v>
      </c>
      <c r="BF267" s="115" t="str">
        <f>IFERROR(INDEX(TableTEVORP[TIGHT END],MATCH(TableWRTEMaster[[#This Row],[RK]],TableTEVORP[RK],0)),"")</f>
        <v>Luke Schoonmaker</v>
      </c>
      <c r="BG267" s="115" t="str">
        <f>_xlfn.CONCAT(TableWRTEMaster[[#This Row],[POS]],TableWRTEMaster[[#This Row],[RK]])</f>
        <v>TE66</v>
      </c>
      <c r="BH267" s="115">
        <f>IFERROR(INDEX(TableTEVORP[BYE],MATCH(TableWRTEMaster[[#This Row],[RK]],TableTEVORP[RK],0)),"")</f>
        <v>7</v>
      </c>
      <c r="BI267" s="116">
        <f>IFERROR(INDEX(TableTEVORP[FPS],MATCH(TableWRTEMaster[[#This Row],[RK]],TableTEVORP[RK],0)),"")</f>
        <v>16.188977851703996</v>
      </c>
      <c r="BJ267" s="117">
        <f>IFERROR(INDEX(TableTEVORP[VORP],MATCH(TableWRTEMaster[[#This Row],[RK]],TableTEVORP[RK],0)),"")</f>
        <v>-0.8767423427062363</v>
      </c>
    </row>
    <row r="268" spans="32:62" x14ac:dyDescent="0.2">
      <c r="AF268" t="s">
        <v>10</v>
      </c>
      <c r="AG268">
        <v>17</v>
      </c>
      <c r="AH268" s="83">
        <f>RANK(TableOverallMaster[[#This Row],[VORP]],TableOverallMaster[VORP])+COUNTIF($AM$2:AM268,AM268)-1</f>
        <v>169</v>
      </c>
      <c r="AI268" s="115" t="str">
        <f>IFERROR(INDEX(TableTEVORP[TIGHT END],MATCH(TableOverallMaster[[#This Row],[RK]],TableTEVORP[RK],0)),"")</f>
        <v>Chigoziem Okonkwo</v>
      </c>
      <c r="AJ268" s="115" t="str">
        <f t="shared" si="4"/>
        <v>TE17</v>
      </c>
      <c r="AK268" s="115">
        <f>IFERROR(INDEX(TableTEVORP[BYE],MATCH(TableOverallMaster[[#This Row],[RK]],TableTEVORP[RK],0)),"")</f>
        <v>7</v>
      </c>
      <c r="AL268" s="116">
        <f>IFERROR(INDEX(TableTEVORP[FPS],MATCH(TableOverallMaster[[#This Row],[RK]],TableTEVORP[RK],0)),"")</f>
        <v>105.83006106172496</v>
      </c>
      <c r="AM268" s="117">
        <f>IFERROR(INDEX(TableTEVORP[VORP],MATCH(TableOverallMaster[[#This Row],[RK]],TableTEVORP[RK],0)),"")</f>
        <v>-0.19424403954254701</v>
      </c>
      <c r="AO268">
        <v>267</v>
      </c>
      <c r="AP268" s="118" t="str">
        <f>IFERROR(INDEX(TableOverallMaster[OVERALL PLAYER],MATCH(TableOverallRank[[#This Row],[RK]],TableOverallMaster[OVR RK],0)),"")</f>
        <v>Drew Lock</v>
      </c>
      <c r="AQ268" s="119" t="str">
        <f>IFERROR(INDEX(TableOverallMaster[POS RK],MATCH(TableOverallRank[[#This Row],[OVERALL PLAYER]],TableOverallMaster[OVERALL PLAYER],0)),"")</f>
        <v>QB35</v>
      </c>
      <c r="AR268" s="120">
        <f>IFERROR(INDEX(TableOverallMaster[BYE],MATCH(TableOverallRank[[#This Row],[OVERALL PLAYER]],TableOverallMaster[OVERALL PLAYER],0)),"")</f>
        <v>13</v>
      </c>
      <c r="AS268" s="119">
        <f>IFERROR(INDEX(TableOverallMaster[Custom],MATCH(TableOverallRank[[#This Row],[OVERALL PLAYER]],TableOverallMaster[OVERALL PLAYER],0)),"")</f>
        <v>64.911786210399995</v>
      </c>
      <c r="AT268" s="121">
        <f>IFERROR(INDEX(TableOverallMaster[VORP],MATCH(TableOverallRank[[#This Row],[OVERALL PLAYER]],TableOverallMaster[OVERALL PLAYER],0)),"")</f>
        <v>-0.69138021435393215</v>
      </c>
      <c r="AV268">
        <v>267</v>
      </c>
      <c r="AW268" s="122" t="str">
        <f>IFERROR(INDEX(TableWRTECalcPts[PLAYER],MATCH(TableWRTERank[[#This Row],[RK]],TableWRTECalcPts[RK],0)),"")</f>
        <v>David Bell</v>
      </c>
      <c r="AX268" s="122" t="str">
        <f>IFERROR(INDEX(TableWRTECalcPts[POS RK],MATCH(TableWRTERank[[#This Row],[WR and TE COMBINED]],TableWRTECalcPts[PLAYER],0)),"")</f>
        <v>WR182</v>
      </c>
      <c r="AY268" s="122">
        <f>IFERROR(INDEX(TableWRTECalcPts[BYE],MATCH(TableWRTERank[[#This Row],[RK]],TableWRTECalcPts[RK],0)),"")</f>
        <v>5</v>
      </c>
      <c r="AZ268" s="123">
        <f>IFERROR(INDEX(TableWRTECalcPts[Custom],MATCH(TableWRTERank[[#This Row],[RK]],TableWRTECalcPts[RK],0)),"")</f>
        <v>6.5034446400000006</v>
      </c>
      <c r="BA268" s="174">
        <f>IFERROR((TableWRTERank[[#This Row],[FPS]]-INDEX(TableWRTERank[FPS],MATCH(WRTEVORPCalc,TableWRTERank[RK],0)))/INDEX(TableWRTERank[FPS],MATCH(WRTEVORPCalc,TableWRTERank[RK],0)),"")</f>
        <v>-0.95643619250686651</v>
      </c>
      <c r="BC268" t="s">
        <v>10</v>
      </c>
      <c r="BD268">
        <v>67</v>
      </c>
      <c r="BE268" s="83">
        <f>RANK(TableWRTEMaster[[#This Row],[VORP]],TableWRTEMaster[VORP])+COUNTIF($BJ$2:BJ268,BJ268)-1</f>
        <v>219</v>
      </c>
      <c r="BF268" s="115" t="str">
        <f>IFERROR(INDEX(TableTEVORP[TIGHT END],MATCH(TableWRTEMaster[[#This Row],[RK]],TableTEVORP[RK],0)),"")</f>
        <v>Erick All</v>
      </c>
      <c r="BG268" s="115" t="str">
        <f>_xlfn.CONCAT(TableWRTEMaster[[#This Row],[POS]],TableWRTEMaster[[#This Row],[RK]])</f>
        <v>TE67</v>
      </c>
      <c r="BH268" s="115">
        <f>IFERROR(INDEX(TableTEVORP[BYE],MATCH(TableWRTEMaster[[#This Row],[RK]],TableTEVORP[RK],0)),"")</f>
        <v>7</v>
      </c>
      <c r="BI268" s="116">
        <f>IFERROR(INDEX(TableTEVORP[FPS],MATCH(TableWRTEMaster[[#This Row],[RK]],TableTEVORP[RK],0)),"")</f>
        <v>16.098907581288</v>
      </c>
      <c r="BJ268" s="117">
        <f>IFERROR(INDEX(TableTEVORP[VORP],MATCH(TableWRTEMaster[[#This Row],[RK]],TableTEVORP[RK],0)),"")</f>
        <v>-0.87742810870239651</v>
      </c>
    </row>
    <row r="269" spans="32:62" x14ac:dyDescent="0.2">
      <c r="AF269" t="s">
        <v>10</v>
      </c>
      <c r="AG269">
        <v>18</v>
      </c>
      <c r="AH269" s="83">
        <f>RANK(TableOverallMaster[[#This Row],[VORP]],TableOverallMaster[VORP])+COUNTIF($AM$2:AM269,AM269)-1</f>
        <v>174</v>
      </c>
      <c r="AI269" s="115" t="str">
        <f>IFERROR(INDEX(TableTEVORP[TIGHT END],MATCH(TableOverallMaster[[#This Row],[RK]],TableTEVORP[RK],0)),"")</f>
        <v>Luke Musgrave</v>
      </c>
      <c r="AJ269" s="115" t="str">
        <f t="shared" si="4"/>
        <v>TE18</v>
      </c>
      <c r="AK269" s="115">
        <f>IFERROR(INDEX(TableTEVORP[BYE],MATCH(TableOverallMaster[[#This Row],[RK]],TableTEVORP[RK],0)),"")</f>
        <v>6</v>
      </c>
      <c r="AL269" s="116">
        <f>IFERROR(INDEX(TableTEVORP[FPS],MATCH(TableOverallMaster[[#This Row],[RK]],TableTEVORP[RK],0)),"")</f>
        <v>99.969667209216013</v>
      </c>
      <c r="AM269" s="117">
        <f>IFERROR(INDEX(TableTEVORP[VORP],MATCH(TableOverallMaster[[#This Row],[RK]],TableTEVORP[RK],0)),"")</f>
        <v>-0.23886318867573314</v>
      </c>
      <c r="AO269">
        <v>268</v>
      </c>
      <c r="AP269" s="118" t="str">
        <f>IFERROR(INDEX(TableOverallMaster[OVERALL PLAYER],MATCH(TableOverallRank[[#This Row],[RK]],TableOverallMaster[OVR RK],0)),"")</f>
        <v>Israel Abanikanda</v>
      </c>
      <c r="AQ269" s="119" t="str">
        <f>IFERROR(INDEX(TableOverallMaster[POS RK],MATCH(TableOverallRank[[#This Row],[OVERALL PLAYER]],TableOverallMaster[OVERALL PLAYER],0)),"")</f>
        <v>RB84</v>
      </c>
      <c r="AR269" s="120">
        <f>IFERROR(INDEX(TableOverallMaster[BYE],MATCH(TableOverallRank[[#This Row],[OVERALL PLAYER]],TableOverallMaster[OVERALL PLAYER],0)),"")</f>
        <v>7</v>
      </c>
      <c r="AS269" s="119">
        <f>IFERROR(INDEX(TableOverallMaster[Custom],MATCH(TableOverallRank[[#This Row],[OVERALL PLAYER]],TableOverallMaster[OVERALL PLAYER],0)),"")</f>
        <v>33.195925074849605</v>
      </c>
      <c r="AT269" s="121">
        <f>IFERROR(INDEX(TableOverallMaster[VORP],MATCH(TableOverallRank[[#This Row],[OVERALL PLAYER]],TableOverallMaster[OVERALL PLAYER],0)),"")</f>
        <v>-0.70549599938288154</v>
      </c>
      <c r="AV269">
        <v>268</v>
      </c>
      <c r="AW269" s="122" t="str">
        <f>IFERROR(INDEX(TableWRTECalcPts[PLAYER],MATCH(TableWRTERank[[#This Row],[RK]],TableWRTECalcPts[RK],0)),"")</f>
        <v/>
      </c>
      <c r="AX269" s="122" t="str">
        <f>IFERROR(INDEX(TableWRTECalcPts[POS RK],MATCH(TableWRTERank[[#This Row],[WR and TE COMBINED]],TableWRTECalcPts[PLAYER],0)),"")</f>
        <v>TE86</v>
      </c>
      <c r="AY269" s="122" t="str">
        <f>IFERROR(INDEX(TableWRTECalcPts[BYE],MATCH(TableWRTERank[[#This Row],[RK]],TableWRTECalcPts[RK],0)),"")</f>
        <v/>
      </c>
      <c r="AZ269" s="123" t="str">
        <f>IFERROR(INDEX(TableWRTECalcPts[Custom],MATCH(TableWRTERank[[#This Row],[RK]],TableWRTECalcPts[RK],0)),"")</f>
        <v/>
      </c>
      <c r="BA269" s="174" t="str">
        <f>IFERROR((TableWRTERank[[#This Row],[FPS]]-INDEX(TableWRTERank[FPS],MATCH(WRTEVORPCalc,TableWRTERank[RK],0)))/INDEX(TableWRTERank[FPS],MATCH(WRTEVORPCalc,TableWRTERank[RK],0)),"")</f>
        <v/>
      </c>
      <c r="BC269" t="s">
        <v>10</v>
      </c>
      <c r="BD269">
        <v>68</v>
      </c>
      <c r="BE269" s="83">
        <f>RANK(TableWRTEMaster[[#This Row],[VORP]],TableWRTEMaster[VORP])+COUNTIF($BJ$2:BJ269,BJ269)-1</f>
        <v>221</v>
      </c>
      <c r="BF269" s="115" t="str">
        <f>IFERROR(INDEX(TableTEVORP[TIGHT END],MATCH(TableWRTEMaster[[#This Row],[RK]],TableTEVORP[RK],0)),"")</f>
        <v>Brevin Jordan</v>
      </c>
      <c r="BG269" s="115" t="str">
        <f>_xlfn.CONCAT(TableWRTEMaster[[#This Row],[POS]],TableWRTEMaster[[#This Row],[RK]])</f>
        <v>TE68</v>
      </c>
      <c r="BH269" s="115">
        <f>IFERROR(INDEX(TableTEVORP[BYE],MATCH(TableWRTEMaster[[#This Row],[RK]],TableTEVORP[RK],0)),"")</f>
        <v>7</v>
      </c>
      <c r="BI269" s="116">
        <f>IFERROR(INDEX(TableTEVORP[FPS],MATCH(TableWRTEMaster[[#This Row],[RK]],TableTEVORP[RK],0)),"")</f>
        <v>15.682476386304002</v>
      </c>
      <c r="BJ269" s="117">
        <f>IFERROR(INDEX(TableTEVORP[VORP],MATCH(TableWRTEMaster[[#This Row],[RK]],TableTEVORP[RK],0)),"")</f>
        <v>-0.88059868154448417</v>
      </c>
    </row>
    <row r="270" spans="32:62" x14ac:dyDescent="0.2">
      <c r="AF270" t="s">
        <v>10</v>
      </c>
      <c r="AG270">
        <v>19</v>
      </c>
      <c r="AH270" s="83">
        <f>RANK(TableOverallMaster[[#This Row],[VORP]],TableOverallMaster[VORP])+COUNTIF($AM$2:AM270,AM270)-1</f>
        <v>175</v>
      </c>
      <c r="AI270" s="115" t="str">
        <f>IFERROR(INDEX(TableTEVORP[TIGHT END],MATCH(TableOverallMaster[[#This Row],[RK]],TableTEVORP[RK],0)),"")</f>
        <v>Hunter Henry</v>
      </c>
      <c r="AJ270" s="115" t="str">
        <f t="shared" si="4"/>
        <v>TE19</v>
      </c>
      <c r="AK270" s="115">
        <f>IFERROR(INDEX(TableTEVORP[BYE],MATCH(TableOverallMaster[[#This Row],[RK]],TableTEVORP[RK],0)),"")</f>
        <v>11</v>
      </c>
      <c r="AL270" s="116">
        <f>IFERROR(INDEX(TableTEVORP[FPS],MATCH(TableOverallMaster[[#This Row],[RK]],TableTEVORP[RK],0)),"")</f>
        <v>96.809080357735198</v>
      </c>
      <c r="AM270" s="117">
        <f>IFERROR(INDEX(TableTEVORP[VORP],MATCH(TableOverallMaster[[#This Row],[RK]],TableTEVORP[RK],0)),"")</f>
        <v>-0.2629268778447188</v>
      </c>
      <c r="AO270">
        <v>269</v>
      </c>
      <c r="AP270" s="118" t="str">
        <f>IFERROR(INDEX(TableOverallMaster[OVERALL PLAYER],MATCH(TableOverallRank[[#This Row],[RK]],TableOverallMaster[OVR RK],0)),"")</f>
        <v>Devontez Walker</v>
      </c>
      <c r="AQ270" s="119" t="str">
        <f>IFERROR(INDEX(TableOverallMaster[POS RK],MATCH(TableOverallRank[[#This Row],[OVERALL PLAYER]],TableOverallMaster[OVERALL PLAYER],0)),"")</f>
        <v>WR105</v>
      </c>
      <c r="AR270" s="120">
        <f>IFERROR(INDEX(TableOverallMaster[BYE],MATCH(TableOverallRank[[#This Row],[OVERALL PLAYER]],TableOverallMaster[OVERALL PLAYER],0)),"")</f>
        <v>13</v>
      </c>
      <c r="AS270" s="119">
        <f>IFERROR(INDEX(TableOverallMaster[Custom],MATCH(TableOverallRank[[#This Row],[OVERALL PLAYER]],TableOverallMaster[OVERALL PLAYER],0)),"")</f>
        <v>41.847989055196805</v>
      </c>
      <c r="AT270" s="121">
        <f>IFERROR(INDEX(TableOverallMaster[VORP],MATCH(TableOverallRank[[#This Row],[OVERALL PLAYER]],TableOverallMaster[OVERALL PLAYER],0)),"")</f>
        <v>-0.71019933712464722</v>
      </c>
      <c r="AV270">
        <v>269</v>
      </c>
      <c r="AW270" s="122" t="str">
        <f>IFERROR(INDEX(TableWRTECalcPts[PLAYER],MATCH(TableWRTERank[[#This Row],[RK]],TableWRTECalcPts[RK],0)),"")</f>
        <v/>
      </c>
      <c r="AX270" s="122" t="str">
        <f>IFERROR(INDEX(TableWRTECalcPts[POS RK],MATCH(TableWRTERank[[#This Row],[WR and TE COMBINED]],TableWRTECalcPts[PLAYER],0)),"")</f>
        <v>TE86</v>
      </c>
      <c r="AY270" s="122" t="str">
        <f>IFERROR(INDEX(TableWRTECalcPts[BYE],MATCH(TableWRTERank[[#This Row],[RK]],TableWRTECalcPts[RK],0)),"")</f>
        <v/>
      </c>
      <c r="AZ270" s="123" t="str">
        <f>IFERROR(INDEX(TableWRTECalcPts[Custom],MATCH(TableWRTERank[[#This Row],[RK]],TableWRTECalcPts[RK],0)),"")</f>
        <v/>
      </c>
      <c r="BA270" s="174" t="str">
        <f>IFERROR((TableWRTERank[[#This Row],[FPS]]-INDEX(TableWRTERank[FPS],MATCH(WRTEVORPCalc,TableWRTERank[RK],0)))/INDEX(TableWRTERank[FPS],MATCH(WRTEVORPCalc,TableWRTERank[RK],0)),"")</f>
        <v/>
      </c>
      <c r="BC270" t="s">
        <v>10</v>
      </c>
      <c r="BD270">
        <v>69</v>
      </c>
      <c r="BE270" s="83">
        <f>RANK(TableWRTEMaster[[#This Row],[VORP]],TableWRTEMaster[VORP])+COUNTIF($BJ$2:BJ270,BJ270)-1</f>
        <v>223</v>
      </c>
      <c r="BF270" s="115" t="str">
        <f>IFERROR(INDEX(TableTEVORP[TIGHT END],MATCH(TableWRTEMaster[[#This Row],[RK]],TableTEVORP[RK],0)),"")</f>
        <v>Durham Smythe</v>
      </c>
      <c r="BG270" s="115" t="str">
        <f>_xlfn.CONCAT(TableWRTEMaster[[#This Row],[POS]],TableWRTEMaster[[#This Row],[RK]])</f>
        <v>TE69</v>
      </c>
      <c r="BH270" s="115">
        <f>IFERROR(INDEX(TableTEVORP[BYE],MATCH(TableWRTEMaster[[#This Row],[RK]],TableTEVORP[RK],0)),"")</f>
        <v>10</v>
      </c>
      <c r="BI270" s="116">
        <f>IFERROR(INDEX(TableTEVORP[FPS],MATCH(TableWRTEMaster[[#This Row],[RK]],TableTEVORP[RK],0)),"")</f>
        <v>14.89512935232</v>
      </c>
      <c r="BJ270" s="117">
        <f>IFERROR(INDEX(TableTEVORP[VORP],MATCH(TableWRTEMaster[[#This Row],[RK]],TableTEVORP[RK],0)),"")</f>
        <v>-0.88659328798443593</v>
      </c>
    </row>
    <row r="271" spans="32:62" x14ac:dyDescent="0.2">
      <c r="AF271" t="s">
        <v>10</v>
      </c>
      <c r="AG271">
        <v>20</v>
      </c>
      <c r="AH271" s="83">
        <f>RANK(TableOverallMaster[[#This Row],[VORP]],TableOverallMaster[VORP])+COUNTIF($AM$2:AM271,AM271)-1</f>
        <v>183</v>
      </c>
      <c r="AI271" s="115" t="str">
        <f>IFERROR(INDEX(TableTEVORP[TIGHT END],MATCH(TableOverallMaster[[#This Row],[RK]],TableTEVORP[RK],0)),"")</f>
        <v>Tyler Higbee</v>
      </c>
      <c r="AJ271" s="115" t="str">
        <f t="shared" si="4"/>
        <v>TE20</v>
      </c>
      <c r="AK271" s="115">
        <f>IFERROR(INDEX(TableTEVORP[BYE],MATCH(TableOverallMaster[[#This Row],[RK]],TableTEVORP[RK],0)),"")</f>
        <v>10</v>
      </c>
      <c r="AL271" s="116">
        <f>IFERROR(INDEX(TableTEVORP[FPS],MATCH(TableOverallMaster[[#This Row],[RK]],TableTEVORP[RK],0)),"")</f>
        <v>94.274959189353581</v>
      </c>
      <c r="AM271" s="117">
        <f>IFERROR(INDEX(TableTEVORP[VORP],MATCH(TableOverallMaster[[#This Row],[RK]],TableTEVORP[RK],0)),"")</f>
        <v>-0.28222085930386182</v>
      </c>
      <c r="AO271">
        <v>270</v>
      </c>
      <c r="AP271" s="118" t="str">
        <f>IFERROR(INDEX(TableOverallMaster[OVERALL PLAYER],MATCH(TableOverallRank[[#This Row],[RK]],TableOverallMaster[OVR RK],0)),"")</f>
        <v>Allen Lazard</v>
      </c>
      <c r="AQ271" s="119" t="str">
        <f>IFERROR(INDEX(TableOverallMaster[POS RK],MATCH(TableOverallRank[[#This Row],[OVERALL PLAYER]],TableOverallMaster[OVERALL PLAYER],0)),"")</f>
        <v>WR106</v>
      </c>
      <c r="AR271" s="120">
        <f>IFERROR(INDEX(TableOverallMaster[BYE],MATCH(TableOverallRank[[#This Row],[OVERALL PLAYER]],TableOverallMaster[OVERALL PLAYER],0)),"")</f>
        <v>7</v>
      </c>
      <c r="AS271" s="119">
        <f>IFERROR(INDEX(TableOverallMaster[Custom],MATCH(TableOverallRank[[#This Row],[OVERALL PLAYER]],TableOverallMaster[OVERALL PLAYER],0)),"")</f>
        <v>41.839992226031995</v>
      </c>
      <c r="AT271" s="121">
        <f>IFERROR(INDEX(TableOverallMaster[VORP],MATCH(TableOverallRank[[#This Row],[OVERALL PLAYER]],TableOverallMaster[OVERALL PLAYER],0)),"")</f>
        <v>-0.71025471580460731</v>
      </c>
      <c r="AV271">
        <v>270</v>
      </c>
      <c r="AW271" s="122" t="str">
        <f>IFERROR(INDEX(TableWRTECalcPts[PLAYER],MATCH(TableWRTERank[[#This Row],[RK]],TableWRTECalcPts[RK],0)),"")</f>
        <v/>
      </c>
      <c r="AX271" s="122" t="str">
        <f>IFERROR(INDEX(TableWRTECalcPts[POS RK],MATCH(TableWRTERank[[#This Row],[WR and TE COMBINED]],TableWRTECalcPts[PLAYER],0)),"")</f>
        <v>TE86</v>
      </c>
      <c r="AY271" s="122" t="str">
        <f>IFERROR(INDEX(TableWRTECalcPts[BYE],MATCH(TableWRTERank[[#This Row],[RK]],TableWRTECalcPts[RK],0)),"")</f>
        <v/>
      </c>
      <c r="AZ271" s="123" t="str">
        <f>IFERROR(INDEX(TableWRTECalcPts[Custom],MATCH(TableWRTERank[[#This Row],[RK]],TableWRTECalcPts[RK],0)),"")</f>
        <v/>
      </c>
      <c r="BA271" s="174" t="str">
        <f>IFERROR((TableWRTERank[[#This Row],[FPS]]-INDEX(TableWRTERank[FPS],MATCH(WRTEVORPCalc,TableWRTERank[RK],0)))/INDEX(TableWRTERank[FPS],MATCH(WRTEVORPCalc,TableWRTERank[RK],0)),"")</f>
        <v/>
      </c>
      <c r="BC271" t="s">
        <v>10</v>
      </c>
      <c r="BD271">
        <v>70</v>
      </c>
      <c r="BE271" s="83">
        <f>RANK(TableWRTEMaster[[#This Row],[VORP]],TableWRTEMaster[VORP])+COUNTIF($BJ$2:BJ271,BJ271)-1</f>
        <v>224</v>
      </c>
      <c r="BF271" s="115" t="str">
        <f>IFERROR(INDEX(TableTEVORP[TIGHT END],MATCH(TableWRTEMaster[[#This Row],[RK]],TableTEVORP[RK],0)),"")</f>
        <v>Tip Reiman</v>
      </c>
      <c r="BG271" s="115" t="str">
        <f>_xlfn.CONCAT(TableWRTEMaster[[#This Row],[POS]],TableWRTEMaster[[#This Row],[RK]])</f>
        <v>TE70</v>
      </c>
      <c r="BH271" s="115">
        <f>IFERROR(INDEX(TableTEVORP[BYE],MATCH(TableWRTEMaster[[#This Row],[RK]],TableTEVORP[RK],0)),"")</f>
        <v>14</v>
      </c>
      <c r="BI271" s="116">
        <f>IFERROR(INDEX(TableTEVORP[FPS],MATCH(TableWRTEMaster[[#This Row],[RK]],TableTEVORP[RK],0)),"")</f>
        <v>14.747381013540004</v>
      </c>
      <c r="BJ271" s="117">
        <f>IFERROR(INDEX(TableTEVORP[VORP],MATCH(TableWRTEMaster[[#This Row],[RK]],TableTEVORP[RK],0)),"")</f>
        <v>-0.88771819619506465</v>
      </c>
    </row>
    <row r="272" spans="32:62" x14ac:dyDescent="0.2">
      <c r="AF272" t="s">
        <v>10</v>
      </c>
      <c r="AG272">
        <v>21</v>
      </c>
      <c r="AH272" s="83">
        <f>RANK(TableOverallMaster[[#This Row],[VORP]],TableOverallMaster[VORP])+COUNTIF($AM$2:AM272,AM272)-1</f>
        <v>188</v>
      </c>
      <c r="AI272" s="115" t="str">
        <f>IFERROR(INDEX(TableTEVORP[TIGHT END],MATCH(TableOverallMaster[[#This Row],[RK]],TableTEVORP[RK],0)),"")</f>
        <v>Jelani Woods</v>
      </c>
      <c r="AJ272" s="115" t="str">
        <f t="shared" si="4"/>
        <v>TE21</v>
      </c>
      <c r="AK272" s="115">
        <f>IFERROR(INDEX(TableTEVORP[BYE],MATCH(TableOverallMaster[[#This Row],[RK]],TableTEVORP[RK],0)),"")</f>
        <v>11</v>
      </c>
      <c r="AL272" s="116">
        <f>IFERROR(INDEX(TableTEVORP[FPS],MATCH(TableOverallMaster[[#This Row],[RK]],TableTEVORP[RK],0)),"")</f>
        <v>89.963733537216015</v>
      </c>
      <c r="AM272" s="117">
        <f>IFERROR(INDEX(TableTEVORP[VORP],MATCH(TableOverallMaster[[#This Row],[RK]],TableTEVORP[RK],0)),"")</f>
        <v>-0.31504514128231437</v>
      </c>
      <c r="AO272">
        <v>271</v>
      </c>
      <c r="AP272" s="118" t="str">
        <f>IFERROR(INDEX(TableOverallMaster[OVERALL PLAYER],MATCH(TableOverallRank[[#This Row],[RK]],TableOverallMaster[OVR RK],0)),"")</f>
        <v>Mo Alie-Cox</v>
      </c>
      <c r="AQ272" s="119" t="str">
        <f>IFERROR(INDEX(TableOverallMaster[POS RK],MATCH(TableOverallRank[[#This Row],[OVERALL PLAYER]],TableOverallMaster[OVERALL PLAYER],0)),"")</f>
        <v>TE46</v>
      </c>
      <c r="AR272" s="120">
        <f>IFERROR(INDEX(TableOverallMaster[BYE],MATCH(TableOverallRank[[#This Row],[OVERALL PLAYER]],TableOverallMaster[OVERALL PLAYER],0)),"")</f>
        <v>11</v>
      </c>
      <c r="AS272" s="119">
        <f>IFERROR(INDEX(TableOverallMaster[Custom],MATCH(TableOverallRank[[#This Row],[OVERALL PLAYER]],TableOverallMaster[OVERALL PLAYER],0)),"")</f>
        <v>36.596044523500012</v>
      </c>
      <c r="AT272" s="121">
        <f>IFERROR(INDEX(TableOverallMaster[VORP],MATCH(TableOverallRank[[#This Row],[OVERALL PLAYER]],TableOverallMaster[OVERALL PLAYER],0)),"")</f>
        <v>-0.72136951724162746</v>
      </c>
      <c r="AV272">
        <v>271</v>
      </c>
      <c r="AW272" s="122" t="str">
        <f>IFERROR(INDEX(TableWRTECalcPts[PLAYER],MATCH(TableWRTERank[[#This Row],[RK]],TableWRTECalcPts[RK],0)),"")</f>
        <v/>
      </c>
      <c r="AX272" s="122" t="str">
        <f>IFERROR(INDEX(TableWRTECalcPts[POS RK],MATCH(TableWRTERank[[#This Row],[WR and TE COMBINED]],TableWRTECalcPts[PLAYER],0)),"")</f>
        <v>TE86</v>
      </c>
      <c r="AY272" s="122" t="str">
        <f>IFERROR(INDEX(TableWRTECalcPts[BYE],MATCH(TableWRTERank[[#This Row],[RK]],TableWRTECalcPts[RK],0)),"")</f>
        <v/>
      </c>
      <c r="AZ272" s="123" t="str">
        <f>IFERROR(INDEX(TableWRTECalcPts[Custom],MATCH(TableWRTERank[[#This Row],[RK]],TableWRTECalcPts[RK],0)),"")</f>
        <v/>
      </c>
      <c r="BA272" s="174" t="str">
        <f>IFERROR((TableWRTERank[[#This Row],[FPS]]-INDEX(TableWRTERank[FPS],MATCH(WRTEVORPCalc,TableWRTERank[RK],0)))/INDEX(TableWRTERank[FPS],MATCH(WRTEVORPCalc,TableWRTERank[RK],0)),"")</f>
        <v/>
      </c>
      <c r="BC272" t="s">
        <v>10</v>
      </c>
      <c r="BD272">
        <v>71</v>
      </c>
      <c r="BE272" s="83">
        <f>RANK(TableWRTEMaster[[#This Row],[VORP]],TableWRTEMaster[VORP])+COUNTIF($BJ$2:BJ272,BJ272)-1</f>
        <v>225</v>
      </c>
      <c r="BF272" s="115" t="str">
        <f>IFERROR(INDEX(TableTEVORP[TIGHT END],MATCH(TableWRTEMaster[[#This Row],[RK]],TableTEVORP[RK],0)),"")</f>
        <v>Luke Farrell</v>
      </c>
      <c r="BG272" s="115" t="str">
        <f>_xlfn.CONCAT(TableWRTEMaster[[#This Row],[POS]],TableWRTEMaster[[#This Row],[RK]])</f>
        <v>TE71</v>
      </c>
      <c r="BH272" s="115">
        <f>IFERROR(INDEX(TableTEVORP[BYE],MATCH(TableWRTEMaster[[#This Row],[RK]],TableTEVORP[RK],0)),"")</f>
        <v>9</v>
      </c>
      <c r="BI272" s="116">
        <f>IFERROR(INDEX(TableTEVORP[FPS],MATCH(TableWRTEMaster[[#This Row],[RK]],TableTEVORP[RK],0)),"")</f>
        <v>14.710061620799998</v>
      </c>
      <c r="BJ272" s="117">
        <f>IFERROR(INDEX(TableTEVORP[VORP],MATCH(TableWRTEMaster[[#This Row],[RK]],TableTEVORP[RK],0)),"")</f>
        <v>-0.88800233401790285</v>
      </c>
    </row>
    <row r="273" spans="32:62" x14ac:dyDescent="0.2">
      <c r="AF273" t="s">
        <v>10</v>
      </c>
      <c r="AG273">
        <v>22</v>
      </c>
      <c r="AH273" s="83">
        <f>RANK(TableOverallMaster[[#This Row],[VORP]],TableOverallMaster[VORP])+COUNTIF($AM$2:AM273,AM273)-1</f>
        <v>191</v>
      </c>
      <c r="AI273" s="115" t="str">
        <f>IFERROR(INDEX(TableTEVORP[TIGHT END],MATCH(TableOverallMaster[[#This Row],[RK]],TableTEVORP[RK],0)),"")</f>
        <v>Juwan Johnson</v>
      </c>
      <c r="AJ273" s="115" t="str">
        <f t="shared" si="4"/>
        <v>TE22</v>
      </c>
      <c r="AK273" s="115">
        <f>IFERROR(INDEX(TableTEVORP[BYE],MATCH(TableOverallMaster[[#This Row],[RK]],TableTEVORP[RK],0)),"")</f>
        <v>11</v>
      </c>
      <c r="AL273" s="116">
        <f>IFERROR(INDEX(TableTEVORP[FPS],MATCH(TableOverallMaster[[#This Row],[RK]],TableTEVORP[RK],0)),"")</f>
        <v>88.505673243704607</v>
      </c>
      <c r="AM273" s="117">
        <f>IFERROR(INDEX(TableTEVORP[VORP],MATCH(TableOverallMaster[[#This Row],[RK]],TableTEVORP[RK],0)),"")</f>
        <v>-0.32614634221158473</v>
      </c>
      <c r="AO273">
        <v>272</v>
      </c>
      <c r="AP273" s="118" t="str">
        <f>IFERROR(INDEX(TableOverallMaster[OVERALL PLAYER],MATCH(TableOverallRank[[#This Row],[RK]],TableOverallMaster[OVR RK],0)),"")</f>
        <v>Cedric Tillman</v>
      </c>
      <c r="AQ273" s="119" t="str">
        <f>IFERROR(INDEX(TableOverallMaster[POS RK],MATCH(TableOverallRank[[#This Row],[OVERALL PLAYER]],TableOverallMaster[OVERALL PLAYER],0)),"")</f>
        <v>WR107</v>
      </c>
      <c r="AR273" s="120">
        <f>IFERROR(INDEX(TableOverallMaster[BYE],MATCH(TableOverallRank[[#This Row],[OVERALL PLAYER]],TableOverallMaster[OVERALL PLAYER],0)),"")</f>
        <v>5</v>
      </c>
      <c r="AS273" s="119">
        <f>IFERROR(INDEX(TableOverallMaster[Custom],MATCH(TableOverallRank[[#This Row],[OVERALL PLAYER]],TableOverallMaster[OVERALL PLAYER],0)),"")</f>
        <v>40.104575279999999</v>
      </c>
      <c r="AT273" s="121">
        <f>IFERROR(INDEX(TableOverallMaster[VORP],MATCH(TableOverallRank[[#This Row],[OVERALL PLAYER]],TableOverallMaster[OVERALL PLAYER],0)),"")</f>
        <v>-0.72227261660891695</v>
      </c>
      <c r="AV273">
        <v>272</v>
      </c>
      <c r="AW273" s="122" t="str">
        <f>IFERROR(INDEX(TableWRTECalcPts[PLAYER],MATCH(TableWRTERank[[#This Row],[RK]],TableWRTECalcPts[RK],0)),"")</f>
        <v/>
      </c>
      <c r="AX273" s="122" t="str">
        <f>IFERROR(INDEX(TableWRTECalcPts[POS RK],MATCH(TableWRTERank[[#This Row],[WR and TE COMBINED]],TableWRTECalcPts[PLAYER],0)),"")</f>
        <v>TE86</v>
      </c>
      <c r="AY273" s="122" t="str">
        <f>IFERROR(INDEX(TableWRTECalcPts[BYE],MATCH(TableWRTERank[[#This Row],[RK]],TableWRTECalcPts[RK],0)),"")</f>
        <v/>
      </c>
      <c r="AZ273" s="123" t="str">
        <f>IFERROR(INDEX(TableWRTECalcPts[Custom],MATCH(TableWRTERank[[#This Row],[RK]],TableWRTECalcPts[RK],0)),"")</f>
        <v/>
      </c>
      <c r="BA273" s="174" t="str">
        <f>IFERROR((TableWRTERank[[#This Row],[FPS]]-INDEX(TableWRTERank[FPS],MATCH(WRTEVORPCalc,TableWRTERank[RK],0)))/INDEX(TableWRTERank[FPS],MATCH(WRTEVORPCalc,TableWRTERank[RK],0)),"")</f>
        <v/>
      </c>
      <c r="BC273" t="s">
        <v>10</v>
      </c>
      <c r="BD273">
        <v>72</v>
      </c>
      <c r="BE273" s="83">
        <f>RANK(TableWRTEMaster[[#This Row],[VORP]],TableWRTEMaster[VORP])+COUNTIF($BJ$2:BJ273,BJ273)-1</f>
        <v>229</v>
      </c>
      <c r="BF273" s="115" t="str">
        <f>IFERROR(INDEX(TableTEVORP[TIGHT END],MATCH(TableWRTEMaster[[#This Row],[RK]],TableTEVORP[RK],0)),"")</f>
        <v>Brock Wright</v>
      </c>
      <c r="BG273" s="115" t="str">
        <f>_xlfn.CONCAT(TableWRTEMaster[[#This Row],[POS]],TableWRTEMaster[[#This Row],[RK]])</f>
        <v>TE72</v>
      </c>
      <c r="BH273" s="115">
        <f>IFERROR(INDEX(TableTEVORP[BYE],MATCH(TableWRTEMaster[[#This Row],[RK]],TableTEVORP[RK],0)),"")</f>
        <v>9</v>
      </c>
      <c r="BI273" s="116">
        <f>IFERROR(INDEX(TableTEVORP[FPS],MATCH(TableWRTEMaster[[#This Row],[RK]],TableTEVORP[RK],0)),"")</f>
        <v>14.383572453432</v>
      </c>
      <c r="BJ273" s="117">
        <f>IFERROR(INDEX(TableTEVORP[VORP],MATCH(TableWRTEMaster[[#This Row],[RK]],TableTEVORP[RK],0)),"")</f>
        <v>-0.89048811726315791</v>
      </c>
    </row>
    <row r="274" spans="32:62" x14ac:dyDescent="0.2">
      <c r="AF274" t="s">
        <v>10</v>
      </c>
      <c r="AG274">
        <v>23</v>
      </c>
      <c r="AH274" s="83">
        <f>RANK(TableOverallMaster[[#This Row],[VORP]],TableOverallMaster[VORP])+COUNTIF($AM$2:AM274,AM274)-1</f>
        <v>193</v>
      </c>
      <c r="AI274" s="115" t="str">
        <f>IFERROR(INDEX(TableTEVORP[TIGHT END],MATCH(TableOverallMaster[[#This Row],[RK]],TableTEVORP[RK],0)),"")</f>
        <v>Daniel Bellinger</v>
      </c>
      <c r="AJ274" s="115" t="str">
        <f t="shared" si="4"/>
        <v>TE23</v>
      </c>
      <c r="AK274" s="115">
        <f>IFERROR(INDEX(TableTEVORP[BYE],MATCH(TableOverallMaster[[#This Row],[RK]],TableTEVORP[RK],0)),"")</f>
        <v>13</v>
      </c>
      <c r="AL274" s="116">
        <f>IFERROR(INDEX(TableTEVORP[FPS],MATCH(TableOverallMaster[[#This Row],[RK]],TableTEVORP[RK],0)),"")</f>
        <v>87.870440020271985</v>
      </c>
      <c r="AM274" s="117">
        <f>IFERROR(INDEX(TableTEVORP[VORP],MATCH(TableOverallMaster[[#This Row],[RK]],TableTEVORP[RK],0)),"")</f>
        <v>-0.33098280314646888</v>
      </c>
      <c r="AO274">
        <v>273</v>
      </c>
      <c r="AP274" s="118" t="str">
        <f>IFERROR(INDEX(TableOverallMaster[OVERALL PLAYER],MATCH(TableOverallRank[[#This Row],[RK]],TableOverallMaster[OVR RK],0)),"")</f>
        <v>Tre Tucker</v>
      </c>
      <c r="AQ274" s="119" t="str">
        <f>IFERROR(INDEX(TableOverallMaster[POS RK],MATCH(TableOverallRank[[#This Row],[OVERALL PLAYER]],TableOverallMaster[OVERALL PLAYER],0)),"")</f>
        <v>WR108</v>
      </c>
      <c r="AR274" s="120">
        <f>IFERROR(INDEX(TableOverallMaster[BYE],MATCH(TableOverallRank[[#This Row],[OVERALL PLAYER]],TableOverallMaster[OVERALL PLAYER],0)),"")</f>
        <v>13</v>
      </c>
      <c r="AS274" s="119">
        <f>IFERROR(INDEX(TableOverallMaster[Custom],MATCH(TableOverallRank[[#This Row],[OVERALL PLAYER]],TableOverallMaster[OVERALL PLAYER],0)),"")</f>
        <v>38.374922018159985</v>
      </c>
      <c r="AT274" s="121">
        <f>IFERROR(INDEX(TableOverallMaster[VORP],MATCH(TableOverallRank[[#This Row],[OVERALL PLAYER]],TableOverallMaster[OVERALL PLAYER],0)),"")</f>
        <v>-0.73425060344036552</v>
      </c>
      <c r="AV274">
        <v>273</v>
      </c>
      <c r="AW274" s="122" t="str">
        <f>IFERROR(INDEX(TableWRTECalcPts[PLAYER],MATCH(TableWRTERank[[#This Row],[RK]],TableWRTECalcPts[RK],0)),"")</f>
        <v/>
      </c>
      <c r="AX274" s="122" t="str">
        <f>IFERROR(INDEX(TableWRTECalcPts[POS RK],MATCH(TableWRTERank[[#This Row],[WR and TE COMBINED]],TableWRTECalcPts[PLAYER],0)),"")</f>
        <v>TE86</v>
      </c>
      <c r="AY274" s="122" t="str">
        <f>IFERROR(INDEX(TableWRTECalcPts[BYE],MATCH(TableWRTERank[[#This Row],[RK]],TableWRTECalcPts[RK],0)),"")</f>
        <v/>
      </c>
      <c r="AZ274" s="123" t="str">
        <f>IFERROR(INDEX(TableWRTECalcPts[Custom],MATCH(TableWRTERank[[#This Row],[RK]],TableWRTECalcPts[RK],0)),"")</f>
        <v/>
      </c>
      <c r="BA274" s="174" t="str">
        <f>IFERROR((TableWRTERank[[#This Row],[FPS]]-INDEX(TableWRTERank[FPS],MATCH(WRTEVORPCalc,TableWRTERank[RK],0)))/INDEX(TableWRTERank[FPS],MATCH(WRTEVORPCalc,TableWRTERank[RK],0)),"")</f>
        <v/>
      </c>
      <c r="BC274" t="s">
        <v>10</v>
      </c>
      <c r="BD274">
        <v>73</v>
      </c>
      <c r="BE274" s="83">
        <f>RANK(TableWRTEMaster[[#This Row],[VORP]],TableWRTEMaster[VORP])+COUNTIF($BJ$2:BJ274,BJ274)-1</f>
        <v>230</v>
      </c>
      <c r="BF274" s="115" t="str">
        <f>IFERROR(INDEX(TableTEVORP[TIGHT END],MATCH(TableWRTEMaster[[#This Row],[RK]],TableTEVORP[RK],0)),"")</f>
        <v>Elijah Higgins</v>
      </c>
      <c r="BG274" s="115" t="str">
        <f>_xlfn.CONCAT(TableWRTEMaster[[#This Row],[POS]],TableWRTEMaster[[#This Row],[RK]])</f>
        <v>TE73</v>
      </c>
      <c r="BH274" s="115">
        <f>IFERROR(INDEX(TableTEVORP[BYE],MATCH(TableWRTEMaster[[#This Row],[RK]],TableTEVORP[RK],0)),"")</f>
        <v>14</v>
      </c>
      <c r="BI274" s="116">
        <f>IFERROR(INDEX(TableTEVORP[FPS],MATCH(TableWRTEMaster[[#This Row],[RK]],TableTEVORP[RK],0)),"")</f>
        <v>14.041592247900002</v>
      </c>
      <c r="BJ274" s="117">
        <f>IFERROR(INDEX(TableTEVORP[VORP],MATCH(TableWRTEMaster[[#This Row],[RK]],TableTEVORP[RK],0)),"")</f>
        <v>-0.89309184427797228</v>
      </c>
    </row>
    <row r="275" spans="32:62" x14ac:dyDescent="0.2">
      <c r="AF275" t="s">
        <v>10</v>
      </c>
      <c r="AG275">
        <v>24</v>
      </c>
      <c r="AH275" s="83">
        <f>RANK(TableOverallMaster[[#This Row],[VORP]],TableOverallMaster[VORP])+COUNTIF($AM$2:AM275,AM275)-1</f>
        <v>194</v>
      </c>
      <c r="AI275" s="115" t="str">
        <f>IFERROR(INDEX(TableTEVORP[TIGHT END],MATCH(TableOverallMaster[[#This Row],[RK]],TableTEVORP[RK],0)),"")</f>
        <v>Cade Otton</v>
      </c>
      <c r="AJ275" s="115" t="str">
        <f t="shared" si="4"/>
        <v>TE24</v>
      </c>
      <c r="AK275" s="115">
        <f>IFERROR(INDEX(TableTEVORP[BYE],MATCH(TableOverallMaster[[#This Row],[RK]],TableTEVORP[RK],0)),"")</f>
        <v>5</v>
      </c>
      <c r="AL275" s="116">
        <f>IFERROR(INDEX(TableTEVORP[FPS],MATCH(TableOverallMaster[[#This Row],[RK]],TableTEVORP[RK],0)),"")</f>
        <v>87.511587115490997</v>
      </c>
      <c r="AM275" s="117">
        <f>IFERROR(INDEX(TableTEVORP[VORP],MATCH(TableOverallMaster[[#This Row],[RK]],TableTEVORP[RK],0)),"")</f>
        <v>-0.33371499345283284</v>
      </c>
      <c r="AO275">
        <v>274</v>
      </c>
      <c r="AP275" s="118" t="str">
        <f>IFERROR(INDEX(TableOverallMaster[OVERALL PLAYER],MATCH(TableOverallRank[[#This Row],[RK]],TableOverallMaster[OVR RK],0)),"")</f>
        <v>Jake Bobo</v>
      </c>
      <c r="AQ275" s="119" t="str">
        <f>IFERROR(INDEX(TableOverallMaster[POS RK],MATCH(TableOverallRank[[#This Row],[OVERALL PLAYER]],TableOverallMaster[OVERALL PLAYER],0)),"")</f>
        <v>WR109</v>
      </c>
      <c r="AR275" s="120">
        <f>IFERROR(INDEX(TableOverallMaster[BYE],MATCH(TableOverallRank[[#This Row],[OVERALL PLAYER]],TableOverallMaster[OVERALL PLAYER],0)),"")</f>
        <v>5</v>
      </c>
      <c r="AS275" s="119">
        <f>IFERROR(INDEX(TableOverallMaster[Custom],MATCH(TableOverallRank[[#This Row],[OVERALL PLAYER]],TableOverallMaster[OVERALL PLAYER],0)),"")</f>
        <v>38.272134722472003</v>
      </c>
      <c r="AT275" s="121">
        <f>IFERROR(INDEX(TableOverallMaster[VORP],MATCH(TableOverallRank[[#This Row],[OVERALL PLAYER]],TableOverallMaster[OVERALL PLAYER],0)),"")</f>
        <v>-0.73496241366346271</v>
      </c>
      <c r="AV275">
        <v>274</v>
      </c>
      <c r="AW275" s="122" t="str">
        <f>IFERROR(INDEX(TableWRTECalcPts[PLAYER],MATCH(TableWRTERank[[#This Row],[RK]],TableWRTECalcPts[RK],0)),"")</f>
        <v/>
      </c>
      <c r="AX275" s="122" t="str">
        <f>IFERROR(INDEX(TableWRTECalcPts[POS RK],MATCH(TableWRTERank[[#This Row],[WR and TE COMBINED]],TableWRTECalcPts[PLAYER],0)),"")</f>
        <v>TE86</v>
      </c>
      <c r="AY275" s="122" t="str">
        <f>IFERROR(INDEX(TableWRTECalcPts[BYE],MATCH(TableWRTERank[[#This Row],[RK]],TableWRTECalcPts[RK],0)),"")</f>
        <v/>
      </c>
      <c r="AZ275" s="123" t="str">
        <f>IFERROR(INDEX(TableWRTECalcPts[Custom],MATCH(TableWRTERank[[#This Row],[RK]],TableWRTECalcPts[RK],0)),"")</f>
        <v/>
      </c>
      <c r="BA275" s="174" t="str">
        <f>IFERROR((TableWRTERank[[#This Row],[FPS]]-INDEX(TableWRTERank[FPS],MATCH(WRTEVORPCalc,TableWRTERank[RK],0)))/INDEX(TableWRTERank[FPS],MATCH(WRTEVORPCalc,TableWRTERank[RK],0)),"")</f>
        <v/>
      </c>
      <c r="BC275" t="s">
        <v>10</v>
      </c>
      <c r="BD275">
        <v>74</v>
      </c>
      <c r="BE275" s="83">
        <f>RANK(TableWRTEMaster[[#This Row],[VORP]],TableWRTEMaster[VORP])+COUNTIF($BJ$2:BJ275,BJ275)-1</f>
        <v>231</v>
      </c>
      <c r="BF275" s="115" t="str">
        <f>IFERROR(INDEX(TableTEVORP[TIGHT END],MATCH(TableWRTEMaster[[#This Row],[RK]],TableTEVORP[RK],0)),"")</f>
        <v>Kylen Granson</v>
      </c>
      <c r="BG275" s="115" t="str">
        <f>_xlfn.CONCAT(TableWRTEMaster[[#This Row],[POS]],TableWRTEMaster[[#This Row],[RK]])</f>
        <v>TE74</v>
      </c>
      <c r="BH275" s="115">
        <f>IFERROR(INDEX(TableTEVORP[BYE],MATCH(TableWRTEMaster[[#This Row],[RK]],TableTEVORP[RK],0)),"")</f>
        <v>11</v>
      </c>
      <c r="BI275" s="116">
        <f>IFERROR(INDEX(TableTEVORP[FPS],MATCH(TableWRTEMaster[[#This Row],[RK]],TableTEVORP[RK],0)),"")</f>
        <v>13.906188357600001</v>
      </c>
      <c r="BJ275" s="117">
        <f>IFERROR(INDEX(TableTEVORP[VORP],MATCH(TableWRTEMaster[[#This Row],[RK]],TableTEVORP[RK],0)),"")</f>
        <v>-0.89412276583829076</v>
      </c>
    </row>
    <row r="276" spans="32:62" x14ac:dyDescent="0.2">
      <c r="AF276" t="s">
        <v>10</v>
      </c>
      <c r="AG276">
        <v>25</v>
      </c>
      <c r="AH276" s="83">
        <f>RANK(TableOverallMaster[[#This Row],[VORP]],TableOverallMaster[VORP])+COUNTIF($AM$2:AM276,AM276)-1</f>
        <v>195</v>
      </c>
      <c r="AI276" s="115" t="str">
        <f>IFERROR(INDEX(TableTEVORP[TIGHT END],MATCH(TableOverallMaster[[#This Row],[RK]],TableTEVORP[RK],0)),"")</f>
        <v>Dalton Schultz</v>
      </c>
      <c r="AJ276" s="115" t="str">
        <f t="shared" si="4"/>
        <v>TE25</v>
      </c>
      <c r="AK276" s="115">
        <f>IFERROR(INDEX(TableTEVORP[BYE],MATCH(TableOverallMaster[[#This Row],[RK]],TableTEVORP[RK],0)),"")</f>
        <v>7</v>
      </c>
      <c r="AL276" s="116">
        <f>IFERROR(INDEX(TableTEVORP[FPS],MATCH(TableOverallMaster[[#This Row],[RK]],TableTEVORP[RK],0)),"")</f>
        <v>86.800296892108804</v>
      </c>
      <c r="AM276" s="117">
        <f>IFERROR(INDEX(TableTEVORP[VORP],MATCH(TableOverallMaster[[#This Row],[RK]],TableTEVORP[RK],0)),"")</f>
        <v>-0.33913052786106718</v>
      </c>
      <c r="AO276">
        <v>275</v>
      </c>
      <c r="AP276" s="118" t="str">
        <f>IFERROR(INDEX(TableOverallMaster[OVERALL PLAYER],MATCH(TableOverallRank[[#This Row],[RK]],TableOverallMaster[OVR RK],0)),"")</f>
        <v>D'Ernest Johnson</v>
      </c>
      <c r="AQ276" s="119" t="str">
        <f>IFERROR(INDEX(TableOverallMaster[POS RK],MATCH(TableOverallRank[[#This Row],[OVERALL PLAYER]],TableOverallMaster[OVERALL PLAYER],0)),"")</f>
        <v>RB85</v>
      </c>
      <c r="AR276" s="120">
        <f>IFERROR(INDEX(TableOverallMaster[BYE],MATCH(TableOverallRank[[#This Row],[OVERALL PLAYER]],TableOverallMaster[OVERALL PLAYER],0)),"")</f>
        <v>9</v>
      </c>
      <c r="AS276" s="119">
        <f>IFERROR(INDEX(TableOverallMaster[Custom],MATCH(TableOverallRank[[#This Row],[OVERALL PLAYER]],TableOverallMaster[OVERALL PLAYER],0)),"")</f>
        <v>29.691011263031999</v>
      </c>
      <c r="AT276" s="121">
        <f>IFERROR(INDEX(TableOverallMaster[VORP],MATCH(TableOverallRank[[#This Row],[OVERALL PLAYER]],TableOverallMaster[OVERALL PLAYER],0)),"")</f>
        <v>-0.73659051285316646</v>
      </c>
      <c r="AV276">
        <v>275</v>
      </c>
      <c r="AW276" s="122" t="str">
        <f>IFERROR(INDEX(TableWRTECalcPts[PLAYER],MATCH(TableWRTERank[[#This Row],[RK]],TableWRTECalcPts[RK],0)),"")</f>
        <v/>
      </c>
      <c r="AX276" s="122" t="str">
        <f>IFERROR(INDEX(TableWRTECalcPts[POS RK],MATCH(TableWRTERank[[#This Row],[WR and TE COMBINED]],TableWRTECalcPts[PLAYER],0)),"")</f>
        <v>TE86</v>
      </c>
      <c r="AY276" s="122" t="str">
        <f>IFERROR(INDEX(TableWRTECalcPts[BYE],MATCH(TableWRTERank[[#This Row],[RK]],TableWRTECalcPts[RK],0)),"")</f>
        <v/>
      </c>
      <c r="AZ276" s="123" t="str">
        <f>IFERROR(INDEX(TableWRTECalcPts[Custom],MATCH(TableWRTERank[[#This Row],[RK]],TableWRTECalcPts[RK],0)),"")</f>
        <v/>
      </c>
      <c r="BA276" s="174" t="str">
        <f>IFERROR((TableWRTERank[[#This Row],[FPS]]-INDEX(TableWRTERank[FPS],MATCH(WRTEVORPCalc,TableWRTERank[RK],0)))/INDEX(TableWRTERank[FPS],MATCH(WRTEVORPCalc,TableWRTERank[RK],0)),"")</f>
        <v/>
      </c>
      <c r="BC276" t="s">
        <v>10</v>
      </c>
      <c r="BD276">
        <v>75</v>
      </c>
      <c r="BE276" s="83">
        <f>RANK(TableWRTEMaster[[#This Row],[VORP]],TableWRTEMaster[VORP])+COUNTIF($BJ$2:BJ276,BJ276)-1</f>
        <v>233</v>
      </c>
      <c r="BF276" s="115" t="str">
        <f>IFERROR(INDEX(TableTEVORP[TIGHT END],MATCH(TableWRTEMaster[[#This Row],[RK]],TableTEVORP[RK],0)),"")</f>
        <v>C.J. Uzomah</v>
      </c>
      <c r="BG276" s="115" t="str">
        <f>_xlfn.CONCAT(TableWRTEMaster[[#This Row],[POS]],TableWRTEMaster[[#This Row],[RK]])</f>
        <v>TE75</v>
      </c>
      <c r="BH276" s="115">
        <f>IFERROR(INDEX(TableTEVORP[BYE],MATCH(TableWRTEMaster[[#This Row],[RK]],TableTEVORP[RK],0)),"")</f>
        <v>10</v>
      </c>
      <c r="BI276" s="116">
        <f>IFERROR(INDEX(TableTEVORP[FPS],MATCH(TableWRTEMaster[[#This Row],[RK]],TableTEVORP[RK],0)),"")</f>
        <v>13.372270636032002</v>
      </c>
      <c r="BJ276" s="117">
        <f>IFERROR(INDEX(TableTEVORP[VORP],MATCH(TableWRTEMaster[[#This Row],[RK]],TableTEVORP[RK],0)),"")</f>
        <v>-0.89818784321074319</v>
      </c>
    </row>
    <row r="277" spans="32:62" x14ac:dyDescent="0.2">
      <c r="AF277" t="s">
        <v>10</v>
      </c>
      <c r="AG277">
        <v>26</v>
      </c>
      <c r="AH277" s="83">
        <f>RANK(TableOverallMaster[[#This Row],[VORP]],TableOverallMaster[VORP])+COUNTIF($AM$2:AM277,AM277)-1</f>
        <v>199</v>
      </c>
      <c r="AI277" s="115" t="str">
        <f>IFERROR(INDEX(TableTEVORP[TIGHT END],MATCH(TableOverallMaster[[#This Row],[RK]],TableTEVORP[RK],0)),"")</f>
        <v>Tyler Conklin</v>
      </c>
      <c r="AJ277" s="115" t="str">
        <f t="shared" si="4"/>
        <v>TE26</v>
      </c>
      <c r="AK277" s="115">
        <f>IFERROR(INDEX(TableTEVORP[BYE],MATCH(TableOverallMaster[[#This Row],[RK]],TableTEVORP[RK],0)),"")</f>
        <v>7</v>
      </c>
      <c r="AL277" s="116">
        <f>IFERROR(INDEX(TableTEVORP[FPS],MATCH(TableOverallMaster[[#This Row],[RK]],TableTEVORP[RK],0)),"")</f>
        <v>82.599242709983983</v>
      </c>
      <c r="AM277" s="117">
        <f>IFERROR(INDEX(TableTEVORP[VORP],MATCH(TableOverallMaster[[#This Row],[RK]],TableTEVORP[RK],0)),"")</f>
        <v>-0.37111599979117865</v>
      </c>
      <c r="AO277">
        <v>276</v>
      </c>
      <c r="AP277" s="118" t="str">
        <f>IFERROR(INDEX(TableOverallMaster[OVERALL PLAYER],MATCH(TableOverallRank[[#This Row],[RK]],TableOverallMaster[OVR RK],0)),"")</f>
        <v>Justin Watson</v>
      </c>
      <c r="AQ277" s="119" t="str">
        <f>IFERROR(INDEX(TableOverallMaster[POS RK],MATCH(TableOverallRank[[#This Row],[OVERALL PLAYER]],TableOverallMaster[OVERALL PLAYER],0)),"")</f>
        <v>WR110</v>
      </c>
      <c r="AR277" s="120">
        <f>IFERROR(INDEX(TableOverallMaster[BYE],MATCH(TableOverallRank[[#This Row],[OVERALL PLAYER]],TableOverallMaster[OVERALL PLAYER],0)),"")</f>
        <v>10</v>
      </c>
      <c r="AS277" s="119">
        <f>IFERROR(INDEX(TableOverallMaster[Custom],MATCH(TableOverallRank[[#This Row],[OVERALL PLAYER]],TableOverallMaster[OVERALL PLAYER],0)),"")</f>
        <v>37.446326628479994</v>
      </c>
      <c r="AT277" s="121">
        <f>IFERROR(INDEX(TableOverallMaster[VORP],MATCH(TableOverallRank[[#This Row],[OVERALL PLAYER]],TableOverallMaster[OVERALL PLAYER],0)),"")</f>
        <v>-0.74068120059802856</v>
      </c>
      <c r="AV277">
        <v>276</v>
      </c>
      <c r="AW277" s="122" t="str">
        <f>IFERROR(INDEX(TableWRTECalcPts[PLAYER],MATCH(TableWRTERank[[#This Row],[RK]],TableWRTECalcPts[RK],0)),"")</f>
        <v/>
      </c>
      <c r="AX277" s="122" t="str">
        <f>IFERROR(INDEX(TableWRTECalcPts[POS RK],MATCH(TableWRTERank[[#This Row],[WR and TE COMBINED]],TableWRTECalcPts[PLAYER],0)),"")</f>
        <v>TE86</v>
      </c>
      <c r="AY277" s="122" t="str">
        <f>IFERROR(INDEX(TableWRTECalcPts[BYE],MATCH(TableWRTERank[[#This Row],[RK]],TableWRTECalcPts[RK],0)),"")</f>
        <v/>
      </c>
      <c r="AZ277" s="123" t="str">
        <f>IFERROR(INDEX(TableWRTECalcPts[Custom],MATCH(TableWRTERank[[#This Row],[RK]],TableWRTECalcPts[RK],0)),"")</f>
        <v/>
      </c>
      <c r="BA277" s="174" t="str">
        <f>IFERROR((TableWRTERank[[#This Row],[FPS]]-INDEX(TableWRTERank[FPS],MATCH(WRTEVORPCalc,TableWRTERank[RK],0)))/INDEX(TableWRTERank[FPS],MATCH(WRTEVORPCalc,TableWRTERank[RK],0)),"")</f>
        <v/>
      </c>
      <c r="BC277" t="s">
        <v>10</v>
      </c>
      <c r="BD277">
        <v>76</v>
      </c>
      <c r="BE277" s="83">
        <f>RANK(TableWRTEMaster[[#This Row],[VORP]],TableWRTEMaster[VORP])+COUNTIF($BJ$2:BJ277,BJ277)-1</f>
        <v>237</v>
      </c>
      <c r="BF277" s="115" t="str">
        <f>IFERROR(INDEX(TableTEVORP[TIGHT END],MATCH(TableWRTEMaster[[#This Row],[RK]],TableTEVORP[RK],0)),"")</f>
        <v>Ian Thomas</v>
      </c>
      <c r="BG277" s="115" t="str">
        <f>_xlfn.CONCAT(TableWRTEMaster[[#This Row],[POS]],TableWRTEMaster[[#This Row],[RK]])</f>
        <v>TE76</v>
      </c>
      <c r="BH277" s="115">
        <f>IFERROR(INDEX(TableTEVORP[BYE],MATCH(TableWRTEMaster[[#This Row],[RK]],TableTEVORP[RK],0)),"")</f>
        <v>7</v>
      </c>
      <c r="BI277" s="116">
        <f>IFERROR(INDEX(TableTEVORP[FPS],MATCH(TableWRTEMaster[[#This Row],[RK]],TableTEVORP[RK],0)),"")</f>
        <v>13.026638221379997</v>
      </c>
      <c r="BJ277" s="117">
        <f>IFERROR(INDEX(TableTEVORP[VORP],MATCH(TableWRTEMaster[[#This Row],[RK]],TableTEVORP[RK],0)),"")</f>
        <v>-0.90081937696815761</v>
      </c>
    </row>
    <row r="278" spans="32:62" x14ac:dyDescent="0.2">
      <c r="AF278" t="s">
        <v>10</v>
      </c>
      <c r="AG278">
        <v>27</v>
      </c>
      <c r="AH278" s="83">
        <f>RANK(TableOverallMaster[[#This Row],[VORP]],TableOverallMaster[VORP])+COUNTIF($AM$2:AM278,AM278)-1</f>
        <v>207</v>
      </c>
      <c r="AI278" s="115" t="str">
        <f>IFERROR(INDEX(TableTEVORP[TIGHT END],MATCH(TableOverallMaster[[#This Row],[RK]],TableTEVORP[RK],0)),"")</f>
        <v>Noah Fant</v>
      </c>
      <c r="AJ278" s="115" t="str">
        <f t="shared" si="4"/>
        <v>TE27</v>
      </c>
      <c r="AK278" s="115">
        <f>IFERROR(INDEX(TableTEVORP[BYE],MATCH(TableOverallMaster[[#This Row],[RK]],TableTEVORP[RK],0)),"")</f>
        <v>5</v>
      </c>
      <c r="AL278" s="116">
        <f>IFERROR(INDEX(TableTEVORP[FPS],MATCH(TableOverallMaster[[#This Row],[RK]],TableTEVORP[RK],0)),"")</f>
        <v>77.518260897461985</v>
      </c>
      <c r="AM278" s="117">
        <f>IFERROR(INDEX(TableTEVORP[VORP],MATCH(TableOverallMaster[[#This Row],[RK]],TableTEVORP[RK],0)),"")</f>
        <v>-0.40980095697010049</v>
      </c>
      <c r="AO278">
        <v>277</v>
      </c>
      <c r="AP278" s="118" t="str">
        <f>IFERROR(INDEX(TableOverallMaster[OVERALL PLAYER],MATCH(TableOverallRank[[#This Row],[RK]],TableOverallMaster[OVR RK],0)),"")</f>
        <v>Kenny McIntosh</v>
      </c>
      <c r="AQ278" s="119" t="str">
        <f>IFERROR(INDEX(TableOverallMaster[POS RK],MATCH(TableOverallRank[[#This Row],[OVERALL PLAYER]],TableOverallMaster[OVERALL PLAYER],0)),"")</f>
        <v>RB86</v>
      </c>
      <c r="AR278" s="120">
        <f>IFERROR(INDEX(TableOverallMaster[BYE],MATCH(TableOverallRank[[#This Row],[OVERALL PLAYER]],TableOverallMaster[OVERALL PLAYER],0)),"")</f>
        <v>5</v>
      </c>
      <c r="AS278" s="119">
        <f>IFERROR(INDEX(TableOverallMaster[Custom],MATCH(TableOverallRank[[#This Row],[OVERALL PLAYER]],TableOverallMaster[OVERALL PLAYER],0)),"")</f>
        <v>28.830867027374996</v>
      </c>
      <c r="AT278" s="121">
        <f>IFERROR(INDEX(TableOverallMaster[VORP],MATCH(TableOverallRank[[#This Row],[OVERALL PLAYER]],TableOverallMaster[OVERALL PLAYER],0)),"")</f>
        <v>-0.74422144700962001</v>
      </c>
      <c r="AV278">
        <v>277</v>
      </c>
      <c r="AW278" s="122" t="str">
        <f>IFERROR(INDEX(TableWRTECalcPts[PLAYER],MATCH(TableWRTERank[[#This Row],[RK]],TableWRTECalcPts[RK],0)),"")</f>
        <v/>
      </c>
      <c r="AX278" s="122" t="str">
        <f>IFERROR(INDEX(TableWRTECalcPts[POS RK],MATCH(TableWRTERank[[#This Row],[WR and TE COMBINED]],TableWRTECalcPts[PLAYER],0)),"")</f>
        <v>TE86</v>
      </c>
      <c r="AY278" s="122" t="str">
        <f>IFERROR(INDEX(TableWRTECalcPts[BYE],MATCH(TableWRTERank[[#This Row],[RK]],TableWRTECalcPts[RK],0)),"")</f>
        <v/>
      </c>
      <c r="AZ278" s="123" t="str">
        <f>IFERROR(INDEX(TableWRTECalcPts[Custom],MATCH(TableWRTERank[[#This Row],[RK]],TableWRTECalcPts[RK],0)),"")</f>
        <v/>
      </c>
      <c r="BA278" s="174" t="str">
        <f>IFERROR((TableWRTERank[[#This Row],[FPS]]-INDEX(TableWRTERank[FPS],MATCH(WRTEVORPCalc,TableWRTERank[RK],0)))/INDEX(TableWRTERank[FPS],MATCH(WRTEVORPCalc,TableWRTERank[RK],0)),"")</f>
        <v/>
      </c>
      <c r="BC278" t="s">
        <v>10</v>
      </c>
      <c r="BD278">
        <v>77</v>
      </c>
      <c r="BE278" s="83">
        <f>RANK(TableWRTEMaster[[#This Row],[VORP]],TableWRTEMaster[VORP])+COUNTIF($BJ$2:BJ278,BJ278)-1</f>
        <v>240</v>
      </c>
      <c r="BF278" s="115" t="str">
        <f>IFERROR(INDEX(TableTEVORP[TIGHT END],MATCH(TableWRTEMaster[[#This Row],[RK]],TableTEVORP[RK],0)),"")</f>
        <v>Cameron Latu</v>
      </c>
      <c r="BG278" s="115" t="str">
        <f>_xlfn.CONCAT(TableWRTEMaster[[#This Row],[POS]],TableWRTEMaster[[#This Row],[RK]])</f>
        <v>TE77</v>
      </c>
      <c r="BH278" s="115">
        <f>IFERROR(INDEX(TableTEVORP[BYE],MATCH(TableWRTEMaster[[#This Row],[RK]],TableTEVORP[RK],0)),"")</f>
        <v>9</v>
      </c>
      <c r="BI278" s="116">
        <f>IFERROR(INDEX(TableTEVORP[FPS],MATCH(TableWRTEMaster[[#This Row],[RK]],TableTEVORP[RK],0)),"")</f>
        <v>12.40591113216</v>
      </c>
      <c r="BJ278" s="117">
        <f>IFERROR(INDEX(TableTEVORP[VORP],MATCH(TableWRTEMaster[[#This Row],[RK]],TableTEVORP[RK],0)),"")</f>
        <v>-0.90554539287458991</v>
      </c>
    </row>
    <row r="279" spans="32:62" x14ac:dyDescent="0.2">
      <c r="AF279" t="s">
        <v>10</v>
      </c>
      <c r="AG279">
        <v>28</v>
      </c>
      <c r="AH279" s="83">
        <f>RANK(TableOverallMaster[[#This Row],[VORP]],TableOverallMaster[VORP])+COUNTIF($AM$2:AM279,AM279)-1</f>
        <v>219</v>
      </c>
      <c r="AI279" s="115" t="str">
        <f>IFERROR(INDEX(TableTEVORP[TIGHT END],MATCH(TableOverallMaster[[#This Row],[RK]],TableTEVORP[RK],0)),"")</f>
        <v>Jonnu Smith</v>
      </c>
      <c r="AJ279" s="115" t="str">
        <f t="shared" si="4"/>
        <v>TE28</v>
      </c>
      <c r="AK279" s="115">
        <f>IFERROR(INDEX(TableTEVORP[BYE],MATCH(TableOverallMaster[[#This Row],[RK]],TableTEVORP[RK],0)),"")</f>
        <v>10</v>
      </c>
      <c r="AL279" s="116">
        <f>IFERROR(INDEX(TableTEVORP[FPS],MATCH(TableOverallMaster[[#This Row],[RK]],TableTEVORP[RK],0)),"")</f>
        <v>69.270961745512807</v>
      </c>
      <c r="AM279" s="117">
        <f>IFERROR(INDEX(TableTEVORP[VORP],MATCH(TableOverallMaster[[#This Row],[RK]],TableTEVORP[RK],0)),"")</f>
        <v>-0.47259323340545939</v>
      </c>
      <c r="AO279">
        <v>278</v>
      </c>
      <c r="AP279" s="118" t="str">
        <f>IFERROR(INDEX(TableOverallMaster[OVERALL PLAYER],MATCH(TableOverallRank[[#This Row],[RK]],TableOverallMaster[OVR RK],0)),"")</f>
        <v>Michael Carter</v>
      </c>
      <c r="AQ279" s="119" t="str">
        <f>IFERROR(INDEX(TableOverallMaster[POS RK],MATCH(TableOverallRank[[#This Row],[OVERALL PLAYER]],TableOverallMaster[OVERALL PLAYER],0)),"")</f>
        <v>RB87</v>
      </c>
      <c r="AR279" s="120">
        <f>IFERROR(INDEX(TableOverallMaster[BYE],MATCH(TableOverallRank[[#This Row],[OVERALL PLAYER]],TableOverallMaster[OVERALL PLAYER],0)),"")</f>
        <v>14</v>
      </c>
      <c r="AS279" s="119">
        <f>IFERROR(INDEX(TableOverallMaster[Custom],MATCH(TableOverallRank[[#This Row],[OVERALL PLAYER]],TableOverallMaster[OVERALL PLAYER],0)),"")</f>
        <v>28.2512233269</v>
      </c>
      <c r="AT279" s="121">
        <f>IFERROR(INDEX(TableOverallMaster[VORP],MATCH(TableOverallRank[[#This Row],[OVERALL PLAYER]],TableOverallMaster[OVERALL PLAYER],0)),"")</f>
        <v>-0.74936386700055224</v>
      </c>
      <c r="AV279">
        <v>278</v>
      </c>
      <c r="AW279" s="122" t="str">
        <f>IFERROR(INDEX(TableWRTECalcPts[PLAYER],MATCH(TableWRTERank[[#This Row],[RK]],TableWRTECalcPts[RK],0)),"")</f>
        <v/>
      </c>
      <c r="AX279" s="122" t="str">
        <f>IFERROR(INDEX(TableWRTECalcPts[POS RK],MATCH(TableWRTERank[[#This Row],[WR and TE COMBINED]],TableWRTECalcPts[PLAYER],0)),"")</f>
        <v>TE86</v>
      </c>
      <c r="AY279" s="122" t="str">
        <f>IFERROR(INDEX(TableWRTECalcPts[BYE],MATCH(TableWRTERank[[#This Row],[RK]],TableWRTECalcPts[RK],0)),"")</f>
        <v/>
      </c>
      <c r="AZ279" s="123" t="str">
        <f>IFERROR(INDEX(TableWRTECalcPts[Custom],MATCH(TableWRTERank[[#This Row],[RK]],TableWRTECalcPts[RK],0)),"")</f>
        <v/>
      </c>
      <c r="BA279" s="174" t="str">
        <f>IFERROR((TableWRTERank[[#This Row],[FPS]]-INDEX(TableWRTERank[FPS],MATCH(WRTEVORPCalc,TableWRTERank[RK],0)))/INDEX(TableWRTERank[FPS],MATCH(WRTEVORPCalc,TableWRTERank[RK],0)),"")</f>
        <v/>
      </c>
      <c r="BC279" t="s">
        <v>10</v>
      </c>
      <c r="BD279">
        <v>78</v>
      </c>
      <c r="BE279" s="83">
        <f>RANK(TableWRTEMaster[[#This Row],[VORP]],TableWRTEMaster[VORP])+COUNTIF($BJ$2:BJ279,BJ279)-1</f>
        <v>246</v>
      </c>
      <c r="BF279" s="115" t="str">
        <f>IFERROR(INDEX(TableTEVORP[TIGHT END],MATCH(TableWRTEMaster[[#This Row],[RK]],TableTEVORP[RK],0)),"")</f>
        <v>Foster Moreau</v>
      </c>
      <c r="BG279" s="115" t="str">
        <f>_xlfn.CONCAT(TableWRTEMaster[[#This Row],[POS]],TableWRTEMaster[[#This Row],[RK]])</f>
        <v>TE78</v>
      </c>
      <c r="BH279" s="115">
        <f>IFERROR(INDEX(TableTEVORP[BYE],MATCH(TableWRTEMaster[[#This Row],[RK]],TableTEVORP[RK],0)),"")</f>
        <v>11</v>
      </c>
      <c r="BI279" s="116">
        <f>IFERROR(INDEX(TableTEVORP[FPS],MATCH(TableWRTEMaster[[#This Row],[RK]],TableTEVORP[RK],0)),"")</f>
        <v>11.647049984397826</v>
      </c>
      <c r="BJ279" s="117">
        <f>IFERROR(INDEX(TableTEVORP[VORP],MATCH(TableWRTEMaster[[#This Row],[RK]],TableTEVORP[RK],0)),"")</f>
        <v>-0.91132311696200519</v>
      </c>
    </row>
    <row r="280" spans="32:62" x14ac:dyDescent="0.2">
      <c r="AF280" t="s">
        <v>10</v>
      </c>
      <c r="AG280">
        <v>29</v>
      </c>
      <c r="AH280" s="83">
        <f>RANK(TableOverallMaster[[#This Row],[VORP]],TableOverallMaster[VORP])+COUNTIF($AM$2:AM280,AM280)-1</f>
        <v>220</v>
      </c>
      <c r="AI280" s="115" t="str">
        <f>IFERROR(INDEX(TableTEVORP[TIGHT END],MATCH(TableOverallMaster[[#This Row],[RK]],TableTEVORP[RK],0)),"")</f>
        <v>Zach Ertz</v>
      </c>
      <c r="AJ280" s="115" t="str">
        <f t="shared" si="4"/>
        <v>TE29</v>
      </c>
      <c r="AK280" s="115">
        <f>IFERROR(INDEX(TableTEVORP[BYE],MATCH(TableOverallMaster[[#This Row],[RK]],TableTEVORP[RK],0)),"")</f>
        <v>14</v>
      </c>
      <c r="AL280" s="116">
        <f>IFERROR(INDEX(TableTEVORP[FPS],MATCH(TableOverallMaster[[#This Row],[RK]],TableTEVORP[RK],0)),"")</f>
        <v>68.546385770939992</v>
      </c>
      <c r="AM280" s="117">
        <f>IFERROR(INDEX(TableTEVORP[VORP],MATCH(TableOverallMaster[[#This Row],[RK]],TableTEVORP[RK],0)),"")</f>
        <v>-0.4781099212393235</v>
      </c>
      <c r="AO280">
        <v>279</v>
      </c>
      <c r="AP280" s="118" t="str">
        <f>IFERROR(INDEX(TableOverallMaster[OVERALL PLAYER],MATCH(TableOverallRank[[#This Row],[RK]],TableOverallMaster[OVR RK],0)),"")</f>
        <v>Adam Trautman</v>
      </c>
      <c r="AQ280" s="119" t="str">
        <f>IFERROR(INDEX(TableOverallMaster[POS RK],MATCH(TableOverallRank[[#This Row],[OVERALL PLAYER]],TableOverallMaster[OVERALL PLAYER],0)),"")</f>
        <v>TE47</v>
      </c>
      <c r="AR280" s="120">
        <f>IFERROR(INDEX(TableOverallMaster[BYE],MATCH(TableOverallRank[[#This Row],[OVERALL PLAYER]],TableOverallMaster[OVERALL PLAYER],0)),"")</f>
        <v>9</v>
      </c>
      <c r="AS280" s="119">
        <f>IFERROR(INDEX(TableOverallMaster[Custom],MATCH(TableOverallRank[[#This Row],[OVERALL PLAYER]],TableOverallMaster[OVERALL PLAYER],0)),"")</f>
        <v>31.824565295600003</v>
      </c>
      <c r="AT280" s="121">
        <f>IFERROR(INDEX(TableOverallMaster[VORP],MATCH(TableOverallRank[[#This Row],[OVERALL PLAYER]],TableOverallMaster[OVERALL PLAYER],0)),"")</f>
        <v>-0.75769802153906896</v>
      </c>
      <c r="AV280">
        <v>279</v>
      </c>
      <c r="AW280" s="122" t="str">
        <f>IFERROR(INDEX(TableWRTECalcPts[PLAYER],MATCH(TableWRTERank[[#This Row],[RK]],TableWRTECalcPts[RK],0)),"")</f>
        <v/>
      </c>
      <c r="AX280" s="122" t="str">
        <f>IFERROR(INDEX(TableWRTECalcPts[POS RK],MATCH(TableWRTERank[[#This Row],[WR and TE COMBINED]],TableWRTECalcPts[PLAYER],0)),"")</f>
        <v>TE86</v>
      </c>
      <c r="AY280" s="122" t="str">
        <f>IFERROR(INDEX(TableWRTECalcPts[BYE],MATCH(TableWRTERank[[#This Row],[RK]],TableWRTECalcPts[RK],0)),"")</f>
        <v/>
      </c>
      <c r="AZ280" s="123" t="str">
        <f>IFERROR(INDEX(TableWRTECalcPts[Custom],MATCH(TableWRTERank[[#This Row],[RK]],TableWRTECalcPts[RK],0)),"")</f>
        <v/>
      </c>
      <c r="BA280" s="174" t="str">
        <f>IFERROR((TableWRTERank[[#This Row],[FPS]]-INDEX(TableWRTERank[FPS],MATCH(WRTEVORPCalc,TableWRTERank[RK],0)))/INDEX(TableWRTERank[FPS],MATCH(WRTEVORPCalc,TableWRTERank[RK],0)),"")</f>
        <v/>
      </c>
      <c r="BC280" t="s">
        <v>10</v>
      </c>
      <c r="BD280">
        <v>79</v>
      </c>
      <c r="BE280" s="83">
        <f>RANK(TableWRTEMaster[[#This Row],[VORP]],TableWRTEMaster[VORP])+COUNTIF($BJ$2:BJ280,BJ280)-1</f>
        <v>249</v>
      </c>
      <c r="BF280" s="115" t="str">
        <f>IFERROR(INDEX(TableTEVORP[TIGHT END],MATCH(TableWRTEMaster[[#This Row],[RK]],TableTEVORP[RK],0)),"")</f>
        <v>Julian Hill</v>
      </c>
      <c r="BG280" s="115" t="str">
        <f>_xlfn.CONCAT(TableWRTEMaster[[#This Row],[POS]],TableWRTEMaster[[#This Row],[RK]])</f>
        <v>TE79</v>
      </c>
      <c r="BH280" s="115">
        <f>IFERROR(INDEX(TableTEVORP[BYE],MATCH(TableWRTEMaster[[#This Row],[RK]],TableTEVORP[RK],0)),"")</f>
        <v>10</v>
      </c>
      <c r="BI280" s="116">
        <f>IFERROR(INDEX(TableTEVORP[FPS],MATCH(TableWRTEMaster[[#This Row],[RK]],TableTEVORP[RK],0)),"")</f>
        <v>10.617792785711998</v>
      </c>
      <c r="BJ280" s="117">
        <f>IFERROR(INDEX(TableTEVORP[VORP],MATCH(TableWRTEMaster[[#This Row],[RK]],TableTEVORP[RK],0)),"")</f>
        <v>-0.91915954939306221</v>
      </c>
    </row>
    <row r="281" spans="32:62" x14ac:dyDescent="0.2">
      <c r="AF281" t="s">
        <v>10</v>
      </c>
      <c r="AG281">
        <v>30</v>
      </c>
      <c r="AH281" s="83">
        <f>RANK(TableOverallMaster[[#This Row],[VORP]],TableOverallMaster[VORP])+COUNTIF($AM$2:AM281,AM281)-1</f>
        <v>222</v>
      </c>
      <c r="AI281" s="115" t="str">
        <f>IFERROR(INDEX(TableTEVORP[TIGHT END],MATCH(TableOverallMaster[[#This Row],[RK]],TableTEVORP[RK],0)),"")</f>
        <v>Mike Gesicki</v>
      </c>
      <c r="AJ281" s="115" t="str">
        <f t="shared" si="4"/>
        <v>TE30</v>
      </c>
      <c r="AK281" s="115">
        <f>IFERROR(INDEX(TableTEVORP[BYE],MATCH(TableOverallMaster[[#This Row],[RK]],TableTEVORP[RK],0)),"")</f>
        <v>7</v>
      </c>
      <c r="AL281" s="116">
        <f>IFERROR(INDEX(TableTEVORP[FPS],MATCH(TableOverallMaster[[#This Row],[RK]],TableTEVORP[RK],0)),"")</f>
        <v>67.972915915967988</v>
      </c>
      <c r="AM281" s="117">
        <f>IFERROR(INDEX(TableTEVORP[VORP],MATCH(TableOverallMaster[[#This Row],[RK]],TableTEVORP[RK],0)),"")</f>
        <v>-0.48247613580209181</v>
      </c>
      <c r="AO281">
        <v>280</v>
      </c>
      <c r="AP281" s="118" t="str">
        <f>IFERROR(INDEX(TableOverallMaster[OVERALL PLAYER],MATCH(TableOverallRank[[#This Row],[RK]],TableOverallMaster[OVR RK],0)),"")</f>
        <v>Gerald Everett</v>
      </c>
      <c r="AQ281" s="119" t="str">
        <f>IFERROR(INDEX(TableOverallMaster[POS RK],MATCH(TableOverallRank[[#This Row],[OVERALL PLAYER]],TableOverallMaster[OVERALL PLAYER],0)),"")</f>
        <v>TE48</v>
      </c>
      <c r="AR281" s="120">
        <f>IFERROR(INDEX(TableOverallMaster[BYE],MATCH(TableOverallRank[[#This Row],[OVERALL PLAYER]],TableOverallMaster[OVERALL PLAYER],0)),"")</f>
        <v>13</v>
      </c>
      <c r="AS281" s="119">
        <f>IFERROR(INDEX(TableOverallMaster[Custom],MATCH(TableOverallRank[[#This Row],[OVERALL PLAYER]],TableOverallMaster[OVERALL PLAYER],0)),"")</f>
        <v>31.095113212799991</v>
      </c>
      <c r="AT281" s="121">
        <f>IFERROR(INDEX(TableOverallMaster[VORP],MATCH(TableOverallRank[[#This Row],[OVERALL PLAYER]],TableOverallMaster[OVERALL PLAYER],0)),"")</f>
        <v>-0.76325183448869394</v>
      </c>
      <c r="AV281">
        <v>280</v>
      </c>
      <c r="AW281" s="122" t="str">
        <f>IFERROR(INDEX(TableWRTECalcPts[PLAYER],MATCH(TableWRTERank[[#This Row],[RK]],TableWRTECalcPts[RK],0)),"")</f>
        <v/>
      </c>
      <c r="AX281" s="122" t="str">
        <f>IFERROR(INDEX(TableWRTECalcPts[POS RK],MATCH(TableWRTERank[[#This Row],[WR and TE COMBINED]],TableWRTECalcPts[PLAYER],0)),"")</f>
        <v>TE86</v>
      </c>
      <c r="AY281" s="122" t="str">
        <f>IFERROR(INDEX(TableWRTECalcPts[BYE],MATCH(TableWRTERank[[#This Row],[RK]],TableWRTECalcPts[RK],0)),"")</f>
        <v/>
      </c>
      <c r="AZ281" s="123" t="str">
        <f>IFERROR(INDEX(TableWRTECalcPts[Custom],MATCH(TableWRTERank[[#This Row],[RK]],TableWRTECalcPts[RK],0)),"")</f>
        <v/>
      </c>
      <c r="BA281" s="174" t="str">
        <f>IFERROR((TableWRTERank[[#This Row],[FPS]]-INDEX(TableWRTERank[FPS],MATCH(WRTEVORPCalc,TableWRTERank[RK],0)))/INDEX(TableWRTERank[FPS],MATCH(WRTEVORPCalc,TableWRTERank[RK],0)),"")</f>
        <v/>
      </c>
      <c r="BC281" t="s">
        <v>10</v>
      </c>
      <c r="BD281">
        <v>80</v>
      </c>
      <c r="BE281" s="83">
        <f>RANK(TableWRTEMaster[[#This Row],[VORP]],TableWRTEMaster[VORP])+COUNTIF($BJ$2:BJ281,BJ281)-1</f>
        <v>258</v>
      </c>
      <c r="BF281" s="115" t="str">
        <f>IFERROR(INDEX(TableTEVORP[TIGHT END],MATCH(TableWRTEMaster[[#This Row],[RK]],TableTEVORP[RK],0)),"")</f>
        <v>Charlie Kolar</v>
      </c>
      <c r="BG281" s="115" t="str">
        <f>_xlfn.CONCAT(TableWRTEMaster[[#This Row],[POS]],TableWRTEMaster[[#This Row],[RK]])</f>
        <v>TE80</v>
      </c>
      <c r="BH281" s="115">
        <f>IFERROR(INDEX(TableTEVORP[BYE],MATCH(TableWRTEMaster[[#This Row],[RK]],TableTEVORP[RK],0)),"")</f>
        <v>13</v>
      </c>
      <c r="BI281" s="116">
        <f>IFERROR(INDEX(TableTEVORP[FPS],MATCH(TableWRTEMaster[[#This Row],[RK]],TableTEVORP[RK],0)),"")</f>
        <v>7.4937179652608013</v>
      </c>
      <c r="BJ281" s="117">
        <f>IFERROR(INDEX(TableTEVORP[VORP],MATCH(TableWRTEMaster[[#This Row],[RK]],TableTEVORP[RK],0)),"")</f>
        <v>-0.94294524773094213</v>
      </c>
    </row>
    <row r="282" spans="32:62" x14ac:dyDescent="0.2">
      <c r="AF282" t="s">
        <v>10</v>
      </c>
      <c r="AG282">
        <v>31</v>
      </c>
      <c r="AH282" s="83">
        <f>RANK(TableOverallMaster[[#This Row],[VORP]],TableOverallMaster[VORP])+COUNTIF($AM$2:AM282,AM282)-1</f>
        <v>224</v>
      </c>
      <c r="AI282" s="115" t="str">
        <f>IFERROR(INDEX(TableTEVORP[TIGHT END],MATCH(TableOverallMaster[[#This Row],[RK]],TableTEVORP[RK],0)),"")</f>
        <v>Tucker Kraft</v>
      </c>
      <c r="AJ282" s="115" t="str">
        <f t="shared" si="4"/>
        <v>TE31</v>
      </c>
      <c r="AK282" s="115">
        <f>IFERROR(INDEX(TableTEVORP[BYE],MATCH(TableOverallMaster[[#This Row],[RK]],TableTEVORP[RK],0)),"")</f>
        <v>6</v>
      </c>
      <c r="AL282" s="116">
        <f>IFERROR(INDEX(TableTEVORP[FPS],MATCH(TableOverallMaster[[#This Row],[RK]],TableTEVORP[RK],0)),"")</f>
        <v>67.057766586496001</v>
      </c>
      <c r="AM282" s="117">
        <f>IFERROR(INDEX(TableTEVORP[VORP],MATCH(TableOverallMaster[[#This Row],[RK]],TableTEVORP[RK],0)),"")</f>
        <v>-0.48944378771056629</v>
      </c>
      <c r="AO282">
        <v>281</v>
      </c>
      <c r="AP282" s="118" t="str">
        <f>IFERROR(INDEX(TableOverallMaster[OVERALL PLAYER],MATCH(TableOverallRank[[#This Row],[RK]],TableOverallMaster[OVR RK],0)),"")</f>
        <v>Jacoby Brissett</v>
      </c>
      <c r="AQ282" s="119" t="str">
        <f>IFERROR(INDEX(TableOverallMaster[POS RK],MATCH(TableOverallRank[[#This Row],[OVERALL PLAYER]],TableOverallMaster[OVERALL PLAYER],0)),"")</f>
        <v>QB36</v>
      </c>
      <c r="AR282" s="120">
        <f>IFERROR(INDEX(TableOverallMaster[BYE],MATCH(TableOverallRank[[#This Row],[OVERALL PLAYER]],TableOverallMaster[OVERALL PLAYER],0)),"")</f>
        <v>11</v>
      </c>
      <c r="AS282" s="119">
        <f>IFERROR(INDEX(TableOverallMaster[Custom],MATCH(TableOverallRank[[#This Row],[OVERALL PLAYER]],TableOverallMaster[OVERALL PLAYER],0)),"")</f>
        <v>38.742384955344001</v>
      </c>
      <c r="AT282" s="121">
        <f>IFERROR(INDEX(TableOverallMaster[VORP],MATCH(TableOverallRank[[#This Row],[OVERALL PLAYER]],TableOverallMaster[OVERALL PLAYER],0)),"")</f>
        <v>-0.77787068412799931</v>
      </c>
      <c r="AY282" s="57"/>
      <c r="AZ282" s="114"/>
    </row>
    <row r="283" spans="32:62" x14ac:dyDescent="0.2">
      <c r="AF283" t="s">
        <v>10</v>
      </c>
      <c r="AG283">
        <v>32</v>
      </c>
      <c r="AH283" s="83">
        <f>RANK(TableOverallMaster[[#This Row],[VORP]],TableOverallMaster[VORP])+COUNTIF($AM$2:AM283,AM283)-1</f>
        <v>229</v>
      </c>
      <c r="AI283" s="115" t="str">
        <f>IFERROR(INDEX(TableTEVORP[TIGHT END],MATCH(TableOverallMaster[[#This Row],[RK]],TableTEVORP[RK],0)),"")</f>
        <v>Michael Mayer</v>
      </c>
      <c r="AJ283" s="115" t="str">
        <f t="shared" si="4"/>
        <v>TE32</v>
      </c>
      <c r="AK283" s="115">
        <f>IFERROR(INDEX(TableTEVORP[BYE],MATCH(TableOverallMaster[[#This Row],[RK]],TableTEVORP[RK],0)),"")</f>
        <v>13</v>
      </c>
      <c r="AL283" s="116">
        <f>IFERROR(INDEX(TableTEVORP[FPS],MATCH(TableOverallMaster[[#This Row],[RK]],TableTEVORP[RK],0)),"")</f>
        <v>61.206676159999986</v>
      </c>
      <c r="AM283" s="117">
        <f>IFERROR(INDEX(TableTEVORP[VORP],MATCH(TableOverallMaster[[#This Row],[RK]],TableTEVORP[RK],0)),"")</f>
        <v>-0.53399210355794124</v>
      </c>
      <c r="AO283">
        <v>282</v>
      </c>
      <c r="AP283" s="118" t="str">
        <f>IFERROR(INDEX(TableOverallMaster[OVERALL PLAYER],MATCH(TableOverallRank[[#This Row],[RK]],TableOverallMaster[OVR RK],0)),"")</f>
        <v>Isaiah Spiller</v>
      </c>
      <c r="AQ283" s="119" t="str">
        <f>IFERROR(INDEX(TableOverallMaster[POS RK],MATCH(TableOverallRank[[#This Row],[OVERALL PLAYER]],TableOverallMaster[OVERALL PLAYER],0)),"")</f>
        <v>RB88</v>
      </c>
      <c r="AR283" s="120">
        <f>IFERROR(INDEX(TableOverallMaster[BYE],MATCH(TableOverallRank[[#This Row],[OVERALL PLAYER]],TableOverallMaster[OVERALL PLAYER],0)),"")</f>
        <v>5</v>
      </c>
      <c r="AS283" s="119">
        <f>IFERROR(INDEX(TableOverallMaster[Custom],MATCH(TableOverallRank[[#This Row],[OVERALL PLAYER]],TableOverallMaster[OVERALL PLAYER],0)),"")</f>
        <v>23.872239645878398</v>
      </c>
      <c r="AT283" s="121">
        <f>IFERROR(INDEX(TableOverallMaster[VORP],MATCH(TableOverallRank[[#This Row],[OVERALL PLAYER]],TableOverallMaster[OVERALL PLAYER],0)),"")</f>
        <v>-0.78821285854966883</v>
      </c>
      <c r="AY283" s="57"/>
      <c r="AZ283" s="114"/>
    </row>
    <row r="284" spans="32:62" x14ac:dyDescent="0.2">
      <c r="AF284" t="s">
        <v>10</v>
      </c>
      <c r="AG284">
        <v>33</v>
      </c>
      <c r="AH284" s="83">
        <f>RANK(TableOverallMaster[[#This Row],[VORP]],TableOverallMaster[VORP])+COUNTIF($AM$2:AM284,AM284)-1</f>
        <v>230</v>
      </c>
      <c r="AI284" s="115" t="str">
        <f>IFERROR(INDEX(TableTEVORP[TIGHT END],MATCH(TableOverallMaster[[#This Row],[RK]],TableTEVORP[RK],0)),"")</f>
        <v>Will Dissly</v>
      </c>
      <c r="AJ284" s="115" t="str">
        <f t="shared" si="4"/>
        <v>TE33</v>
      </c>
      <c r="AK284" s="115">
        <f>IFERROR(INDEX(TableTEVORP[BYE],MATCH(TableOverallMaster[[#This Row],[RK]],TableTEVORP[RK],0)),"")</f>
        <v>5</v>
      </c>
      <c r="AL284" s="116">
        <f>IFERROR(INDEX(TableTEVORP[FPS],MATCH(TableOverallMaster[[#This Row],[RK]],TableTEVORP[RK],0)),"")</f>
        <v>59.707462324891488</v>
      </c>
      <c r="AM284" s="117">
        <f>IFERROR(INDEX(TableTEVORP[VORP],MATCH(TableOverallMaster[[#This Row],[RK]],TableTEVORP[RK],0)),"")</f>
        <v>-0.54540663428314229</v>
      </c>
      <c r="AO284">
        <v>283</v>
      </c>
      <c r="AP284" s="118" t="str">
        <f>IFERROR(INDEX(TableOverallMaster[OVERALL PLAYER],MATCH(TableOverallRank[[#This Row],[RK]],TableOverallMaster[OVR RK],0)),"")</f>
        <v>Kevin Harris</v>
      </c>
      <c r="AQ284" s="119" t="str">
        <f>IFERROR(INDEX(TableOverallMaster[POS RK],MATCH(TableOverallRank[[#This Row],[OVERALL PLAYER]],TableOverallMaster[OVERALL PLAYER],0)),"")</f>
        <v>RB89</v>
      </c>
      <c r="AR284" s="120">
        <f>IFERROR(INDEX(TableOverallMaster[BYE],MATCH(TableOverallRank[[#This Row],[OVERALL PLAYER]],TableOverallMaster[OVERALL PLAYER],0)),"")</f>
        <v>11</v>
      </c>
      <c r="AS284" s="119">
        <f>IFERROR(INDEX(TableOverallMaster[Custom],MATCH(TableOverallRank[[#This Row],[OVERALL PLAYER]],TableOverallMaster[OVERALL PLAYER],0)),"")</f>
        <v>23.675142996988001</v>
      </c>
      <c r="AT284" s="121">
        <f>IFERROR(INDEX(TableOverallMaster[VORP],MATCH(TableOverallRank[[#This Row],[OVERALL PLAYER]],TableOverallMaster[OVERALL PLAYER],0)),"")</f>
        <v>-0.78996143918044104</v>
      </c>
      <c r="AY284" s="57"/>
      <c r="AZ284" s="114"/>
    </row>
    <row r="285" spans="32:62" x14ac:dyDescent="0.2">
      <c r="AF285" t="s">
        <v>10</v>
      </c>
      <c r="AG285">
        <v>34</v>
      </c>
      <c r="AH285" s="83">
        <f>RANK(TableOverallMaster[[#This Row],[VORP]],TableOverallMaster[VORP])+COUNTIF($AM$2:AM285,AM285)-1</f>
        <v>231</v>
      </c>
      <c r="AI285" s="115" t="str">
        <f>IFERROR(INDEX(TableTEVORP[TIGHT END],MATCH(TableOverallMaster[[#This Row],[RK]],TableTEVORP[RK],0)),"")</f>
        <v>Ja'Tavion Sanders</v>
      </c>
      <c r="AJ285" s="115" t="str">
        <f t="shared" si="4"/>
        <v>TE34</v>
      </c>
      <c r="AK285" s="115">
        <f>IFERROR(INDEX(TableTEVORP[BYE],MATCH(TableOverallMaster[[#This Row],[RK]],TableTEVORP[RK],0)),"")</f>
        <v>7</v>
      </c>
      <c r="AL285" s="116">
        <f>IFERROR(INDEX(TableTEVORP[FPS],MATCH(TableOverallMaster[[#This Row],[RK]],TableTEVORP[RK],0)),"")</f>
        <v>59.068966360991993</v>
      </c>
      <c r="AM285" s="117">
        <f>IFERROR(INDEX(TableTEVORP[VORP],MATCH(TableOverallMaster[[#This Row],[RK]],TableTEVORP[RK],0)),"")</f>
        <v>-0.55026793667188389</v>
      </c>
      <c r="AO285">
        <v>284</v>
      </c>
      <c r="AP285" s="118" t="str">
        <f>IFERROR(INDEX(TableOverallMaster[OVERALL PLAYER],MATCH(TableOverallRank[[#This Row],[RK]],TableOverallMaster[OVR RK],0)),"")</f>
        <v>Zach Wilson</v>
      </c>
      <c r="AQ285" s="119" t="str">
        <f>IFERROR(INDEX(TableOverallMaster[POS RK],MATCH(TableOverallRank[[#This Row],[OVERALL PLAYER]],TableOverallMaster[OVERALL PLAYER],0)),"")</f>
        <v>QB37</v>
      </c>
      <c r="AR285" s="120">
        <f>IFERROR(INDEX(TableOverallMaster[BYE],MATCH(TableOverallRank[[#This Row],[OVERALL PLAYER]],TableOverallMaster[OVERALL PLAYER],0)),"")</f>
        <v>9</v>
      </c>
      <c r="AS285" s="119">
        <f>IFERROR(INDEX(TableOverallMaster[Custom],MATCH(TableOverallRank[[#This Row],[OVERALL PLAYER]],TableOverallMaster[OVERALL PLAYER],0)),"")</f>
        <v>36.205431316199991</v>
      </c>
      <c r="AT285" s="121">
        <f>IFERROR(INDEX(TableOverallMaster[VORP],MATCH(TableOverallRank[[#This Row],[OVERALL PLAYER]],TableOverallMaster[OVERALL PLAYER],0)),"")</f>
        <v>-0.79019226594048542</v>
      </c>
      <c r="AY285" s="57"/>
      <c r="AZ285" s="114"/>
    </row>
    <row r="286" spans="32:62" x14ac:dyDescent="0.2">
      <c r="AF286" t="s">
        <v>10</v>
      </c>
      <c r="AG286">
        <v>35</v>
      </c>
      <c r="AH286" s="83">
        <f>RANK(TableOverallMaster[[#This Row],[VORP]],TableOverallMaster[VORP])+COUNTIF($AM$2:AM286,AM286)-1</f>
        <v>233</v>
      </c>
      <c r="AI286" s="115" t="str">
        <f>IFERROR(INDEX(TableTEVORP[TIGHT END],MATCH(TableOverallMaster[[#This Row],[RK]],TableTEVORP[RK],0)),"")</f>
        <v>Dawson Knox</v>
      </c>
      <c r="AJ286" s="115" t="str">
        <f t="shared" si="4"/>
        <v>TE35</v>
      </c>
      <c r="AK286" s="115">
        <f>IFERROR(INDEX(TableTEVORP[BYE],MATCH(TableOverallMaster[[#This Row],[RK]],TableTEVORP[RK],0)),"")</f>
        <v>13</v>
      </c>
      <c r="AL286" s="116">
        <f>IFERROR(INDEX(TableTEVORP[FPS],MATCH(TableOverallMaster[[#This Row],[RK]],TableTEVORP[RK],0)),"")</f>
        <v>58.365559107071988</v>
      </c>
      <c r="AM286" s="117">
        <f>IFERROR(INDEX(TableTEVORP[VORP],MATCH(TableOverallMaster[[#This Row],[RK]],TableTEVORP[RK],0)),"")</f>
        <v>-0.55562345269246416</v>
      </c>
      <c r="AO286">
        <v>285</v>
      </c>
      <c r="AP286" s="118" t="str">
        <f>IFERROR(INDEX(TableOverallMaster[OVERALL PLAYER],MATCH(TableOverallRank[[#This Row],[RK]],TableOverallMaster[OVR RK],0)),"")</f>
        <v>Hassan Haskins</v>
      </c>
      <c r="AQ286" s="119" t="str">
        <f>IFERROR(INDEX(TableOverallMaster[POS RK],MATCH(TableOverallRank[[#This Row],[OVERALL PLAYER]],TableOverallMaster[OVERALL PLAYER],0)),"")</f>
        <v>RB90</v>
      </c>
      <c r="AR286" s="120">
        <f>IFERROR(INDEX(TableOverallMaster[BYE],MATCH(TableOverallRank[[#This Row],[OVERALL PLAYER]],TableOverallMaster[OVERALL PLAYER],0)),"")</f>
        <v>7</v>
      </c>
      <c r="AS286" s="119">
        <f>IFERROR(INDEX(TableOverallMaster[Custom],MATCH(TableOverallRank[[#This Row],[OVERALL PLAYER]],TableOverallMaster[OVERALL PLAYER],0)),"")</f>
        <v>23.519939289</v>
      </c>
      <c r="AT286" s="121">
        <f>IFERROR(INDEX(TableOverallMaster[VORP],MATCH(TableOverallRank[[#This Row],[OVERALL PLAYER]],TableOverallMaster[OVERALL PLAYER],0)),"")</f>
        <v>-0.7913383585706979</v>
      </c>
      <c r="AY286" s="57"/>
      <c r="AZ286" s="114"/>
    </row>
    <row r="287" spans="32:62" x14ac:dyDescent="0.2">
      <c r="AF287" t="s">
        <v>10</v>
      </c>
      <c r="AG287">
        <v>36</v>
      </c>
      <c r="AH287" s="83">
        <f>RANK(TableOverallMaster[[#This Row],[VORP]],TableOverallMaster[VORP])+COUNTIF($AM$2:AM287,AM287)-1</f>
        <v>237</v>
      </c>
      <c r="AI287" s="115" t="str">
        <f>IFERROR(INDEX(TableTEVORP[TIGHT END],MATCH(TableOverallMaster[[#This Row],[RK]],TableTEVORP[RK],0)),"")</f>
        <v>Colby Parkinson</v>
      </c>
      <c r="AJ287" s="115" t="str">
        <f t="shared" si="4"/>
        <v>TE36</v>
      </c>
      <c r="AK287" s="115">
        <f>IFERROR(INDEX(TableTEVORP[BYE],MATCH(TableOverallMaster[[#This Row],[RK]],TableTEVORP[RK],0)),"")</f>
        <v>10</v>
      </c>
      <c r="AL287" s="116">
        <f>IFERROR(INDEX(TableTEVORP[FPS],MATCH(TableOverallMaster[[#This Row],[RK]],TableTEVORP[RK],0)),"")</f>
        <v>55.509939280947187</v>
      </c>
      <c r="AM287" s="117">
        <f>IFERROR(INDEX(TableTEVORP[VORP],MATCH(TableOverallMaster[[#This Row],[RK]],TableTEVORP[RK],0)),"")</f>
        <v>-0.57736522126574819</v>
      </c>
      <c r="AO287">
        <v>286</v>
      </c>
      <c r="AP287" s="118" t="str">
        <f>IFERROR(INDEX(TableOverallMaster[OVERALL PLAYER],MATCH(TableOverallRank[[#This Row],[RK]],TableOverallMaster[OVR RK],0)),"")</f>
        <v>Charlie Woerner</v>
      </c>
      <c r="AQ287" s="119" t="str">
        <f>IFERROR(INDEX(TableOverallMaster[POS RK],MATCH(TableOverallRank[[#This Row],[OVERALL PLAYER]],TableOverallMaster[OVERALL PLAYER],0)),"")</f>
        <v>TE49</v>
      </c>
      <c r="AR287" s="120">
        <f>IFERROR(INDEX(TableOverallMaster[BYE],MATCH(TableOverallRank[[#This Row],[OVERALL PLAYER]],TableOverallMaster[OVERALL PLAYER],0)),"")</f>
        <v>11</v>
      </c>
      <c r="AS287" s="119">
        <f>IFERROR(INDEX(TableOverallMaster[Custom],MATCH(TableOverallRank[[#This Row],[OVERALL PLAYER]],TableOverallMaster[OVERALL PLAYER],0)),"")</f>
        <v>27.385607208959996</v>
      </c>
      <c r="AT287" s="121">
        <f>IFERROR(INDEX(TableOverallMaster[VORP],MATCH(TableOverallRank[[#This Row],[OVERALL PLAYER]],TableOverallMaster[OVERALL PLAYER],0)),"")</f>
        <v>-0.79149481708702651</v>
      </c>
      <c r="AY287" s="57"/>
      <c r="AZ287" s="114"/>
    </row>
    <row r="288" spans="32:62" x14ac:dyDescent="0.2">
      <c r="AF288" t="s">
        <v>10</v>
      </c>
      <c r="AG288">
        <v>37</v>
      </c>
      <c r="AH288" s="83">
        <f>RANK(TableOverallMaster[[#This Row],[VORP]],TableOverallMaster[VORP])+COUNTIF($AM$2:AM288,AM288)-1</f>
        <v>238</v>
      </c>
      <c r="AI288" s="115" t="str">
        <f>IFERROR(INDEX(TableTEVORP[TIGHT END],MATCH(TableOverallMaster[[#This Row],[RK]],TableTEVORP[RK],0)),"")</f>
        <v>Isaiah Likely</v>
      </c>
      <c r="AJ288" s="115" t="str">
        <f t="shared" si="4"/>
        <v>TE37</v>
      </c>
      <c r="AK288" s="115">
        <f>IFERROR(INDEX(TableTEVORP[BYE],MATCH(TableOverallMaster[[#This Row],[RK]],TableTEVORP[RK],0)),"")</f>
        <v>13</v>
      </c>
      <c r="AL288" s="116">
        <f>IFERROR(INDEX(TableTEVORP[FPS],MATCH(TableOverallMaster[[#This Row],[RK]],TableTEVORP[RK],0)),"")</f>
        <v>55.486040377824011</v>
      </c>
      <c r="AM288" s="117">
        <f>IFERROR(INDEX(TableTEVORP[VORP],MATCH(TableOverallMaster[[#This Row],[RK]],TableTEVORP[RK],0)),"")</f>
        <v>-0.57754717980802528</v>
      </c>
      <c r="AO288">
        <v>287</v>
      </c>
      <c r="AP288" s="118" t="str">
        <f>IFERROR(INDEX(TableOverallMaster[OVERALL PLAYER],MATCH(TableOverallRank[[#This Row],[RK]],TableOverallMaster[OVR RK],0)),"")</f>
        <v>Keaontay Ingram</v>
      </c>
      <c r="AQ288" s="119" t="str">
        <f>IFERROR(INDEX(TableOverallMaster[POS RK],MATCH(TableOverallRank[[#This Row],[OVERALL PLAYER]],TableOverallMaster[OVERALL PLAYER],0)),"")</f>
        <v>RB91</v>
      </c>
      <c r="AR288" s="120">
        <f>IFERROR(INDEX(TableOverallMaster[BYE],MATCH(TableOverallRank[[#This Row],[OVERALL PLAYER]],TableOverallMaster[OVERALL PLAYER],0)),"")</f>
        <v>10</v>
      </c>
      <c r="AS288" s="119">
        <f>IFERROR(INDEX(TableOverallMaster[Custom],MATCH(TableOverallRank[[#This Row],[OVERALL PLAYER]],TableOverallMaster[OVERALL PLAYER],0)),"")</f>
        <v>23.444296960000003</v>
      </c>
      <c r="AT288" s="121">
        <f>IFERROR(INDEX(TableOverallMaster[VORP],MATCH(TableOverallRank[[#This Row],[OVERALL PLAYER]],TableOverallMaster[OVERALL PLAYER],0)),"")</f>
        <v>-0.79200943396492984</v>
      </c>
      <c r="AY288" s="57"/>
      <c r="AZ288" s="114"/>
    </row>
    <row r="289" spans="32:52" x14ac:dyDescent="0.2">
      <c r="AF289" t="s">
        <v>10</v>
      </c>
      <c r="AG289">
        <v>38</v>
      </c>
      <c r="AH289" s="83">
        <f>RANK(TableOverallMaster[[#This Row],[VORP]],TableOverallMaster[VORP])+COUNTIF($AM$2:AM289,AM289)-1</f>
        <v>241</v>
      </c>
      <c r="AI289" s="115" t="str">
        <f>IFERROR(INDEX(TableTEVORP[TIGHT END],MATCH(TableOverallMaster[[#This Row],[RK]],TableTEVORP[RK],0)),"")</f>
        <v>Austin Hooper</v>
      </c>
      <c r="AJ289" s="115" t="str">
        <f t="shared" si="4"/>
        <v>TE38</v>
      </c>
      <c r="AK289" s="115">
        <f>IFERROR(INDEX(TableTEVORP[BYE],MATCH(TableOverallMaster[[#This Row],[RK]],TableTEVORP[RK],0)),"")</f>
        <v>11</v>
      </c>
      <c r="AL289" s="116">
        <f>IFERROR(INDEX(TableTEVORP[FPS],MATCH(TableOverallMaster[[#This Row],[RK]],TableTEVORP[RK],0)),"")</f>
        <v>55.186056155999992</v>
      </c>
      <c r="AM289" s="117">
        <f>IFERROR(INDEX(TableTEVORP[VORP],MATCH(TableOverallMaster[[#This Row],[RK]],TableTEVORP[RK],0)),"")</f>
        <v>-0.5798311629443188</v>
      </c>
      <c r="AO289">
        <v>288</v>
      </c>
      <c r="AP289" s="118" t="str">
        <f>IFERROR(INDEX(TableOverallMaster[OVERALL PLAYER],MATCH(TableOverallRank[[#This Row],[RK]],TableOverallMaster[OVR RK],0)),"")</f>
        <v>Evan Hull</v>
      </c>
      <c r="AQ289" s="119" t="str">
        <f>IFERROR(INDEX(TableOverallMaster[POS RK],MATCH(TableOverallRank[[#This Row],[OVERALL PLAYER]],TableOverallMaster[OVERALL PLAYER],0)),"")</f>
        <v>RB92</v>
      </c>
      <c r="AR289" s="120">
        <f>IFERROR(INDEX(TableOverallMaster[BYE],MATCH(TableOverallRank[[#This Row],[OVERALL PLAYER]],TableOverallMaster[OVERALL PLAYER],0)),"")</f>
        <v>11</v>
      </c>
      <c r="AS289" s="119">
        <f>IFERROR(INDEX(TableOverallMaster[Custom],MATCH(TableOverallRank[[#This Row],[OVERALL PLAYER]],TableOverallMaster[OVERALL PLAYER],0)),"")</f>
        <v>22.991422196511998</v>
      </c>
      <c r="AT289" s="121">
        <f>IFERROR(INDEX(TableOverallMaster[VORP],MATCH(TableOverallRank[[#This Row],[OVERALL PLAYER]],TableOverallMaster[OVERALL PLAYER],0)),"")</f>
        <v>-0.79602719907691333</v>
      </c>
      <c r="AY289" s="57"/>
      <c r="AZ289" s="114"/>
    </row>
    <row r="290" spans="32:52" x14ac:dyDescent="0.2">
      <c r="AF290" t="s">
        <v>10</v>
      </c>
      <c r="AG290">
        <v>39</v>
      </c>
      <c r="AH290" s="83">
        <f>RANK(TableOverallMaster[[#This Row],[VORP]],TableOverallMaster[VORP])+COUNTIF($AM$2:AM290,AM290)-1</f>
        <v>242</v>
      </c>
      <c r="AI290" s="115" t="str">
        <f>IFERROR(INDEX(TableTEVORP[TIGHT END],MATCH(TableOverallMaster[[#This Row],[RK]],TableTEVORP[RK],0)),"")</f>
        <v>Tommy Tremble</v>
      </c>
      <c r="AJ290" s="115" t="str">
        <f t="shared" si="4"/>
        <v>TE39</v>
      </c>
      <c r="AK290" s="115">
        <f>IFERROR(INDEX(TableTEVORP[BYE],MATCH(TableOverallMaster[[#This Row],[RK]],TableTEVORP[RK],0)),"")</f>
        <v>7</v>
      </c>
      <c r="AL290" s="116">
        <f>IFERROR(INDEX(TableTEVORP[FPS],MATCH(TableOverallMaster[[#This Row],[RK]],TableTEVORP[RK],0)),"")</f>
        <v>54.994295502719993</v>
      </c>
      <c r="AM290" s="117">
        <f>IFERROR(INDEX(TableTEVORP[VORP],MATCH(TableOverallMaster[[#This Row],[RK]],TableTEVORP[RK],0)),"")</f>
        <v>-0.58129116672596126</v>
      </c>
      <c r="AO290">
        <v>289</v>
      </c>
      <c r="AP290" s="118" t="str">
        <f>IFERROR(INDEX(TableOverallMaster[OVERALL PLAYER],MATCH(TableOverallRank[[#This Row],[RK]],TableOverallMaster[OVR RK],0)),"")</f>
        <v>Pharoah Brown</v>
      </c>
      <c r="AQ290" s="119" t="str">
        <f>IFERROR(INDEX(TableOverallMaster[POS RK],MATCH(TableOverallRank[[#This Row],[OVERALL PLAYER]],TableOverallMaster[OVERALL PLAYER],0)),"")</f>
        <v>TE50</v>
      </c>
      <c r="AR290" s="120">
        <f>IFERROR(INDEX(TableOverallMaster[BYE],MATCH(TableOverallRank[[#This Row],[OVERALL PLAYER]],TableOverallMaster[OVERALL PLAYER],0)),"")</f>
        <v>5</v>
      </c>
      <c r="AS290" s="119">
        <f>IFERROR(INDEX(TableOverallMaster[Custom],MATCH(TableOverallRank[[#This Row],[OVERALL PLAYER]],TableOverallMaster[OVERALL PLAYER],0)),"")</f>
        <v>26.411950109999999</v>
      </c>
      <c r="AT290" s="121">
        <f>IFERROR(INDEX(TableOverallMaster[VORP],MATCH(TableOverallRank[[#This Row],[OVERALL PLAYER]],TableOverallMaster[OVERALL PLAYER],0)),"")</f>
        <v>-0.79890792828679391</v>
      </c>
      <c r="AY290" s="57"/>
      <c r="AZ290" s="114"/>
    </row>
    <row r="291" spans="32:52" x14ac:dyDescent="0.2">
      <c r="AF291" t="s">
        <v>10</v>
      </c>
      <c r="AG291">
        <v>40</v>
      </c>
      <c r="AH291" s="83">
        <f>RANK(TableOverallMaster[[#This Row],[VORP]],TableOverallMaster[VORP])+COUNTIF($AM$2:AM291,AM291)-1</f>
        <v>251</v>
      </c>
      <c r="AI291" s="115" t="str">
        <f>IFERROR(INDEX(TableTEVORP[TIGHT END],MATCH(TableOverallMaster[[#This Row],[RK]],TableTEVORP[RK],0)),"")</f>
        <v>Greg Dulcich</v>
      </c>
      <c r="AJ291" s="115" t="str">
        <f t="shared" si="4"/>
        <v>TE40</v>
      </c>
      <c r="AK291" s="115">
        <f>IFERROR(INDEX(TableTEVORP[BYE],MATCH(TableOverallMaster[[#This Row],[RK]],TableTEVORP[RK],0)),"")</f>
        <v>9</v>
      </c>
      <c r="AL291" s="116">
        <f>IFERROR(INDEX(TableTEVORP[FPS],MATCH(TableOverallMaster[[#This Row],[RK]],TableTEVORP[RK],0)),"")</f>
        <v>52.664460695448014</v>
      </c>
      <c r="AM291" s="117">
        <f>IFERROR(INDEX(TableTEVORP[VORP],MATCH(TableOverallMaster[[#This Row],[RK]],TableTEVORP[RK],0)),"")</f>
        <v>-0.59902977770290966</v>
      </c>
      <c r="AO291">
        <v>290</v>
      </c>
      <c r="AP291" s="118" t="str">
        <f>IFERROR(INDEX(TableOverallMaster[OVERALL PLAYER],MATCH(TableOverallRank[[#This Row],[RK]],TableOverallMaster[OVR RK],0)),"")</f>
        <v>Jaleel McLaughlin</v>
      </c>
      <c r="AQ291" s="119" t="str">
        <f>IFERROR(INDEX(TableOverallMaster[POS RK],MATCH(TableOverallRank[[#This Row],[OVERALL PLAYER]],TableOverallMaster[OVERALL PLAYER],0)),"")</f>
        <v>RB93</v>
      </c>
      <c r="AR291" s="120">
        <f>IFERROR(INDEX(TableOverallMaster[BYE],MATCH(TableOverallRank[[#This Row],[OVERALL PLAYER]],TableOverallMaster[OVERALL PLAYER],0)),"")</f>
        <v>9</v>
      </c>
      <c r="AS291" s="119">
        <f>IFERROR(INDEX(TableOverallMaster[Custom],MATCH(TableOverallRank[[#This Row],[OVERALL PLAYER]],TableOverallMaster[OVERALL PLAYER],0)),"")</f>
        <v>22.372623066780001</v>
      </c>
      <c r="AT291" s="121">
        <f>IFERROR(INDEX(TableOverallMaster[VORP],MATCH(TableOverallRank[[#This Row],[OVERALL PLAYER]],TableOverallMaster[OVERALL PLAYER],0)),"")</f>
        <v>-0.80151699395003573</v>
      </c>
      <c r="AY291" s="57"/>
      <c r="AZ291" s="114"/>
    </row>
    <row r="292" spans="32:52" x14ac:dyDescent="0.2">
      <c r="AF292" t="s">
        <v>10</v>
      </c>
      <c r="AG292">
        <v>41</v>
      </c>
      <c r="AH292" s="83">
        <f>RANK(TableOverallMaster[[#This Row],[VORP]],TableOverallMaster[VORP])+COUNTIF($AM$2:AM292,AM292)-1</f>
        <v>256</v>
      </c>
      <c r="AI292" s="115" t="str">
        <f>IFERROR(INDEX(TableTEVORP[TIGHT END],MATCH(TableOverallMaster[[#This Row],[RK]],TableTEVORP[RK],0)),"")</f>
        <v>Ben Sinnott</v>
      </c>
      <c r="AJ292" s="115" t="str">
        <f t="shared" si="4"/>
        <v>TE41</v>
      </c>
      <c r="AK292" s="115">
        <f>IFERROR(INDEX(TableTEVORP[BYE],MATCH(TableOverallMaster[[#This Row],[RK]],TableTEVORP[RK],0)),"")</f>
        <v>14</v>
      </c>
      <c r="AL292" s="116">
        <f>IFERROR(INDEX(TableTEVORP[FPS],MATCH(TableOverallMaster[[#This Row],[RK]],TableTEVORP[RK],0)),"")</f>
        <v>48.575699465383998</v>
      </c>
      <c r="AM292" s="117">
        <f>IFERROR(INDEX(TableTEVORP[VORP],MATCH(TableOverallMaster[[#This Row],[RK]],TableTEVORP[RK],0)),"")</f>
        <v>-0.6301602873044293</v>
      </c>
      <c r="AO292">
        <v>291</v>
      </c>
      <c r="AP292" s="118" t="str">
        <f>IFERROR(INDEX(TableOverallMaster[OVERALL PLAYER],MATCH(TableOverallRank[[#This Row],[RK]],TableOverallMaster[OVR RK],0)),"")</f>
        <v>Royce Freeman</v>
      </c>
      <c r="AQ292" s="119" t="str">
        <f>IFERROR(INDEX(TableOverallMaster[POS RK],MATCH(TableOverallRank[[#This Row],[OVERALL PLAYER]],TableOverallMaster[OVERALL PLAYER],0)),"")</f>
        <v>RB94</v>
      </c>
      <c r="AR292" s="120">
        <f>IFERROR(INDEX(TableOverallMaster[BYE],MATCH(TableOverallRank[[#This Row],[OVERALL PLAYER]],TableOverallMaster[OVERALL PLAYER],0)),"")</f>
        <v>7</v>
      </c>
      <c r="AS292" s="119">
        <f>IFERROR(INDEX(TableOverallMaster[Custom],MATCH(TableOverallRank[[#This Row],[OVERALL PLAYER]],TableOverallMaster[OVERALL PLAYER],0)),"")</f>
        <v>22.019979806999999</v>
      </c>
      <c r="AT292" s="121">
        <f>IFERROR(INDEX(TableOverallMaster[VORP],MATCH(TableOverallRank[[#This Row],[OVERALL PLAYER]],TableOverallMaster[OVERALL PLAYER],0)),"")</f>
        <v>-0.80464553609976353</v>
      </c>
      <c r="AY292" s="57"/>
      <c r="AZ292" s="114"/>
    </row>
    <row r="293" spans="32:52" x14ac:dyDescent="0.2">
      <c r="AF293" t="s">
        <v>10</v>
      </c>
      <c r="AG293">
        <v>42</v>
      </c>
      <c r="AH293" s="83">
        <f>RANK(TableOverallMaster[[#This Row],[VORP]],TableOverallMaster[VORP])+COUNTIF($AM$2:AM293,AM293)-1</f>
        <v>258</v>
      </c>
      <c r="AI293" s="115" t="str">
        <f>IFERROR(INDEX(TableTEVORP[TIGHT END],MATCH(TableOverallMaster[[#This Row],[RK]],TableTEVORP[RK],0)),"")</f>
        <v>Jeremy Ruckert</v>
      </c>
      <c r="AJ293" s="115" t="str">
        <f t="shared" si="4"/>
        <v>TE42</v>
      </c>
      <c r="AK293" s="115">
        <f>IFERROR(INDEX(TableTEVORP[BYE],MATCH(TableOverallMaster[[#This Row],[RK]],TableTEVORP[RK],0)),"")</f>
        <v>7</v>
      </c>
      <c r="AL293" s="116">
        <f>IFERROR(INDEX(TableTEVORP[FPS],MATCH(TableOverallMaster[[#This Row],[RK]],TableTEVORP[RK],0)),"")</f>
        <v>47.942912402985584</v>
      </c>
      <c r="AM293" s="117">
        <f>IFERROR(INDEX(TableTEVORP[VORP],MATCH(TableOverallMaster[[#This Row],[RK]],TableTEVORP[RK],0)),"")</f>
        <v>-0.6349781239579535</v>
      </c>
      <c r="AO293">
        <v>292</v>
      </c>
      <c r="AP293" s="118" t="str">
        <f>IFERROR(INDEX(TableOverallMaster[OVERALL PLAYER],MATCH(TableOverallRank[[#This Row],[RK]],TableOverallMaster[OVR RK],0)),"")</f>
        <v>Chris Evans</v>
      </c>
      <c r="AQ293" s="119" t="str">
        <f>IFERROR(INDEX(TableOverallMaster[POS RK],MATCH(TableOverallRank[[#This Row],[OVERALL PLAYER]],TableOverallMaster[OVERALL PLAYER],0)),"")</f>
        <v>RB95</v>
      </c>
      <c r="AR293" s="120">
        <f>IFERROR(INDEX(TableOverallMaster[BYE],MATCH(TableOverallRank[[#This Row],[OVERALL PLAYER]],TableOverallMaster[OVERALL PLAYER],0)),"")</f>
        <v>7</v>
      </c>
      <c r="AS293" s="119">
        <f>IFERROR(INDEX(TableOverallMaster[Custom],MATCH(TableOverallRank[[#This Row],[OVERALL PLAYER]],TableOverallMaster[OVERALL PLAYER],0)),"")</f>
        <v>21.211792024415999</v>
      </c>
      <c r="AT293" s="121">
        <f>IFERROR(INDEX(TableOverallMaster[VORP],MATCH(TableOverallRank[[#This Row],[OVERALL PLAYER]],TableOverallMaster[OVERALL PLAYER],0)),"")</f>
        <v>-0.81181552864204676</v>
      </c>
      <c r="AY293" s="57"/>
      <c r="AZ293" s="114"/>
    </row>
    <row r="294" spans="32:52" x14ac:dyDescent="0.2">
      <c r="AF294" t="s">
        <v>10</v>
      </c>
      <c r="AG294">
        <v>43</v>
      </c>
      <c r="AH294" s="83">
        <f>RANK(TableOverallMaster[[#This Row],[VORP]],TableOverallMaster[VORP])+COUNTIF($AM$2:AM294,AM294)-1</f>
        <v>259</v>
      </c>
      <c r="AI294" s="115" t="str">
        <f>IFERROR(INDEX(TableTEVORP[TIGHT END],MATCH(TableOverallMaster[[#This Row],[RK]],TableTEVORP[RK],0)),"")</f>
        <v>Donald Parham</v>
      </c>
      <c r="AJ294" s="115" t="str">
        <f t="shared" si="4"/>
        <v>TE43</v>
      </c>
      <c r="AK294" s="115">
        <f>IFERROR(INDEX(TableTEVORP[BYE],MATCH(TableOverallMaster[[#This Row],[RK]],TableTEVORP[RK],0)),"")</f>
        <v>5</v>
      </c>
      <c r="AL294" s="116">
        <f>IFERROR(INDEX(TableTEVORP[FPS],MATCH(TableOverallMaster[[#This Row],[RK]],TableTEVORP[RK],0)),"")</f>
        <v>47.064153670841982</v>
      </c>
      <c r="AM294" s="117">
        <f>IFERROR(INDEX(TableTEVORP[VORP],MATCH(TableOverallMaster[[#This Row],[RK]],TableTEVORP[RK],0)),"")</f>
        <v>-0.64166870959236744</v>
      </c>
      <c r="AO294">
        <v>293</v>
      </c>
      <c r="AP294" s="118" t="str">
        <f>IFERROR(INDEX(TableOverallMaster[OVERALL PLAYER],MATCH(TableOverallRank[[#This Row],[RK]],TableOverallMaster[OVR RK],0)),"")</f>
        <v>Sam Howell</v>
      </c>
      <c r="AQ294" s="119" t="str">
        <f>IFERROR(INDEX(TableOverallMaster[POS RK],MATCH(TableOverallRank[[#This Row],[OVERALL PLAYER]],TableOverallMaster[OVERALL PLAYER],0)),"")</f>
        <v>QB38</v>
      </c>
      <c r="AR294" s="120">
        <f>IFERROR(INDEX(TableOverallMaster[BYE],MATCH(TableOverallRank[[#This Row],[OVERALL PLAYER]],TableOverallMaster[OVERALL PLAYER],0)),"")</f>
        <v>5</v>
      </c>
      <c r="AS294" s="119">
        <f>IFERROR(INDEX(TableOverallMaster[Custom],MATCH(TableOverallRank[[#This Row],[OVERALL PLAYER]],TableOverallMaster[OVERALL PLAYER],0)),"")</f>
        <v>27.710476903968001</v>
      </c>
      <c r="AT294" s="121">
        <f>IFERROR(INDEX(TableOverallMaster[VORP],MATCH(TableOverallRank[[#This Row],[OVERALL PLAYER]],TableOverallMaster[OVERALL PLAYER],0)),"")</f>
        <v>-0.81900994086445589</v>
      </c>
      <c r="AY294" s="57"/>
      <c r="AZ294" s="114"/>
    </row>
    <row r="295" spans="32:52" x14ac:dyDescent="0.2">
      <c r="AF295" t="s">
        <v>10</v>
      </c>
      <c r="AG295">
        <v>44</v>
      </c>
      <c r="AH295" s="83">
        <f>RANK(TableOverallMaster[[#This Row],[VORP]],TableOverallMaster[VORP])+COUNTIF($AM$2:AM295,AM295)-1</f>
        <v>261</v>
      </c>
      <c r="AI295" s="115" t="str">
        <f>IFERROR(INDEX(TableTEVORP[TIGHT END],MATCH(TableOverallMaster[[#This Row],[RK]],TableTEVORP[RK],0)),"")</f>
        <v>Josh Oliver</v>
      </c>
      <c r="AJ295" s="115" t="str">
        <f t="shared" si="4"/>
        <v>TE44</v>
      </c>
      <c r="AK295" s="115">
        <f>IFERROR(INDEX(TableTEVORP[BYE],MATCH(TableOverallMaster[[#This Row],[RK]],TableTEVORP[RK],0)),"")</f>
        <v>13</v>
      </c>
      <c r="AL295" s="116">
        <f>IFERROR(INDEX(TableTEVORP[FPS],MATCH(TableOverallMaster[[#This Row],[RK]],TableTEVORP[RK],0)),"")</f>
        <v>46.24948826064</v>
      </c>
      <c r="AM295" s="117">
        <f>IFERROR(INDEX(TableTEVORP[VORP],MATCH(TableOverallMaster[[#This Row],[RK]],TableTEVORP[RK],0)),"")</f>
        <v>-0.64787130934014536</v>
      </c>
      <c r="AO295">
        <v>294</v>
      </c>
      <c r="AP295" s="118" t="str">
        <f>IFERROR(INDEX(TableOverallMaster[OVERALL PLAYER],MATCH(TableOverallRank[[#This Row],[RK]],TableOverallMaster[OVR RK],0)),"")</f>
        <v>Justice Hill</v>
      </c>
      <c r="AQ295" s="119" t="str">
        <f>IFERROR(INDEX(TableOverallMaster[POS RK],MATCH(TableOverallRank[[#This Row],[OVERALL PLAYER]],TableOverallMaster[OVERALL PLAYER],0)),"")</f>
        <v>RB96</v>
      </c>
      <c r="AR295" s="120">
        <f>IFERROR(INDEX(TableOverallMaster[BYE],MATCH(TableOverallRank[[#This Row],[OVERALL PLAYER]],TableOverallMaster[OVERALL PLAYER],0)),"")</f>
        <v>13</v>
      </c>
      <c r="AS295" s="119">
        <f>IFERROR(INDEX(TableOverallMaster[Custom],MATCH(TableOverallRank[[#This Row],[OVERALL PLAYER]],TableOverallMaster[OVERALL PLAYER],0)),"")</f>
        <v>20.135598235760003</v>
      </c>
      <c r="AT295" s="121">
        <f>IFERROR(INDEX(TableOverallMaster[VORP],MATCH(TableOverallRank[[#This Row],[OVERALL PLAYER]],TableOverallMaster[OVERALL PLAYER],0)),"")</f>
        <v>-0.8213631877442964</v>
      </c>
      <c r="AY295" s="57"/>
      <c r="AZ295" s="114"/>
    </row>
    <row r="296" spans="32:52" x14ac:dyDescent="0.2">
      <c r="AF296" t="s">
        <v>10</v>
      </c>
      <c r="AG296">
        <v>45</v>
      </c>
      <c r="AH296" s="83">
        <f>RANK(TableOverallMaster[[#This Row],[VORP]],TableOverallMaster[VORP])+COUNTIF($AM$2:AM296,AM296)-1</f>
        <v>263</v>
      </c>
      <c r="AI296" s="115" t="str">
        <f>IFERROR(INDEX(TableTEVORP[TIGHT END],MATCH(TableOverallMaster[[#This Row],[RK]],TableTEVORP[RK],0)),"")</f>
        <v>Theo Johnson</v>
      </c>
      <c r="AJ296" s="115" t="str">
        <f t="shared" si="4"/>
        <v>TE45</v>
      </c>
      <c r="AK296" s="115">
        <f>IFERROR(INDEX(TableTEVORP[BYE],MATCH(TableOverallMaster[[#This Row],[RK]],TableTEVORP[RK],0)),"")</f>
        <v>13</v>
      </c>
      <c r="AL296" s="116">
        <f>IFERROR(INDEX(TableTEVORP[FPS],MATCH(TableOverallMaster[[#This Row],[RK]],TableTEVORP[RK],0)),"")</f>
        <v>43.712904661977589</v>
      </c>
      <c r="AM296" s="117">
        <f>IFERROR(INDEX(TableTEVORP[VORP],MATCH(TableOverallMaster[[#This Row],[RK]],TableTEVORP[RK],0)),"")</f>
        <v>-0.66718403894944578</v>
      </c>
      <c r="AO296">
        <v>295</v>
      </c>
      <c r="AP296" s="118" t="str">
        <f>IFERROR(INDEX(TableOverallMaster[OVERALL PLAYER],MATCH(TableOverallRank[[#This Row],[RK]],TableOverallMaster[OVR RK],0)),"")</f>
        <v>Craig Reynolds</v>
      </c>
      <c r="AQ296" s="119" t="str">
        <f>IFERROR(INDEX(TableOverallMaster[POS RK],MATCH(TableOverallRank[[#This Row],[OVERALL PLAYER]],TableOverallMaster[OVERALL PLAYER],0)),"")</f>
        <v>RB97</v>
      </c>
      <c r="AR296" s="120">
        <f>IFERROR(INDEX(TableOverallMaster[BYE],MATCH(TableOverallRank[[#This Row],[OVERALL PLAYER]],TableOverallMaster[OVERALL PLAYER],0)),"")</f>
        <v>9</v>
      </c>
      <c r="AS296" s="119">
        <f>IFERROR(INDEX(TableOverallMaster[Custom],MATCH(TableOverallRank[[#This Row],[OVERALL PLAYER]],TableOverallMaster[OVERALL PLAYER],0)),"")</f>
        <v>19.247159624000005</v>
      </c>
      <c r="AT296" s="121">
        <f>IFERROR(INDEX(TableOverallMaster[VORP],MATCH(TableOverallRank[[#This Row],[OVERALL PLAYER]],TableOverallMaster[OVERALL PLAYER],0)),"")</f>
        <v>-0.82924514087185874</v>
      </c>
      <c r="AY296" s="57"/>
      <c r="AZ296" s="114"/>
    </row>
    <row r="297" spans="32:52" x14ac:dyDescent="0.2">
      <c r="AF297" t="s">
        <v>10</v>
      </c>
      <c r="AG297">
        <v>46</v>
      </c>
      <c r="AH297" s="83">
        <f>RANK(TableOverallMaster[[#This Row],[VORP]],TableOverallMaster[VORP])+COUNTIF($AM$2:AM297,AM297)-1</f>
        <v>271</v>
      </c>
      <c r="AI297" s="115" t="str">
        <f>IFERROR(INDEX(TableTEVORP[TIGHT END],MATCH(TableOverallMaster[[#This Row],[RK]],TableTEVORP[RK],0)),"")</f>
        <v>Mo Alie-Cox</v>
      </c>
      <c r="AJ297" s="115" t="str">
        <f t="shared" si="4"/>
        <v>TE46</v>
      </c>
      <c r="AK297" s="115">
        <f>IFERROR(INDEX(TableTEVORP[BYE],MATCH(TableOverallMaster[[#This Row],[RK]],TableTEVORP[RK],0)),"")</f>
        <v>11</v>
      </c>
      <c r="AL297" s="116">
        <f>IFERROR(INDEX(TableTEVORP[FPS],MATCH(TableOverallMaster[[#This Row],[RK]],TableTEVORP[RK],0)),"")</f>
        <v>36.596044523500012</v>
      </c>
      <c r="AM297" s="117">
        <f>IFERROR(INDEX(TableTEVORP[VORP],MATCH(TableOverallMaster[[#This Row],[RK]],TableTEVORP[RK],0)),"")</f>
        <v>-0.72136951724162746</v>
      </c>
      <c r="AO297">
        <v>296</v>
      </c>
      <c r="AP297" s="118" t="str">
        <f>IFERROR(INDEX(TableOverallMaster[OVERALL PLAYER],MATCH(TableOverallRank[[#This Row],[RK]],TableOverallMaster[OVR RK],0)),"")</f>
        <v>Deon Jackson</v>
      </c>
      <c r="AQ297" s="119" t="str">
        <f>IFERROR(INDEX(TableOverallMaster[POS RK],MATCH(TableOverallRank[[#This Row],[OVERALL PLAYER]],TableOverallMaster[OVERALL PLAYER],0)),"")</f>
        <v>RB98</v>
      </c>
      <c r="AR297" s="120">
        <f>IFERROR(INDEX(TableOverallMaster[BYE],MATCH(TableOverallRank[[#This Row],[OVERALL PLAYER]],TableOverallMaster[OVERALL PLAYER],0)),"")</f>
        <v>13</v>
      </c>
      <c r="AS297" s="119">
        <f>IFERROR(INDEX(TableOverallMaster[Custom],MATCH(TableOverallRank[[#This Row],[OVERALL PLAYER]],TableOverallMaster[OVERALL PLAYER],0)),"")</f>
        <v>19.134680254928</v>
      </c>
      <c r="AT297" s="121">
        <f>IFERROR(INDEX(TableOverallMaster[VORP],MATCH(TableOverallRank[[#This Row],[OVERALL PLAYER]],TableOverallMaster[OVERALL PLAYER],0)),"")</f>
        <v>-0.83024302311505294</v>
      </c>
      <c r="AY297" s="57"/>
      <c r="AZ297" s="114"/>
    </row>
    <row r="298" spans="32:52" x14ac:dyDescent="0.2">
      <c r="AF298" t="s">
        <v>10</v>
      </c>
      <c r="AG298">
        <v>47</v>
      </c>
      <c r="AH298" s="83">
        <f>RANK(TableOverallMaster[[#This Row],[VORP]],TableOverallMaster[VORP])+COUNTIF($AM$2:AM298,AM298)-1</f>
        <v>279</v>
      </c>
      <c r="AI298" s="115" t="str">
        <f>IFERROR(INDEX(TableTEVORP[TIGHT END],MATCH(TableOverallMaster[[#This Row],[RK]],TableTEVORP[RK],0)),"")</f>
        <v>Adam Trautman</v>
      </c>
      <c r="AJ298" s="115" t="str">
        <f t="shared" si="4"/>
        <v>TE47</v>
      </c>
      <c r="AK298" s="115">
        <f>IFERROR(INDEX(TableTEVORP[BYE],MATCH(TableOverallMaster[[#This Row],[RK]],TableTEVORP[RK],0)),"")</f>
        <v>9</v>
      </c>
      <c r="AL298" s="116">
        <f>IFERROR(INDEX(TableTEVORP[FPS],MATCH(TableOverallMaster[[#This Row],[RK]],TableTEVORP[RK],0)),"")</f>
        <v>31.824565295600003</v>
      </c>
      <c r="AM298" s="117">
        <f>IFERROR(INDEX(TableTEVORP[VORP],MATCH(TableOverallMaster[[#This Row],[RK]],TableTEVORP[RK],0)),"")</f>
        <v>-0.75769802153906896</v>
      </c>
      <c r="AO298">
        <v>297</v>
      </c>
      <c r="AP298" s="118" t="str">
        <f>IFERROR(INDEX(TableOverallMaster[OVERALL PLAYER],MATCH(TableOverallRank[[#This Row],[RK]],TableOverallMaster[OVR RK],0)),"")</f>
        <v>Raheem Blackshear</v>
      </c>
      <c r="AQ298" s="119" t="str">
        <f>IFERROR(INDEX(TableOverallMaster[POS RK],MATCH(TableOverallRank[[#This Row],[OVERALL PLAYER]],TableOverallMaster[OVERALL PLAYER],0)),"")</f>
        <v>RB99</v>
      </c>
      <c r="AR298" s="120">
        <f>IFERROR(INDEX(TableOverallMaster[BYE],MATCH(TableOverallRank[[#This Row],[OVERALL PLAYER]],TableOverallMaster[OVERALL PLAYER],0)),"")</f>
        <v>7</v>
      </c>
      <c r="AS298" s="119">
        <f>IFERROR(INDEX(TableOverallMaster[Custom],MATCH(TableOverallRank[[#This Row],[OVERALL PLAYER]],TableOverallMaster[OVERALL PLAYER],0)),"")</f>
        <v>17.937397642752</v>
      </c>
      <c r="AT298" s="121">
        <f>IFERROR(INDEX(TableOverallMaster[VORP],MATCH(TableOverallRank[[#This Row],[OVERALL PLAYER]],TableOverallMaster[OVERALL PLAYER],0)),"")</f>
        <v>-0.84086494488286323</v>
      </c>
      <c r="AY298" s="57"/>
      <c r="AZ298" s="114"/>
    </row>
    <row r="299" spans="32:52" x14ac:dyDescent="0.2">
      <c r="AF299" t="s">
        <v>10</v>
      </c>
      <c r="AG299">
        <v>48</v>
      </c>
      <c r="AH299" s="83">
        <f>RANK(TableOverallMaster[[#This Row],[VORP]],TableOverallMaster[VORP])+COUNTIF($AM$2:AM299,AM299)-1</f>
        <v>280</v>
      </c>
      <c r="AI299" s="115" t="str">
        <f>IFERROR(INDEX(TableTEVORP[TIGHT END],MATCH(TableOverallMaster[[#This Row],[RK]],TableTEVORP[RK],0)),"")</f>
        <v>Gerald Everett</v>
      </c>
      <c r="AJ299" s="115" t="str">
        <f t="shared" si="4"/>
        <v>TE48</v>
      </c>
      <c r="AK299" s="115">
        <f>IFERROR(INDEX(TableTEVORP[BYE],MATCH(TableOverallMaster[[#This Row],[RK]],TableTEVORP[RK],0)),"")</f>
        <v>13</v>
      </c>
      <c r="AL299" s="116">
        <f>IFERROR(INDEX(TableTEVORP[FPS],MATCH(TableOverallMaster[[#This Row],[RK]],TableTEVORP[RK],0)),"")</f>
        <v>31.095113212799991</v>
      </c>
      <c r="AM299" s="117">
        <f>IFERROR(INDEX(TableTEVORP[VORP],MATCH(TableOverallMaster[[#This Row],[RK]],TableTEVORP[RK],0)),"")</f>
        <v>-0.76325183448869394</v>
      </c>
      <c r="AO299">
        <v>298</v>
      </c>
      <c r="AP299" s="118" t="str">
        <f>IFERROR(INDEX(TableOverallMaster[OVERALL PLAYER],MATCH(TableOverallRank[[#This Row],[RK]],TableOverallMaster[OVR RK],0)),"")</f>
        <v>Chris Rodriguez</v>
      </c>
      <c r="AQ299" s="119" t="str">
        <f>IFERROR(INDEX(TableOverallMaster[POS RK],MATCH(TableOverallRank[[#This Row],[OVERALL PLAYER]],TableOverallMaster[OVERALL PLAYER],0)),"")</f>
        <v>RB100</v>
      </c>
      <c r="AR299" s="120">
        <f>IFERROR(INDEX(TableOverallMaster[BYE],MATCH(TableOverallRank[[#This Row],[OVERALL PLAYER]],TableOverallMaster[OVERALL PLAYER],0)),"")</f>
        <v>14</v>
      </c>
      <c r="AS299" s="119">
        <f>IFERROR(INDEX(TableOverallMaster[Custom],MATCH(TableOverallRank[[#This Row],[OVERALL PLAYER]],TableOverallMaster[OVERALL PLAYER],0)),"")</f>
        <v>17.589380964834</v>
      </c>
      <c r="AT299" s="121">
        <f>IFERROR(INDEX(TableOverallMaster[VORP],MATCH(TableOverallRank[[#This Row],[OVERALL PLAYER]],TableOverallMaster[OVERALL PLAYER],0)),"")</f>
        <v>-0.84395244142640691</v>
      </c>
      <c r="AY299" s="57"/>
      <c r="AZ299" s="114"/>
    </row>
    <row r="300" spans="32:52" x14ac:dyDescent="0.2">
      <c r="AF300" t="s">
        <v>10</v>
      </c>
      <c r="AG300">
        <v>49</v>
      </c>
      <c r="AH300" s="83">
        <f>RANK(TableOverallMaster[[#This Row],[VORP]],TableOverallMaster[VORP])+COUNTIF($AM$2:AM300,AM300)-1</f>
        <v>286</v>
      </c>
      <c r="AI300" s="115" t="str">
        <f>IFERROR(INDEX(TableTEVORP[TIGHT END],MATCH(TableOverallMaster[[#This Row],[RK]],TableTEVORP[RK],0)),"")</f>
        <v>Charlie Woerner</v>
      </c>
      <c r="AJ300" s="115" t="str">
        <f t="shared" si="4"/>
        <v>TE49</v>
      </c>
      <c r="AK300" s="115">
        <f>IFERROR(INDEX(TableTEVORP[BYE],MATCH(TableOverallMaster[[#This Row],[RK]],TableTEVORP[RK],0)),"")</f>
        <v>11</v>
      </c>
      <c r="AL300" s="116">
        <f>IFERROR(INDEX(TableTEVORP[FPS],MATCH(TableOverallMaster[[#This Row],[RK]],TableTEVORP[RK],0)),"")</f>
        <v>27.385607208959996</v>
      </c>
      <c r="AM300" s="117">
        <f>IFERROR(INDEX(TableTEVORP[VORP],MATCH(TableOverallMaster[[#This Row],[RK]],TableTEVORP[RK],0)),"")</f>
        <v>-0.79149481708702651</v>
      </c>
      <c r="AO300">
        <v>299</v>
      </c>
      <c r="AP300" s="118" t="str">
        <f>IFERROR(INDEX(TableOverallMaster[OVERALL PLAYER],MATCH(TableOverallRank[[#This Row],[RK]],TableOverallMaster[OVR RK],0)),"")</f>
        <v>Desmond Ridder</v>
      </c>
      <c r="AQ300" s="119" t="str">
        <f>IFERROR(INDEX(TableOverallMaster[POS RK],MATCH(TableOverallRank[[#This Row],[OVERALL PLAYER]],TableOverallMaster[OVERALL PLAYER],0)),"")</f>
        <v>QB39</v>
      </c>
      <c r="AR300" s="120">
        <f>IFERROR(INDEX(TableOverallMaster[BYE],MATCH(TableOverallRank[[#This Row],[OVERALL PLAYER]],TableOverallMaster[OVERALL PLAYER],0)),"")</f>
        <v>14</v>
      </c>
      <c r="AS300" s="119">
        <f>IFERROR(INDEX(TableOverallMaster[Custom],MATCH(TableOverallRank[[#This Row],[OVERALL PLAYER]],TableOverallMaster[OVERALL PLAYER],0)),"")</f>
        <v>18.56071909125</v>
      </c>
      <c r="AT300" s="121">
        <f>IFERROR(INDEX(TableOverallMaster[VORP],MATCH(TableOverallRank[[#This Row],[OVERALL PLAYER]],TableOverallMaster[OVERALL PLAYER],0)),"")</f>
        <v>-0.91111433453345736</v>
      </c>
      <c r="AY300" s="57"/>
      <c r="AZ300" s="114"/>
    </row>
    <row r="301" spans="32:52" x14ac:dyDescent="0.2">
      <c r="AF301" t="s">
        <v>10</v>
      </c>
      <c r="AG301">
        <v>50</v>
      </c>
      <c r="AH301" s="83">
        <f>RANK(TableOverallMaster[[#This Row],[VORP]],TableOverallMaster[VORP])+COUNTIF($AM$2:AM301,AM301)-1</f>
        <v>289</v>
      </c>
      <c r="AI301" s="115" t="str">
        <f>IFERROR(INDEX(TableTEVORP[TIGHT END],MATCH(TableOverallMaster[[#This Row],[RK]],TableTEVORP[RK],0)),"")</f>
        <v>Pharoah Brown</v>
      </c>
      <c r="AJ301" s="115" t="str">
        <f t="shared" si="4"/>
        <v>TE50</v>
      </c>
      <c r="AK301" s="115">
        <f>IFERROR(INDEX(TableTEVORP[BYE],MATCH(TableOverallMaster[[#This Row],[RK]],TableTEVORP[RK],0)),"")</f>
        <v>5</v>
      </c>
      <c r="AL301" s="116">
        <f>IFERROR(INDEX(TableTEVORP[FPS],MATCH(TableOverallMaster[[#This Row],[RK]],TableTEVORP[RK],0)),"")</f>
        <v>26.411950109999999</v>
      </c>
      <c r="AM301" s="117">
        <f>IFERROR(INDEX(TableTEVORP[VORP],MATCH(TableOverallMaster[[#This Row],[RK]],TableTEVORP[RK],0)),"")</f>
        <v>-0.79890792828679391</v>
      </c>
      <c r="AO301">
        <v>300</v>
      </c>
      <c r="AP301" s="118" t="str">
        <f>IFERROR(INDEX(TableOverallMaster[OVERALL PLAYER],MATCH(TableOverallRank[[#This Row],[RK]],TableOverallMaster[OVR RK],0)),"")</f>
        <v>Sam Darnold</v>
      </c>
      <c r="AQ301" s="119" t="str">
        <f>IFERROR(INDEX(TableOverallMaster[POS RK],MATCH(TableOverallRank[[#This Row],[OVERALL PLAYER]],TableOverallMaster[OVERALL PLAYER],0)),"")</f>
        <v>QB40</v>
      </c>
      <c r="AR301" s="120">
        <f>IFERROR(INDEX(TableOverallMaster[BYE],MATCH(TableOverallRank[[#This Row],[OVERALL PLAYER]],TableOverallMaster[OVERALL PLAYER],0)),"")</f>
        <v>13</v>
      </c>
      <c r="AS301" s="119">
        <f>IFERROR(INDEX(TableOverallMaster[Custom],MATCH(TableOverallRank[[#This Row],[OVERALL PLAYER]],TableOverallMaster[OVERALL PLAYER],0)),"")</f>
        <v>17.303615899839997</v>
      </c>
      <c r="AT301" s="121">
        <f>IFERROR(INDEX(TableOverallMaster[VORP],MATCH(TableOverallRank[[#This Row],[OVERALL PLAYER]],TableOverallMaster[OVERALL PLAYER],0)),"")</f>
        <v>-0.93579472375374373</v>
      </c>
      <c r="AY301" s="57"/>
      <c r="AZ301" s="114"/>
    </row>
    <row r="302" spans="32:52" x14ac:dyDescent="0.2">
      <c r="AY302" s="57"/>
      <c r="AZ302" s="114"/>
    </row>
    <row r="303" spans="32:52" x14ac:dyDescent="0.2">
      <c r="AY303" s="57"/>
      <c r="AZ303" s="114"/>
    </row>
    <row r="304" spans="32:52" x14ac:dyDescent="0.2">
      <c r="AY304" s="57"/>
      <c r="AZ304" s="114"/>
    </row>
    <row r="305" spans="51:52" x14ac:dyDescent="0.2">
      <c r="AY305" s="57"/>
      <c r="AZ305" s="114"/>
    </row>
    <row r="306" spans="51:52" x14ac:dyDescent="0.2">
      <c r="AY306" s="57"/>
      <c r="AZ306" s="114"/>
    </row>
  </sheetData>
  <sheetProtection sheet="1" objects="1" scenarios="1" sort="0" autoFilter="0"/>
  <protectedRanges>
    <protectedRange sqref="A1:AE239 AS1 AZ1" name="VORPSort"/>
  </protectedRanges>
  <sortState xmlns:xlrd2="http://schemas.microsoft.com/office/spreadsheetml/2017/richdata2" ref="AW2:AZ281">
    <sortCondition descending="1" ref="AZ2:AZ281"/>
  </sortState>
  <pageMargins left="0.7" right="0.7" top="0.75" bottom="0.75" header="0.3" footer="0.3"/>
  <pageSetup orientation="portrait" verticalDpi="90" r:id="rId1"/>
  <ignoredErrors>
    <ignoredError sqref="AI42:AI141 AI142:AI251 AI252:AI301 AL2:AL301 A2:A101 V2:V101 O2:O226 H2:H176" calculatedColumn="1"/>
  </ignoredErrors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0A53-FD7F-45F9-8CCB-FEE11D881F35}">
  <sheetPr>
    <tabColor rgb="FFFFD5D5"/>
  </sheetPr>
  <dimension ref="A1:AZ221"/>
  <sheetViews>
    <sheetView showGridLines="0" zoomScale="85" zoomScaleNormal="85" workbookViewId="0"/>
  </sheetViews>
  <sheetFormatPr baseColWidth="10" defaultColWidth="9" defaultRowHeight="14" x14ac:dyDescent="0.2"/>
  <cols>
    <col min="1" max="1" width="3.59765625" bestFit="1" customWidth="1"/>
    <col min="2" max="2" width="19.59765625" bestFit="1" customWidth="1"/>
    <col min="3" max="3" width="5.19921875" bestFit="1" customWidth="1"/>
    <col min="4" max="4" width="4.19921875" bestFit="1" customWidth="1"/>
    <col min="5" max="12" width="6.796875" style="83" customWidth="1"/>
    <col min="13" max="13" width="7.796875" bestFit="1" customWidth="1"/>
    <col min="14" max="14" width="5.796875" bestFit="1" customWidth="1"/>
    <col min="15" max="15" width="5.796875" customWidth="1"/>
    <col min="16" max="16" width="4.19921875" bestFit="1" customWidth="1"/>
    <col min="17" max="17" width="22.19921875" bestFit="1" customWidth="1"/>
    <col min="18" max="18" width="5.19921875" bestFit="1" customWidth="1"/>
    <col min="19" max="19" width="4.19921875" bestFit="1" customWidth="1"/>
    <col min="20" max="26" width="6.796875" style="83" customWidth="1"/>
    <col min="27" max="27" width="7.796875" bestFit="1" customWidth="1"/>
    <col min="28" max="28" width="5.796875" bestFit="1" customWidth="1"/>
    <col min="29" max="29" width="5.796875" customWidth="1"/>
    <col min="30" max="30" width="4.19921875" bestFit="1" customWidth="1"/>
    <col min="31" max="31" width="25.59765625" bestFit="1" customWidth="1"/>
    <col min="32" max="32" width="5.19921875" bestFit="1" customWidth="1"/>
    <col min="33" max="33" width="4.19921875" bestFit="1" customWidth="1"/>
    <col min="34" max="39" width="6.796875" style="83" customWidth="1"/>
    <col min="40" max="40" width="7.796875" bestFit="1" customWidth="1"/>
    <col min="41" max="41" width="5.796875" bestFit="1" customWidth="1"/>
    <col min="42" max="42" width="5.796875" customWidth="1"/>
    <col min="43" max="43" width="4.19921875" bestFit="1" customWidth="1"/>
    <col min="44" max="44" width="21.3984375" bestFit="1" customWidth="1"/>
    <col min="45" max="45" width="5.19921875" bestFit="1" customWidth="1"/>
    <col min="46" max="46" width="4.19921875" customWidth="1"/>
    <col min="47" max="50" width="6.796875" style="83" customWidth="1"/>
    <col min="51" max="51" width="7.796875" bestFit="1" customWidth="1"/>
    <col min="52" max="52" width="5.796875" bestFit="1" customWidth="1"/>
  </cols>
  <sheetData>
    <row r="1" spans="1:52" s="128" customFormat="1" ht="45" x14ac:dyDescent="0.2">
      <c r="A1" s="127" t="s">
        <v>142</v>
      </c>
      <c r="B1" s="127" t="s">
        <v>340</v>
      </c>
      <c r="C1" s="127" t="s">
        <v>92</v>
      </c>
      <c r="D1" s="127" t="s">
        <v>128</v>
      </c>
      <c r="E1" s="129" t="s">
        <v>225</v>
      </c>
      <c r="F1" s="129" t="s">
        <v>1</v>
      </c>
      <c r="G1" s="129" t="s">
        <v>228</v>
      </c>
      <c r="H1" s="129" t="s">
        <v>243</v>
      </c>
      <c r="I1" s="129" t="s">
        <v>2</v>
      </c>
      <c r="J1" s="129" t="s">
        <v>244</v>
      </c>
      <c r="K1" s="129" t="s">
        <v>232</v>
      </c>
      <c r="L1" s="129" t="s">
        <v>245</v>
      </c>
      <c r="M1" s="127" t="s">
        <v>123</v>
      </c>
      <c r="N1" s="127" t="s">
        <v>310</v>
      </c>
      <c r="P1" s="127" t="s">
        <v>142</v>
      </c>
      <c r="Q1" s="127" t="s">
        <v>340</v>
      </c>
      <c r="R1" s="127" t="s">
        <v>92</v>
      </c>
      <c r="S1" s="127" t="s">
        <v>128</v>
      </c>
      <c r="T1" s="129" t="s">
        <v>244</v>
      </c>
      <c r="U1" s="129" t="s">
        <v>232</v>
      </c>
      <c r="V1" s="129" t="s">
        <v>245</v>
      </c>
      <c r="W1" s="129" t="s">
        <v>479</v>
      </c>
      <c r="X1" s="129" t="s">
        <v>4</v>
      </c>
      <c r="Y1" s="129" t="s">
        <v>238</v>
      </c>
      <c r="Z1" s="129" t="s">
        <v>246</v>
      </c>
      <c r="AA1" s="127" t="s">
        <v>123</v>
      </c>
      <c r="AB1" s="127" t="s">
        <v>310</v>
      </c>
      <c r="AD1" s="127" t="s">
        <v>142</v>
      </c>
      <c r="AE1" s="127" t="s">
        <v>340</v>
      </c>
      <c r="AF1" s="127" t="s">
        <v>92</v>
      </c>
      <c r="AG1" s="127" t="s">
        <v>128</v>
      </c>
      <c r="AH1" s="129" t="s">
        <v>232</v>
      </c>
      <c r="AI1" s="129" t="s">
        <v>245</v>
      </c>
      <c r="AJ1" s="129" t="s">
        <v>479</v>
      </c>
      <c r="AK1" s="129" t="s">
        <v>4</v>
      </c>
      <c r="AL1" s="129" t="s">
        <v>238</v>
      </c>
      <c r="AM1" s="129" t="s">
        <v>246</v>
      </c>
      <c r="AN1" s="127" t="s">
        <v>123</v>
      </c>
      <c r="AO1" s="127" t="s">
        <v>310</v>
      </c>
      <c r="AQ1" s="127" t="s">
        <v>142</v>
      </c>
      <c r="AR1" s="127" t="s">
        <v>340</v>
      </c>
      <c r="AS1" s="127" t="s">
        <v>92</v>
      </c>
      <c r="AT1" s="127" t="s">
        <v>128</v>
      </c>
      <c r="AU1" s="129" t="s">
        <v>479</v>
      </c>
      <c r="AV1" s="129" t="s">
        <v>4</v>
      </c>
      <c r="AW1" s="129" t="s">
        <v>238</v>
      </c>
      <c r="AX1" s="129" t="s">
        <v>246</v>
      </c>
      <c r="AY1" s="127" t="s">
        <v>123</v>
      </c>
      <c r="AZ1" s="127" t="s">
        <v>310</v>
      </c>
    </row>
    <row r="2" spans="1:52" x14ac:dyDescent="0.2">
      <c r="A2">
        <v>1</v>
      </c>
      <c r="B2" t="str">
        <f>IFERROR(INDEX(TableQBCalcPts[PLAYER],MATCH(TableQBRanks30[[#This Row],[RK]],TableQBCalcPts[RK],0)),"")</f>
        <v>Josh Allen</v>
      </c>
      <c r="C2" t="str">
        <f>IFERROR(INDEX(TableQBCalcPts[TM],MATCH(TableQBRanks30[[#This Row],[Player]],TableQBCalcPts[PLAYER],0)),"")</f>
        <v>BUF</v>
      </c>
      <c r="D2">
        <f>IFERROR(INDEX(TableQBCalcPts[BYE],MATCH(TableQBRanks30[[#This Row],[Player]],TableQBCalcPts[PLAYER],0)),"")</f>
        <v>13</v>
      </c>
      <c r="E2" s="83">
        <f>IFERROR((VLOOKUP(TableQBRanks30[[#This Row],[Player]],QB!B:O,4,FALSE)),"")</f>
        <v>613.57823999999994</v>
      </c>
      <c r="F2" s="83">
        <f>IFERROR((VLOOKUP(TableQBRanks30[[#This Row],[Player]],QB!B:O,5,FALSE)),"")</f>
        <v>396.37154303999995</v>
      </c>
      <c r="G2" s="83">
        <f>IFERROR((VLOOKUP(TableQBRanks30[[#This Row],[Player]],QB!B:O,6,FALSE)),"")</f>
        <v>4439.3612820479993</v>
      </c>
      <c r="H2" s="83">
        <f>IFERROR((VLOOKUP(TableQBRanks30[[#This Row],[Player]],QB!B:O,7,FALSE)),"")</f>
        <v>30.065333759999998</v>
      </c>
      <c r="I2" s="83">
        <f>IFERROR((VLOOKUP(TableQBRanks30[[#This Row],[Player]],QB!B:O,8,FALSE)),"")</f>
        <v>8.7201739468799992</v>
      </c>
      <c r="J2" s="83">
        <f>IFERROR((VLOOKUP(TableQBRanks30[[#This Row],[Player]],QB!B:O,9,FALSE)),"")</f>
        <v>116.24587520000003</v>
      </c>
      <c r="K2" s="83">
        <f>IFERROR((VLOOKUP(TableQBRanks30[[#This Row],[Player]],QB!B:O,10,FALSE)),"")</f>
        <v>599.82871603200022</v>
      </c>
      <c r="L2" s="83">
        <f>IFERROR((VLOOKUP(TableQBRanks30[[#This Row],[Player]],QB!B:O,11,FALSE)),"")</f>
        <v>7.788473638400002</v>
      </c>
      <c r="M2" s="57">
        <f>IFERROR(INDEX(TableQBCalcPts[Custom],MATCH(TableQBRanks30[[#This Row],[RK]],TableQBCalcPts[RK],0)),"")</f>
        <v>395.82932580863996</v>
      </c>
      <c r="N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37.902701833023727</v>
      </c>
      <c r="P2">
        <v>1</v>
      </c>
      <c r="Q2" t="str">
        <f>IFERROR(INDEX(TableRBCalcPts[PLAYER],MATCH(TableRBRanks31[[#This Row],[RK]],TableRBCalcPts[RK],0)),"")</f>
        <v>Christian McCaffrey</v>
      </c>
      <c r="R2" t="str">
        <f>IFERROR(INDEX(TableRBCalcPts[TM],MATCH(TableRBRanks31[[#This Row],[Player]],TableRBCalcPts[PLAYER],0)),"")</f>
        <v>SF</v>
      </c>
      <c r="S2">
        <f>IFERROR(INDEX(TableRBCalcPts[BYE],MATCH(TableRBRanks31[[#This Row],[Player]],TableRBCalcPts[PLAYER],0)),"")</f>
        <v>9</v>
      </c>
      <c r="T2" s="83">
        <f>IFERROR((VLOOKUP(TableRBRanks31[[#This Row],[Player]],RB!B:O,4,FALSE)),"")</f>
        <v>219.44071799999998</v>
      </c>
      <c r="U2" s="83">
        <f>IFERROR((VLOOKUP(TableRBRanks31[[#This Row],[Player]],RB!B:O,5,FALSE)),"")</f>
        <v>1059.89866794</v>
      </c>
      <c r="V2" s="83">
        <f>IFERROR((VLOOKUP(TableRBRanks31[[#This Row],[Player]],RB!B:O,6,FALSE)),"")</f>
        <v>11.849798771999998</v>
      </c>
      <c r="W2" s="83">
        <f>IFERROR((VLOOKUP(TableRBRanks31[[#This Row],[Player]],RB!B:O,7,FALSE)),"")</f>
        <v>90.530773199999985</v>
      </c>
      <c r="X2" s="83">
        <f>IFERROR((VLOOKUP(TableRBRanks31[[#This Row],[Player]],RB!B:O,8,FALSE)),"")</f>
        <v>72.424618559999985</v>
      </c>
      <c r="Y2" s="83">
        <f>IFERROR((VLOOKUP(TableRBRanks31[[#This Row],[Player]],RB!B:O,9,FALSE)),"")</f>
        <v>600.4000878623998</v>
      </c>
      <c r="Z2" s="83">
        <f>IFERROR((VLOOKUP(TableRBRanks31[[#This Row],[Player]],RB!B:O,10,FALSE)),"")</f>
        <v>4.8524494435199994</v>
      </c>
      <c r="AA2" s="57">
        <f>IFERROR((IFERROR(INDEX(TableRBCalcPts[Custom],MATCH(TableRBRanks31[[#This Row],[RK]],TableRBCalcPts[RK],0)),"")),"")</f>
        <v>302.45567415335995</v>
      </c>
      <c r="AB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78.644628258216443</v>
      </c>
      <c r="AD2">
        <v>1</v>
      </c>
      <c r="AE2" t="str">
        <f>IFERROR(INDEX(TableWRCalcPts[PLAYER],MATCH(TableWRRanks32[[#This Row],[RK]],TableWRCalcPts[RK],0)),"")</f>
        <v>Tyreek Hill</v>
      </c>
      <c r="AF2" t="str">
        <f>IFERROR(INDEX(TableWRCalcPts[TM],MATCH(TableWRRanks32[[#This Row],[Player]],TableWRCalcPts[PLAYER],0)),"")</f>
        <v>MIA</v>
      </c>
      <c r="AG2">
        <f>IFERROR(INDEX(TableWRCalcPts[BYE],MATCH(TableWRRanks32[[#This Row],[Player]],TableWRCalcPts[PLAYER],0)),"")</f>
        <v>10</v>
      </c>
      <c r="AH2" s="83">
        <f>IFERROR((VLOOKUP(TableWRRanks32[[#This Row],[Player]],WR!B:O,4,FALSE)),"")</f>
        <v>33.541405128000001</v>
      </c>
      <c r="AI2" s="83">
        <f>IFERROR((VLOOKUP(TableWRRanks32[[#This Row],[Player]],WR!B:O,5,FALSE)),"")</f>
        <v>0.3158324400000001</v>
      </c>
      <c r="AJ2" s="83">
        <f>IFERROR((VLOOKUP(TableWRRanks32[[#This Row],[Player]],WR!B:O,6,FALSE)),"")</f>
        <v>158.3091216</v>
      </c>
      <c r="AK2" s="83">
        <f>IFERROR((VLOOKUP(TableWRRanks32[[#This Row],[Player]],WR!B:O,7,FALSE)),"")</f>
        <v>106.7003479584</v>
      </c>
      <c r="AL2" s="83">
        <f>IFERROR((VLOOKUP(TableWRRanks32[[#This Row],[Player]],WR!B:O,8,FALSE)),"")</f>
        <v>1572.7631289068161</v>
      </c>
      <c r="AM2" s="83">
        <f>IFERROR((VLOOKUP(TableWRRanks32[[#This Row],[Player]],WR!B:O,9,FALSE)),"")</f>
        <v>10.0298327080896</v>
      </c>
      <c r="AN2" s="57">
        <f>IFERROR((IFERROR(INDEX(TableWRCalcPts[Custom],MATCH(TableWRRanks32[[#This Row],[RK]],TableWRCalcPts[RK],0)),"")),"")</f>
        <v>276.05461827121923</v>
      </c>
      <c r="AO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42.595265005543823</v>
      </c>
      <c r="AQ2">
        <v>1</v>
      </c>
      <c r="AR2" t="str">
        <f>IFERROR(INDEX(TableTECalcPts[PLAYER],MATCH(TableTERanks33[[#This Row],[RK]],TableTECalcPts[RK],0)),"")</f>
        <v>Travis Kelce</v>
      </c>
      <c r="AS2" t="str">
        <f>IFERROR(INDEX(TableTECalcPts[TM],MATCH(TableTERanks33[[#This Row],[Player]],TableTECalcPts[PLAYER],0)),"")</f>
        <v>KC</v>
      </c>
      <c r="AT2">
        <f>IFERROR(INDEX(TableTECalcPts[BYE],MATCH(TableTERanks33[[#This Row],[Player]],TableTECalcPts[PLAYER],0)),"")</f>
        <v>10</v>
      </c>
      <c r="AU2" s="83">
        <f>IFERROR((VLOOKUP(TableTERanks33[[#This Row],[Player]],TE!B:O,4,FALSE)),"")</f>
        <v>122.91551999999994</v>
      </c>
      <c r="AV2" s="83">
        <f>IFERROR((VLOOKUP(TableTERanks33[[#This Row],[Player]],TE!B:O,5,FALSE)),"")</f>
        <v>91.326231359999952</v>
      </c>
      <c r="AW2" s="83">
        <f>IFERROR((VLOOKUP(TableTERanks33[[#This Row],[Player]],TE!B:O,6,FALSE)),"")</f>
        <v>974.4508886111995</v>
      </c>
      <c r="AX2" s="83">
        <f>IFERROR((VLOOKUP(TableTERanks33[[#This Row],[Player]],TE!B:O,7,FALSE)),"")</f>
        <v>7.945382128319995</v>
      </c>
      <c r="AY2" s="57">
        <f>IFERROR((IFERROR(INDEX(TableTECalcPts[Custom],MATCH(TableTERanks33[[#This Row],[RK]],TableTECalcPts[RK],0)),"")),"")</f>
        <v>190.78049731103991</v>
      </c>
      <c r="AZ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21.14303665689577</v>
      </c>
    </row>
    <row r="3" spans="1:52" x14ac:dyDescent="0.2">
      <c r="A3">
        <v>2</v>
      </c>
      <c r="B3" t="str">
        <f>IFERROR(INDEX(TableQBCalcPts[PLAYER],MATCH(TableQBRanks30[[#This Row],[RK]],TableQBCalcPts[RK],0)),"")</f>
        <v>Lamar Jackson</v>
      </c>
      <c r="C3" t="str">
        <f>IFERROR(INDEX(TableQBCalcPts[TM],MATCH(TableQBRanks30[[#This Row],[Player]],TableQBCalcPts[PLAYER],0)),"")</f>
        <v>BAL</v>
      </c>
      <c r="D3">
        <f>IFERROR(INDEX(TableQBCalcPts[BYE],MATCH(TableQBRanks30[[#This Row],[Player]],TableQBCalcPts[PLAYER],0)),"")</f>
        <v>13</v>
      </c>
      <c r="E3" s="83">
        <f>IFERROR((VLOOKUP(TableQBRanks30[[#This Row],[Player]],QB!B:O,4,FALSE)),"")</f>
        <v>513.14440000000002</v>
      </c>
      <c r="F3" s="83">
        <f>IFERROR((VLOOKUP(TableQBRanks30[[#This Row],[Player]],QB!B:O,5,FALSE)),"")</f>
        <v>339.18844840000003</v>
      </c>
      <c r="G3" s="83">
        <f>IFERROR((VLOOKUP(TableQBRanks30[[#This Row],[Player]],QB!B:O,6,FALSE)),"")</f>
        <v>3929.1589862656001</v>
      </c>
      <c r="H3" s="83">
        <f>IFERROR((VLOOKUP(TableQBRanks30[[#This Row],[Player]],QB!B:O,7,FALSE)),"")</f>
        <v>26.683508799999998</v>
      </c>
      <c r="I3" s="83">
        <f>IFERROR((VLOOKUP(TableQBRanks30[[#This Row],[Player]],QB!B:O,8,FALSE)),"")</f>
        <v>6.7837689680000004</v>
      </c>
      <c r="J3" s="83">
        <f>IFERROR((VLOOKUP(TableQBRanks30[[#This Row],[Player]],QB!B:O,9,FALSE)),"")</f>
        <v>147.03669120000001</v>
      </c>
      <c r="K3" s="83">
        <f>IFERROR((VLOOKUP(TableQBRanks30[[#This Row],[Player]],QB!B:O,10,FALSE)),"")</f>
        <v>858.694276608</v>
      </c>
      <c r="L3" s="83">
        <f>IFERROR((VLOOKUP(TableQBRanks30[[#This Row],[Player]],QB!B:O,11,FALSE)),"")</f>
        <v>5.4403575744000001</v>
      </c>
      <c r="M3" s="57">
        <f>IFERROR(INDEX(TableQBCalcPts[Custom],MATCH(TableQBRanks30[[#This Row],[RK]],TableQBCalcPts[RK],0)),"")</f>
        <v>375.62819878982395</v>
      </c>
      <c r="N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27.101225625791997</v>
      </c>
      <c r="P3">
        <v>2</v>
      </c>
      <c r="Q3" t="str">
        <f>IFERROR(INDEX(TableRBCalcPts[PLAYER],MATCH(TableRBRanks31[[#This Row],[RK]],TableRBCalcPts[RK],0)),"")</f>
        <v>Jonathan Taylor</v>
      </c>
      <c r="R3" t="str">
        <f>IFERROR(INDEX(TableRBCalcPts[TM],MATCH(TableRBRanks31[[#This Row],[Player]],TableRBCalcPts[PLAYER],0)),"")</f>
        <v>IND</v>
      </c>
      <c r="S3">
        <f>IFERROR(INDEX(TableRBCalcPts[BYE],MATCH(TableRBRanks31[[#This Row],[Player]],TableRBCalcPts[PLAYER],0)),"")</f>
        <v>11</v>
      </c>
      <c r="T3" s="83">
        <f>IFERROR((VLOOKUP(TableRBRanks31[[#This Row],[Player]],RB!B:O,4,FALSE)),"")</f>
        <v>292.48295999999993</v>
      </c>
      <c r="U3" s="83">
        <f>IFERROR((VLOOKUP(TableRBRanks31[[#This Row],[Player]],RB!B:O,5,FALSE)),"")</f>
        <v>1316.1733199999996</v>
      </c>
      <c r="V3" s="83">
        <f>IFERROR((VLOOKUP(TableRBRanks31[[#This Row],[Player]],RB!B:O,6,FALSE)),"")</f>
        <v>11.114352479999997</v>
      </c>
      <c r="W3" s="83">
        <f>IFERROR((VLOOKUP(TableRBRanks31[[#This Row],[Player]],RB!B:O,7,FALSE)),"")</f>
        <v>53.662840000000003</v>
      </c>
      <c r="X3" s="83">
        <f>IFERROR((VLOOKUP(TableRBRanks31[[#This Row],[Player]],RB!B:O,8,FALSE)),"")</f>
        <v>39.38852456</v>
      </c>
      <c r="Y3" s="83">
        <f>IFERROR((VLOOKUP(TableRBRanks31[[#This Row],[Player]],RB!B:O,9,FALSE)),"")</f>
        <v>317.4715079536</v>
      </c>
      <c r="Z3" s="83">
        <f>IFERROR((VLOOKUP(TableRBRanks31[[#This Row],[Player]],RB!B:O,10,FALSE)),"")</f>
        <v>1.3785983596000002</v>
      </c>
      <c r="AA3" s="57">
        <f>IFERROR((IFERROR(INDEX(TableRBCalcPts[Custom],MATCH(TableRBRanks31[[#This Row],[RK]],TableRBCalcPts[RK],0)),"")),"")</f>
        <v>258.01645011296</v>
      </c>
      <c r="AB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60.22494583509333</v>
      </c>
      <c r="AD3">
        <v>2</v>
      </c>
      <c r="AE3" t="str">
        <f>IFERROR(INDEX(TableWRCalcPts[PLAYER],MATCH(TableWRRanks32[[#This Row],[RK]],TableWRCalcPts[RK],0)),"")</f>
        <v>CeeDee Lamb</v>
      </c>
      <c r="AF3" t="str">
        <f>IFERROR(INDEX(TableWRCalcPts[TM],MATCH(TableWRRanks32[[#This Row],[Player]],TableWRCalcPts[PLAYER],0)),"")</f>
        <v>DAL</v>
      </c>
      <c r="AG3">
        <f>IFERROR(INDEX(TableWRCalcPts[BYE],MATCH(TableWRRanks32[[#This Row],[Player]],TableWRCalcPts[PLAYER],0)),"")</f>
        <v>7</v>
      </c>
      <c r="AH3" s="83">
        <f>IFERROR((VLOOKUP(TableWRRanks32[[#This Row],[Player]],WR!B:O,4,FALSE)),"")</f>
        <v>78.801206903999997</v>
      </c>
      <c r="AI3" s="83">
        <f>IFERROR((VLOOKUP(TableWRRanks32[[#This Row],[Player]],WR!B:O,5,FALSE)),"")</f>
        <v>0.73620504720000002</v>
      </c>
      <c r="AJ3" s="83">
        <f>IFERROR((VLOOKUP(TableWRRanks32[[#This Row],[Player]],WR!B:O,6,FALSE)),"")</f>
        <v>146.35978559999995</v>
      </c>
      <c r="AK3" s="83">
        <f>IFERROR((VLOOKUP(TableWRRanks32[[#This Row],[Player]],WR!B:O,7,FALSE)),"")</f>
        <v>101.72005099199995</v>
      </c>
      <c r="AL3" s="83">
        <f>IFERROR((VLOOKUP(TableWRRanks32[[#This Row],[Player]],WR!B:O,8,FALSE)),"")</f>
        <v>1315.2402593265595</v>
      </c>
      <c r="AM3" s="83">
        <f>IFERROR((VLOOKUP(TableWRRanks32[[#This Row],[Player]],WR!B:O,9,FALSE)),"")</f>
        <v>9.6634048442399951</v>
      </c>
      <c r="AN3" s="57">
        <f>IFERROR((IFERROR(INDEX(TableWRCalcPts[Custom],MATCH(TableWRRanks32[[#This Row],[RK]],TableWRCalcPts[RK],0)),"")),"")</f>
        <v>252.66183146769589</v>
      </c>
      <c r="AO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35.026657363026871</v>
      </c>
      <c r="AQ3">
        <v>2</v>
      </c>
      <c r="AR3" t="str">
        <f>IFERROR(INDEX(TableTECalcPts[PLAYER],MATCH(TableTERanks33[[#This Row],[RK]],TableTECalcPts[RK],0)),"")</f>
        <v>Sam LaPorta</v>
      </c>
      <c r="AS3" t="str">
        <f>IFERROR(INDEX(TableTECalcPts[TM],MATCH(TableTERanks33[[#This Row],[Player]],TableTECalcPts[PLAYER],0)),"")</f>
        <v>DET</v>
      </c>
      <c r="AT3">
        <f>IFERROR(INDEX(TableTECalcPts[BYE],MATCH(TableTERanks33[[#This Row],[Player]],TableTECalcPts[PLAYER],0)),"")</f>
        <v>9</v>
      </c>
      <c r="AU3" s="83">
        <f>IFERROR((VLOOKUP(TableTERanks33[[#This Row],[Player]],TE!B:O,4,FALSE)),"")</f>
        <v>121.49829299999996</v>
      </c>
      <c r="AV3" s="83">
        <f>IFERROR((VLOOKUP(TableTERanks33[[#This Row],[Player]],TE!B:O,5,FALSE)),"")</f>
        <v>86.263788029999972</v>
      </c>
      <c r="AW3" s="83">
        <f>IFERROR((VLOOKUP(TableTERanks33[[#This Row],[Player]],TE!B:O,6,FALSE)),"")</f>
        <v>898.00603339229974</v>
      </c>
      <c r="AX3" s="83">
        <f>IFERROR((VLOOKUP(TableTERanks33[[#This Row],[Player]],TE!B:O,7,FALSE)),"")</f>
        <v>8.4538512269399977</v>
      </c>
      <c r="AY3" s="57">
        <f>IFERROR((IFERROR(INDEX(TableTECalcPts[Custom],MATCH(TableTERanks33[[#This Row],[RK]],TableTECalcPts[RK],0)),"")),"")</f>
        <v>183.65560471586994</v>
      </c>
      <c r="AZ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18.608596447577018</v>
      </c>
    </row>
    <row r="4" spans="1:52" x14ac:dyDescent="0.2">
      <c r="A4">
        <v>3</v>
      </c>
      <c r="B4" t="str">
        <f>IFERROR(INDEX(TableQBCalcPts[PLAYER],MATCH(TableQBRanks30[[#This Row],[RK]],TableQBCalcPts[RK],0)),"")</f>
        <v>Jalen Hurts</v>
      </c>
      <c r="C4" t="str">
        <f>IFERROR(INDEX(TableQBCalcPts[TM],MATCH(TableQBRanks30[[#This Row],[Player]],TableQBCalcPts[PLAYER],0)),"")</f>
        <v>PHI</v>
      </c>
      <c r="D4">
        <f>IFERROR(INDEX(TableQBCalcPts[BYE],MATCH(TableQBRanks30[[#This Row],[Player]],TableQBCalcPts[PLAYER],0)),"")</f>
        <v>10</v>
      </c>
      <c r="E4" s="83">
        <f>IFERROR((VLOOKUP(TableQBRanks30[[#This Row],[Player]],QB!B:O,4,FALSE)),"")</f>
        <v>557.84736000000009</v>
      </c>
      <c r="F4" s="83">
        <f>IFERROR((VLOOKUP(TableQBRanks30[[#This Row],[Player]],QB!B:O,5,FALSE)),"")</f>
        <v>367.06356288000006</v>
      </c>
      <c r="G4" s="83">
        <f>IFERROR((VLOOKUP(TableQBRanks30[[#This Row],[Player]],QB!B:O,6,FALSE)),"")</f>
        <v>4210.5861297964811</v>
      </c>
      <c r="H4" s="83">
        <f>IFERROR((VLOOKUP(TableQBRanks30[[#This Row],[Player]],QB!B:O,7,FALSE)),"")</f>
        <v>24.545283840000003</v>
      </c>
      <c r="I4" s="83">
        <f>IFERROR((VLOOKUP(TableQBRanks30[[#This Row],[Player]],QB!B:O,8,FALSE)),"")</f>
        <v>7.3412712576000017</v>
      </c>
      <c r="J4" s="83">
        <f>IFERROR((VLOOKUP(TableQBRanks30[[#This Row],[Player]],QB!B:O,9,FALSE)),"")</f>
        <v>127.97184959999998</v>
      </c>
      <c r="K4" s="83">
        <f>IFERROR((VLOOKUP(TableQBRanks30[[#This Row],[Player]],QB!B:O,10,FALSE)),"")</f>
        <v>574.59360470399997</v>
      </c>
      <c r="L4" s="83">
        <f>IFERROR((VLOOKUP(TableQBRanks30[[#This Row],[Player]],QB!B:O,11,FALSE)),"")</f>
        <v>9.4699168703999987</v>
      </c>
      <c r="M4" s="57">
        <f>IFERROR(INDEX(TableQBCalcPts[Custom],MATCH(TableQBRanks30[[#This Row],[RK]],TableQBCalcPts[RK],0)),"")</f>
        <v>373.54217098705925</v>
      </c>
      <c r="N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26.665605808195664</v>
      </c>
      <c r="P4">
        <v>3</v>
      </c>
      <c r="Q4" t="str">
        <f>IFERROR(INDEX(TableRBCalcPts[PLAYER],MATCH(TableRBRanks31[[#This Row],[RK]],TableRBCalcPts[RK],0)),"")</f>
        <v>Breece Hall</v>
      </c>
      <c r="R4" t="str">
        <f>IFERROR(INDEX(TableRBCalcPts[TM],MATCH(TableRBRanks31[[#This Row],[Player]],TableRBCalcPts[PLAYER],0)),"")</f>
        <v>NYJ</v>
      </c>
      <c r="S4">
        <f>IFERROR(INDEX(TableRBCalcPts[BYE],MATCH(TableRBRanks31[[#This Row],[Player]],TableRBCalcPts[PLAYER],0)),"")</f>
        <v>7</v>
      </c>
      <c r="T4" s="83">
        <f>IFERROR((VLOOKUP(TableRBRanks31[[#This Row],[Player]],RB!B:O,4,FALSE)),"")</f>
        <v>241.62470360000006</v>
      </c>
      <c r="U4" s="83">
        <f>IFERROR((VLOOKUP(TableRBRanks31[[#This Row],[Player]],RB!B:O,5,FALSE)),"")</f>
        <v>1101.8086484160001</v>
      </c>
      <c r="V4" s="83">
        <f>IFERROR((VLOOKUP(TableRBRanks31[[#This Row],[Player]],RB!B:O,6,FALSE)),"")</f>
        <v>9.4233634404000028</v>
      </c>
      <c r="W4" s="83">
        <f>IFERROR((VLOOKUP(TableRBRanks31[[#This Row],[Player]],RB!B:O,7,FALSE)),"")</f>
        <v>74.06398999999999</v>
      </c>
      <c r="X4" s="83">
        <f>IFERROR((VLOOKUP(TableRBRanks31[[#This Row],[Player]],RB!B:O,8,FALSE)),"")</f>
        <v>58.066168159999997</v>
      </c>
      <c r="Y4" s="83">
        <f>IFERROR((VLOOKUP(TableRBRanks31[[#This Row],[Player]],RB!B:O,9,FALSE)),"")</f>
        <v>452.91611164799997</v>
      </c>
      <c r="Z4" s="83">
        <f>IFERROR((VLOOKUP(TableRBRanks31[[#This Row],[Player]],RB!B:O,10,FALSE)),"")</f>
        <v>2.6710437353599996</v>
      </c>
      <c r="AA4" s="57">
        <f>IFERROR((IFERROR(INDEX(TableRBCalcPts[Custom],MATCH(TableRBRanks31[[#This Row],[RK]],TableRBCalcPts[RK],0)),"")),"")</f>
        <v>257.07200314096002</v>
      </c>
      <c r="AB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59.833480554918665</v>
      </c>
      <c r="AD4">
        <v>3</v>
      </c>
      <c r="AE4" t="str">
        <f>IFERROR(INDEX(TableWRCalcPts[PLAYER],MATCH(TableWRRanks32[[#This Row],[RK]],TableWRCalcPts[RK],0)),"")</f>
        <v>Amon-Ra St. Brown</v>
      </c>
      <c r="AF4" t="str">
        <f>IFERROR(INDEX(TableWRCalcPts[TM],MATCH(TableWRRanks32[[#This Row],[Player]],TableWRCalcPts[PLAYER],0)),"")</f>
        <v>DET</v>
      </c>
      <c r="AG4">
        <f>IFERROR(INDEX(TableWRCalcPts[BYE],MATCH(TableWRRanks32[[#This Row],[Player]],TableWRCalcPts[PLAYER],0)),"")</f>
        <v>9</v>
      </c>
      <c r="AH4" s="83">
        <f>IFERROR((VLOOKUP(TableWRRanks32[[#This Row],[Player]],WR!B:O,4,FALSE)),"")</f>
        <v>123.26695878000001</v>
      </c>
      <c r="AI4" s="83">
        <f>IFERROR((VLOOKUP(TableWRRanks32[[#This Row],[Player]],WR!B:O,5,FALSE)),"")</f>
        <v>0.34874221200000005</v>
      </c>
      <c r="AJ4" s="83">
        <f>IFERROR((VLOOKUP(TableWRRanks32[[#This Row],[Player]],WR!B:O,6,FALSE)),"")</f>
        <v>151.13202299999998</v>
      </c>
      <c r="AK4" s="83">
        <f>IFERROR((VLOOKUP(TableWRRanks32[[#This Row],[Player]],WR!B:O,7,FALSE)),"")</f>
        <v>107.75713239899997</v>
      </c>
      <c r="AL4" s="83">
        <f>IFERROR((VLOOKUP(TableWRRanks32[[#This Row],[Player]],WR!B:O,8,FALSE)),"")</f>
        <v>1339.4211557195697</v>
      </c>
      <c r="AM4" s="83">
        <f>IFERROR((VLOOKUP(TableWRRanks32[[#This Row],[Player]],WR!B:O,9,FALSE)),"")</f>
        <v>8.0817849299249982</v>
      </c>
      <c r="AN4" s="57">
        <f>IFERROR((IFERROR(INDEX(TableWRCalcPts[Custom],MATCH(TableWRRanks32[[#This Row],[RK]],TableWRCalcPts[RK],0)),"")),"")</f>
        <v>250.73054050100694</v>
      </c>
      <c r="AO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34.401798781910564</v>
      </c>
      <c r="AQ4">
        <v>3</v>
      </c>
      <c r="AR4" t="str">
        <f>IFERROR(INDEX(TableTECalcPts[PLAYER],MATCH(TableTERanks33[[#This Row],[RK]],TableTECalcPts[RK],0)),"")</f>
        <v>Mark Andrews</v>
      </c>
      <c r="AS4" t="str">
        <f>IFERROR(INDEX(TableTECalcPts[TM],MATCH(TableTERanks33[[#This Row],[Player]],TableTECalcPts[PLAYER],0)),"")</f>
        <v>BAL</v>
      </c>
      <c r="AT4">
        <f>IFERROR(INDEX(TableTECalcPts[BYE],MATCH(TableTERanks33[[#This Row],[Player]],TableTECalcPts[PLAYER],0)),"")</f>
        <v>13</v>
      </c>
      <c r="AU4" s="83">
        <f>IFERROR((VLOOKUP(TableTERanks33[[#This Row],[Player]],TE!B:O,4,FALSE)),"")</f>
        <v>116.45677120000001</v>
      </c>
      <c r="AV4" s="83">
        <f>IFERROR((VLOOKUP(TableTERanks33[[#This Row],[Player]],TE!B:O,5,FALSE)),"")</f>
        <v>81.985566924799997</v>
      </c>
      <c r="AW4" s="83">
        <f>IFERROR((VLOOKUP(TableTERanks33[[#This Row],[Player]],TE!B:O,6,FALSE)),"")</f>
        <v>915.77878255001599</v>
      </c>
      <c r="AX4" s="83">
        <f>IFERROR((VLOOKUP(TableTERanks33[[#This Row],[Player]],TE!B:O,7,FALSE)),"")</f>
        <v>8.1985566924800004</v>
      </c>
      <c r="AY4" s="57">
        <f>IFERROR((IFERROR(INDEX(TableTECalcPts[Custom],MATCH(TableTERanks33[[#This Row],[RK]],TableTECalcPts[RK],0)),"")),"")</f>
        <v>181.76200187228162</v>
      </c>
      <c r="AZ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17.935011109529391</v>
      </c>
    </row>
    <row r="5" spans="1:52" x14ac:dyDescent="0.2">
      <c r="A5">
        <v>4</v>
      </c>
      <c r="B5" t="str">
        <f>IFERROR(INDEX(TableQBCalcPts[PLAYER],MATCH(TableQBRanks30[[#This Row],[RK]],TableQBCalcPts[RK],0)),"")</f>
        <v>Patrick Mahomes</v>
      </c>
      <c r="C5" t="str">
        <f>IFERROR(INDEX(TableQBCalcPts[TM],MATCH(TableQBRanks30[[#This Row],[Player]],TableQBCalcPts[PLAYER],0)),"")</f>
        <v>KC</v>
      </c>
      <c r="D5">
        <f>IFERROR(INDEX(TableQBCalcPts[BYE],MATCH(TableQBRanks30[[#This Row],[Player]],TableQBCalcPts[PLAYER],0)),"")</f>
        <v>10</v>
      </c>
      <c r="E5" s="83">
        <f>IFERROR((VLOOKUP(TableQBRanks30[[#This Row],[Player]],QB!B:O,4,FALSE)),"")</f>
        <v>636.76799999999992</v>
      </c>
      <c r="F5" s="83">
        <f>IFERROR((VLOOKUP(TableQBRanks30[[#This Row],[Player]],QB!B:O,5,FALSE)),"")</f>
        <v>425.99779199999995</v>
      </c>
      <c r="G5" s="83">
        <f>IFERROR((VLOOKUP(TableQBRanks30[[#This Row],[Player]],QB!B:O,6,FALSE)),"")</f>
        <v>4840.6129104959991</v>
      </c>
      <c r="H5" s="83">
        <f>IFERROR((VLOOKUP(TableQBRanks30[[#This Row],[Player]],QB!B:O,7,FALSE)),"")</f>
        <v>35.022239999999996</v>
      </c>
      <c r="I5" s="83">
        <f>IFERROR((VLOOKUP(TableQBRanks30[[#This Row],[Player]],QB!B:O,8,FALSE)),"")</f>
        <v>7.6679602559999989</v>
      </c>
      <c r="J5" s="83">
        <f>IFERROR((VLOOKUP(TableQBRanks30[[#This Row],[Player]],QB!B:O,9,FALSE)),"")</f>
        <v>58.831360000000011</v>
      </c>
      <c r="K5" s="83">
        <f>IFERROR((VLOOKUP(TableQBRanks30[[#This Row],[Player]],QB!B:O,10,FALSE)),"")</f>
        <v>318.86597120000005</v>
      </c>
      <c r="L5" s="83">
        <f>IFERROR((VLOOKUP(TableQBRanks30[[#This Row],[Player]],QB!B:O,11,FALSE)),"")</f>
        <v>1.4707840000000003</v>
      </c>
      <c r="M5" s="57">
        <f>IFERROR(INDEX(TableQBCalcPts[Custom],MATCH(TableQBRanks30[[#This Row],[RK]],TableQBCalcPts[RK],0)),"")</f>
        <v>366.75681728383995</v>
      </c>
      <c r="N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23.605615308359287</v>
      </c>
      <c r="P5">
        <v>4</v>
      </c>
      <c r="Q5" t="str">
        <f>IFERROR(INDEX(TableRBCalcPts[PLAYER],MATCH(TableRBRanks31[[#This Row],[RK]],TableRBCalcPts[RK],0)),"")</f>
        <v>Bijan Robinson</v>
      </c>
      <c r="R5" t="str">
        <f>IFERROR(INDEX(TableRBCalcPts[TM],MATCH(TableRBRanks31[[#This Row],[Player]],TableRBCalcPts[PLAYER],0)),"")</f>
        <v>ATL</v>
      </c>
      <c r="S5">
        <f>IFERROR(INDEX(TableRBCalcPts[BYE],MATCH(TableRBRanks31[[#This Row],[Player]],TableRBCalcPts[PLAYER],0)),"")</f>
        <v>11</v>
      </c>
      <c r="T5" s="83">
        <f>IFERROR((VLOOKUP(TableRBRanks31[[#This Row],[Player]],RB!B:O,4,FALSE)),"")</f>
        <v>262.51071840000003</v>
      </c>
      <c r="U5" s="83">
        <f>IFERROR((VLOOKUP(TableRBRanks31[[#This Row],[Player]],RB!B:O,5,FALSE)),"")</f>
        <v>1197.0488759039999</v>
      </c>
      <c r="V5" s="83">
        <f>IFERROR((VLOOKUP(TableRBRanks31[[#This Row],[Player]],RB!B:O,6,FALSE)),"")</f>
        <v>9.9754072992000005</v>
      </c>
      <c r="W5" s="83">
        <f>IFERROR((VLOOKUP(TableRBRanks31[[#This Row],[Player]],RB!B:O,7,FALSE)),"")</f>
        <v>51.76211039999999</v>
      </c>
      <c r="X5" s="83">
        <f>IFERROR((VLOOKUP(TableRBRanks31[[#This Row],[Player]],RB!B:O,8,FALSE)),"")</f>
        <v>38.562772247999995</v>
      </c>
      <c r="Y5" s="83">
        <f>IFERROR((VLOOKUP(TableRBRanks31[[#This Row],[Player]],RB!B:O,9,FALSE)),"")</f>
        <v>322.38477599327996</v>
      </c>
      <c r="Z5" s="83">
        <f>IFERROR((VLOOKUP(TableRBRanks31[[#This Row],[Player]],RB!B:O,10,FALSE)),"")</f>
        <v>2.3523291071279995</v>
      </c>
      <c r="AA5" s="57">
        <f>IFERROR((IFERROR(INDEX(TableRBCalcPts[Custom],MATCH(TableRBRanks31[[#This Row],[RK]],TableRBCalcPts[RK],0)),"")),"")</f>
        <v>245.19116975169601</v>
      </c>
      <c r="AB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54.908975623119439</v>
      </c>
      <c r="AD5">
        <v>4</v>
      </c>
      <c r="AE5" t="str">
        <f>IFERROR(INDEX(TableWRCalcPts[PLAYER],MATCH(TableWRRanks32[[#This Row],[RK]],TableWRCalcPts[RK],0)),"")</f>
        <v>Justin Jefferson</v>
      </c>
      <c r="AF5" t="str">
        <f>IFERROR(INDEX(TableWRCalcPts[TM],MATCH(TableWRRanks32[[#This Row],[Player]],TableWRCalcPts[PLAYER],0)),"")</f>
        <v>MIN</v>
      </c>
      <c r="AG5">
        <f>IFERROR(INDEX(TableWRCalcPts[BYE],MATCH(TableWRRanks32[[#This Row],[Player]],TableWRCalcPts[PLAYER],0)),"")</f>
        <v>13</v>
      </c>
      <c r="AH5" s="83">
        <f>IFERROR((VLOOKUP(TableWRRanks32[[#This Row],[Player]],WR!B:O,4,FALSE)),"")</f>
        <v>17.335964799999999</v>
      </c>
      <c r="AI5" s="83">
        <f>IFERROR((VLOOKUP(TableWRRanks32[[#This Row],[Player]],WR!B:O,5,FALSE)),"")</f>
        <v>9.9536639999999996E-2</v>
      </c>
      <c r="AJ5" s="83">
        <f>IFERROR((VLOOKUP(TableWRRanks32[[#This Row],[Player]],WR!B:O,6,FALSE)),"")</f>
        <v>161.74704</v>
      </c>
      <c r="AK5" s="83">
        <f>IFERROR((VLOOKUP(TableWRRanks32[[#This Row],[Player]],WR!B:O,7,FALSE)),"")</f>
        <v>104.3268408</v>
      </c>
      <c r="AL5" s="83">
        <f>IFERROR((VLOOKUP(TableWRRanks32[[#This Row],[Player]],WR!B:O,8,FALSE)),"")</f>
        <v>1443.8834766719999</v>
      </c>
      <c r="AM5" s="83">
        <f>IFERROR((VLOOKUP(TableWRRanks32[[#This Row],[Player]],WR!B:O,9,FALSE)),"")</f>
        <v>7.6158593783999997</v>
      </c>
      <c r="AN5" s="57">
        <f>IFERROR((IFERROR(INDEX(TableWRCalcPts[Custom],MATCH(TableWRRanks32[[#This Row],[RK]],TableWRCalcPts[RK],0)),"")),"")</f>
        <v>244.5777406576</v>
      </c>
      <c r="AO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32.411094198108131</v>
      </c>
      <c r="AQ5">
        <v>4</v>
      </c>
      <c r="AR5" t="str">
        <f>IFERROR(INDEX(TableTECalcPts[PLAYER],MATCH(TableTERanks33[[#This Row],[RK]],TableTECalcPts[RK],0)),"")</f>
        <v>Trey McBride</v>
      </c>
      <c r="AS5" t="str">
        <f>IFERROR(INDEX(TableTECalcPts[TM],MATCH(TableTERanks33[[#This Row],[Player]],TableTECalcPts[PLAYER],0)),"")</f>
        <v>ARI</v>
      </c>
      <c r="AT5">
        <f>IFERROR(INDEX(TableTECalcPts[BYE],MATCH(TableTERanks33[[#This Row],[Player]],TableTECalcPts[PLAYER],0)),"")</f>
        <v>14</v>
      </c>
      <c r="AU5" s="83">
        <f>IFERROR((VLOOKUP(TableTERanks33[[#This Row],[Player]],TE!B:O,4,FALSE)),"")</f>
        <v>120.88655250000001</v>
      </c>
      <c r="AV5" s="83">
        <f>IFERROR((VLOOKUP(TableTERanks33[[#This Row],[Player]],TE!B:O,5,FALSE)),"")</f>
        <v>88.126296772499998</v>
      </c>
      <c r="AW5" s="83">
        <f>IFERROR((VLOOKUP(TableTERanks33[[#This Row],[Player]],TE!B:O,6,FALSE)),"")</f>
        <v>899.76949004722508</v>
      </c>
      <c r="AX5" s="83">
        <f>IFERROR((VLOOKUP(TableTERanks33[[#This Row],[Player]],TE!B:O,7,FALSE)),"")</f>
        <v>5.7282092902124999</v>
      </c>
      <c r="AY5" s="57">
        <f>IFERROR((IFERROR(INDEX(TableTECalcPts[Custom],MATCH(TableTERanks33[[#This Row],[RK]],TableTECalcPts[RK],0)),"")),"")</f>
        <v>168.4093531322475</v>
      </c>
      <c r="AZ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13.185256721569447</v>
      </c>
    </row>
    <row r="6" spans="1:52" x14ac:dyDescent="0.2">
      <c r="A6">
        <v>5</v>
      </c>
      <c r="B6" t="str">
        <f>IFERROR(INDEX(TableQBCalcPts[PLAYER],MATCH(TableQBRanks30[[#This Row],[RK]],TableQBCalcPts[RK],0)),"")</f>
        <v>Anthony Richardson</v>
      </c>
      <c r="C6" t="str">
        <f>IFERROR(INDEX(TableQBCalcPts[TM],MATCH(TableQBRanks30[[#This Row],[Player]],TableQBCalcPts[PLAYER],0)),"")</f>
        <v>IND</v>
      </c>
      <c r="D6">
        <f>IFERROR(INDEX(TableQBCalcPts[BYE],MATCH(TableQBRanks30[[#This Row],[Player]],TableQBCalcPts[PLAYER],0)),"")</f>
        <v>11</v>
      </c>
      <c r="E6" s="83">
        <f>IFERROR((VLOOKUP(TableQBRanks30[[#This Row],[Player]],QB!B:O,4,FALSE)),"")</f>
        <v>520.20100000000002</v>
      </c>
      <c r="F6" s="83">
        <f>IFERROR((VLOOKUP(TableQBRanks30[[#This Row],[Player]],QB!B:O,5,FALSE)),"")</f>
        <v>321.484218</v>
      </c>
      <c r="G6" s="83">
        <f>IFERROR((VLOOKUP(TableQBRanks30[[#This Row],[Player]],QB!B:O,6,FALSE)),"")</f>
        <v>3680.9942960999997</v>
      </c>
      <c r="H6" s="83">
        <f>IFERROR((VLOOKUP(TableQBRanks30[[#This Row],[Player]],QB!B:O,7,FALSE)),"")</f>
        <v>20.808040000000002</v>
      </c>
      <c r="I6" s="83">
        <f>IFERROR((VLOOKUP(TableQBRanks30[[#This Row],[Player]],QB!B:O,8,FALSE)),"")</f>
        <v>6.1082001419999994</v>
      </c>
      <c r="J6" s="83">
        <f>IFERROR((VLOOKUP(TableQBRanks30[[#This Row],[Player]],QB!B:O,9,FALSE)),"")</f>
        <v>131.61733199999998</v>
      </c>
      <c r="K6" s="83">
        <f>IFERROR((VLOOKUP(TableQBRanks30[[#This Row],[Player]],QB!B:O,10,FALSE)),"")</f>
        <v>662.03517995999994</v>
      </c>
      <c r="L6" s="83">
        <f>IFERROR((VLOOKUP(TableQBRanks30[[#This Row],[Player]],QB!B:O,11,FALSE)),"")</f>
        <v>7.8970399199999983</v>
      </c>
      <c r="M6" s="57">
        <f>IFERROR(INDEX(TableQBCalcPts[Custom],MATCH(TableQBRanks30[[#This Row],[RK]],TableQBCalcPts[RK],0)),"")</f>
        <v>337.949489218</v>
      </c>
      <c r="N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18.380279997765967</v>
      </c>
      <c r="P6">
        <v>5</v>
      </c>
      <c r="Q6" t="str">
        <f>IFERROR(INDEX(TableRBCalcPts[PLAYER],MATCH(TableRBRanks31[[#This Row],[RK]],TableRBCalcPts[RK],0)),"")</f>
        <v>Saquon Barkley</v>
      </c>
      <c r="R6" t="str">
        <f>IFERROR(INDEX(TableRBCalcPts[TM],MATCH(TableRBRanks31[[#This Row],[Player]],TableRBCalcPts[PLAYER],0)),"")</f>
        <v>PHI</v>
      </c>
      <c r="S6">
        <f>IFERROR(INDEX(TableRBCalcPts[BYE],MATCH(TableRBRanks31[[#This Row],[Player]],TableRBCalcPts[PLAYER],0)),"")</f>
        <v>10</v>
      </c>
      <c r="T6" s="83">
        <f>IFERROR((VLOOKUP(TableRBRanks31[[#This Row],[Player]],RB!B:O,4,FALSE)),"")</f>
        <v>251.11457280000002</v>
      </c>
      <c r="U6" s="83">
        <f>IFERROR((VLOOKUP(TableRBRanks31[[#This Row],[Player]],RB!B:O,5,FALSE)),"")</f>
        <v>1104.9041203200002</v>
      </c>
      <c r="V6" s="83">
        <f>IFERROR((VLOOKUP(TableRBRanks31[[#This Row],[Player]],RB!B:O,6,FALSE)),"")</f>
        <v>9.5423537663999998</v>
      </c>
      <c r="W6" s="83">
        <f>IFERROR((VLOOKUP(TableRBRanks31[[#This Row],[Player]],RB!B:O,7,FALSE)),"")</f>
        <v>61.363209600000005</v>
      </c>
      <c r="X6" s="83">
        <f>IFERROR((VLOOKUP(TableRBRanks31[[#This Row],[Player]],RB!B:O,8,FALSE)),"")</f>
        <v>46.758765715200006</v>
      </c>
      <c r="Y6" s="83">
        <f>IFERROR((VLOOKUP(TableRBRanks31[[#This Row],[Player]],RB!B:O,9,FALSE)),"")</f>
        <v>346.01486629248006</v>
      </c>
      <c r="Z6" s="83">
        <f>IFERROR((VLOOKUP(TableRBRanks31[[#This Row],[Player]],RB!B:O,10,FALSE)),"")</f>
        <v>1.7768330971776003</v>
      </c>
      <c r="AA6" s="57">
        <f>IFERROR((IFERROR(INDEX(TableRBCalcPts[Custom],MATCH(TableRBRanks31[[#This Row],[RK]],TableRBCalcPts[RK],0)),"")),"")</f>
        <v>236.38640270031365</v>
      </c>
      <c r="AB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51.259474165834732</v>
      </c>
      <c r="AD6">
        <v>5</v>
      </c>
      <c r="AE6" t="str">
        <f>IFERROR(INDEX(TableWRCalcPts[PLAYER],MATCH(TableWRRanks32[[#This Row],[RK]],TableWRCalcPts[RK],0)),"")</f>
        <v>Ja'Marr Chase</v>
      </c>
      <c r="AF6" t="str">
        <f>IFERROR(INDEX(TableWRCalcPts[TM],MATCH(TableWRRanks32[[#This Row],[Player]],TableWRCalcPts[PLAYER],0)),"")</f>
        <v>CIN</v>
      </c>
      <c r="AG6">
        <f>IFERROR(INDEX(TableWRCalcPts[BYE],MATCH(TableWRRanks32[[#This Row],[Player]],TableWRCalcPts[PLAYER],0)),"")</f>
        <v>7</v>
      </c>
      <c r="AH6" s="83">
        <f>IFERROR((VLOOKUP(TableWRRanks32[[#This Row],[Player]],WR!B:O,4,FALSE)),"")</f>
        <v>0</v>
      </c>
      <c r="AI6" s="83">
        <f>IFERROR((VLOOKUP(TableWRRanks32[[#This Row],[Player]],WR!B:O,5,FALSE)),"")</f>
        <v>0</v>
      </c>
      <c r="AJ6" s="83">
        <f>IFERROR((VLOOKUP(TableWRRanks32[[#This Row],[Player]],WR!B:O,6,FALSE)),"")</f>
        <v>155.89203000000001</v>
      </c>
      <c r="AK6" s="83">
        <f>IFERROR((VLOOKUP(TableWRRanks32[[#This Row],[Player]],WR!B:O,7,FALSE)),"")</f>
        <v>105.85068837000001</v>
      </c>
      <c r="AL6" s="83">
        <f>IFERROR((VLOOKUP(TableWRRanks32[[#This Row],[Player]],WR!B:O,8,FALSE)),"")</f>
        <v>1291.378398114</v>
      </c>
      <c r="AM6" s="83">
        <f>IFERROR((VLOOKUP(TableWRRanks32[[#This Row],[Player]],WR!B:O,9,FALSE)),"")</f>
        <v>9.5265619533000017</v>
      </c>
      <c r="AN6" s="57">
        <f>IFERROR((IFERROR(INDEX(TableWRCalcPts[Custom],MATCH(TableWRRanks32[[#This Row],[RK]],TableWRCalcPts[RK],0)),"")),"")</f>
        <v>239.22255571620002</v>
      </c>
      <c r="AO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30.678453533488092</v>
      </c>
      <c r="AQ6">
        <v>5</v>
      </c>
      <c r="AR6" t="str">
        <f>IFERROR(INDEX(TableTECalcPts[PLAYER],MATCH(TableTERanks33[[#This Row],[RK]],TableTECalcPts[RK],0)),"")</f>
        <v>Kyle Pitts</v>
      </c>
      <c r="AS6" t="str">
        <f>IFERROR(INDEX(TableTECalcPts[TM],MATCH(TableTERanks33[[#This Row],[Player]],TableTECalcPts[PLAYER],0)),"")</f>
        <v>ATL</v>
      </c>
      <c r="AT6">
        <f>IFERROR(INDEX(TableTECalcPts[BYE],MATCH(TableTERanks33[[#This Row],[Player]],TableTECalcPts[PLAYER],0)),"")</f>
        <v>11</v>
      </c>
      <c r="AU6" s="83">
        <f>IFERROR((VLOOKUP(TableTERanks33[[#This Row],[Player]],TE!B:O,4,FALSE)),"")</f>
        <v>115.02691199999997</v>
      </c>
      <c r="AV6" s="83">
        <f>IFERROR((VLOOKUP(TableTERanks33[[#This Row],[Player]],TE!B:O,5,FALSE)),"")</f>
        <v>71.546739263999982</v>
      </c>
      <c r="AW6" s="83">
        <f>IFERROR((VLOOKUP(TableTERanks33[[#This Row],[Player]],TE!B:O,6,FALSE)),"")</f>
        <v>908.64358865279974</v>
      </c>
      <c r="AX6" s="83">
        <f>IFERROR((VLOOKUP(TableTERanks33[[#This Row],[Player]],TE!B:O,7,FALSE)),"")</f>
        <v>5.8668326196479983</v>
      </c>
      <c r="AY6" s="57">
        <f>IFERROR((IFERROR(INDEX(TableTECalcPts[Custom],MATCH(TableTERanks33[[#This Row],[RK]],TableTECalcPts[RK],0)),"")),"")</f>
        <v>161.83872421516796</v>
      </c>
      <c r="AZ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10.847977119734036</v>
      </c>
    </row>
    <row r="7" spans="1:52" x14ac:dyDescent="0.2">
      <c r="A7">
        <v>6</v>
      </c>
      <c r="B7" t="str">
        <f>IFERROR(INDEX(TableQBCalcPts[PLAYER],MATCH(TableQBRanks30[[#This Row],[RK]],TableQBCalcPts[RK],0)),"")</f>
        <v>Dak Prescott</v>
      </c>
      <c r="C7" t="str">
        <f>IFERROR(INDEX(TableQBCalcPts[TM],MATCH(TableQBRanks30[[#This Row],[Player]],TableQBCalcPts[PLAYER],0)),"")</f>
        <v>DAL</v>
      </c>
      <c r="D7">
        <f>IFERROR(INDEX(TableQBCalcPts[BYE],MATCH(TableQBRanks30[[#This Row],[Player]],TableQBCalcPts[PLAYER],0)),"")</f>
        <v>7</v>
      </c>
      <c r="E7" s="83">
        <f>IFERROR((VLOOKUP(TableQBRanks30[[#This Row],[Player]],QB!B:O,4,FALSE)),"")</f>
        <v>609.83243999999991</v>
      </c>
      <c r="F7" s="83">
        <f>IFERROR((VLOOKUP(TableQBRanks30[[#This Row],[Player]],QB!B:O,5,FALSE)),"")</f>
        <v>412.85656187999996</v>
      </c>
      <c r="G7" s="83">
        <f>IFERROR((VLOOKUP(TableQBRanks30[[#This Row],[Player]],QB!B:O,6,FALSE)),"")</f>
        <v>4582.7078368679995</v>
      </c>
      <c r="H7" s="83">
        <f>IFERROR((VLOOKUP(TableQBRanks30[[#This Row],[Player]],QB!B:O,7,FALSE)),"")</f>
        <v>32.321119319999994</v>
      </c>
      <c r="I7" s="83">
        <f>IFERROR((VLOOKUP(TableQBRanks30[[#This Row],[Player]],QB!B:O,8,FALSE)),"")</f>
        <v>7.8442746757199986</v>
      </c>
      <c r="J7" s="83">
        <f>IFERROR((VLOOKUP(TableQBRanks30[[#This Row],[Player]],QB!B:O,9,FALSE)),"")</f>
        <v>45.444756000000005</v>
      </c>
      <c r="K7" s="83">
        <f>IFERROR((VLOOKUP(TableQBRanks30[[#This Row],[Player]],QB!B:O,10,FALSE)),"")</f>
        <v>210.86366784000001</v>
      </c>
      <c r="L7" s="83">
        <f>IFERROR((VLOOKUP(TableQBRanks30[[#This Row],[Player]],QB!B:O,11,FALSE)),"")</f>
        <v>1.4087874360000001</v>
      </c>
      <c r="M7" s="57">
        <f>IFERROR(INDEX(TableQBCalcPts[Custom],MATCH(TableQBRanks30[[#This Row],[RK]],TableQBCalcPts[RK],0)),"")</f>
        <v>334.28760747900003</v>
      </c>
      <c r="N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16.990863260416425</v>
      </c>
      <c r="P7">
        <v>6</v>
      </c>
      <c r="Q7" t="str">
        <f>IFERROR(INDEX(TableRBCalcPts[PLAYER],MATCH(TableRBRanks31[[#This Row],[RK]],TableRBCalcPts[RK],0)),"")</f>
        <v>Derrick Henry</v>
      </c>
      <c r="R7" t="str">
        <f>IFERROR(INDEX(TableRBCalcPts[TM],MATCH(TableRBRanks31[[#This Row],[Player]],TableRBCalcPts[PLAYER],0)),"")</f>
        <v>BAL</v>
      </c>
      <c r="S7">
        <f>IFERROR(INDEX(TableRBCalcPts[BYE],MATCH(TableRBRanks31[[#This Row],[Player]],TableRBCalcPts[PLAYER],0)),"")</f>
        <v>13</v>
      </c>
      <c r="T7" s="83">
        <f>IFERROR((VLOOKUP(TableRBRanks31[[#This Row],[Player]],RB!B:O,4,FALSE)),"")</f>
        <v>246.81158879999995</v>
      </c>
      <c r="U7" s="83">
        <f>IFERROR((VLOOKUP(TableRBRanks31[[#This Row],[Player]],RB!B:O,5,FALSE)),"")</f>
        <v>1105.7159178239999</v>
      </c>
      <c r="V7" s="83">
        <f>IFERROR((VLOOKUP(TableRBRanks31[[#This Row],[Player]],RB!B:O,6,FALSE)),"")</f>
        <v>14.068260561599997</v>
      </c>
      <c r="W7" s="83">
        <f>IFERROR((VLOOKUP(TableRBRanks31[[#This Row],[Player]],RB!B:O,7,FALSE)),"")</f>
        <v>31.760937600000002</v>
      </c>
      <c r="X7" s="83">
        <f>IFERROR((VLOOKUP(TableRBRanks31[[#This Row],[Player]],RB!B:O,8,FALSE)),"")</f>
        <v>23.820703200000001</v>
      </c>
      <c r="Y7" s="83">
        <f>IFERROR((VLOOKUP(TableRBRanks31[[#This Row],[Player]],RB!B:O,9,FALSE)),"")</f>
        <v>187.707141216</v>
      </c>
      <c r="Z7" s="83">
        <f>IFERROR((VLOOKUP(TableRBRanks31[[#This Row],[Player]],RB!B:O,10,FALSE)),"")</f>
        <v>0.95282812800000005</v>
      </c>
      <c r="AA7" s="57">
        <f>IFERROR((IFERROR(INDEX(TableRBCalcPts[Custom],MATCH(TableRBRanks31[[#This Row],[RK]],TableRBCalcPts[RK],0)),"")),"")</f>
        <v>231.37918964159999</v>
      </c>
      <c r="AB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49.184026712418984</v>
      </c>
      <c r="AD7">
        <v>6</v>
      </c>
      <c r="AE7" t="str">
        <f>IFERROR(INDEX(TableWRCalcPts[PLAYER],MATCH(TableWRRanks32[[#This Row],[RK]],TableWRCalcPts[RK],0)),"")</f>
        <v>Puka Nacua</v>
      </c>
      <c r="AF7" t="str">
        <f>IFERROR(INDEX(TableWRCalcPts[TM],MATCH(TableWRRanks32[[#This Row],[Player]],TableWRCalcPts[PLAYER],0)),"")</f>
        <v>LAR</v>
      </c>
      <c r="AG7">
        <f>IFERROR(INDEX(TableWRCalcPts[BYE],MATCH(TableWRRanks32[[#This Row],[Player]],TableWRCalcPts[PLAYER],0)),"")</f>
        <v>10</v>
      </c>
      <c r="AH7" s="83">
        <f>IFERROR((VLOOKUP(TableWRRanks32[[#This Row],[Player]],WR!B:O,4,FALSE)),"")</f>
        <v>90.244147895999987</v>
      </c>
      <c r="AI7" s="83">
        <f>IFERROR((VLOOKUP(TableWRRanks32[[#This Row],[Player]],WR!B:O,5,FALSE)),"")</f>
        <v>0.99849967559999997</v>
      </c>
      <c r="AJ7" s="83">
        <f>IFERROR((VLOOKUP(TableWRRanks32[[#This Row],[Player]],WR!B:O,6,FALSE)),"")</f>
        <v>138.86758759999995</v>
      </c>
      <c r="AK7" s="83">
        <f>IFERROR((VLOOKUP(TableWRRanks32[[#This Row],[Player]],WR!B:O,7,FALSE)),"")</f>
        <v>90.402799527599967</v>
      </c>
      <c r="AL7" s="83">
        <f>IFERROR((VLOOKUP(TableWRRanks32[[#This Row],[Player]],WR!B:O,8,FALSE)),"")</f>
        <v>1284.6237812871957</v>
      </c>
      <c r="AM7" s="83">
        <f>IFERROR((VLOOKUP(TableWRRanks32[[#This Row],[Player]],WR!B:O,9,FALSE)),"")</f>
        <v>6.7802099645699974</v>
      </c>
      <c r="AN7" s="57">
        <f>IFERROR((IFERROR(INDEX(TableWRCalcPts[Custom],MATCH(TableWRRanks32[[#This Row],[RK]],TableWRCalcPts[RK],0)),"")),"")</f>
        <v>229.36045052313952</v>
      </c>
      <c r="AO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27.487623583964446</v>
      </c>
      <c r="AQ7">
        <v>6</v>
      </c>
      <c r="AR7" t="str">
        <f>IFERROR(INDEX(TableTECalcPts[PLAYER],MATCH(TableTERanks33[[#This Row],[RK]],TableTECalcPts[RK],0)),"")</f>
        <v>Dalton Kincaid</v>
      </c>
      <c r="AS7" t="str">
        <f>IFERROR(INDEX(TableTECalcPts[TM],MATCH(TableTERanks33[[#This Row],[Player]],TableTECalcPts[PLAYER],0)),"")</f>
        <v>BUF</v>
      </c>
      <c r="AT7">
        <f>IFERROR(INDEX(TableTECalcPts[BYE],MATCH(TableTERanks33[[#This Row],[Player]],TableTECalcPts[PLAYER],0)),"")</f>
        <v>13</v>
      </c>
      <c r="AU7" s="83">
        <f>IFERROR((VLOOKUP(TableTERanks33[[#This Row],[Player]],TE!B:O,4,FALSE)),"")</f>
        <v>106.29158399999997</v>
      </c>
      <c r="AV7" s="83">
        <f>IFERROR((VLOOKUP(TableTERanks33[[#This Row],[Player]],TE!B:O,5,FALSE)),"")</f>
        <v>74.722983551999974</v>
      </c>
      <c r="AW7" s="83">
        <f>IFERROR((VLOOKUP(TableTERanks33[[#This Row],[Player]],TE!B:O,6,FALSE)),"")</f>
        <v>774.13010959871974</v>
      </c>
      <c r="AX7" s="83">
        <f>IFERROR((VLOOKUP(TableTERanks33[[#This Row],[Player]],TE!B:O,7,FALSE)),"")</f>
        <v>6.7250685196799971</v>
      </c>
      <c r="AY7" s="57">
        <f>IFERROR((IFERROR(INDEX(TableTECalcPts[Custom],MATCH(TableTERanks33[[#This Row],[RK]],TableTECalcPts[RK],0)),"")),"")</f>
        <v>155.12491385395197</v>
      </c>
      <c r="AZ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8.4597655488337509</v>
      </c>
    </row>
    <row r="8" spans="1:52" x14ac:dyDescent="0.2">
      <c r="A8">
        <v>7</v>
      </c>
      <c r="B8" t="str">
        <f>IFERROR(INDEX(TableQBCalcPts[PLAYER],MATCH(TableQBRanks30[[#This Row],[RK]],TableQBCalcPts[RK],0)),"")</f>
        <v>Joe Burrow</v>
      </c>
      <c r="C8" t="str">
        <f>IFERROR(INDEX(TableQBCalcPts[TM],MATCH(TableQBRanks30[[#This Row],[Player]],TableQBCalcPts[PLAYER],0)),"")</f>
        <v>CIN</v>
      </c>
      <c r="D8">
        <f>IFERROR(INDEX(TableQBCalcPts[BYE],MATCH(TableQBRanks30[[#This Row],[Player]],TableQBCalcPts[PLAYER],0)),"")</f>
        <v>7</v>
      </c>
      <c r="E8" s="83">
        <f>IFERROR((VLOOKUP(TableQBRanks30[[#This Row],[Player]],QB!B:O,4,FALSE)),"")</f>
        <v>604.47929999999997</v>
      </c>
      <c r="F8" s="83">
        <f>IFERROR((VLOOKUP(TableQBRanks30[[#This Row],[Player]],QB!B:O,5,FALSE)),"")</f>
        <v>408.62800679999998</v>
      </c>
      <c r="G8" s="83">
        <f>IFERROR((VLOOKUP(TableQBRanks30[[#This Row],[Player]],QB!B:O,6,FALSE)),"")</f>
        <v>4529.6414553780005</v>
      </c>
      <c r="H8" s="83">
        <f>IFERROR((VLOOKUP(TableQBRanks30[[#This Row],[Player]],QB!B:O,7,FALSE)),"")</f>
        <v>31.432923599999995</v>
      </c>
      <c r="I8" s="83">
        <f>IFERROR((VLOOKUP(TableQBRanks30[[#This Row],[Player]],QB!B:O,8,FALSE)),"")</f>
        <v>8.1725601359999995</v>
      </c>
      <c r="J8" s="83">
        <f>IFERROR((VLOOKUP(TableQBRanks30[[#This Row],[Player]],QB!B:O,9,FALSE)),"")</f>
        <v>55.114063199999997</v>
      </c>
      <c r="K8" s="83">
        <f>IFERROR((VLOOKUP(TableQBRanks30[[#This Row],[Player]],QB!B:O,10,FALSE)),"")</f>
        <v>193.45036183199997</v>
      </c>
      <c r="L8" s="83">
        <f>IFERROR((VLOOKUP(TableQBRanks30[[#This Row],[Player]],QB!B:O,11,FALSE)),"")</f>
        <v>2.2045625279999999</v>
      </c>
      <c r="M8" s="57">
        <f>IFERROR(INDEX(TableQBCalcPts[Custom],MATCH(TableQBRanks30[[#This Row],[RK]],TableQBCalcPts[RK],0)),"")</f>
        <v>331.31720383031995</v>
      </c>
      <c r="N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16.176306412642973</v>
      </c>
      <c r="P8">
        <v>7</v>
      </c>
      <c r="Q8" t="str">
        <f>IFERROR(INDEX(TableRBCalcPts[PLAYER],MATCH(TableRBRanks31[[#This Row],[RK]],TableRBCalcPts[RK],0)),"")</f>
        <v>Kyren Williams</v>
      </c>
      <c r="R8" t="str">
        <f>IFERROR(INDEX(TableRBCalcPts[TM],MATCH(TableRBRanks31[[#This Row],[Player]],TableRBCalcPts[PLAYER],0)),"")</f>
        <v>LAR</v>
      </c>
      <c r="S8">
        <f>IFERROR(INDEX(TableRBCalcPts[BYE],MATCH(TableRBRanks31[[#This Row],[Player]],TableRBCalcPts[PLAYER],0)),"")</f>
        <v>10</v>
      </c>
      <c r="T8" s="83">
        <f>IFERROR((VLOOKUP(TableRBRanks31[[#This Row],[Player]],RB!B:O,4,FALSE)),"")</f>
        <v>248.57164919999997</v>
      </c>
      <c r="U8" s="83">
        <f>IFERROR((VLOOKUP(TableRBRanks31[[#This Row],[Player]],RB!B:O,5,FALSE)),"")</f>
        <v>1135.972436844</v>
      </c>
      <c r="V8" s="83">
        <f>IFERROR((VLOOKUP(TableRBRanks31[[#This Row],[Player]],RB!B:O,6,FALSE)),"")</f>
        <v>10.440009266399999</v>
      </c>
      <c r="W8" s="83">
        <f>IFERROR((VLOOKUP(TableRBRanks31[[#This Row],[Player]],RB!B:O,7,FALSE)),"")</f>
        <v>48.301769599999986</v>
      </c>
      <c r="X8" s="83">
        <f>IFERROR((VLOOKUP(TableRBRanks31[[#This Row],[Player]],RB!B:O,8,FALSE)),"")</f>
        <v>34.390859955199986</v>
      </c>
      <c r="Y8" s="83">
        <f>IFERROR((VLOOKUP(TableRBRanks31[[#This Row],[Player]],RB!B:O,9,FALSE)),"")</f>
        <v>252.4289120711679</v>
      </c>
      <c r="Z8" s="83">
        <f>IFERROR((VLOOKUP(TableRBRanks31[[#This Row],[Player]],RB!B:O,10,FALSE)),"")</f>
        <v>1.7195429977599994</v>
      </c>
      <c r="AA8" s="57">
        <f>IFERROR((IFERROR(INDEX(TableRBCalcPts[Custom],MATCH(TableRBRanks31[[#This Row],[RK]],TableRBCalcPts[RK],0)),"")),"")</f>
        <v>228.99287845407679</v>
      </c>
      <c r="AB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48.194920912620049</v>
      </c>
      <c r="AD8">
        <v>7</v>
      </c>
      <c r="AE8" t="str">
        <f>IFERROR(INDEX(TableWRCalcPts[PLAYER],MATCH(TableWRRanks32[[#This Row],[RK]],TableWRCalcPts[RK],0)),"")</f>
        <v>Deebo Samuel</v>
      </c>
      <c r="AF8" t="str">
        <f>IFERROR(INDEX(TableWRCalcPts[TM],MATCH(TableWRRanks32[[#This Row],[Player]],TableWRCalcPts[PLAYER],0)),"")</f>
        <v>SF</v>
      </c>
      <c r="AG8">
        <f>IFERROR(INDEX(TableWRCalcPts[BYE],MATCH(TableWRRanks32[[#This Row],[Player]],TableWRCalcPts[PLAYER],0)),"")</f>
        <v>9</v>
      </c>
      <c r="AH8" s="83">
        <f>IFERROR((VLOOKUP(TableWRRanks32[[#This Row],[Player]],WR!B:O,4,FALSE)),"")</f>
        <v>281.323000476</v>
      </c>
      <c r="AI8" s="83">
        <f>IFERROR((VLOOKUP(TableWRRanks32[[#This Row],[Player]],WR!B:O,5,FALSE)),"")</f>
        <v>5.3104653755999998</v>
      </c>
      <c r="AJ8" s="83">
        <f>IFERROR((VLOOKUP(TableWRRanks32[[#This Row],[Player]],WR!B:O,6,FALSE)),"")</f>
        <v>101.18145239999998</v>
      </c>
      <c r="AK8" s="83">
        <f>IFERROR((VLOOKUP(TableWRRanks32[[#This Row],[Player]],WR!B:O,7,FALSE)),"")</f>
        <v>67.892754560399993</v>
      </c>
      <c r="AL8" s="83">
        <f>IFERROR((VLOOKUP(TableWRRanks32[[#This Row],[Player]],WR!B:O,8,FALSE)),"")</f>
        <v>967.47175248569988</v>
      </c>
      <c r="AM8" s="83">
        <f>IFERROR((VLOOKUP(TableWRRanks32[[#This Row],[Player]],WR!B:O,9,FALSE)),"")</f>
        <v>6.1103479104359995</v>
      </c>
      <c r="AN8" s="57">
        <f>IFERROR((IFERROR(INDEX(TableWRCalcPts[Custom],MATCH(TableWRRanks32[[#This Row],[RK]],TableWRCalcPts[RK],0)),"")),"")</f>
        <v>227.35073229258597</v>
      </c>
      <c r="AO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26.837390292530259</v>
      </c>
      <c r="AQ8">
        <v>7</v>
      </c>
      <c r="AR8" t="str">
        <f>IFERROR(INDEX(TableTECalcPts[PLAYER],MATCH(TableTERanks33[[#This Row],[RK]],TableTECalcPts[RK],0)),"")</f>
        <v>George Kittle</v>
      </c>
      <c r="AS8" t="str">
        <f>IFERROR(INDEX(TableTECalcPts[TM],MATCH(TableTERanks33[[#This Row],[Player]],TableTECalcPts[PLAYER],0)),"")</f>
        <v>SF</v>
      </c>
      <c r="AT8">
        <f>IFERROR(INDEX(TableTECalcPts[BYE],MATCH(TableTERanks33[[#This Row],[Player]],TableTECalcPts[PLAYER],0)),"")</f>
        <v>9</v>
      </c>
      <c r="AU8" s="83">
        <f>IFERROR((VLOOKUP(TableTERanks33[[#This Row],[Player]],TE!B:O,4,FALSE)),"")</f>
        <v>90.530773199999985</v>
      </c>
      <c r="AV8" s="83">
        <f>IFERROR((VLOOKUP(TableTERanks33[[#This Row],[Player]],TE!B:O,5,FALSE)),"")</f>
        <v>65.544279796799984</v>
      </c>
      <c r="AW8" s="83">
        <f>IFERROR((VLOOKUP(TableTERanks33[[#This Row],[Player]],TE!B:O,6,FALSE)),"")</f>
        <v>869.11715010556782</v>
      </c>
      <c r="AX8" s="83">
        <f>IFERROR((VLOOKUP(TableTERanks33[[#This Row],[Player]],TE!B:O,7,FALSE)),"")</f>
        <v>5.898985181711998</v>
      </c>
      <c r="AY8" s="57">
        <f>IFERROR((IFERROR(INDEX(TableTECalcPts[Custom],MATCH(TableTERanks33[[#This Row],[RK]],TableTECalcPts[RK],0)),"")),"")</f>
        <v>155.07776599922877</v>
      </c>
      <c r="AZ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8.4429942898712529</v>
      </c>
    </row>
    <row r="9" spans="1:52" x14ac:dyDescent="0.2">
      <c r="A9">
        <v>8</v>
      </c>
      <c r="B9" t="str">
        <f>IFERROR(INDEX(TableQBCalcPts[PLAYER],MATCH(TableQBRanks30[[#This Row],[RK]],TableQBCalcPts[RK],0)),"")</f>
        <v>Jayden Daniels</v>
      </c>
      <c r="C9" t="str">
        <f>IFERROR(INDEX(TableQBCalcPts[TM],MATCH(TableQBRanks30[[#This Row],[Player]],TableQBCalcPts[PLAYER],0)),"")</f>
        <v>WSH</v>
      </c>
      <c r="D9">
        <f>IFERROR(INDEX(TableQBCalcPts[BYE],MATCH(TableQBRanks30[[#This Row],[Player]],TableQBCalcPts[PLAYER],0)),"")</f>
        <v>14</v>
      </c>
      <c r="E9" s="83">
        <f>IFERROR((VLOOKUP(TableQBRanks30[[#This Row],[Player]],QB!B:O,4,FALSE)),"")</f>
        <v>546.42669999999998</v>
      </c>
      <c r="F9" s="83">
        <f>IFERROR((VLOOKUP(TableQBRanks30[[#This Row],[Player]],QB!B:O,5,FALSE)),"")</f>
        <v>344.7952477</v>
      </c>
      <c r="G9" s="83">
        <f>IFERROR((VLOOKUP(TableQBRanks30[[#This Row],[Player]],QB!B:O,6,FALSE)),"")</f>
        <v>3796.1956771770001</v>
      </c>
      <c r="H9" s="83">
        <f>IFERROR((VLOOKUP(TableQBRanks30[[#This Row],[Player]],QB!B:O,7,FALSE)),"")</f>
        <v>20.217787899999998</v>
      </c>
      <c r="I9" s="83">
        <f>IFERROR((VLOOKUP(TableQBRanks30[[#This Row],[Player]],QB!B:O,8,FALSE)),"")</f>
        <v>7.2407002017000002</v>
      </c>
      <c r="J9" s="83">
        <f>IFERROR((VLOOKUP(TableQBRanks30[[#This Row],[Player]],QB!B:O,9,FALSE)),"")</f>
        <v>120.697486</v>
      </c>
      <c r="K9" s="83">
        <f>IFERROR((VLOOKUP(TableQBRanks30[[#This Row],[Player]],QB!B:O,10,FALSE)),"")</f>
        <v>715.73609197999997</v>
      </c>
      <c r="L9" s="83">
        <f>IFERROR((VLOOKUP(TableQBRanks30[[#This Row],[Player]],QB!B:O,11,FALSE)),"")</f>
        <v>5.672781842</v>
      </c>
      <c r="M9" s="57">
        <f>IFERROR(INDEX(TableQBCalcPts[Custom],MATCH(TableQBRanks30[[#This Row],[RK]],TableQBCalcPts[RK],0)),"")</f>
        <v>331.08857873538</v>
      </c>
      <c r="N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14.588303551072419</v>
      </c>
      <c r="P9">
        <v>8</v>
      </c>
      <c r="Q9" t="str">
        <f>IFERROR(INDEX(TableRBCalcPts[PLAYER],MATCH(TableRBRanks31[[#This Row],[RK]],TableRBCalcPts[RK],0)),"")</f>
        <v>Jahmyr Gibbs</v>
      </c>
      <c r="R9" t="str">
        <f>IFERROR(INDEX(TableRBCalcPts[TM],MATCH(TableRBRanks31[[#This Row],[Player]],TableRBCalcPts[PLAYER],0)),"")</f>
        <v>DET</v>
      </c>
      <c r="S9">
        <f>IFERROR(INDEX(TableRBCalcPts[BYE],MATCH(TableRBRanks31[[#This Row],[Player]],TableRBCalcPts[PLAYER],0)),"")</f>
        <v>9</v>
      </c>
      <c r="T9" s="83">
        <f>IFERROR((VLOOKUP(TableRBRanks31[[#This Row],[Player]],RB!B:O,4,FALSE)),"")</f>
        <v>187.78426800000003</v>
      </c>
      <c r="U9" s="83">
        <f>IFERROR((VLOOKUP(TableRBRanks31[[#This Row],[Player]],RB!B:O,5,FALSE)),"")</f>
        <v>905.12017176000018</v>
      </c>
      <c r="V9" s="83">
        <f>IFERROR((VLOOKUP(TableRBRanks31[[#This Row],[Player]],RB!B:O,6,FALSE)),"")</f>
        <v>8.262507792000001</v>
      </c>
      <c r="W9" s="83">
        <f>IFERROR((VLOOKUP(TableRBRanks31[[#This Row],[Player]],RB!B:O,7,FALSE)),"")</f>
        <v>71.120951999999974</v>
      </c>
      <c r="X9" s="83">
        <f>IFERROR((VLOOKUP(TableRBRanks31[[#This Row],[Player]],RB!B:O,8,FALSE)),"")</f>
        <v>53.340713999999977</v>
      </c>
      <c r="Y9" s="83">
        <f>IFERROR((VLOOKUP(TableRBRanks31[[#This Row],[Player]],RB!B:O,9,FALSE)),"")</f>
        <v>394.72128359999982</v>
      </c>
      <c r="Z9" s="83">
        <f>IFERROR((VLOOKUP(TableRBRanks31[[#This Row],[Player]],RB!B:O,10,FALSE)),"")</f>
        <v>2.4003321299999989</v>
      </c>
      <c r="AA9" s="57">
        <f>IFERROR((IFERROR(INDEX(TableRBCalcPts[Custom],MATCH(TableRBRanks31[[#This Row],[RK]],TableRBCalcPts[RK],0)),"")),"")</f>
        <v>220.63154206799999</v>
      </c>
      <c r="AB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44.729217714822894</v>
      </c>
      <c r="AD9">
        <v>8</v>
      </c>
      <c r="AE9" t="str">
        <f>IFERROR(INDEX(TableWRCalcPts[PLAYER],MATCH(TableWRRanks32[[#This Row],[RK]],TableWRCalcPts[RK],0)),"")</f>
        <v>A.J. Brown</v>
      </c>
      <c r="AF9" t="str">
        <f>IFERROR(INDEX(TableWRCalcPts[TM],MATCH(TableWRRanks32[[#This Row],[Player]],TableWRCalcPts[PLAYER],0)),"")</f>
        <v>PHI</v>
      </c>
      <c r="AG9">
        <f>IFERROR(INDEX(TableWRCalcPts[BYE],MATCH(TableWRRanks32[[#This Row],[Player]],TableWRCalcPts[PLAYER],0)),"")</f>
        <v>10</v>
      </c>
      <c r="AH9" s="83">
        <f>IFERROR((VLOOKUP(TableWRRanks32[[#This Row],[Player]],WR!B:O,4,FALSE)),"")</f>
        <v>0</v>
      </c>
      <c r="AI9" s="83">
        <f>IFERROR((VLOOKUP(TableWRRanks32[[#This Row],[Player]],WR!B:O,5,FALSE)),"")</f>
        <v>0</v>
      </c>
      <c r="AJ9" s="83">
        <f>IFERROR((VLOOKUP(TableWRRanks32[[#This Row],[Player]],WR!B:O,6,FALSE)),"")</f>
        <v>136.6726032</v>
      </c>
      <c r="AK9" s="83">
        <f>IFERROR((VLOOKUP(TableWRRanks32[[#This Row],[Player]],WR!B:O,7,FALSE)),"")</f>
        <v>86.240412619200001</v>
      </c>
      <c r="AL9" s="83">
        <f>IFERROR((VLOOKUP(TableWRRanks32[[#This Row],[Player]],WR!B:O,8,FALSE)),"")</f>
        <v>1237.5499210855201</v>
      </c>
      <c r="AM9" s="83">
        <f>IFERROR((VLOOKUP(TableWRRanks32[[#This Row],[Player]],WR!B:O,9,FALSE)),"")</f>
        <v>8.2790796114431995</v>
      </c>
      <c r="AN9" s="57">
        <f>IFERROR((IFERROR(INDEX(TableWRCalcPts[Custom],MATCH(TableWRRanks32[[#This Row],[RK]],TableWRCalcPts[RK],0)),"")),"")</f>
        <v>216.54967608681122</v>
      </c>
      <c r="AO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23.342767901752545</v>
      </c>
      <c r="AQ9">
        <v>8</v>
      </c>
      <c r="AR9" t="str">
        <f>IFERROR(INDEX(TableTECalcPts[PLAYER],MATCH(TableTERanks33[[#This Row],[RK]],TableTECalcPts[RK],0)),"")</f>
        <v>David Njoku</v>
      </c>
      <c r="AS9" t="str">
        <f>IFERROR(INDEX(TableTECalcPts[TM],MATCH(TableTERanks33[[#This Row],[Player]],TableTECalcPts[PLAYER],0)),"")</f>
        <v>CLE</v>
      </c>
      <c r="AT9">
        <f>IFERROR(INDEX(TableTECalcPts[BYE],MATCH(TableTERanks33[[#This Row],[Player]],TableTECalcPts[PLAYER],0)),"")</f>
        <v>5</v>
      </c>
      <c r="AU9" s="83">
        <f>IFERROR((VLOOKUP(TableTERanks33[[#This Row],[Player]],TE!B:O,4,FALSE)),"")</f>
        <v>107.5305</v>
      </c>
      <c r="AV9" s="83">
        <f>IFERROR((VLOOKUP(TableTERanks33[[#This Row],[Player]],TE!B:O,5,FALSE)),"")</f>
        <v>72.798148500000011</v>
      </c>
      <c r="AW9" s="83">
        <f>IFERROR((VLOOKUP(TableTERanks33[[#This Row],[Player]],TE!B:O,6,FALSE)),"")</f>
        <v>749.82092955000019</v>
      </c>
      <c r="AX9" s="83">
        <f>IFERROR((VLOOKUP(TableTERanks33[[#This Row],[Player]],TE!B:O,7,FALSE)),"")</f>
        <v>5.8238518800000012</v>
      </c>
      <c r="AY9" s="57">
        <f>IFERROR((IFERROR(INDEX(TableTECalcPts[Custom],MATCH(TableTERanks33[[#This Row],[RK]],TableTECalcPts[RK],0)),"")),"")</f>
        <v>146.32427848500004</v>
      </c>
      <c r="AZ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5.3292363726121863</v>
      </c>
    </row>
    <row r="10" spans="1:52" x14ac:dyDescent="0.2">
      <c r="A10">
        <v>9</v>
      </c>
      <c r="B10" t="str">
        <f>IFERROR(INDEX(TableQBCalcPts[PLAYER],MATCH(TableQBRanks30[[#This Row],[RK]],TableQBCalcPts[RK],0)),"")</f>
        <v>C.J. Stroud</v>
      </c>
      <c r="C10" t="str">
        <f>IFERROR(INDEX(TableQBCalcPts[TM],MATCH(TableQBRanks30[[#This Row],[Player]],TableQBCalcPts[PLAYER],0)),"")</f>
        <v>HOU</v>
      </c>
      <c r="D10">
        <f>IFERROR(INDEX(TableQBCalcPts[BYE],MATCH(TableQBRanks30[[#This Row],[Player]],TableQBCalcPts[PLAYER],0)),"")</f>
        <v>7</v>
      </c>
      <c r="E10" s="83">
        <f>IFERROR((VLOOKUP(TableQBRanks30[[#This Row],[Player]],QB!B:O,4,FALSE)),"")</f>
        <v>601.28639999999996</v>
      </c>
      <c r="F10" s="83">
        <f>IFERROR((VLOOKUP(TableQBRanks30[[#This Row],[Player]],QB!B:O,5,FALSE)),"")</f>
        <v>394.44387840000002</v>
      </c>
      <c r="G10" s="83">
        <f>IFERROR((VLOOKUP(TableQBRanks30[[#This Row],[Player]],QB!B:O,6,FALSE)),"")</f>
        <v>4654.4377651200002</v>
      </c>
      <c r="H10" s="83">
        <f>IFERROR((VLOOKUP(TableQBRanks30[[#This Row],[Player]],QB!B:O,7,FALSE)),"")</f>
        <v>31.266892799999997</v>
      </c>
      <c r="I10" s="83">
        <f>IFERROR((VLOOKUP(TableQBRanks30[[#This Row],[Player]],QB!B:O,8,FALSE)),"")</f>
        <v>5.9166581760000003</v>
      </c>
      <c r="J10" s="83">
        <f>IFERROR((VLOOKUP(TableQBRanks30[[#This Row],[Player]],QB!B:O,9,FALSE)),"")</f>
        <v>38.937600000000003</v>
      </c>
      <c r="K10" s="83">
        <f>IFERROR((VLOOKUP(TableQBRanks30[[#This Row],[Player]],QB!B:O,10,FALSE)),"")</f>
        <v>161.59104000000002</v>
      </c>
      <c r="L10" s="83">
        <f>IFERROR((VLOOKUP(TableQBRanks30[[#This Row],[Player]],QB!B:O,11,FALSE)),"")</f>
        <v>1.5575040000000002</v>
      </c>
      <c r="M10" s="57">
        <f>IFERROR(INDEX(TableQBCalcPts[Custom],MATCH(TableQBRanks30[[#This Row],[RK]],TableQBCalcPts[RK],0)),"")</f>
        <v>330.83255162880005</v>
      </c>
      <c r="N1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14.362859922344606</v>
      </c>
      <c r="P10">
        <v>9</v>
      </c>
      <c r="Q10" t="str">
        <f>IFERROR(INDEX(TableRBCalcPts[PLAYER],MATCH(TableRBRanks31[[#This Row],[RK]],TableRBCalcPts[RK],0)),"")</f>
        <v>Joe Mixon</v>
      </c>
      <c r="R10" t="str">
        <f>IFERROR(INDEX(TableRBCalcPts[TM],MATCH(TableRBRanks31[[#This Row],[Player]],TableRBCalcPts[PLAYER],0)),"")</f>
        <v>HOU</v>
      </c>
      <c r="S10">
        <f>IFERROR(INDEX(TableRBCalcPts[BYE],MATCH(TableRBRanks31[[#This Row],[Player]],TableRBCalcPts[PLAYER],0)),"")</f>
        <v>7</v>
      </c>
      <c r="T10" s="83">
        <f>IFERROR((VLOOKUP(TableRBRanks31[[#This Row],[Player]],RB!B:O,4,FALSE)),"")</f>
        <v>259.584</v>
      </c>
      <c r="U10" s="83">
        <f>IFERROR((VLOOKUP(TableRBRanks31[[#This Row],[Player]],RB!B:O,5,FALSE)),"")</f>
        <v>1090.2528</v>
      </c>
      <c r="V10" s="83">
        <f>IFERROR((VLOOKUP(TableRBRanks31[[#This Row],[Player]],RB!B:O,6,FALSE)),"")</f>
        <v>9.6046079999999989</v>
      </c>
      <c r="W10" s="83">
        <f>IFERROR((VLOOKUP(TableRBRanks31[[#This Row],[Player]],RB!B:O,7,FALSE)),"")</f>
        <v>46.426598399999996</v>
      </c>
      <c r="X10" s="83">
        <f>IFERROR((VLOOKUP(TableRBRanks31[[#This Row],[Player]],RB!B:O,8,FALSE)),"")</f>
        <v>35.794907366399997</v>
      </c>
      <c r="Y10" s="83">
        <f>IFERROR((VLOOKUP(TableRBRanks31[[#This Row],[Player]],RB!B:O,9,FALSE)),"")</f>
        <v>253.78589322777597</v>
      </c>
      <c r="Z10" s="83">
        <f>IFERROR((VLOOKUP(TableRBRanks31[[#This Row],[Player]],RB!B:O,10,FALSE)),"")</f>
        <v>1.6107708314879998</v>
      </c>
      <c r="AA10" s="57">
        <f>IFERROR((IFERROR(INDEX(TableRBCalcPts[Custom],MATCH(TableRBRanks31[[#This Row],[RK]],TableRBCalcPts[RK],0)),"")),"")</f>
        <v>219.5935959949056</v>
      </c>
      <c r="AB1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44.298997848217091</v>
      </c>
      <c r="AD10">
        <v>9</v>
      </c>
      <c r="AE10" t="str">
        <f>IFERROR(INDEX(TableWRCalcPts[PLAYER],MATCH(TableWRRanks32[[#This Row],[RK]],TableWRCalcPts[RK],0)),"")</f>
        <v>Mike Evans</v>
      </c>
      <c r="AF10" t="str">
        <f>IFERROR(INDEX(TableWRCalcPts[TM],MATCH(TableWRRanks32[[#This Row],[Player]],TableWRCalcPts[PLAYER],0)),"")</f>
        <v>TB</v>
      </c>
      <c r="AG10">
        <f>IFERROR(INDEX(TableWRCalcPts[BYE],MATCH(TableWRRanks32[[#This Row],[Player]],TableWRCalcPts[PLAYER],0)),"")</f>
        <v>5</v>
      </c>
      <c r="AH10" s="83">
        <f>IFERROR((VLOOKUP(TableWRRanks32[[#This Row],[Player]],WR!B:O,4,FALSE)),"")</f>
        <v>0</v>
      </c>
      <c r="AI10" s="83">
        <f>IFERROR((VLOOKUP(TableWRRanks32[[#This Row],[Player]],WR!B:O,5,FALSE)),"")</f>
        <v>0</v>
      </c>
      <c r="AJ10" s="83">
        <f>IFERROR((VLOOKUP(TableWRRanks32[[#This Row],[Player]],WR!B:O,6,FALSE)),"")</f>
        <v>130.47120239999998</v>
      </c>
      <c r="AK10" s="83">
        <f>IFERROR((VLOOKUP(TableWRRanks32[[#This Row],[Player]],WR!B:O,7,FALSE)),"")</f>
        <v>76.195182201599991</v>
      </c>
      <c r="AL10" s="83">
        <f>IFERROR((VLOOKUP(TableWRRanks32[[#This Row],[Player]],WR!B:O,8,FALSE)),"")</f>
        <v>1156.6428658202879</v>
      </c>
      <c r="AM10" s="83">
        <f>IFERROR((VLOOKUP(TableWRRanks32[[#This Row],[Player]],WR!B:O,9,FALSE)),"")</f>
        <v>9.5243977751999989</v>
      </c>
      <c r="AN10" s="57">
        <f>IFERROR((IFERROR(INDEX(TableWRCalcPts[Custom],MATCH(TableWRRanks32[[#This Row],[RK]],TableWRCalcPts[RK],0)),"")),"")</f>
        <v>210.90826433402879</v>
      </c>
      <c r="AO1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21.51752012493516</v>
      </c>
      <c r="AQ10">
        <v>9</v>
      </c>
      <c r="AR10" t="str">
        <f>IFERROR(INDEX(TableTECalcPts[PLAYER],MATCH(TableTERanks33[[#This Row],[RK]],TableTECalcPts[RK],0)),"")</f>
        <v>Jake Ferguson</v>
      </c>
      <c r="AS10" t="str">
        <f>IFERROR(INDEX(TableTECalcPts[TM],MATCH(TableTERanks33[[#This Row],[Player]],TableTECalcPts[PLAYER],0)),"")</f>
        <v>DAL</v>
      </c>
      <c r="AT10">
        <f>IFERROR(INDEX(TableTECalcPts[BYE],MATCH(TableTERanks33[[#This Row],[Player]],TableTECalcPts[PLAYER],0)),"")</f>
        <v>7</v>
      </c>
      <c r="AU10" s="83">
        <f>IFERROR((VLOOKUP(TableTERanks33[[#This Row],[Player]],TE!B:O,4,FALSE)),"")</f>
        <v>97.573190399999959</v>
      </c>
      <c r="AV10" s="83">
        <f>IFERROR((VLOOKUP(TableTERanks33[[#This Row],[Player]],TE!B:O,5,FALSE)),"")</f>
        <v>69.472111564799974</v>
      </c>
      <c r="AW10" s="83">
        <f>IFERROR((VLOOKUP(TableTERanks33[[#This Row],[Player]],TE!B:O,6,FALSE)),"")</f>
        <v>736.40438258687971</v>
      </c>
      <c r="AX10" s="83">
        <f>IFERROR((VLOOKUP(TableTERanks33[[#This Row],[Player]],TE!B:O,7,FALSE)),"")</f>
        <v>6.2524900408319972</v>
      </c>
      <c r="AY10" s="57">
        <f>IFERROR((IFERROR(INDEX(TableTECalcPts[Custom],MATCH(TableTERanks33[[#This Row],[RK]],TableTECalcPts[RK],0)),"")),"")</f>
        <v>145.89143428607994</v>
      </c>
      <c r="AZ1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5.175266649214934</v>
      </c>
    </row>
    <row r="11" spans="1:52" x14ac:dyDescent="0.2">
      <c r="A11">
        <v>10</v>
      </c>
      <c r="B11" t="str">
        <f>IFERROR(INDEX(TableQBCalcPts[PLAYER],MATCH(TableQBRanks30[[#This Row],[RK]],TableQBCalcPts[RK],0)),"")</f>
        <v>Jordan Love</v>
      </c>
      <c r="C11" t="str">
        <f>IFERROR(INDEX(TableQBCalcPts[TM],MATCH(TableQBRanks30[[#This Row],[Player]],TableQBCalcPts[PLAYER],0)),"")</f>
        <v>GB</v>
      </c>
      <c r="D11">
        <f>IFERROR(INDEX(TableQBCalcPts[BYE],MATCH(TableQBRanks30[[#This Row],[Player]],TableQBCalcPts[PLAYER],0)),"")</f>
        <v>6</v>
      </c>
      <c r="E11" s="83">
        <f>IFERROR((VLOOKUP(TableQBRanks30[[#This Row],[Player]],QB!B:O,4,FALSE)),"")</f>
        <v>576.02160000000003</v>
      </c>
      <c r="F11" s="83">
        <f>IFERROR((VLOOKUP(TableQBRanks30[[#This Row],[Player]],QB!B:O,5,FALSE)),"")</f>
        <v>380.75027760000006</v>
      </c>
      <c r="G11" s="83">
        <f>IFERROR((VLOOKUP(TableQBRanks30[[#This Row],[Player]],QB!B:O,6,FALSE)),"")</f>
        <v>4351.9756729680003</v>
      </c>
      <c r="H11" s="83">
        <f>IFERROR((VLOOKUP(TableQBRanks30[[#This Row],[Player]],QB!B:O,7,FALSE)),"")</f>
        <v>32.257209600000003</v>
      </c>
      <c r="I11" s="83">
        <f>IFERROR((VLOOKUP(TableQBRanks30[[#This Row],[Player]],QB!B:O,8,FALSE)),"")</f>
        <v>7.6150055520000013</v>
      </c>
      <c r="J11" s="83">
        <f>IFERROR((VLOOKUP(TableQBRanks30[[#This Row],[Player]],QB!B:O,9,FALSE)),"")</f>
        <v>49.281847999999997</v>
      </c>
      <c r="K11" s="83">
        <f>IFERROR((VLOOKUP(TableQBRanks30[[#This Row],[Player]],QB!B:O,10,FALSE)),"")</f>
        <v>219.79704207999998</v>
      </c>
      <c r="L11" s="83">
        <f>IFERROR((VLOOKUP(TableQBRanks30[[#This Row],[Player]],QB!B:O,11,FALSE)),"")</f>
        <v>1.5770191359999999</v>
      </c>
      <c r="M11" s="57">
        <f>IFERROR(INDEX(TableQBCalcPts[Custom],MATCH(TableQBRanks30[[#This Row],[RK]],TableQBCalcPts[RK],0)),"")</f>
        <v>326.93467879072</v>
      </c>
      <c r="N1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13.426506902939611</v>
      </c>
      <c r="P11">
        <v>10</v>
      </c>
      <c r="Q11" t="str">
        <f>IFERROR(INDEX(TableRBCalcPts[PLAYER],MATCH(TableRBRanks31[[#This Row],[RK]],TableRBCalcPts[RK],0)),"")</f>
        <v>Isiah Pacheco</v>
      </c>
      <c r="R11" t="str">
        <f>IFERROR(INDEX(TableRBCalcPts[TM],MATCH(TableRBRanks31[[#This Row],[Player]],TableRBCalcPts[PLAYER],0)),"")</f>
        <v>KC</v>
      </c>
      <c r="S11">
        <f>IFERROR(INDEX(TableRBCalcPts[BYE],MATCH(TableRBRanks31[[#This Row],[Player]],TableRBCalcPts[PLAYER],0)),"")</f>
        <v>10</v>
      </c>
      <c r="T11" s="83">
        <f>IFERROR((VLOOKUP(TableRBRanks31[[#This Row],[Player]],RB!B:O,4,FALSE)),"")</f>
        <v>247.93215999999998</v>
      </c>
      <c r="U11" s="83">
        <f>IFERROR((VLOOKUP(TableRBRanks31[[#This Row],[Player]],RB!B:O,5,FALSE)),"")</f>
        <v>1110.7360768000001</v>
      </c>
      <c r="V11" s="83">
        <f>IFERROR((VLOOKUP(TableRBRanks31[[#This Row],[Player]],RB!B:O,6,FALSE)),"")</f>
        <v>8.9255577599999985</v>
      </c>
      <c r="W11" s="83">
        <f>IFERROR((VLOOKUP(TableRBRanks31[[#This Row],[Player]],RB!B:O,7,FALSE)),"")</f>
        <v>44.123519999999992</v>
      </c>
      <c r="X11" s="83">
        <f>IFERROR((VLOOKUP(TableRBRanks31[[#This Row],[Player]],RB!B:O,8,FALSE)),"")</f>
        <v>36.490151039999994</v>
      </c>
      <c r="Y11" s="83">
        <f>IFERROR((VLOOKUP(TableRBRanks31[[#This Row],[Player]],RB!B:O,9,FALSE)),"")</f>
        <v>244.48401196799998</v>
      </c>
      <c r="Z11" s="83">
        <f>IFERROR((VLOOKUP(TableRBRanks31[[#This Row],[Player]],RB!B:O,10,FALSE)),"")</f>
        <v>1.6420567967999997</v>
      </c>
      <c r="AA11" s="57">
        <f>IFERROR((IFERROR(INDEX(TableRBCalcPts[Custom],MATCH(TableRBRanks31[[#This Row],[RK]],TableRBCalcPts[RK],0)),"")),"")</f>
        <v>217.17277173760002</v>
      </c>
      <c r="AB1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43.295586672962905</v>
      </c>
      <c r="AD11">
        <v>10</v>
      </c>
      <c r="AE11" t="str">
        <f>IFERROR(INDEX(TableWRCalcPts[PLAYER],MATCH(TableWRRanks32[[#This Row],[RK]],TableWRCalcPts[RK],0)),"")</f>
        <v>Brandon Aiyuk</v>
      </c>
      <c r="AF11" t="str">
        <f>IFERROR(INDEX(TableWRCalcPts[TM],MATCH(TableWRRanks32[[#This Row],[Player]],TableWRCalcPts[PLAYER],0)),"")</f>
        <v>SF</v>
      </c>
      <c r="AG11">
        <f>IFERROR(INDEX(TableWRCalcPts[BYE],MATCH(TableWRRanks32[[#This Row],[Player]],TableWRCalcPts[PLAYER],0)),"")</f>
        <v>9</v>
      </c>
      <c r="AH11" s="83">
        <f>IFERROR((VLOOKUP(TableWRRanks32[[#This Row],[Player]],WR!B:O,4,FALSE)),"")</f>
        <v>0</v>
      </c>
      <c r="AI11" s="83">
        <f>IFERROR((VLOOKUP(TableWRRanks32[[#This Row],[Player]],WR!B:O,5,FALSE)),"")</f>
        <v>0</v>
      </c>
      <c r="AJ11" s="83">
        <f>IFERROR((VLOOKUP(TableWRRanks32[[#This Row],[Player]],WR!B:O,6,FALSE)),"")</f>
        <v>117.15747119999997</v>
      </c>
      <c r="AK11" s="83">
        <f>IFERROR((VLOOKUP(TableWRRanks32[[#This Row],[Player]],WR!B:O,7,FALSE)),"")</f>
        <v>79.66708041599999</v>
      </c>
      <c r="AL11" s="83">
        <f>IFERROR((VLOOKUP(TableWRRanks32[[#This Row],[Player]],WR!B:O,8,FALSE)),"")</f>
        <v>1198.1928894566397</v>
      </c>
      <c r="AM11" s="83">
        <f>IFERROR((VLOOKUP(TableWRRanks32[[#This Row],[Player]],WR!B:O,9,FALSE)),"")</f>
        <v>8.3650434436799994</v>
      </c>
      <c r="AN11" s="57">
        <f>IFERROR((IFERROR(INDEX(TableWRCalcPts[Custom],MATCH(TableWRRanks32[[#This Row],[RK]],TableWRCalcPts[RK],0)),"")),"")</f>
        <v>209.84308981574395</v>
      </c>
      <c r="AO1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21.172888761967727</v>
      </c>
      <c r="AQ11">
        <v>10</v>
      </c>
      <c r="AR11" t="str">
        <f>IFERROR(INDEX(TableTECalcPts[PLAYER],MATCH(TableTERanks33[[#This Row],[RK]],TableTECalcPts[RK],0)),"")</f>
        <v>Evan Engram</v>
      </c>
      <c r="AS11" t="str">
        <f>IFERROR(INDEX(TableTECalcPts[TM],MATCH(TableTERanks33[[#This Row],[Player]],TableTECalcPts[PLAYER],0)),"")</f>
        <v>JAX</v>
      </c>
      <c r="AT11">
        <f>IFERROR(INDEX(TableTECalcPts[BYE],MATCH(TableTERanks33[[#This Row],[Player]],TableTECalcPts[PLAYER],0)),"")</f>
        <v>9</v>
      </c>
      <c r="AU11" s="83">
        <f>IFERROR((VLOOKUP(TableTERanks33[[#This Row],[Player]],TE!B:O,4,FALSE)),"")</f>
        <v>108.76647599999997</v>
      </c>
      <c r="AV11" s="83">
        <f>IFERROR((VLOOKUP(TableTERanks33[[#This Row],[Player]],TE!B:O,5,FALSE)),"")</f>
        <v>79.617060431999974</v>
      </c>
      <c r="AW11" s="83">
        <f>IFERROR((VLOOKUP(TableTERanks33[[#This Row],[Player]],TE!B:O,6,FALSE)),"")</f>
        <v>745.21568564351969</v>
      </c>
      <c r="AX11" s="83">
        <f>IFERROR((VLOOKUP(TableTERanks33[[#This Row],[Player]],TE!B:O,7,FALSE)),"")</f>
        <v>4.7770236259199983</v>
      </c>
      <c r="AY11" s="57">
        <f>IFERROR((IFERROR(INDEX(TableTECalcPts[Custom],MATCH(TableTERanks33[[#This Row],[RK]],TableTECalcPts[RK],0)),"")),"")</f>
        <v>142.99224053587196</v>
      </c>
      <c r="AZ1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4.143976265958643</v>
      </c>
    </row>
    <row r="12" spans="1:52" x14ac:dyDescent="0.2">
      <c r="A12">
        <v>11</v>
      </c>
      <c r="B12" t="str">
        <f>IFERROR(INDEX(TableQBCalcPts[PLAYER],MATCH(TableQBRanks30[[#This Row],[RK]],TableQBCalcPts[RK],0)),"")</f>
        <v>Caleb Williams</v>
      </c>
      <c r="C12" t="str">
        <f>IFERROR(INDEX(TableQBCalcPts[TM],MATCH(TableQBRanks30[[#This Row],[Player]],TableQBCalcPts[PLAYER],0)),"")</f>
        <v>CHI</v>
      </c>
      <c r="D12">
        <f>IFERROR(INDEX(TableQBCalcPts[BYE],MATCH(TableQBRanks30[[#This Row],[Player]],TableQBCalcPts[PLAYER],0)),"")</f>
        <v>13</v>
      </c>
      <c r="E12" s="83">
        <f>IFERROR((VLOOKUP(TableQBRanks30[[#This Row],[Player]],QB!B:O,4,FALSE)),"")</f>
        <v>566.80848000000003</v>
      </c>
      <c r="F12" s="83">
        <f>IFERROR((VLOOKUP(TableQBRanks30[[#This Row],[Player]],QB!B:O,5,FALSE)),"")</f>
        <v>360.49019328000003</v>
      </c>
      <c r="G12" s="83">
        <f>IFERROR((VLOOKUP(TableQBRanks30[[#This Row],[Player]],QB!B:O,6,FALSE)),"")</f>
        <v>4062.7244782656003</v>
      </c>
      <c r="H12" s="83">
        <f>IFERROR((VLOOKUP(TableQBRanks30[[#This Row],[Player]],QB!B:O,7,FALSE)),"")</f>
        <v>26.07319008</v>
      </c>
      <c r="I12" s="83">
        <f>IFERROR((VLOOKUP(TableQBRanks30[[#This Row],[Player]],QB!B:O,8,FALSE)),"")</f>
        <v>7.2098038656000005</v>
      </c>
      <c r="J12" s="83">
        <f>IFERROR((VLOOKUP(TableQBRanks30[[#This Row],[Player]],QB!B:O,9,FALSE)),"")</f>
        <v>68.446727999999993</v>
      </c>
      <c r="K12" s="83">
        <f>IFERROR((VLOOKUP(TableQBRanks30[[#This Row],[Player]],QB!B:O,10,FALSE)),"")</f>
        <v>348.39384551999996</v>
      </c>
      <c r="L12" s="83">
        <f>IFERROR((VLOOKUP(TableQBRanks30[[#This Row],[Player]],QB!B:O,11,FALSE)),"")</f>
        <v>3.9699102239999999</v>
      </c>
      <c r="M12" s="57">
        <f>IFERROR(INDEX(TableQBCalcPts[Custom],MATCH(TableQBRanks30[[#This Row],[RK]],TableQBCalcPts[RK],0)),"")</f>
        <v>318.25078148102403</v>
      </c>
      <c r="N1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10.854490518939526</v>
      </c>
      <c r="P12">
        <v>11</v>
      </c>
      <c r="Q12" t="str">
        <f>IFERROR(INDEX(TableRBCalcPts[PLAYER],MATCH(TableRBRanks31[[#This Row],[RK]],TableRBCalcPts[RK],0)),"")</f>
        <v>De'Von Achane</v>
      </c>
      <c r="R12" t="str">
        <f>IFERROR(INDEX(TableRBCalcPts[TM],MATCH(TableRBRanks31[[#This Row],[Player]],TableRBCalcPts[PLAYER],0)),"")</f>
        <v>MIA</v>
      </c>
      <c r="S12">
        <f>IFERROR(INDEX(TableRBCalcPts[BYE],MATCH(TableRBRanks31[[#This Row],[Player]],TableRBCalcPts[PLAYER],0)),"")</f>
        <v>10</v>
      </c>
      <c r="T12" s="83">
        <f>IFERROR((VLOOKUP(TableRBRanks31[[#This Row],[Player]],RB!B:O,4,FALSE)),"")</f>
        <v>147.38847200000001</v>
      </c>
      <c r="U12" s="83">
        <f>IFERROR((VLOOKUP(TableRBRanks31[[#This Row],[Player]],RB!B:O,5,FALSE)),"")</f>
        <v>744.31178360000001</v>
      </c>
      <c r="V12" s="83">
        <f>IFERROR((VLOOKUP(TableRBRanks31[[#This Row],[Player]],RB!B:O,6,FALSE)),"")</f>
        <v>7.3694236000000011</v>
      </c>
      <c r="W12" s="83">
        <f>IFERROR((VLOOKUP(TableRBRanks31[[#This Row],[Player]],RB!B:O,7,FALSE)),"")</f>
        <v>73.291259999999994</v>
      </c>
      <c r="X12" s="83">
        <f>IFERROR((VLOOKUP(TableRBRanks31[[#This Row],[Player]],RB!B:O,8,FALSE)),"")</f>
        <v>53.502619799999991</v>
      </c>
      <c r="Y12" s="83">
        <f>IFERROR((VLOOKUP(TableRBRanks31[[#This Row],[Player]],RB!B:O,9,FALSE)),"")</f>
        <v>429.09101079599992</v>
      </c>
      <c r="Z12" s="83">
        <f>IFERROR((VLOOKUP(TableRBRanks31[[#This Row],[Player]],RB!B:O,10,FALSE)),"")</f>
        <v>3.4776702869999996</v>
      </c>
      <c r="AA12" s="57">
        <f>IFERROR((IFERROR(INDEX(TableRBCalcPts[Custom],MATCH(TableRBRanks31[[#This Row],[RK]],TableRBCalcPts[RK],0)),"")),"")</f>
        <v>209.1741526616</v>
      </c>
      <c r="AB1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39.980226731720137</v>
      </c>
      <c r="AD12">
        <v>11</v>
      </c>
      <c r="AE12" t="str">
        <f>IFERROR(INDEX(TableWRCalcPts[PLAYER],MATCH(TableWRRanks32[[#This Row],[RK]],TableWRCalcPts[RK],0)),"")</f>
        <v>Nico Collins</v>
      </c>
      <c r="AF12" t="str">
        <f>IFERROR(INDEX(TableWRCalcPts[TM],MATCH(TableWRRanks32[[#This Row],[Player]],TableWRCalcPts[PLAYER],0)),"")</f>
        <v>HOU</v>
      </c>
      <c r="AG12">
        <f>IFERROR(INDEX(TableWRCalcPts[BYE],MATCH(TableWRRanks32[[#This Row],[Player]],TableWRCalcPts[PLAYER],0)),"")</f>
        <v>7</v>
      </c>
      <c r="AH12" s="83">
        <f>IFERROR((VLOOKUP(TableWRRanks32[[#This Row],[Player]],WR!B:O,4,FALSE)),"")</f>
        <v>0</v>
      </c>
      <c r="AI12" s="83">
        <f>IFERROR((VLOOKUP(TableWRRanks32[[#This Row],[Player]],WR!B:O,5,FALSE)),"")</f>
        <v>0</v>
      </c>
      <c r="AJ12" s="83">
        <f>IFERROR((VLOOKUP(TableWRRanks32[[#This Row],[Player]],WR!B:O,6,FALSE)),"")</f>
        <v>123.2090496</v>
      </c>
      <c r="AK12" s="83">
        <f>IFERROR((VLOOKUP(TableWRRanks32[[#This Row],[Player]],WR!B:O,7,FALSE)),"")</f>
        <v>79.839464140800004</v>
      </c>
      <c r="AL12" s="83">
        <f>IFERROR((VLOOKUP(TableWRRanks32[[#This Row],[Player]],WR!B:O,8,FALSE)),"")</f>
        <v>1173.64012286976</v>
      </c>
      <c r="AM12" s="83">
        <f>IFERROR((VLOOKUP(TableWRRanks32[[#This Row],[Player]],WR!B:O,9,FALSE)),"")</f>
        <v>7.9839464140800009</v>
      </c>
      <c r="AN12" s="57">
        <f>IFERROR((IFERROR(INDEX(TableWRCalcPts[Custom],MATCH(TableWRRanks32[[#This Row],[RK]],TableWRCalcPts[RK],0)),"")),"")</f>
        <v>205.18742284185601</v>
      </c>
      <c r="AO1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19.666573292351472</v>
      </c>
      <c r="AQ12">
        <v>11</v>
      </c>
      <c r="AR12" t="str">
        <f>IFERROR(INDEX(TableTECalcPts[PLAYER],MATCH(TableTERanks33[[#This Row],[RK]],TableTECalcPts[RK],0)),"")</f>
        <v>Dallas Goedert</v>
      </c>
      <c r="AS12" t="str">
        <f>IFERROR(INDEX(TableTECalcPts[TM],MATCH(TableTERanks33[[#This Row],[Player]],TableTECalcPts[PLAYER],0)),"")</f>
        <v>PHI</v>
      </c>
      <c r="AT12">
        <f>IFERROR(INDEX(TableTECalcPts[BYE],MATCH(TableTERanks33[[#This Row],[Player]],TableTECalcPts[PLAYER],0)),"")</f>
        <v>10</v>
      </c>
      <c r="AU12" s="83">
        <f>IFERROR((VLOOKUP(TableTERanks33[[#This Row],[Player]],TE!B:O,4,FALSE)),"")</f>
        <v>97.623288000000002</v>
      </c>
      <c r="AV12" s="83">
        <f>IFERROR((VLOOKUP(TableTERanks33[[#This Row],[Player]],TE!B:O,5,FALSE)),"")</f>
        <v>67.84818516</v>
      </c>
      <c r="AW12" s="83">
        <f>IFERROR((VLOOKUP(TableTERanks33[[#This Row],[Player]],TE!B:O,6,FALSE)),"")</f>
        <v>751.07940972120002</v>
      </c>
      <c r="AX12" s="83">
        <f>IFERROR((VLOOKUP(TableTERanks33[[#This Row],[Player]],TE!B:O,7,FALSE)),"")</f>
        <v>3.7316501837999998</v>
      </c>
      <c r="AY12" s="57">
        <f>IFERROR((IFERROR(INDEX(TableTECalcPts[Custom],MATCH(TableTERanks33[[#This Row],[RK]],TableTECalcPts[RK],0)),"")),"")</f>
        <v>131.42193465491999</v>
      </c>
      <c r="AZ1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2.8230229494726516E-2</v>
      </c>
    </row>
    <row r="13" spans="1:52" x14ac:dyDescent="0.2">
      <c r="A13">
        <v>12</v>
      </c>
      <c r="B13" t="str">
        <f>IFERROR(INDEX(TableQBCalcPts[PLAYER],MATCH(TableQBRanks30[[#This Row],[RK]],TableQBCalcPts[RK],0)),"")</f>
        <v>Kyler Murray</v>
      </c>
      <c r="C13" t="str">
        <f>IFERROR(INDEX(TableQBCalcPts[TM],MATCH(TableQBRanks30[[#This Row],[Player]],TableQBCalcPts[PLAYER],0)),"")</f>
        <v>ARI</v>
      </c>
      <c r="D13">
        <f>IFERROR(INDEX(TableQBCalcPts[BYE],MATCH(TableQBRanks30[[#This Row],[Player]],TableQBCalcPts[PLAYER],0)),"")</f>
        <v>14</v>
      </c>
      <c r="E13" s="83">
        <f>IFERROR((VLOOKUP(TableQBRanks30[[#This Row],[Player]],QB!B:O,4,FALSE)),"")</f>
        <v>559.60424999999998</v>
      </c>
      <c r="F13" s="83">
        <f>IFERROR((VLOOKUP(TableQBRanks30[[#This Row],[Player]],QB!B:O,5,FALSE)),"")</f>
        <v>371.01761775</v>
      </c>
      <c r="G13" s="83">
        <f>IFERROR((VLOOKUP(TableQBRanks30[[#This Row],[Player]],QB!B:O,6,FALSE)),"")</f>
        <v>3951.3376290374999</v>
      </c>
      <c r="H13" s="83">
        <f>IFERROR((VLOOKUP(TableQBRanks30[[#This Row],[Player]],QB!B:O,7,FALSE)),"")</f>
        <v>22.384170000000001</v>
      </c>
      <c r="I13" s="83">
        <f>IFERROR((VLOOKUP(TableQBRanks30[[#This Row],[Player]],QB!B:O,8,FALSE)),"")</f>
        <v>7.4203523550000003</v>
      </c>
      <c r="J13" s="83">
        <f>IFERROR((VLOOKUP(TableQBRanks30[[#This Row],[Player]],QB!B:O,9,FALSE)),"")</f>
        <v>81.721710000000002</v>
      </c>
      <c r="K13" s="83">
        <f>IFERROR((VLOOKUP(TableQBRanks30[[#This Row],[Player]],QB!B:O,10,FALSE)),"")</f>
        <v>468.26539830000007</v>
      </c>
      <c r="L13" s="83">
        <f>IFERROR((VLOOKUP(TableQBRanks30[[#This Row],[Player]],QB!B:O,11,FALSE)),"")</f>
        <v>4.4946940500000006</v>
      </c>
      <c r="M13" s="57">
        <f>IFERROR(INDEX(TableQBCalcPts[Custom],MATCH(TableQBRanks30[[#This Row],[RK]],TableQBCalcPts[RK],0)),"")</f>
        <v>313.96453693650005</v>
      </c>
      <c r="N1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10.306580349233636</v>
      </c>
      <c r="P13">
        <v>12</v>
      </c>
      <c r="Q13" t="str">
        <f>IFERROR(INDEX(TableRBCalcPts[PLAYER],MATCH(TableRBRanks31[[#This Row],[RK]],TableRBCalcPts[RK],0)),"")</f>
        <v>Aaron Jones</v>
      </c>
      <c r="R13" t="str">
        <f>IFERROR(INDEX(TableRBCalcPts[TM],MATCH(TableRBRanks31[[#This Row],[Player]],TableRBCalcPts[PLAYER],0)),"")</f>
        <v>MIN</v>
      </c>
      <c r="S13">
        <f>IFERROR(INDEX(TableRBCalcPts[BYE],MATCH(TableRBRanks31[[#This Row],[Player]],TableRBCalcPts[PLAYER],0)),"")</f>
        <v>13</v>
      </c>
      <c r="T13" s="83">
        <f>IFERROR((VLOOKUP(TableRBRanks31[[#This Row],[Player]],RB!B:O,4,FALSE)),"")</f>
        <v>211.51536000000004</v>
      </c>
      <c r="U13" s="83">
        <f>IFERROR((VLOOKUP(TableRBRanks31[[#This Row],[Player]],RB!B:O,5,FALSE)),"")</f>
        <v>951.81912000000023</v>
      </c>
      <c r="V13" s="83">
        <f>IFERROR((VLOOKUP(TableRBRanks31[[#This Row],[Player]],RB!B:O,6,FALSE)),"")</f>
        <v>7.403037600000002</v>
      </c>
      <c r="W13" s="83">
        <f>IFERROR((VLOOKUP(TableRBRanks31[[#This Row],[Player]],RB!B:O,7,FALSE)),"")</f>
        <v>62.2104</v>
      </c>
      <c r="X13" s="83">
        <f>IFERROR((VLOOKUP(TableRBRanks31[[#This Row],[Player]],RB!B:O,8,FALSE)),"")</f>
        <v>45.600223200000002</v>
      </c>
      <c r="Y13" s="83">
        <f>IFERROR((VLOOKUP(TableRBRanks31[[#This Row],[Player]],RB!B:O,9,FALSE)),"")</f>
        <v>354.76973649600001</v>
      </c>
      <c r="Z13" s="83">
        <f>IFERROR((VLOOKUP(TableRBRanks31[[#This Row],[Player]],RB!B:O,10,FALSE)),"")</f>
        <v>1.8696091512000002</v>
      </c>
      <c r="AA13" s="57">
        <f>IFERROR((IFERROR(INDEX(TableRBCalcPts[Custom],MATCH(TableRBRanks31[[#This Row],[RK]],TableRBCalcPts[RK],0)),"")),"")</f>
        <v>209.09487775680006</v>
      </c>
      <c r="AB1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39.947367954320896</v>
      </c>
      <c r="AD13">
        <v>12</v>
      </c>
      <c r="AE13" t="str">
        <f>IFERROR(INDEX(TableWRCalcPts[PLAYER],MATCH(TableWRRanks32[[#This Row],[RK]],TableWRCalcPts[RK],0)),"")</f>
        <v>Marvin Harrison</v>
      </c>
      <c r="AF13" t="str">
        <f>IFERROR(INDEX(TableWRCalcPts[TM],MATCH(TableWRRanks32[[#This Row],[Player]],TableWRCalcPts[PLAYER],0)),"")</f>
        <v>ARI</v>
      </c>
      <c r="AG13">
        <f>IFERROR(INDEX(TableWRCalcPts[BYE],MATCH(TableWRRanks32[[#This Row],[Player]],TableWRCalcPts[PLAYER],0)),"")</f>
        <v>14</v>
      </c>
      <c r="AH13" s="83">
        <f>IFERROR((VLOOKUP(TableWRRanks32[[#This Row],[Player]],WR!B:O,4,FALSE)),"")</f>
        <v>0</v>
      </c>
      <c r="AI13" s="83">
        <f>IFERROR((VLOOKUP(TableWRRanks32[[#This Row],[Player]],WR!B:O,5,FALSE)),"")</f>
        <v>0</v>
      </c>
      <c r="AJ13" s="83">
        <f>IFERROR((VLOOKUP(TableWRRanks32[[#This Row],[Player]],WR!B:O,6,FALSE)),"")</f>
        <v>141.52572000000001</v>
      </c>
      <c r="AK13" s="83">
        <f>IFERROR((VLOOKUP(TableWRRanks32[[#This Row],[Player]],WR!B:O,7,FALSE)),"")</f>
        <v>88.595100720000005</v>
      </c>
      <c r="AL13" s="83">
        <f>IFERROR((VLOOKUP(TableWRRanks32[[#This Row],[Player]],WR!B:O,8,FALSE)),"")</f>
        <v>1190.7181536768001</v>
      </c>
      <c r="AM13" s="83">
        <f>IFERROR((VLOOKUP(TableWRRanks32[[#This Row],[Player]],WR!B:O,9,FALSE)),"")</f>
        <v>6.9104178561600005</v>
      </c>
      <c r="AN13" s="57">
        <f>IFERROR((IFERROR(INDEX(TableWRCalcPts[Custom],MATCH(TableWRRanks32[[#This Row],[RK]],TableWRCalcPts[RK],0)),"")),"")</f>
        <v>204.83187286464002</v>
      </c>
      <c r="AO1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19.551537050733252</v>
      </c>
      <c r="AQ13">
        <v>12</v>
      </c>
      <c r="AR13" t="str">
        <f>IFERROR(INDEX(TableTECalcPts[PLAYER],MATCH(TableTERanks33[[#This Row],[RK]],TableTECalcPts[RK],0)),"")</f>
        <v>Brock Bowers</v>
      </c>
      <c r="AS13" t="str">
        <f>IFERROR(INDEX(TableTECalcPts[TM],MATCH(TableTERanks33[[#This Row],[Player]],TableTECalcPts[PLAYER],0)),"")</f>
        <v>LV</v>
      </c>
      <c r="AT13">
        <f>IFERROR(INDEX(TableTECalcPts[BYE],MATCH(TableTERanks33[[#This Row],[Player]],TableTECalcPts[PLAYER],0)),"")</f>
        <v>13</v>
      </c>
      <c r="AU13" s="83">
        <f>IFERROR((VLOOKUP(TableTERanks33[[#This Row],[Player]],TE!B:O,4,FALSE)),"")</f>
        <v>93.217599999999976</v>
      </c>
      <c r="AV13" s="83">
        <f>IFERROR((VLOOKUP(TableTERanks33[[#This Row],[Player]],TE!B:O,5,FALSE)),"")</f>
        <v>63.481185599999989</v>
      </c>
      <c r="AW13" s="83">
        <f>IFERROR((VLOOKUP(TableTERanks33[[#This Row],[Player]],TE!B:O,6,FALSE)),"")</f>
        <v>740.82543595199991</v>
      </c>
      <c r="AX13" s="83">
        <f>IFERROR((VLOOKUP(TableTERanks33[[#This Row],[Player]],TE!B:O,7,FALSE)),"")</f>
        <v>4.2532394351999994</v>
      </c>
      <c r="AY13" s="57">
        <f>IFERROR((IFERROR(INDEX(TableTECalcPts[Custom],MATCH(TableTERanks33[[#This Row],[RK]],TableTECalcPts[RK],0)),"")),"")</f>
        <v>131.34257300639999</v>
      </c>
      <c r="AZ1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4" spans="1:52" x14ac:dyDescent="0.2">
      <c r="A14">
        <v>13</v>
      </c>
      <c r="B14" t="str">
        <f>IFERROR(INDEX(TableQBCalcPts[PLAYER],MATCH(TableQBRanks30[[#This Row],[RK]],TableQBCalcPts[RK],0)),"")</f>
        <v>Brock Purdy</v>
      </c>
      <c r="C14" t="str">
        <f>IFERROR(INDEX(TableQBCalcPts[TM],MATCH(TableQBRanks30[[#This Row],[Player]],TableQBCalcPts[PLAYER],0)),"")</f>
        <v>SF</v>
      </c>
      <c r="D14">
        <f>IFERROR(INDEX(TableQBCalcPts[BYE],MATCH(TableQBRanks30[[#This Row],[Player]],TableQBCalcPts[PLAYER],0)),"")</f>
        <v>9</v>
      </c>
      <c r="E14" s="83">
        <f>IFERROR((VLOOKUP(TableQBRanks30[[#This Row],[Player]],QB!B:O,4,FALSE)),"")</f>
        <v>532.53395999999998</v>
      </c>
      <c r="F14" s="83">
        <f>IFERROR((VLOOKUP(TableQBRanks30[[#This Row],[Player]],QB!B:O,5,FALSE)),"")</f>
        <v>362.65562676000002</v>
      </c>
      <c r="G14" s="83">
        <f>IFERROR((VLOOKUP(TableQBRanks30[[#This Row],[Player]],QB!B:O,6,FALSE)),"")</f>
        <v>4482.4235467536</v>
      </c>
      <c r="H14" s="83">
        <f>IFERROR((VLOOKUP(TableQBRanks30[[#This Row],[Player]],QB!B:O,7,FALSE)),"")</f>
        <v>30.354435720000001</v>
      </c>
      <c r="I14" s="83">
        <f>IFERROR((VLOOKUP(TableQBRanks30[[#This Row],[Player]],QB!B:O,8,FALSE)),"")</f>
        <v>7.9784237887199998</v>
      </c>
      <c r="J14" s="83">
        <f>IFERROR((VLOOKUP(TableQBRanks30[[#This Row],[Player]],QB!B:O,9,FALSE)),"")</f>
        <v>39.011683199999993</v>
      </c>
      <c r="K14" s="83">
        <f>IFERROR((VLOOKUP(TableQBRanks30[[#This Row],[Player]],QB!B:O,10,FALSE)),"")</f>
        <v>122.88680207999998</v>
      </c>
      <c r="L14" s="83">
        <f>IFERROR((VLOOKUP(TableQBRanks30[[#This Row],[Player]],QB!B:O,11,FALSE)),"")</f>
        <v>1.0533154463999999</v>
      </c>
      <c r="M14" s="57">
        <f>IFERROR(INDEX(TableQBCalcPts[Custom],MATCH(TableQBRanks30[[#This Row],[RK]],TableQBCalcPts[RK],0)),"")</f>
        <v>311.34483384782396</v>
      </c>
      <c r="N1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9.5724980396214807</v>
      </c>
      <c r="P14">
        <v>13</v>
      </c>
      <c r="Q14" t="str">
        <f>IFERROR(INDEX(TableRBCalcPts[PLAYER],MATCH(TableRBRanks31[[#This Row],[RK]],TableRBCalcPts[RK],0)),"")</f>
        <v>Rachaad White</v>
      </c>
      <c r="R14" t="str">
        <f>IFERROR(INDEX(TableRBCalcPts[TM],MATCH(TableRBRanks31[[#This Row],[Player]],TableRBCalcPts[PLAYER],0)),"")</f>
        <v>TB</v>
      </c>
      <c r="S14">
        <f>IFERROR(INDEX(TableRBCalcPts[BYE],MATCH(TableRBRanks31[[#This Row],[Player]],TableRBCalcPts[PLAYER],0)),"")</f>
        <v>5</v>
      </c>
      <c r="T14" s="83">
        <f>IFERROR((VLOOKUP(TableRBRanks31[[#This Row],[Player]],RB!B:O,4,FALSE)),"")</f>
        <v>216.33643080000004</v>
      </c>
      <c r="U14" s="83">
        <f>IFERROR((VLOOKUP(TableRBRanks31[[#This Row],[Player]],RB!B:O,5,FALSE)),"")</f>
        <v>886.97936628000014</v>
      </c>
      <c r="V14" s="83">
        <f>IFERROR((VLOOKUP(TableRBRanks31[[#This Row],[Player]],RB!B:O,6,FALSE)),"")</f>
        <v>6.4900929240000007</v>
      </c>
      <c r="W14" s="83">
        <f>IFERROR((VLOOKUP(TableRBRanks31[[#This Row],[Player]],RB!B:O,7,FALSE)),"")</f>
        <v>62.270346599999996</v>
      </c>
      <c r="X14" s="83">
        <f>IFERROR((VLOOKUP(TableRBRanks31[[#This Row],[Player]],RB!B:O,8,FALSE)),"")</f>
        <v>50.812602825599996</v>
      </c>
      <c r="Y14" s="83">
        <f>IFERROR((VLOOKUP(TableRBRanks31[[#This Row],[Player]],RB!B:O,9,FALSE)),"")</f>
        <v>416.66334316991993</v>
      </c>
      <c r="Z14" s="83">
        <f>IFERROR((VLOOKUP(TableRBRanks31[[#This Row],[Player]],RB!B:O,10,FALSE)),"")</f>
        <v>2.0325041130239998</v>
      </c>
      <c r="AA14" s="57">
        <f>IFERROR((IFERROR(INDEX(TableRBCalcPts[Custom],MATCH(TableRBRanks31[[#This Row],[RK]],TableRBCalcPts[RK],0)),"")),"")</f>
        <v>206.90615457993601</v>
      </c>
      <c r="AB1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39.040160713408831</v>
      </c>
      <c r="AD14">
        <v>13</v>
      </c>
      <c r="AE14" t="str">
        <f>IFERROR(INDEX(TableWRCalcPts[PLAYER],MATCH(TableWRRanks32[[#This Row],[RK]],TableWRCalcPts[RK],0)),"")</f>
        <v>Jaylen Waddle</v>
      </c>
      <c r="AF14" t="str">
        <f>IFERROR(INDEX(TableWRCalcPts[TM],MATCH(TableWRRanks32[[#This Row],[Player]],TableWRCalcPts[PLAYER],0)),"")</f>
        <v>MIA</v>
      </c>
      <c r="AG14">
        <f>IFERROR(INDEX(TableWRCalcPts[BYE],MATCH(TableWRRanks32[[#This Row],[Player]],TableWRCalcPts[PLAYER],0)),"")</f>
        <v>10</v>
      </c>
      <c r="AH14" s="83">
        <f>IFERROR((VLOOKUP(TableWRRanks32[[#This Row],[Player]],WR!B:O,4,FALSE)),"")</f>
        <v>10.190860064000001</v>
      </c>
      <c r="AI14" s="83">
        <f>IFERROR((VLOOKUP(TableWRRanks32[[#This Row],[Player]],WR!B:O,5,FALSE)),"")</f>
        <v>8.632753360000002E-2</v>
      </c>
      <c r="AJ14" s="83">
        <f>IFERROR((VLOOKUP(TableWRRanks32[[#This Row],[Player]],WR!B:O,6,FALSE)),"")</f>
        <v>128.99261759999999</v>
      </c>
      <c r="AK14" s="83">
        <f>IFERROR((VLOOKUP(TableWRRanks32[[#This Row],[Player]],WR!B:O,7,FALSE)),"")</f>
        <v>86.683039027199996</v>
      </c>
      <c r="AL14" s="83">
        <f>IFERROR((VLOOKUP(TableWRRanks32[[#This Row],[Player]],WR!B:O,8,FALSE)),"")</f>
        <v>1207.4947336488958</v>
      </c>
      <c r="AM14" s="83">
        <f>IFERROR((VLOOKUP(TableWRRanks32[[#This Row],[Player]],WR!B:O,9,FALSE)),"")</f>
        <v>5.9811296928768005</v>
      </c>
      <c r="AN14" s="57">
        <f>IFERROR((IFERROR(INDEX(TableWRCalcPts[Custom],MATCH(TableWRRanks32[[#This Row],[RK]],TableWRCalcPts[RK],0)),"")),"")</f>
        <v>201.51482224375039</v>
      </c>
      <c r="AO1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18.478323547325459</v>
      </c>
      <c r="AQ14">
        <v>13</v>
      </c>
      <c r="AR14" t="str">
        <f>IFERROR(INDEX(TableTECalcPts[PLAYER],MATCH(TableTERanks33[[#This Row],[RK]],TableTECalcPts[RK],0)),"")</f>
        <v>T.J. Hockenson</v>
      </c>
      <c r="AS14" t="str">
        <f>IFERROR(INDEX(TableTECalcPts[TM],MATCH(TableTERanks33[[#This Row],[Player]],TableTECalcPts[PLAYER],0)),"")</f>
        <v>MIN</v>
      </c>
      <c r="AT14">
        <f>IFERROR(INDEX(TableTECalcPts[BYE],MATCH(TableTERanks33[[#This Row],[Player]],TableTECalcPts[PLAYER],0)),"")</f>
        <v>13</v>
      </c>
      <c r="AU14" s="83">
        <f>IFERROR((VLOOKUP(TableTERanks33[[#This Row],[Player]],TE!B:O,4,FALSE)),"")</f>
        <v>99.536639999999991</v>
      </c>
      <c r="AV14" s="83">
        <f>IFERROR((VLOOKUP(TableTERanks33[[#This Row],[Player]],TE!B:O,5,FALSE)),"")</f>
        <v>65.495109119999995</v>
      </c>
      <c r="AW14" s="83">
        <f>IFERROR((VLOOKUP(TableTERanks33[[#This Row],[Player]],TE!B:O,6,FALSE)),"")</f>
        <v>623.51343882239996</v>
      </c>
      <c r="AX14" s="83">
        <f>IFERROR((VLOOKUP(TableTERanks33[[#This Row],[Player]],TE!B:O,7,FALSE)),"")</f>
        <v>4.5846576384000004</v>
      </c>
      <c r="AY14" s="57">
        <f>IFERROR((IFERROR(INDEX(TableTECalcPts[Custom],MATCH(TableTERanks33[[#This Row],[RK]],TableTECalcPts[RK],0)),"")),"")</f>
        <v>122.60684427264</v>
      </c>
      <c r="AZ1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5" spans="1:52" x14ac:dyDescent="0.2">
      <c r="A15">
        <v>14</v>
      </c>
      <c r="B15" t="str">
        <f>IFERROR(INDEX(TableQBCalcPts[PLAYER],MATCH(TableQBRanks30[[#This Row],[RK]],TableQBCalcPts[RK],0)),"")</f>
        <v>Trevor Lawrence</v>
      </c>
      <c r="C15" t="str">
        <f>IFERROR(INDEX(TableQBCalcPts[TM],MATCH(TableQBRanks30[[#This Row],[Player]],TableQBCalcPts[PLAYER],0)),"")</f>
        <v>JAX</v>
      </c>
      <c r="D15">
        <f>IFERROR(INDEX(TableQBCalcPts[BYE],MATCH(TableQBRanks30[[#This Row],[Player]],TableQBCalcPts[PLAYER],0)),"")</f>
        <v>9</v>
      </c>
      <c r="E15" s="83">
        <f>IFERROR((VLOOKUP(TableQBRanks30[[#This Row],[Player]],QB!B:O,4,FALSE)),"")</f>
        <v>610.42409999999995</v>
      </c>
      <c r="F15" s="83">
        <f>IFERROR((VLOOKUP(TableQBRanks30[[#This Row],[Player]],QB!B:O,5,FALSE)),"")</f>
        <v>396.775665</v>
      </c>
      <c r="G15" s="83">
        <f>IFERROR((VLOOKUP(TableQBRanks30[[#This Row],[Player]],QB!B:O,6,FALSE)),"")</f>
        <v>4407.3840868200004</v>
      </c>
      <c r="H15" s="83">
        <f>IFERROR((VLOOKUP(TableQBRanks30[[#This Row],[Player]],QB!B:O,7,FALSE)),"")</f>
        <v>25.0273881</v>
      </c>
      <c r="I15" s="83">
        <f>IFERROR((VLOOKUP(TableQBRanks30[[#This Row],[Player]],QB!B:O,8,FALSE)),"")</f>
        <v>8.332288965</v>
      </c>
      <c r="J15" s="83">
        <f>IFERROR((VLOOKUP(TableQBRanks30[[#This Row],[Player]],QB!B:O,9,FALSE)),"")</f>
        <v>60.01265200000001</v>
      </c>
      <c r="K15" s="83">
        <f>IFERROR((VLOOKUP(TableQBRanks30[[#This Row],[Player]],QB!B:O,10,FALSE)),"")</f>
        <v>282.05946440000008</v>
      </c>
      <c r="L15" s="83">
        <f>IFERROR((VLOOKUP(TableQBRanks30[[#This Row],[Player]],QB!B:O,11,FALSE)),"")</f>
        <v>2.2204681240000004</v>
      </c>
      <c r="M15" s="57">
        <f>IFERROR(INDEX(TableQBCalcPts[Custom],MATCH(TableQBRanks30[[#This Row],[RK]],TableQBCalcPts[RK],0)),"")</f>
        <v>309.60138209180002</v>
      </c>
      <c r="N1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7.7491953159564577</v>
      </c>
      <c r="P15">
        <v>14</v>
      </c>
      <c r="Q15" t="str">
        <f>IFERROR(INDEX(TableRBCalcPts[PLAYER],MATCH(TableRBRanks31[[#This Row],[RK]],TableRBCalcPts[RK],0)),"")</f>
        <v>Rhamondre Stevenson</v>
      </c>
      <c r="R15" t="str">
        <f>IFERROR(INDEX(TableRBCalcPts[TM],MATCH(TableRBRanks31[[#This Row],[Player]],TableRBCalcPts[PLAYER],0)),"")</f>
        <v>NE</v>
      </c>
      <c r="S15">
        <f>IFERROR(INDEX(TableRBCalcPts[BYE],MATCH(TableRBRanks31[[#This Row],[Player]],TableRBCalcPts[PLAYER],0)),"")</f>
        <v>11</v>
      </c>
      <c r="T15" s="83">
        <f>IFERROR((VLOOKUP(TableRBRanks31[[#This Row],[Player]],RB!B:O,4,FALSE)),"")</f>
        <v>217.33852000000002</v>
      </c>
      <c r="U15" s="83">
        <f>IFERROR((VLOOKUP(TableRBRanks31[[#This Row],[Player]],RB!B:O,5,FALSE)),"")</f>
        <v>964.98302880000017</v>
      </c>
      <c r="V15" s="83">
        <f>IFERROR((VLOOKUP(TableRBRanks31[[#This Row],[Player]],RB!B:O,6,FALSE)),"")</f>
        <v>6.73749412</v>
      </c>
      <c r="W15" s="83">
        <f>IFERROR((VLOOKUP(TableRBRanks31[[#This Row],[Player]],RB!B:O,7,FALSE)),"")</f>
        <v>56.688295999999987</v>
      </c>
      <c r="X15" s="83">
        <f>IFERROR((VLOOKUP(TableRBRanks31[[#This Row],[Player]],RB!B:O,8,FALSE)),"")</f>
        <v>41.38245607999999</v>
      </c>
      <c r="Y15" s="83">
        <f>IFERROR((VLOOKUP(TableRBRanks31[[#This Row],[Player]],RB!B:O,9,FALSE)),"")</f>
        <v>307.47164867439989</v>
      </c>
      <c r="Z15" s="83">
        <f>IFERROR((VLOOKUP(TableRBRanks31[[#This Row],[Player]],RB!B:O,10,FALSE)),"")</f>
        <v>1.6552982431999996</v>
      </c>
      <c r="AA15" s="57">
        <f>IFERROR((IFERROR(INDEX(TableRBCalcPts[Custom],MATCH(TableRBRanks31[[#This Row],[RK]],TableRBCalcPts[RK],0)),"")),"")</f>
        <v>198.29344996664003</v>
      </c>
      <c r="AB1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35.470267511924121</v>
      </c>
      <c r="AD15">
        <v>14</v>
      </c>
      <c r="AE15" t="str">
        <f>IFERROR(INDEX(TableWRCalcPts[PLAYER],MATCH(TableWRRanks32[[#This Row],[RK]],TableWRCalcPts[RK],0)),"")</f>
        <v>Tee Higgins</v>
      </c>
      <c r="AF15" t="str">
        <f>IFERROR(INDEX(TableWRCalcPts[TM],MATCH(TableWRRanks32[[#This Row],[Player]],TableWRCalcPts[PLAYER],0)),"")</f>
        <v>CIN</v>
      </c>
      <c r="AG15">
        <f>IFERROR(INDEX(TableWRCalcPts[BYE],MATCH(TableWRRanks32[[#This Row],[Player]],TableWRCalcPts[PLAYER],0)),"")</f>
        <v>7</v>
      </c>
      <c r="AH15" s="83">
        <f>IFERROR((VLOOKUP(TableWRRanks32[[#This Row],[Player]],WR!B:O,4,FALSE)),"")</f>
        <v>0</v>
      </c>
      <c r="AI15" s="83">
        <f>IFERROR((VLOOKUP(TableWRRanks32[[#This Row],[Player]],WR!B:O,5,FALSE)),"")</f>
        <v>0</v>
      </c>
      <c r="AJ15" s="83">
        <f>IFERROR((VLOOKUP(TableWRRanks32[[#This Row],[Player]],WR!B:O,6,FALSE)),"")</f>
        <v>130.9493052</v>
      </c>
      <c r="AK15" s="83">
        <f>IFERROR((VLOOKUP(TableWRRanks32[[#This Row],[Player]],WR!B:O,7,FALSE)),"")</f>
        <v>84.069453938400002</v>
      </c>
      <c r="AL15" s="83">
        <f>IFERROR((VLOOKUP(TableWRRanks32[[#This Row],[Player]],WR!B:O,8,FALSE)),"")</f>
        <v>1134.9376281684001</v>
      </c>
      <c r="AM15" s="83">
        <f>IFERROR((VLOOKUP(TableWRRanks32[[#This Row],[Player]],WR!B:O,9,FALSE)),"")</f>
        <v>7.5662508544560003</v>
      </c>
      <c r="AN15" s="57">
        <f>IFERROR((IFERROR(INDEX(TableWRCalcPts[Custom],MATCH(TableWRRanks32[[#This Row],[RK]],TableWRCalcPts[RK],0)),"")),"")</f>
        <v>200.92599491277602</v>
      </c>
      <c r="AO1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18.287811699602202</v>
      </c>
      <c r="AQ15">
        <v>14</v>
      </c>
      <c r="AR15" t="str">
        <f>IFERROR(INDEX(TableTECalcPts[PLAYER],MATCH(TableTERanks33[[#This Row],[RK]],TableTECalcPts[RK],0)),"")</f>
        <v>Cole Kmet</v>
      </c>
      <c r="AS15" t="str">
        <f>IFERROR(INDEX(TableTECalcPts[TM],MATCH(TableTERanks33[[#This Row],[Player]],TableTECalcPts[PLAYER],0)),"")</f>
        <v>CHI</v>
      </c>
      <c r="AT15">
        <f>IFERROR(INDEX(TableTECalcPts[BYE],MATCH(TableTERanks33[[#This Row],[Player]],TableTECalcPts[PLAYER],0)),"")</f>
        <v>13</v>
      </c>
      <c r="AU15" s="83">
        <f>IFERROR((VLOOKUP(TableTERanks33[[#This Row],[Player]],TE!B:O,4,FALSE)),"")</f>
        <v>85.021271999999982</v>
      </c>
      <c r="AV15" s="83">
        <f>IFERROR((VLOOKUP(TableTERanks33[[#This Row],[Player]],TE!B:O,5,FALSE)),"")</f>
        <v>56.964252239999993</v>
      </c>
      <c r="AW15" s="83">
        <f>IFERROR((VLOOKUP(TableTERanks33[[#This Row],[Player]],TE!B:O,6,FALSE)),"")</f>
        <v>575.33894762399996</v>
      </c>
      <c r="AX15" s="83">
        <f>IFERROR((VLOOKUP(TableTERanks33[[#This Row],[Player]],TE!B:O,7,FALSE)),"")</f>
        <v>4.5571401791999993</v>
      </c>
      <c r="AY15" s="57">
        <f>IFERROR((IFERROR(INDEX(TableTECalcPts[Custom],MATCH(TableTERanks33[[#This Row],[RK]],TableTECalcPts[RK],0)),"")),"")</f>
        <v>113.3588619576</v>
      </c>
      <c r="AZ1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6" spans="1:52" x14ac:dyDescent="0.2">
      <c r="A16">
        <v>15</v>
      </c>
      <c r="B16" t="str">
        <f>IFERROR(INDEX(TableQBCalcPts[PLAYER],MATCH(TableQBRanks30[[#This Row],[RK]],TableQBCalcPts[RK],0)),"")</f>
        <v>Justin Herbert</v>
      </c>
      <c r="C16" t="str">
        <f>IFERROR(INDEX(TableQBCalcPts[TM],MATCH(TableQBRanks30[[#This Row],[Player]],TableQBCalcPts[PLAYER],0)),"")</f>
        <v>LAC</v>
      </c>
      <c r="D16">
        <f>IFERROR(INDEX(TableQBCalcPts[BYE],MATCH(TableQBRanks30[[#This Row],[Player]],TableQBCalcPts[PLAYER],0)),"")</f>
        <v>5</v>
      </c>
      <c r="E16" s="83">
        <f>IFERROR((VLOOKUP(TableQBRanks30[[#This Row],[Player]],QB!B:O,4,FALSE)),"")</f>
        <v>564.05943000000002</v>
      </c>
      <c r="F16" s="83">
        <f>IFERROR((VLOOKUP(TableQBRanks30[[#This Row],[Player]],QB!B:O,5,FALSE)),"")</f>
        <v>368.89486722000004</v>
      </c>
      <c r="G16" s="83">
        <f>IFERROR((VLOOKUP(TableQBRanks30[[#This Row],[Player]],QB!B:O,6,FALSE)),"")</f>
        <v>4078.8705468515404</v>
      </c>
      <c r="H16" s="83">
        <f>IFERROR((VLOOKUP(TableQBRanks30[[#This Row],[Player]],QB!B:O,7,FALSE)),"")</f>
        <v>26.510793210000003</v>
      </c>
      <c r="I16" s="83">
        <f>IFERROR((VLOOKUP(TableQBRanks30[[#This Row],[Player]],QB!B:O,8,FALSE)),"")</f>
        <v>5.9023178755200005</v>
      </c>
      <c r="J16" s="83">
        <f>IFERROR((VLOOKUP(TableQBRanks30[[#This Row],[Player]],QB!B:O,9,FALSE)),"")</f>
        <v>67.398539600000007</v>
      </c>
      <c r="K16" s="83">
        <f>IFERROR((VLOOKUP(TableQBRanks30[[#This Row],[Player]],QB!B:O,10,FALSE)),"")</f>
        <v>297.901545032</v>
      </c>
      <c r="L16" s="83">
        <f>IFERROR((VLOOKUP(TableQBRanks30[[#This Row],[Player]],QB!B:O,11,FALSE)),"")</f>
        <v>2.6959415840000003</v>
      </c>
      <c r="M16" s="57">
        <f>IFERROR(INDEX(TableQBCalcPts[Custom],MATCH(TableQBRanks30[[#This Row],[RK]],TableQBCalcPts[RK],0)),"")</f>
        <v>309.26148084574157</v>
      </c>
      <c r="N1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7.2188341157345119</v>
      </c>
      <c r="P16">
        <v>15</v>
      </c>
      <c r="Q16" t="str">
        <f>IFERROR(INDEX(TableRBCalcPts[PLAYER],MATCH(TableRBRanks31[[#This Row],[RK]],TableRBCalcPts[RK],0)),"")</f>
        <v>Josh Jacobs</v>
      </c>
      <c r="R16" t="str">
        <f>IFERROR(INDEX(TableRBCalcPts[TM],MATCH(TableRBRanks31[[#This Row],[Player]],TableRBCalcPts[PLAYER],0)),"")</f>
        <v>GB</v>
      </c>
      <c r="S16">
        <f>IFERROR(INDEX(TableRBCalcPts[BYE],MATCH(TableRBRanks31[[#This Row],[Player]],TableRBCalcPts[PLAYER],0)),"")</f>
        <v>6</v>
      </c>
      <c r="T16" s="83">
        <f>IFERROR((VLOOKUP(TableRBRanks31[[#This Row],[Player]],RB!B:O,4,FALSE)),"")</f>
        <v>224.00839999999997</v>
      </c>
      <c r="U16" s="83">
        <f>IFERROR((VLOOKUP(TableRBRanks31[[#This Row],[Player]],RB!B:O,5,FALSE)),"")</f>
        <v>920.67452399999991</v>
      </c>
      <c r="V16" s="83">
        <f>IFERROR((VLOOKUP(TableRBRanks31[[#This Row],[Player]],RB!B:O,6,FALSE)),"")</f>
        <v>7.6162855999999994</v>
      </c>
      <c r="W16" s="83">
        <f>IFERROR((VLOOKUP(TableRBRanks31[[#This Row],[Player]],RB!B:O,7,FALSE)),"")</f>
        <v>51.318288000000003</v>
      </c>
      <c r="X16" s="83">
        <f>IFERROR((VLOOKUP(TableRBRanks31[[#This Row],[Player]],RB!B:O,8,FALSE)),"")</f>
        <v>39.155853744000005</v>
      </c>
      <c r="Y16" s="83">
        <f>IFERROR((VLOOKUP(TableRBRanks31[[#This Row],[Player]],RB!B:O,9,FALSE)),"")</f>
        <v>289.36175916816001</v>
      </c>
      <c r="Z16" s="83">
        <f>IFERROR((VLOOKUP(TableRBRanks31[[#This Row],[Player]],RB!B:O,10,FALSE)),"")</f>
        <v>1.5662341497600003</v>
      </c>
      <c r="AA16" s="57">
        <f>IFERROR((IFERROR(INDEX(TableRBCalcPts[Custom],MATCH(TableRBRanks31[[#This Row],[RK]],TableRBCalcPts[RK],0)),"")),"")</f>
        <v>195.67667368737602</v>
      </c>
      <c r="AB1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34.38563588125961</v>
      </c>
      <c r="AD16">
        <v>15</v>
      </c>
      <c r="AE16" t="str">
        <f>IFERROR(INDEX(TableWRCalcPts[PLAYER],MATCH(TableWRRanks32[[#This Row],[RK]],TableWRCalcPts[RK],0)),"")</f>
        <v>DK Metcalf</v>
      </c>
      <c r="AF16" t="str">
        <f>IFERROR(INDEX(TableWRCalcPts[TM],MATCH(TableWRRanks32[[#This Row],[Player]],TableWRCalcPts[PLAYER],0)),"")</f>
        <v>SEA</v>
      </c>
      <c r="AG16">
        <f>IFERROR(INDEX(TableWRCalcPts[BYE],MATCH(TableWRRanks32[[#This Row],[Player]],TableWRCalcPts[PLAYER],0)),"")</f>
        <v>5</v>
      </c>
      <c r="AH16" s="83">
        <f>IFERROR((VLOOKUP(TableWRRanks32[[#This Row],[Player]],WR!B:O,4,FALSE)),"")</f>
        <v>0</v>
      </c>
      <c r="AI16" s="83">
        <f>IFERROR((VLOOKUP(TableWRRanks32[[#This Row],[Player]],WR!B:O,5,FALSE)),"")</f>
        <v>0</v>
      </c>
      <c r="AJ16" s="83">
        <f>IFERROR((VLOOKUP(TableWRRanks32[[#This Row],[Player]],WR!B:O,6,FALSE)),"")</f>
        <v>121.90130819999997</v>
      </c>
      <c r="AK16" s="83">
        <f>IFERROR((VLOOKUP(TableWRRanks32[[#This Row],[Player]],WR!B:O,7,FALSE)),"")</f>
        <v>72.409377070799977</v>
      </c>
      <c r="AL16" s="83">
        <f>IFERROR((VLOOKUP(TableWRRanks32[[#This Row],[Player]],WR!B:O,8,FALSE)),"")</f>
        <v>1124.5176259095235</v>
      </c>
      <c r="AM16" s="83">
        <f>IFERROR((VLOOKUP(TableWRRanks32[[#This Row],[Player]],WR!B:O,9,FALSE)),"")</f>
        <v>8.5443064943543963</v>
      </c>
      <c r="AN16" s="57">
        <f>IFERROR((IFERROR(INDEX(TableWRCalcPts[Custom],MATCH(TableWRRanks32[[#This Row],[RK]],TableWRCalcPts[RK],0)),"")),"")</f>
        <v>199.92229009247873</v>
      </c>
      <c r="AO1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17.963068519683642</v>
      </c>
      <c r="AQ16">
        <v>15</v>
      </c>
      <c r="AR16" t="str">
        <f>IFERROR(INDEX(TableTECalcPts[PLAYER],MATCH(TableTERanks33[[#This Row],[RK]],TableTECalcPts[RK],0)),"")</f>
        <v>Pat Freiermuth</v>
      </c>
      <c r="AS16" t="str">
        <f>IFERROR(INDEX(TableTECalcPts[TM],MATCH(TableTERanks33[[#This Row],[Player]],TableTECalcPts[PLAYER],0)),"")</f>
        <v>PIT</v>
      </c>
      <c r="AT16">
        <f>IFERROR(INDEX(TableTECalcPts[BYE],MATCH(TableTERanks33[[#This Row],[Player]],TableTECalcPts[PLAYER],0)),"")</f>
        <v>6</v>
      </c>
      <c r="AU16" s="83">
        <f>IFERROR((VLOOKUP(TableTERanks33[[#This Row],[Player]],TE!B:O,4,FALSE)),"")</f>
        <v>83.127764999999997</v>
      </c>
      <c r="AV16" s="83">
        <f>IFERROR((VLOOKUP(TableTERanks33[[#This Row],[Player]],TE!B:O,5,FALSE)),"")</f>
        <v>57.690668909999992</v>
      </c>
      <c r="AW16" s="83">
        <f>IFERROR((VLOOKUP(TableTERanks33[[#This Row],[Player]],TE!B:O,6,FALSE)),"")</f>
        <v>566.52236869619992</v>
      </c>
      <c r="AX16" s="83">
        <f>IFERROR((VLOOKUP(TableTERanks33[[#This Row],[Player]],TE!B:O,7,FALSE)),"")</f>
        <v>4.2691094993399989</v>
      </c>
      <c r="AY16" s="57">
        <f>IFERROR((IFERROR(INDEX(TableTECalcPts[Custom],MATCH(TableTERanks33[[#This Row],[RK]],TableTECalcPts[RK],0)),"")),"")</f>
        <v>111.11222832065999</v>
      </c>
      <c r="AZ1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7" spans="1:52" x14ac:dyDescent="0.2">
      <c r="A17">
        <v>16</v>
      </c>
      <c r="B17" t="str">
        <f>IFERROR(INDEX(TableQBCalcPts[PLAYER],MATCH(TableQBRanks30[[#This Row],[RK]],TableQBCalcPts[RK],0)),"")</f>
        <v>Jared Goff</v>
      </c>
      <c r="C17" t="str">
        <f>IFERROR(INDEX(TableQBCalcPts[TM],MATCH(TableQBRanks30[[#This Row],[Player]],TableQBCalcPts[PLAYER],0)),"")</f>
        <v>DET</v>
      </c>
      <c r="D17">
        <f>IFERROR(INDEX(TableQBCalcPts[BYE],MATCH(TableQBRanks30[[#This Row],[Player]],TableQBCalcPts[PLAYER],0)),"")</f>
        <v>9</v>
      </c>
      <c r="E17" s="83">
        <f>IFERROR((VLOOKUP(TableQBRanks30[[#This Row],[Player]],QB!B:O,4,FALSE)),"")</f>
        <v>592.67459999999994</v>
      </c>
      <c r="F17" s="83">
        <f>IFERROR((VLOOKUP(TableQBRanks30[[#This Row],[Player]],QB!B:O,5,FALSE)),"")</f>
        <v>399.46268040000001</v>
      </c>
      <c r="G17" s="83">
        <f>IFERROR((VLOOKUP(TableQBRanks30[[#This Row],[Player]],QB!B:O,6,FALSE)),"")</f>
        <v>4505.9390349119994</v>
      </c>
      <c r="H17" s="83">
        <f>IFERROR((VLOOKUP(TableQBRanks30[[#This Row],[Player]],QB!B:O,7,FALSE)),"")</f>
        <v>30.226404599999995</v>
      </c>
      <c r="I17" s="83">
        <f>IFERROR((VLOOKUP(TableQBRanks30[[#This Row],[Player]],QB!B:O,8,FALSE)),"")</f>
        <v>6.7908655668000009</v>
      </c>
      <c r="J17" s="83">
        <f>IFERROR((VLOOKUP(TableQBRanks30[[#This Row],[Player]],QB!B:O,9,FALSE)),"")</f>
        <v>31.297378000000009</v>
      </c>
      <c r="K17" s="83">
        <f>IFERROR((VLOOKUP(TableQBRanks30[[#This Row],[Player]],QB!B:O,10,FALSE)),"")</f>
        <v>56.961227960000016</v>
      </c>
      <c r="L17" s="83">
        <f>IFERROR((VLOOKUP(TableQBRanks30[[#This Row],[Player]],QB!B:O,11,FALSE)),"")</f>
        <v>1.0328134740000003</v>
      </c>
      <c r="M17" s="57">
        <f>IFERROR(INDEX(TableQBCalcPts[Custom],MATCH(TableQBRanks30[[#This Row],[RK]],TableQBCalcPts[RK],0)),"")</f>
        <v>306.24531786967998</v>
      </c>
      <c r="N1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5.9768423327885722</v>
      </c>
      <c r="P17">
        <v>16</v>
      </c>
      <c r="Q17" t="str">
        <f>IFERROR(INDEX(TableRBCalcPts[PLAYER],MATCH(TableRBRanks31[[#This Row],[RK]],TableRBCalcPts[RK],0)),"")</f>
        <v>Travis Etienne</v>
      </c>
      <c r="R17" t="str">
        <f>IFERROR(INDEX(TableRBCalcPts[TM],MATCH(TableRBRanks31[[#This Row],[Player]],TableRBCalcPts[PLAYER],0)),"")</f>
        <v>JAX</v>
      </c>
      <c r="S17">
        <f>IFERROR(INDEX(TableRBCalcPts[BYE],MATCH(TableRBRanks31[[#This Row],[Player]],TableRBCalcPts[PLAYER],0)),"")</f>
        <v>9</v>
      </c>
      <c r="T17" s="83">
        <f>IFERROR((VLOOKUP(TableRBRanks31[[#This Row],[Player]],RB!B:O,4,FALSE)),"")</f>
        <v>214.33090000000001</v>
      </c>
      <c r="U17" s="83">
        <f>IFERROR((VLOOKUP(TableRBRanks31[[#This Row],[Player]],RB!B:O,5,FALSE)),"")</f>
        <v>893.75985300000002</v>
      </c>
      <c r="V17" s="83">
        <f>IFERROR((VLOOKUP(TableRBRanks31[[#This Row],[Player]],RB!B:O,6,FALSE)),"")</f>
        <v>8.7875669000000016</v>
      </c>
      <c r="W17" s="83">
        <f>IFERROR((VLOOKUP(TableRBRanks31[[#This Row],[Player]],RB!B:O,7,FALSE)),"")</f>
        <v>42.298073999999993</v>
      </c>
      <c r="X17" s="83">
        <f>IFERROR((VLOOKUP(TableRBRanks31[[#This Row],[Player]],RB!B:O,8,FALSE)),"")</f>
        <v>32.992497719999996</v>
      </c>
      <c r="Y17" s="83">
        <f>IFERROR((VLOOKUP(TableRBRanks31[[#This Row],[Player]],RB!B:O,9,FALSE)),"")</f>
        <v>264.92975669159995</v>
      </c>
      <c r="Z17" s="83">
        <f>IFERROR((VLOOKUP(TableRBRanks31[[#This Row],[Player]],RB!B:O,10,FALSE)),"")</f>
        <v>0.98977493159999985</v>
      </c>
      <c r="AA17" s="57">
        <f>IFERROR((IFERROR(INDEX(TableRBCalcPts[Custom],MATCH(TableRBRanks31[[#This Row],[RK]],TableRBCalcPts[RK],0)),"")),"")</f>
        <v>191.02926081876004</v>
      </c>
      <c r="AB1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32.459322562844797</v>
      </c>
      <c r="AD17">
        <v>16</v>
      </c>
      <c r="AE17" t="str">
        <f>IFERROR(INDEX(TableWRCalcPts[PLAYER],MATCH(TableWRRanks32[[#This Row],[RK]],TableWRCalcPts[RK],0)),"")</f>
        <v>Drake London</v>
      </c>
      <c r="AF17" t="str">
        <f>IFERROR(INDEX(TableWRCalcPts[TM],MATCH(TableWRRanks32[[#This Row],[Player]],TableWRCalcPts[PLAYER],0)),"")</f>
        <v>ATL</v>
      </c>
      <c r="AG17">
        <f>IFERROR(INDEX(TableWRCalcPts[BYE],MATCH(TableWRRanks32[[#This Row],[Player]],TableWRCalcPts[PLAYER],0)),"")</f>
        <v>11</v>
      </c>
      <c r="AH17" s="83">
        <f>IFERROR((VLOOKUP(TableWRRanks32[[#This Row],[Player]],WR!B:O,4,FALSE)),"")</f>
        <v>0</v>
      </c>
      <c r="AI17" s="83">
        <f>IFERROR((VLOOKUP(TableWRRanks32[[#This Row],[Player]],WR!B:O,5,FALSE)),"")</f>
        <v>0</v>
      </c>
      <c r="AJ17" s="83">
        <f>IFERROR((VLOOKUP(TableWRRanks32[[#This Row],[Player]],WR!B:O,6,FALSE)),"")</f>
        <v>129.40527599999996</v>
      </c>
      <c r="AK17" s="83">
        <f>IFERROR((VLOOKUP(TableWRRanks32[[#This Row],[Player]],WR!B:O,7,FALSE)),"")</f>
        <v>84.242834675999973</v>
      </c>
      <c r="AL17" s="83">
        <f>IFERROR((VLOOKUP(TableWRRanks32[[#This Row],[Player]],WR!B:O,8,FALSE)),"")</f>
        <v>1078.3082838527996</v>
      </c>
      <c r="AM17" s="83">
        <f>IFERROR((VLOOKUP(TableWRRanks32[[#This Row],[Player]],WR!B:O,9,FALSE)),"")</f>
        <v>7.7503407901919976</v>
      </c>
      <c r="AN17" s="57">
        <f>IFERROR((IFERROR(INDEX(TableWRCalcPts[Custom],MATCH(TableWRRanks32[[#This Row],[RK]],TableWRCalcPts[RK],0)),"")),"")</f>
        <v>196.45429046443195</v>
      </c>
      <c r="AO1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16.841016294374281</v>
      </c>
      <c r="AQ17">
        <v>16</v>
      </c>
      <c r="AR17" t="str">
        <f>IFERROR(INDEX(TableTECalcPts[PLAYER],MATCH(TableTERanks33[[#This Row],[RK]],TableTECalcPts[RK],0)),"")</f>
        <v>Taysom Hill</v>
      </c>
      <c r="AS17" t="str">
        <f>IFERROR(INDEX(TableTECalcPts[TM],MATCH(TableTERanks33[[#This Row],[Player]],TableTECalcPts[PLAYER],0)),"")</f>
        <v>NO</v>
      </c>
      <c r="AT17">
        <f>IFERROR(INDEX(TableTECalcPts[BYE],MATCH(TableTERanks33[[#This Row],[Player]],TableTECalcPts[PLAYER],0)),"")</f>
        <v>11</v>
      </c>
      <c r="AU17" s="83">
        <f>IFERROR((VLOOKUP(TableTERanks33[[#This Row],[Player]],TE!B:O,4,FALSE)),"")</f>
        <v>30.598312051999994</v>
      </c>
      <c r="AV17" s="83">
        <f>IFERROR((VLOOKUP(TableTERanks33[[#This Row],[Player]],TE!B:O,5,FALSE)),"")</f>
        <v>21.174031939983994</v>
      </c>
      <c r="AW17" s="83">
        <f>IFERROR((VLOOKUP(TableTERanks33[[#This Row],[Player]],TE!B:O,6,FALSE)),"")</f>
        <v>201.15330342984794</v>
      </c>
      <c r="AX17" s="83">
        <f>IFERROR((VLOOKUP(TableTERanks33[[#This Row],[Player]],TE!B:O,7,FALSE)),"")</f>
        <v>1.7362706190786876</v>
      </c>
      <c r="AY17" s="57">
        <f>IFERROR((IFERROR(INDEX(TableTECalcPts[Custom],MATCH(TableTERanks33[[#This Row],[RK]],TableTECalcPts[RK],0)),"")),"")</f>
        <v>109.30098272834891</v>
      </c>
      <c r="AZ1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8" spans="1:52" x14ac:dyDescent="0.2">
      <c r="A18">
        <v>17</v>
      </c>
      <c r="B18" t="str">
        <f>IFERROR(INDEX(TableQBCalcPts[PLAYER],MATCH(TableQBRanks30[[#This Row],[RK]],TableQBCalcPts[RK],0)),"")</f>
        <v>Tua Tagovailoa</v>
      </c>
      <c r="C18" t="str">
        <f>IFERROR(INDEX(TableQBCalcPts[TM],MATCH(TableQBRanks30[[#This Row],[Player]],TableQBCalcPts[PLAYER],0)),"")</f>
        <v>MIA</v>
      </c>
      <c r="D18">
        <f>IFERROR(INDEX(TableQBCalcPts[BYE],MATCH(TableQBRanks30[[#This Row],[Player]],TableQBCalcPts[PLAYER],0)),"")</f>
        <v>10</v>
      </c>
      <c r="E18" s="83">
        <f>IFERROR((VLOOKUP(TableQBRanks30[[#This Row],[Player]],QB!B:O,4,FALSE)),"")</f>
        <v>580.3471199999999</v>
      </c>
      <c r="F18" s="83">
        <f>IFERROR((VLOOKUP(TableQBRanks30[[#This Row],[Player]],QB!B:O,5,FALSE)),"")</f>
        <v>392.89500023999994</v>
      </c>
      <c r="G18" s="83">
        <f>IFERROR((VLOOKUP(TableQBRanks30[[#This Row],[Player]],QB!B:O,6,FALSE)),"")</f>
        <v>4636.1610028319992</v>
      </c>
      <c r="H18" s="83">
        <f>IFERROR((VLOOKUP(TableQBRanks30[[#This Row],[Player]],QB!B:O,7,FALSE)),"")</f>
        <v>28.437008879999997</v>
      </c>
      <c r="I18" s="83">
        <f>IFERROR((VLOOKUP(TableQBRanks30[[#This Row],[Player]],QB!B:O,8,FALSE)),"")</f>
        <v>8.6436900052799981</v>
      </c>
      <c r="J18" s="83">
        <f>IFERROR((VLOOKUP(TableQBRanks30[[#This Row],[Player]],QB!B:O,9,FALSE)),"")</f>
        <v>33.688793600000004</v>
      </c>
      <c r="K18" s="83">
        <f>IFERROR((VLOOKUP(TableQBRanks30[[#This Row],[Player]],QB!B:O,10,FALSE)),"")</f>
        <v>86.58019955200001</v>
      </c>
      <c r="L18" s="83">
        <f>IFERROR((VLOOKUP(TableQBRanks30[[#This Row],[Player]],QB!B:O,11,FALSE)),"")</f>
        <v>0.50533190400000005</v>
      </c>
      <c r="M18" s="57">
        <f>IFERROR(INDEX(TableQBCalcPts[Custom],MATCH(TableQBRanks30[[#This Row],[RK]],TableQBCalcPts[RK],0)),"")</f>
        <v>302.2407970072</v>
      </c>
      <c r="N1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5.4125811742677525</v>
      </c>
      <c r="P18">
        <v>17</v>
      </c>
      <c r="Q18" t="str">
        <f>IFERROR(INDEX(TableRBCalcPts[PLAYER],MATCH(TableRBRanks31[[#This Row],[RK]],TableRBCalcPts[RK],0)),"")</f>
        <v>Kenneth Walker</v>
      </c>
      <c r="R18" t="str">
        <f>IFERROR(INDEX(TableRBCalcPts[TM],MATCH(TableRBRanks31[[#This Row],[Player]],TableRBCalcPts[PLAYER],0)),"")</f>
        <v>SEA</v>
      </c>
      <c r="S18">
        <f>IFERROR(INDEX(TableRBCalcPts[BYE],MATCH(TableRBRanks31[[#This Row],[Player]],TableRBCalcPts[PLAYER],0)),"")</f>
        <v>5</v>
      </c>
      <c r="T18" s="83">
        <f>IFERROR((VLOOKUP(TableRBRanks31[[#This Row],[Player]],RB!B:O,4,FALSE)),"")</f>
        <v>228.64274160000005</v>
      </c>
      <c r="U18" s="83">
        <f>IFERROR((VLOOKUP(TableRBRanks31[[#This Row],[Player]],RB!B:O,5,FALSE)),"")</f>
        <v>1006.0280630400003</v>
      </c>
      <c r="V18" s="83">
        <f>IFERROR((VLOOKUP(TableRBRanks31[[#This Row],[Player]],RB!B:O,6,FALSE)),"")</f>
        <v>8.4597814392000021</v>
      </c>
      <c r="W18" s="83">
        <f>IFERROR((VLOOKUP(TableRBRanks31[[#This Row],[Player]],RB!B:O,7,FALSE)),"")</f>
        <v>34.828945199999993</v>
      </c>
      <c r="X18" s="83">
        <f>IFERROR((VLOOKUP(TableRBRanks31[[#This Row],[Player]],RB!B:O,8,FALSE)),"")</f>
        <v>26.853116749199994</v>
      </c>
      <c r="Y18" s="83">
        <f>IFERROR((VLOOKUP(TableRBRanks31[[#This Row],[Player]],RB!B:O,9,FALSE)),"")</f>
        <v>210.52843531372795</v>
      </c>
      <c r="Z18" s="83">
        <f>IFERROR((VLOOKUP(TableRBRanks31[[#This Row],[Player]],RB!B:O,10,FALSE)),"")</f>
        <v>0.80559350247599981</v>
      </c>
      <c r="AA18" s="57">
        <f>IFERROR((IFERROR(INDEX(TableRBCalcPts[Custom],MATCH(TableRBRanks31[[#This Row],[RK]],TableRBCalcPts[RK],0)),"")),"")</f>
        <v>190.67445786002884</v>
      </c>
      <c r="AB1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32.312259737970273</v>
      </c>
      <c r="AD18">
        <v>17</v>
      </c>
      <c r="AE18" t="str">
        <f>IFERROR(INDEX(TableWRCalcPts[PLAYER],MATCH(TableWRRanks32[[#This Row],[RK]],TableWRCalcPts[RK],0)),"")</f>
        <v>Garrett Wilson</v>
      </c>
      <c r="AF18" t="str">
        <f>IFERROR(INDEX(TableWRCalcPts[TM],MATCH(TableWRRanks32[[#This Row],[Player]],TableWRCalcPts[PLAYER],0)),"")</f>
        <v>NYJ</v>
      </c>
      <c r="AG18">
        <f>IFERROR(INDEX(TableWRCalcPts[BYE],MATCH(TableWRRanks32[[#This Row],[Player]],TableWRCalcPts[PLAYER],0)),"")</f>
        <v>7</v>
      </c>
      <c r="AH18" s="83">
        <f>IFERROR((VLOOKUP(TableWRRanks32[[#This Row],[Player]],WR!B:O,4,FALSE)),"")</f>
        <v>0</v>
      </c>
      <c r="AI18" s="83">
        <f>IFERROR((VLOOKUP(TableWRRanks32[[#This Row],[Player]],WR!B:O,5,FALSE)),"")</f>
        <v>0</v>
      </c>
      <c r="AJ18" s="83">
        <f>IFERROR((VLOOKUP(TableWRRanks32[[#This Row],[Player]],WR!B:O,6,FALSE)),"")</f>
        <v>136.27774159999998</v>
      </c>
      <c r="AK18" s="83">
        <f>IFERROR((VLOOKUP(TableWRRanks32[[#This Row],[Player]],WR!B:O,7,FALSE)),"")</f>
        <v>83.401977859199988</v>
      </c>
      <c r="AL18" s="83">
        <f>IFERROR((VLOOKUP(TableWRRanks32[[#This Row],[Player]],WR!B:O,8,FALSE)),"")</f>
        <v>1068.3793363763518</v>
      </c>
      <c r="AM18" s="83">
        <f>IFERROR((VLOOKUP(TableWRRanks32[[#This Row],[Player]],WR!B:O,9,FALSE)),"")</f>
        <v>7.5061780073279989</v>
      </c>
      <c r="AN18" s="57">
        <f>IFERROR((IFERROR(INDEX(TableWRCalcPts[Custom],MATCH(TableWRRanks32[[#This Row],[RK]],TableWRCalcPts[RK],0)),"")),"")</f>
        <v>193.57599061120317</v>
      </c>
      <c r="AO1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15.909758191200286</v>
      </c>
      <c r="AQ18">
        <v>17</v>
      </c>
      <c r="AR18" t="str">
        <f>IFERROR(INDEX(TableTECalcPts[PLAYER],MATCH(TableTERanks33[[#This Row],[RK]],TableTECalcPts[RK],0)),"")</f>
        <v>Chigoziem Okonkwo</v>
      </c>
      <c r="AS18" t="str">
        <f>IFERROR(INDEX(TableTECalcPts[TM],MATCH(TableTERanks33[[#This Row],[Player]],TableTECalcPts[PLAYER],0)),"")</f>
        <v>TEN</v>
      </c>
      <c r="AT18">
        <f>IFERROR(INDEX(TableTECalcPts[BYE],MATCH(TableTERanks33[[#This Row],[Player]],TableTECalcPts[PLAYER],0)),"")</f>
        <v>7</v>
      </c>
      <c r="AU18" s="83">
        <f>IFERROR((VLOOKUP(TableTERanks33[[#This Row],[Player]],TE!B:O,4,FALSE)),"")</f>
        <v>79.175596499999969</v>
      </c>
      <c r="AV18" s="83">
        <f>IFERROR((VLOOKUP(TableTERanks33[[#This Row],[Player]],TE!B:O,5,FALSE)),"")</f>
        <v>53.047649654999979</v>
      </c>
      <c r="AW18" s="83">
        <f>IFERROR((VLOOKUP(TableTERanks33[[#This Row],[Player]],TE!B:O,6,FALSE)),"")</f>
        <v>576.62795174984979</v>
      </c>
      <c r="AX18" s="83">
        <f>IFERROR((VLOOKUP(TableTERanks33[[#This Row],[Player]],TE!B:O,7,FALSE)),"")</f>
        <v>3.6072401765399991</v>
      </c>
      <c r="AY18" s="57">
        <f>IFERROR((IFERROR(INDEX(TableTECalcPts[Custom],MATCH(TableTERanks33[[#This Row],[RK]],TableTECalcPts[RK],0)),"")),"")</f>
        <v>105.83006106172496</v>
      </c>
      <c r="AZ1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9" spans="1:52" x14ac:dyDescent="0.2">
      <c r="A19">
        <v>18</v>
      </c>
      <c r="B19" t="str">
        <f>IFERROR(INDEX(TableQBCalcPts[PLAYER],MATCH(TableQBRanks30[[#This Row],[RK]],TableQBCalcPts[RK],0)),"")</f>
        <v>Aaron Rodgers</v>
      </c>
      <c r="C19" t="str">
        <f>IFERROR(INDEX(TableQBCalcPts[TM],MATCH(TableQBRanks30[[#This Row],[Player]],TableQBCalcPts[PLAYER],0)),"")</f>
        <v>NYJ</v>
      </c>
      <c r="D19">
        <f>IFERROR(INDEX(TableQBCalcPts[BYE],MATCH(TableQBRanks30[[#This Row],[Player]],TableQBCalcPts[PLAYER],0)),"")</f>
        <v>7</v>
      </c>
      <c r="E19" s="83">
        <f>IFERROR((VLOOKUP(TableQBRanks30[[#This Row],[Player]],QB!B:O,4,FALSE)),"")</f>
        <v>592.51191999999992</v>
      </c>
      <c r="F19" s="83">
        <f>IFERROR((VLOOKUP(TableQBRanks30[[#This Row],[Player]],QB!B:O,5,FALSE)),"")</f>
        <v>382.17018839999997</v>
      </c>
      <c r="G19" s="83">
        <f>IFERROR((VLOOKUP(TableQBRanks30[[#This Row],[Player]],QB!B:O,6,FALSE)),"")</f>
        <v>4314.7014270359996</v>
      </c>
      <c r="H19" s="83">
        <f>IFERROR((VLOOKUP(TableQBRanks30[[#This Row],[Player]],QB!B:O,7,FALSE)),"")</f>
        <v>29.625595999999998</v>
      </c>
      <c r="I19" s="83">
        <f>IFERROR((VLOOKUP(TableQBRanks30[[#This Row],[Player]],QB!B:O,8,FALSE)),"")</f>
        <v>6.1147230144</v>
      </c>
      <c r="J19" s="83">
        <f>IFERROR((VLOOKUP(TableQBRanks30[[#This Row],[Player]],QB!B:O,9,FALSE)),"")</f>
        <v>31.034365600000008</v>
      </c>
      <c r="K19" s="83">
        <f>IFERROR((VLOOKUP(TableQBRanks30[[#This Row],[Player]],QB!B:O,10,FALSE)),"")</f>
        <v>93.413440456000018</v>
      </c>
      <c r="L19" s="83">
        <f>IFERROR((VLOOKUP(TableQBRanks30[[#This Row],[Player]],QB!B:O,11,FALSE)),"")</f>
        <v>0.83792787120000023</v>
      </c>
      <c r="M19" s="57">
        <f>IFERROR(INDEX(TableQBCalcPts[Custom],MATCH(TableQBRanks30[[#This Row],[RK]],TableQBCalcPts[RK],0)),"")</f>
        <v>299.34462933983997</v>
      </c>
      <c r="N1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4.9262972509720262</v>
      </c>
      <c r="P19">
        <v>18</v>
      </c>
      <c r="Q19" t="str">
        <f>IFERROR(INDEX(TableRBCalcPts[PLAYER],MATCH(TableRBRanks31[[#This Row],[RK]],TableRBCalcPts[RK],0)),"")</f>
        <v>Zamir White</v>
      </c>
      <c r="R19" t="str">
        <f>IFERROR(INDEX(TableRBCalcPts[TM],MATCH(TableRBRanks31[[#This Row],[Player]],TableRBCalcPts[PLAYER],0)),"")</f>
        <v>LV</v>
      </c>
      <c r="S19">
        <f>IFERROR(INDEX(TableRBCalcPts[BYE],MATCH(TableRBRanks31[[#This Row],[Player]],TableRBCalcPts[PLAYER],0)),"")</f>
        <v>13</v>
      </c>
      <c r="T19" s="83">
        <f>IFERROR((VLOOKUP(TableRBRanks31[[#This Row],[Player]],RB!B:O,4,FALSE)),"")</f>
        <v>253.13400000000001</v>
      </c>
      <c r="U19" s="83">
        <f>IFERROR((VLOOKUP(TableRBRanks31[[#This Row],[Player]],RB!B:O,5,FALSE)),"")</f>
        <v>1070.7568200000001</v>
      </c>
      <c r="V19" s="83">
        <f>IFERROR((VLOOKUP(TableRBRanks31[[#This Row],[Player]],RB!B:O,6,FALSE)),"")</f>
        <v>7.5940200000000004</v>
      </c>
      <c r="W19" s="83">
        <f>IFERROR((VLOOKUP(TableRBRanks31[[#This Row],[Player]],RB!B:O,7,FALSE)),"")</f>
        <v>34.956599999999987</v>
      </c>
      <c r="X19" s="83">
        <f>IFERROR((VLOOKUP(TableRBRanks31[[#This Row],[Player]],RB!B:O,8,FALSE)),"")</f>
        <v>25.51831799999999</v>
      </c>
      <c r="Y19" s="83">
        <f>IFERROR((VLOOKUP(TableRBRanks31[[#This Row],[Player]],RB!B:O,9,FALSE)),"")</f>
        <v>197.00141495999992</v>
      </c>
      <c r="Z19" s="83">
        <f>IFERROR((VLOOKUP(TableRBRanks31[[#This Row],[Player]],RB!B:O,10,FALSE)),"")</f>
        <v>0.81658617599999972</v>
      </c>
      <c r="AA19" s="57">
        <f>IFERROR((IFERROR(INDEX(TableRBCalcPts[Custom],MATCH(TableRBRanks31[[#This Row],[RK]],TableRBCalcPts[RK],0)),"")),"")</f>
        <v>189.99861955200001</v>
      </c>
      <c r="AB1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32.032130476668257</v>
      </c>
      <c r="AD19">
        <v>18</v>
      </c>
      <c r="AE19" t="str">
        <f>IFERROR(INDEX(TableWRCalcPts[PLAYER],MATCH(TableWRRanks32[[#This Row],[RK]],TableWRCalcPts[RK],0)),"")</f>
        <v>Jayden Reed</v>
      </c>
      <c r="AF19" t="str">
        <f>IFERROR(INDEX(TableWRCalcPts[TM],MATCH(TableWRRanks32[[#This Row],[Player]],TableWRCalcPts[PLAYER],0)),"")</f>
        <v>GB</v>
      </c>
      <c r="AG19">
        <f>IFERROR(INDEX(TableWRCalcPts[BYE],MATCH(TableWRRanks32[[#This Row],[Player]],TableWRCalcPts[PLAYER],0)),"")</f>
        <v>6</v>
      </c>
      <c r="AH19" s="83">
        <f>IFERROR((VLOOKUP(TableWRRanks32[[#This Row],[Player]],WR!B:O,4,FALSE)),"")</f>
        <v>137.09314079999999</v>
      </c>
      <c r="AI19" s="83">
        <f>IFERROR((VLOOKUP(TableWRRanks32[[#This Row],[Player]],WR!B:O,5,FALSE)),"")</f>
        <v>1.2365263679999998</v>
      </c>
      <c r="AJ19" s="83">
        <f>IFERROR((VLOOKUP(TableWRRanks32[[#This Row],[Player]],WR!B:O,6,FALSE)),"")</f>
        <v>108.33860800000001</v>
      </c>
      <c r="AK19" s="83">
        <f>IFERROR((VLOOKUP(TableWRRanks32[[#This Row],[Player]],WR!B:O,7,FALSE)),"")</f>
        <v>72.478528752000003</v>
      </c>
      <c r="AL19" s="83">
        <f>IFERROR((VLOOKUP(TableWRRanks32[[#This Row],[Player]],WR!B:O,8,FALSE)),"")</f>
        <v>909.60553583760009</v>
      </c>
      <c r="AM19" s="83">
        <f>IFERROR((VLOOKUP(TableWRRanks32[[#This Row],[Player]],WR!B:O,9,FALSE)),"")</f>
        <v>7.2478528752000004</v>
      </c>
      <c r="AN19" s="57">
        <f>IFERROR((IFERROR(INDEX(TableWRCalcPts[Custom],MATCH(TableWRRanks32[[#This Row],[RK]],TableWRCalcPts[RK],0)),"")),"")</f>
        <v>191.81540749896001</v>
      </c>
      <c r="AO1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15.340131198464096</v>
      </c>
      <c r="AQ19">
        <v>18</v>
      </c>
      <c r="AR19" t="str">
        <f>IFERROR(INDEX(TableTECalcPts[PLAYER],MATCH(TableTERanks33[[#This Row],[RK]],TableTECalcPts[RK],0)),"")</f>
        <v>Luke Musgrave</v>
      </c>
      <c r="AS19" t="str">
        <f>IFERROR(INDEX(TableTECalcPts[TM],MATCH(TableTERanks33[[#This Row],[Player]],TableTECalcPts[PLAYER],0)),"")</f>
        <v>GB</v>
      </c>
      <c r="AT19">
        <f>IFERROR(INDEX(TableTECalcPts[BYE],MATCH(TableTERanks33[[#This Row],[Player]],TableTECalcPts[PLAYER],0)),"")</f>
        <v>6</v>
      </c>
      <c r="AU19" s="83">
        <f>IFERROR((VLOOKUP(TableTERanks33[[#This Row],[Player]],TE!B:O,4,FALSE)),"")</f>
        <v>68.424384000000003</v>
      </c>
      <c r="AV19" s="83">
        <f>IFERROR((VLOOKUP(TableTERanks33[[#This Row],[Player]],TE!B:O,5,FALSE)),"")</f>
        <v>48.718161408</v>
      </c>
      <c r="AW19" s="83">
        <f>IFERROR((VLOOKUP(TableTERanks33[[#This Row],[Player]],TE!B:O,6,FALSE)),"")</f>
        <v>536.87413871616002</v>
      </c>
      <c r="AX19" s="83">
        <f>IFERROR((VLOOKUP(TableTERanks33[[#This Row],[Player]],TE!B:O,7,FALSE)),"")</f>
        <v>3.6538621056</v>
      </c>
      <c r="AY19" s="57">
        <f>IFERROR((IFERROR(INDEX(TableTECalcPts[Custom],MATCH(TableTERanks33[[#This Row],[RK]],TableTECalcPts[RK],0)),"")),"")</f>
        <v>99.969667209216013</v>
      </c>
      <c r="AZ1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0" spans="1:52" x14ac:dyDescent="0.2">
      <c r="A20">
        <v>19</v>
      </c>
      <c r="B20" t="str">
        <f>IFERROR(INDEX(TableQBCalcPts[PLAYER],MATCH(TableQBRanks30[[#This Row],[RK]],TableQBCalcPts[RK],0)),"")</f>
        <v>Kirk Cousins</v>
      </c>
      <c r="C20" t="str">
        <f>IFERROR(INDEX(TableQBCalcPts[TM],MATCH(TableQBRanks30[[#This Row],[Player]],TableQBCalcPts[PLAYER],0)),"")</f>
        <v>ATL</v>
      </c>
      <c r="D20">
        <f>IFERROR(INDEX(TableQBCalcPts[BYE],MATCH(TableQBRanks30[[#This Row],[Player]],TableQBCalcPts[PLAYER],0)),"")</f>
        <v>11</v>
      </c>
      <c r="E20" s="83">
        <f>IFERROR((VLOOKUP(TableQBRanks30[[#This Row],[Player]],QB!B:O,4,FALSE)),"")</f>
        <v>575.13455999999996</v>
      </c>
      <c r="F20" s="83">
        <f>IFERROR((VLOOKUP(TableQBRanks30[[#This Row],[Player]],QB!B:O,5,FALSE)),"")</f>
        <v>378.43854047999997</v>
      </c>
      <c r="G20" s="83">
        <f>IFERROR((VLOOKUP(TableQBRanks30[[#This Row],[Player]],QB!B:O,6,FALSE)),"")</f>
        <v>4257.4335803999993</v>
      </c>
      <c r="H20" s="83">
        <f>IFERROR((VLOOKUP(TableQBRanks30[[#This Row],[Player]],QB!B:O,7,FALSE)),"")</f>
        <v>29.331862559999998</v>
      </c>
      <c r="I20" s="83">
        <f>IFERROR((VLOOKUP(TableQBRanks30[[#This Row],[Player]],QB!B:O,8,FALSE)),"")</f>
        <v>7.1903322691199989</v>
      </c>
      <c r="J20" s="83">
        <f>IFERROR((VLOOKUP(TableQBRanks30[[#This Row],[Player]],QB!B:O,9,FALSE)),"")</f>
        <v>25.820726400000002</v>
      </c>
      <c r="K20" s="83">
        <f>IFERROR((VLOOKUP(TableQBRanks30[[#This Row],[Player]],QB!B:O,10,FALSE)),"")</f>
        <v>72.298033919999995</v>
      </c>
      <c r="L20" s="83">
        <f>IFERROR((VLOOKUP(TableQBRanks30[[#This Row],[Player]],QB!B:O,11,FALSE)),"")</f>
        <v>1.4201399520000002</v>
      </c>
      <c r="M20" s="57">
        <f>IFERROR(INDEX(TableQBCalcPts[Custom],MATCH(TableQBRanks30[[#This Row],[RK]],TableQBCalcPts[RK],0)),"")</f>
        <v>296.18510429087996</v>
      </c>
      <c r="N2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3.8786114801852283</v>
      </c>
      <c r="P20">
        <v>19</v>
      </c>
      <c r="Q20" t="str">
        <f>IFERROR(INDEX(TableRBCalcPts[PLAYER],MATCH(TableRBRanks31[[#This Row],[RK]],TableRBCalcPts[RK],0)),"")</f>
        <v>Nick Chubb</v>
      </c>
      <c r="R20" t="str">
        <f>IFERROR(INDEX(TableRBCalcPts[TM],MATCH(TableRBRanks31[[#This Row],[Player]],TableRBCalcPts[PLAYER],0)),"")</f>
        <v>CLE</v>
      </c>
      <c r="S20">
        <f>IFERROR(INDEX(TableRBCalcPts[BYE],MATCH(TableRBRanks31[[#This Row],[Player]],TableRBCalcPts[PLAYER],0)),"")</f>
        <v>5</v>
      </c>
      <c r="T20" s="83">
        <f>IFERROR((VLOOKUP(TableRBRanks31[[#This Row],[Player]],RB!B:O,4,FALSE)),"")</f>
        <v>194.57900000000001</v>
      </c>
      <c r="U20" s="83">
        <f>IFERROR((VLOOKUP(TableRBRanks31[[#This Row],[Player]],RB!B:O,5,FALSE)),"")</f>
        <v>912.57551000000012</v>
      </c>
      <c r="V20" s="83">
        <f>IFERROR((VLOOKUP(TableRBRanks31[[#This Row],[Player]],RB!B:O,6,FALSE)),"")</f>
        <v>8.7560549999999999</v>
      </c>
      <c r="W20" s="83">
        <f>IFERROR((VLOOKUP(TableRBRanks31[[#This Row],[Player]],RB!B:O,7,FALSE)),"")</f>
        <v>37.635675000000006</v>
      </c>
      <c r="X20" s="83">
        <f>IFERROR((VLOOKUP(TableRBRanks31[[#This Row],[Player]],RB!B:O,8,FALSE)),"")</f>
        <v>29.242919475000004</v>
      </c>
      <c r="Y20" s="83">
        <f>IFERROR((VLOOKUP(TableRBRanks31[[#This Row],[Player]],RB!B:O,9,FALSE)),"")</f>
        <v>210.54902022000005</v>
      </c>
      <c r="Z20" s="83">
        <f>IFERROR((VLOOKUP(TableRBRanks31[[#This Row],[Player]],RB!B:O,10,FALSE)),"")</f>
        <v>1.1697167790000003</v>
      </c>
      <c r="AA20" s="57">
        <f>IFERROR((IFERROR(INDEX(TableRBCalcPts[Custom],MATCH(TableRBRanks31[[#This Row],[RK]],TableRBCalcPts[RK],0)),"")),"")</f>
        <v>186.48854343350001</v>
      </c>
      <c r="AB2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30.577233619671368</v>
      </c>
      <c r="AD20">
        <v>19</v>
      </c>
      <c r="AE20" t="str">
        <f>IFERROR(INDEX(TableWRCalcPts[PLAYER],MATCH(TableWRRanks32[[#This Row],[RK]],TableWRCalcPts[RK],0)),"")</f>
        <v>DJ Moore</v>
      </c>
      <c r="AF20" t="str">
        <f>IFERROR(INDEX(TableWRCalcPts[TM],MATCH(TableWRRanks32[[#This Row],[Player]],TableWRCalcPts[PLAYER],0)),"")</f>
        <v>CHI</v>
      </c>
      <c r="AG20">
        <f>IFERROR(INDEX(TableWRCalcPts[BYE],MATCH(TableWRRanks32[[#This Row],[Player]],TableWRCalcPts[PLAYER],0)),"")</f>
        <v>13</v>
      </c>
      <c r="AH20" s="83">
        <f>IFERROR((VLOOKUP(TableWRRanks32[[#This Row],[Player]],WR!B:O,4,FALSE)),"")</f>
        <v>22.906838303999997</v>
      </c>
      <c r="AI20" s="83">
        <f>IFERROR((VLOOKUP(TableWRRanks32[[#This Row],[Player]],WR!B:O,5,FALSE)),"")</f>
        <v>0.22815575999999999</v>
      </c>
      <c r="AJ20" s="83">
        <f>IFERROR((VLOOKUP(TableWRRanks32[[#This Row],[Player]],WR!B:O,6,FALSE)),"")</f>
        <v>130.36595039999997</v>
      </c>
      <c r="AK20" s="83">
        <f>IFERROR((VLOOKUP(TableWRRanks32[[#This Row],[Player]],WR!B:O,7,FALSE)),"")</f>
        <v>78.871399991999979</v>
      </c>
      <c r="AL20" s="83">
        <f>IFERROR((VLOOKUP(TableWRRanks32[[#This Row],[Player]],WR!B:O,8,FALSE)),"")</f>
        <v>1100.2560298883996</v>
      </c>
      <c r="AM20" s="83">
        <f>IFERROR((VLOOKUP(TableWRRanks32[[#This Row],[Player]],WR!B:O,9,FALSE)),"")</f>
        <v>6.3097119993599984</v>
      </c>
      <c r="AN20" s="57">
        <f>IFERROR((IFERROR(INDEX(TableWRCalcPts[Custom],MATCH(TableWRRanks32[[#This Row],[RK]],TableWRCalcPts[RK],0)),"")),"")</f>
        <v>190.97919337139996</v>
      </c>
      <c r="AO2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15.069578711931007</v>
      </c>
      <c r="AQ20">
        <v>19</v>
      </c>
      <c r="AR20" t="str">
        <f>IFERROR(INDEX(TableTECalcPts[PLAYER],MATCH(TableTERanks33[[#This Row],[RK]],TableTECalcPts[RK],0)),"")</f>
        <v>Hunter Henry</v>
      </c>
      <c r="AS20" t="str">
        <f>IFERROR(INDEX(TableTECalcPts[TM],MATCH(TableTERanks33[[#This Row],[Player]],TableTECalcPts[PLAYER],0)),"")</f>
        <v>NE</v>
      </c>
      <c r="AT20">
        <f>IFERROR(INDEX(TableTECalcPts[BYE],MATCH(TableTERanks33[[#This Row],[Player]],TableTECalcPts[PLAYER],0)),"")</f>
        <v>11</v>
      </c>
      <c r="AU20" s="83">
        <f>IFERROR((VLOOKUP(TableTERanks33[[#This Row],[Player]],TE!B:O,4,FALSE)),"")</f>
        <v>73.694784799999994</v>
      </c>
      <c r="AV20" s="83">
        <f>IFERROR((VLOOKUP(TableTERanks33[[#This Row],[Player]],TE!B:O,5,FALSE)),"")</f>
        <v>47.3857466264</v>
      </c>
      <c r="AW20" s="83">
        <f>IFERROR((VLOOKUP(TableTERanks33[[#This Row],[Player]],TE!B:O,6,FALSE)),"")</f>
        <v>498.02419704346397</v>
      </c>
      <c r="AX20" s="83">
        <f>IFERROR((VLOOKUP(TableTERanks33[[#This Row],[Player]],TE!B:O,7,FALSE)),"")</f>
        <v>3.8856312233648</v>
      </c>
      <c r="AY20" s="57">
        <f>IFERROR((IFERROR(INDEX(TableTECalcPts[Custom],MATCH(TableTERanks33[[#This Row],[RK]],TableTECalcPts[RK],0)),"")),"")</f>
        <v>96.809080357735198</v>
      </c>
      <c r="AZ2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1" spans="1:52" x14ac:dyDescent="0.2">
      <c r="A21">
        <v>20</v>
      </c>
      <c r="B21" t="str">
        <f>IFERROR(INDEX(TableQBCalcPts[PLAYER],MATCH(TableQBRanks30[[#This Row],[RK]],TableQBCalcPts[RK],0)),"")</f>
        <v>Deshaun Watson</v>
      </c>
      <c r="C21" t="str">
        <f>IFERROR(INDEX(TableQBCalcPts[TM],MATCH(TableQBRanks30[[#This Row],[Player]],TableQBCalcPts[PLAYER],0)),"")</f>
        <v>CLE</v>
      </c>
      <c r="D21">
        <f>IFERROR(INDEX(TableQBCalcPts[BYE],MATCH(TableQBRanks30[[#This Row],[Player]],TableQBCalcPts[PLAYER],0)),"")</f>
        <v>5</v>
      </c>
      <c r="E21" s="83">
        <f>IFERROR((VLOOKUP(TableQBRanks30[[#This Row],[Player]],QB!B:O,4,FALSE)),"")</f>
        <v>537.65250000000003</v>
      </c>
      <c r="F21" s="83">
        <f>IFERROR((VLOOKUP(TableQBRanks30[[#This Row],[Player]],QB!B:O,5,FALSE)),"")</f>
        <v>339.79638</v>
      </c>
      <c r="G21" s="83">
        <f>IFERROR((VLOOKUP(TableQBRanks30[[#This Row],[Player]],QB!B:O,6,FALSE)),"")</f>
        <v>3810.1368089399998</v>
      </c>
      <c r="H21" s="83">
        <f>IFERROR((VLOOKUP(TableQBRanks30[[#This Row],[Player]],QB!B:O,7,FALSE)),"")</f>
        <v>23.1190575</v>
      </c>
      <c r="I21" s="83">
        <f>IFERROR((VLOOKUP(TableQBRanks30[[#This Row],[Player]],QB!B:O,8,FALSE)),"")</f>
        <v>7.47552036</v>
      </c>
      <c r="J21" s="83">
        <f>IFERROR((VLOOKUP(TableQBRanks30[[#This Row],[Player]],QB!B:O,9,FALSE)),"")</f>
        <v>82.696074999999993</v>
      </c>
      <c r="K21" s="83">
        <f>IFERROR((VLOOKUP(TableQBRanks30[[#This Row],[Player]],QB!B:O,10,FALSE)),"")</f>
        <v>426.711747</v>
      </c>
      <c r="L21" s="83">
        <f>IFERROR((VLOOKUP(TableQBRanks30[[#This Row],[Player]],QB!B:O,11,FALSE)),"")</f>
        <v>2.1500979499999997</v>
      </c>
      <c r="M21" s="57">
        <f>IFERROR(INDEX(TableQBCalcPts[Custom],MATCH(TableQBRanks30[[#This Row],[RK]],TableQBCalcPts[RK],0)),"")</f>
        <v>292.97794439760003</v>
      </c>
      <c r="N2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3.4459749722154447</v>
      </c>
      <c r="P21">
        <v>20</v>
      </c>
      <c r="Q21" t="str">
        <f>IFERROR(INDEX(TableRBCalcPts[PLAYER],MATCH(TableRBRanks31[[#This Row],[RK]],TableRBCalcPts[RK],0)),"")</f>
        <v>Alvin Kamara</v>
      </c>
      <c r="R21" t="str">
        <f>IFERROR(INDEX(TableRBCalcPts[TM],MATCH(TableRBRanks31[[#This Row],[Player]],TableRBCalcPts[PLAYER],0)),"")</f>
        <v>NO</v>
      </c>
      <c r="S21">
        <f>IFERROR(INDEX(TableRBCalcPts[BYE],MATCH(TableRBRanks31[[#This Row],[Player]],TableRBCalcPts[PLAYER],0)),"")</f>
        <v>11</v>
      </c>
      <c r="T21" s="83">
        <f>IFERROR((VLOOKUP(TableRBRanks31[[#This Row],[Player]],RB!B:O,4,FALSE)),"")</f>
        <v>175.91235200000003</v>
      </c>
      <c r="U21" s="83">
        <f>IFERROR((VLOOKUP(TableRBRanks31[[#This Row],[Player]],RB!B:O,5,FALSE)),"")</f>
        <v>687.81729632000008</v>
      </c>
      <c r="V21" s="83">
        <f>IFERROR((VLOOKUP(TableRBRanks31[[#This Row],[Player]],RB!B:O,6,FALSE)),"")</f>
        <v>5.4532829120000006</v>
      </c>
      <c r="W21" s="83">
        <f>IFERROR((VLOOKUP(TableRBRanks31[[#This Row],[Player]],RB!B:O,7,FALSE)),"")</f>
        <v>72.323283031999992</v>
      </c>
      <c r="X21" s="83">
        <f>IFERROR((VLOOKUP(TableRBRanks31[[#This Row],[Player]],RB!B:O,8,FALSE)),"")</f>
        <v>59.305092086239988</v>
      </c>
      <c r="Y21" s="83">
        <f>IFERROR((VLOOKUP(TableRBRanks31[[#This Row],[Player]],RB!B:O,9,FALSE)),"")</f>
        <v>409.20513539505595</v>
      </c>
      <c r="Z21" s="83">
        <f>IFERROR((VLOOKUP(TableRBRanks31[[#This Row],[Player]],RB!B:O,10,FALSE)),"")</f>
        <v>2.3722036834495994</v>
      </c>
      <c r="AA21" s="57">
        <f>IFERROR((IFERROR(INDEX(TableRBCalcPts[Custom],MATCH(TableRBRanks31[[#This Row],[RK]],TableRBCalcPts[RK],0)),"")),"")</f>
        <v>186.30770878732321</v>
      </c>
      <c r="AB2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30.502279188634354</v>
      </c>
      <c r="AD21">
        <v>20</v>
      </c>
      <c r="AE21" t="str">
        <f>IFERROR(INDEX(TableWRCalcPts[PLAYER],MATCH(TableWRRanks32[[#This Row],[RK]],TableWRCalcPts[RK],0)),"")</f>
        <v>Chris Olave</v>
      </c>
      <c r="AF21" t="str">
        <f>IFERROR(INDEX(TableWRCalcPts[TM],MATCH(TableWRRanks32[[#This Row],[Player]],TableWRCalcPts[PLAYER],0)),"")</f>
        <v>NO</v>
      </c>
      <c r="AG21">
        <f>IFERROR(INDEX(TableWRCalcPts[BYE],MATCH(TableWRRanks32[[#This Row],[Player]],TableWRCalcPts[PLAYER],0)),"")</f>
        <v>11</v>
      </c>
      <c r="AH21" s="83">
        <f>IFERROR((VLOOKUP(TableWRRanks32[[#This Row],[Player]],WR!B:O,4,FALSE)),"")</f>
        <v>0</v>
      </c>
      <c r="AI21" s="83">
        <f>IFERROR((VLOOKUP(TableWRRanks32[[#This Row],[Player]],WR!B:O,5,FALSE)),"")</f>
        <v>0</v>
      </c>
      <c r="AJ21" s="83">
        <f>IFERROR((VLOOKUP(TableWRRanks32[[#This Row],[Player]],WR!B:O,6,FALSE)),"")</f>
        <v>130.73824240399998</v>
      </c>
      <c r="AK21" s="83">
        <f>IFERROR((VLOOKUP(TableWRRanks32[[#This Row],[Player]],WR!B:O,7,FALSE)),"")</f>
        <v>81.972877987307982</v>
      </c>
      <c r="AL21" s="83">
        <f>IFERROR((VLOOKUP(TableWRRanks32[[#This Row],[Player]],WR!B:O,8,FALSE)),"")</f>
        <v>1127.1270723254847</v>
      </c>
      <c r="AM21" s="83">
        <f>IFERROR((VLOOKUP(TableWRRanks32[[#This Row],[Player]],WR!B:O,9,FALSE)),"")</f>
        <v>6.0659929710607905</v>
      </c>
      <c r="AN21" s="57">
        <f>IFERROR((IFERROR(INDEX(TableWRCalcPts[Custom],MATCH(TableWRRanks32[[#This Row],[RK]],TableWRCalcPts[RK],0)),"")),"")</f>
        <v>190.09510405256719</v>
      </c>
      <c r="AO2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14.783536470303881</v>
      </c>
      <c r="AQ21">
        <v>20</v>
      </c>
      <c r="AR21" t="str">
        <f>IFERROR(INDEX(TableTECalcPts[PLAYER],MATCH(TableTERanks33[[#This Row],[RK]],TableTECalcPts[RK],0)),"")</f>
        <v>Tyler Higbee</v>
      </c>
      <c r="AS21" t="str">
        <f>IFERROR(INDEX(TableTECalcPts[TM],MATCH(TableTERanks33[[#This Row],[Player]],TableTECalcPts[PLAYER],0)),"")</f>
        <v>LAR</v>
      </c>
      <c r="AT21">
        <f>IFERROR(INDEX(TableTECalcPts[BYE],MATCH(TableTERanks33[[#This Row],[Player]],TableTECalcPts[PLAYER],0)),"")</f>
        <v>10</v>
      </c>
      <c r="AU21" s="83">
        <f>IFERROR((VLOOKUP(TableTERanks33[[#This Row],[Player]],TE!B:O,4,FALSE)),"")</f>
        <v>72.452654399999972</v>
      </c>
      <c r="AV21" s="83">
        <f>IFERROR((VLOOKUP(TableTERanks33[[#This Row],[Player]],TE!B:O,5,FALSE)),"")</f>
        <v>49.050447028799987</v>
      </c>
      <c r="AW21" s="83">
        <f>IFERROR((VLOOKUP(TableTERanks33[[#This Row],[Player]],TE!B:O,6,FALSE)),"")</f>
        <v>506.20061333721588</v>
      </c>
      <c r="AX21" s="83">
        <f>IFERROR((VLOOKUP(TableTERanks33[[#This Row],[Player]],TE!B:O,7,FALSE)),"")</f>
        <v>3.1882790568719992</v>
      </c>
      <c r="AY21" s="57">
        <f>IFERROR((IFERROR(INDEX(TableTECalcPts[Custom],MATCH(TableTERanks33[[#This Row],[RK]],TableTECalcPts[RK],0)),"")),"")</f>
        <v>94.274959189353581</v>
      </c>
      <c r="AZ2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2" spans="1:52" x14ac:dyDescent="0.2">
      <c r="A22">
        <v>21</v>
      </c>
      <c r="B22" t="str">
        <f>IFERROR(INDEX(TableQBCalcPts[PLAYER],MATCH(TableQBRanks30[[#This Row],[RK]],TableQBCalcPts[RK],0)),"")</f>
        <v>Matthew Stafford</v>
      </c>
      <c r="C22" t="str">
        <f>IFERROR(INDEX(TableQBCalcPts[TM],MATCH(TableQBRanks30[[#This Row],[Player]],TableQBCalcPts[PLAYER],0)),"")</f>
        <v>LAR</v>
      </c>
      <c r="D22">
        <f>IFERROR(INDEX(TableQBCalcPts[BYE],MATCH(TableQBRanks30[[#This Row],[Player]],TableQBCalcPts[PLAYER],0)),"")</f>
        <v>10</v>
      </c>
      <c r="E22" s="83">
        <f>IFERROR((VLOOKUP(TableQBRanks30[[#This Row],[Player]],QB!B:O,4,FALSE)),"")</f>
        <v>591.45023999999989</v>
      </c>
      <c r="F22" s="83">
        <f>IFERROR((VLOOKUP(TableQBRanks30[[#This Row],[Player]],QB!B:O,5,FALSE)),"")</f>
        <v>379.71105407999994</v>
      </c>
      <c r="G22" s="83">
        <f>IFERROR((VLOOKUP(TableQBRanks30[[#This Row],[Player]],QB!B:O,6,FALSE)),"")</f>
        <v>4491.2223476582394</v>
      </c>
      <c r="H22" s="83">
        <f>IFERROR((VLOOKUP(TableQBRanks30[[#This Row],[Player]],QB!B:O,7,FALSE)),"")</f>
        <v>28.389611519999995</v>
      </c>
      <c r="I22" s="83">
        <f>IFERROR((VLOOKUP(TableQBRanks30[[#This Row],[Player]],QB!B:O,8,FALSE)),"")</f>
        <v>7.9739321356799993</v>
      </c>
      <c r="J22" s="83">
        <f>IFERROR((VLOOKUP(TableQBRanks30[[#This Row],[Player]],QB!B:O,9,FALSE)),"")</f>
        <v>21.065394000000001</v>
      </c>
      <c r="K22" s="83">
        <f>IFERROR((VLOOKUP(TableQBRanks30[[#This Row],[Player]],QB!B:O,10,FALSE)),"")</f>
        <v>44.658635280000006</v>
      </c>
      <c r="L22" s="83">
        <f>IFERROR((VLOOKUP(TableQBRanks30[[#This Row],[Player]],QB!B:O,11,FALSE)),"")</f>
        <v>0.21065394000000001</v>
      </c>
      <c r="M22" s="57">
        <f>IFERROR(INDEX(TableQBCalcPts[Custom],MATCH(TableQBRanks30[[#This Row],[RK]],TableQBCalcPts[RK],0)),"")</f>
        <v>290.96319501864951</v>
      </c>
      <c r="N2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2.6565794358366315</v>
      </c>
      <c r="P22">
        <v>21</v>
      </c>
      <c r="Q22" t="str">
        <f>IFERROR(INDEX(TableRBCalcPts[PLAYER],MATCH(TableRBRanks31[[#This Row],[RK]],TableRBCalcPts[RK],0)),"")</f>
        <v>James Conner</v>
      </c>
      <c r="R22" t="str">
        <f>IFERROR(INDEX(TableRBCalcPts[TM],MATCH(TableRBRanks31[[#This Row],[Player]],TableRBCalcPts[PLAYER],0)),"")</f>
        <v>ARI</v>
      </c>
      <c r="S22">
        <f>IFERROR(INDEX(TableRBCalcPts[BYE],MATCH(TableRBRanks31[[#This Row],[Player]],TableRBCalcPts[PLAYER],0)),"")</f>
        <v>14</v>
      </c>
      <c r="T22" s="83">
        <f>IFERROR((VLOOKUP(TableRBRanks31[[#This Row],[Player]],RB!B:O,4,FALSE)),"")</f>
        <v>195.224085</v>
      </c>
      <c r="U22" s="83">
        <f>IFERROR((VLOOKUP(TableRBRanks31[[#This Row],[Player]],RB!B:O,5,FALSE)),"")</f>
        <v>862.89045569999996</v>
      </c>
      <c r="V22" s="83">
        <f>IFERROR((VLOOKUP(TableRBRanks31[[#This Row],[Player]],RB!B:O,6,FALSE)),"")</f>
        <v>6.832842975000001</v>
      </c>
      <c r="W22" s="83">
        <f>IFERROR((VLOOKUP(TableRBRanks31[[#This Row],[Player]],RB!B:O,7,FALSE)),"")</f>
        <v>50.123692500000004</v>
      </c>
      <c r="X22" s="83">
        <f>IFERROR((VLOOKUP(TableRBRanks31[[#This Row],[Player]],RB!B:O,8,FALSE)),"")</f>
        <v>40.499943540000004</v>
      </c>
      <c r="Y22" s="83">
        <f>IFERROR((VLOOKUP(TableRBRanks31[[#This Row],[Player]],RB!B:O,9,FALSE)),"")</f>
        <v>271.34962171800004</v>
      </c>
      <c r="Z22" s="83">
        <f>IFERROR((VLOOKUP(TableRBRanks31[[#This Row],[Player]],RB!B:O,10,FALSE)),"")</f>
        <v>1.4579979674400001</v>
      </c>
      <c r="AA22" s="57">
        <f>IFERROR((IFERROR(INDEX(TableRBCalcPts[Custom],MATCH(TableRBRanks31[[#This Row],[RK]],TableRBCalcPts[RK],0)),"")),"")</f>
        <v>183.41902516644001</v>
      </c>
      <c r="AB2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29.304944265117832</v>
      </c>
      <c r="AD22">
        <v>21</v>
      </c>
      <c r="AE22" t="str">
        <f>IFERROR(INDEX(TableWRCalcPts[PLAYER],MATCH(TableWRRanks32[[#This Row],[RK]],TableWRCalcPts[RK],0)),"")</f>
        <v>George Pickens</v>
      </c>
      <c r="AF22" t="str">
        <f>IFERROR(INDEX(TableWRCalcPts[TM],MATCH(TableWRRanks32[[#This Row],[Player]],TableWRCalcPts[PLAYER],0)),"")</f>
        <v>PIT</v>
      </c>
      <c r="AG22">
        <f>IFERROR(INDEX(TableWRCalcPts[BYE],MATCH(TableWRRanks32[[#This Row],[Player]],TableWRCalcPts[PLAYER],0)),"")</f>
        <v>6</v>
      </c>
      <c r="AH22" s="83">
        <f>IFERROR((VLOOKUP(TableWRRanks32[[#This Row],[Player]],WR!B:O,4,FALSE)),"")</f>
        <v>0</v>
      </c>
      <c r="AI22" s="83">
        <f>IFERROR((VLOOKUP(TableWRRanks32[[#This Row],[Player]],WR!B:O,5,FALSE)),"")</f>
        <v>0</v>
      </c>
      <c r="AJ22" s="83">
        <f>IFERROR((VLOOKUP(TableWRRanks32[[#This Row],[Player]],WR!B:O,6,FALSE)),"")</f>
        <v>129.37102499999997</v>
      </c>
      <c r="AK22" s="83">
        <f>IFERROR((VLOOKUP(TableWRRanks32[[#This Row],[Player]],WR!B:O,7,FALSE)),"")</f>
        <v>78.010728074999989</v>
      </c>
      <c r="AL22" s="83">
        <f>IFERROR((VLOOKUP(TableWRRanks32[[#This Row],[Player]],WR!B:O,8,FALSE)),"")</f>
        <v>1126.4749134029998</v>
      </c>
      <c r="AM22" s="83">
        <f>IFERROR((VLOOKUP(TableWRRanks32[[#This Row],[Player]],WR!B:O,9,FALSE)),"")</f>
        <v>6.2408582459999993</v>
      </c>
      <c r="AN22" s="57">
        <f>IFERROR((IFERROR(INDEX(TableWRCalcPts[Custom],MATCH(TableWRRanks32[[#This Row],[RK]],TableWRCalcPts[RK],0)),"")),"")</f>
        <v>189.09800485379998</v>
      </c>
      <c r="AO2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14.460930502937886</v>
      </c>
      <c r="AQ22">
        <v>21</v>
      </c>
      <c r="AR22" t="str">
        <f>IFERROR(INDEX(TableTECalcPts[PLAYER],MATCH(TableTERanks33[[#This Row],[RK]],TableTECalcPts[RK],0)),"")</f>
        <v>Jelani Woods</v>
      </c>
      <c r="AS22" t="str">
        <f>IFERROR(INDEX(TableTECalcPts[TM],MATCH(TableTERanks33[[#This Row],[Player]],TableTECalcPts[PLAYER],0)),"")</f>
        <v>IND</v>
      </c>
      <c r="AT22">
        <f>IFERROR(INDEX(TableTECalcPts[BYE],MATCH(TableTERanks33[[#This Row],[Player]],TableTECalcPts[PLAYER],0)),"")</f>
        <v>11</v>
      </c>
      <c r="AU22" s="83">
        <f>IFERROR((VLOOKUP(TableTERanks33[[#This Row],[Player]],TE!B:O,4,FALSE)),"")</f>
        <v>64.395408000000003</v>
      </c>
      <c r="AV22" s="83">
        <f>IFERROR((VLOOKUP(TableTERanks33[[#This Row],[Player]],TE!B:O,5,FALSE)),"")</f>
        <v>38.894826432000002</v>
      </c>
      <c r="AW22" s="83">
        <f>IFERROR((VLOOKUP(TableTERanks33[[#This Row],[Player]],TE!B:O,6,FALSE)),"")</f>
        <v>471.79424462016004</v>
      </c>
      <c r="AX22" s="83">
        <f>IFERROR((VLOOKUP(TableTERanks33[[#This Row],[Player]],TE!B:O,7,FALSE)),"")</f>
        <v>3.8894826432000005</v>
      </c>
      <c r="AY22" s="57">
        <f>IFERROR((IFERROR(INDEX(TableTECalcPts[Custom],MATCH(TableTERanks33[[#This Row],[RK]],TableTECalcPts[RK],0)),"")),"")</f>
        <v>89.963733537216015</v>
      </c>
      <c r="AZ2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3" spans="1:52" x14ac:dyDescent="0.2">
      <c r="A23">
        <v>22</v>
      </c>
      <c r="B23" t="str">
        <f>IFERROR(INDEX(TableQBCalcPts[PLAYER],MATCH(TableQBRanks30[[#This Row],[RK]],TableQBCalcPts[RK],0)),"")</f>
        <v>Baker Mayfield</v>
      </c>
      <c r="C23" t="str">
        <f>IFERROR(INDEX(TableQBCalcPts[TM],MATCH(TableQBRanks30[[#This Row],[Player]],TableQBCalcPts[PLAYER],0)),"")</f>
        <v>TB</v>
      </c>
      <c r="D23">
        <f>IFERROR(INDEX(TableQBCalcPts[BYE],MATCH(TableQBRanks30[[#This Row],[Player]],TableQBCalcPts[PLAYER],0)),"")</f>
        <v>5</v>
      </c>
      <c r="E23" s="83">
        <f>IFERROR((VLOOKUP(TableQBRanks30[[#This Row],[Player]],QB!B:O,4,FALSE)),"")</f>
        <v>574.8963</v>
      </c>
      <c r="F23" s="83">
        <f>IFERROR((VLOOKUP(TableQBRanks30[[#This Row],[Player]],QB!B:O,5,FALSE)),"")</f>
        <v>366.78383939999998</v>
      </c>
      <c r="G23" s="83">
        <f>IFERROR((VLOOKUP(TableQBRanks30[[#This Row],[Player]],QB!B:O,6,FALSE)),"")</f>
        <v>4193.0728520207995</v>
      </c>
      <c r="H23" s="83">
        <f>IFERROR((VLOOKUP(TableQBRanks30[[#This Row],[Player]],QB!B:O,7,FALSE)),"")</f>
        <v>26.4452298</v>
      </c>
      <c r="I23" s="83">
        <f>IFERROR((VLOOKUP(TableQBRanks30[[#This Row],[Player]],QB!B:O,8,FALSE)),"")</f>
        <v>7.3356767879999998</v>
      </c>
      <c r="J23" s="83">
        <f>IFERROR((VLOOKUP(TableQBRanks30[[#This Row],[Player]],QB!B:O,9,FALSE)),"")</f>
        <v>46.660798800000002</v>
      </c>
      <c r="K23" s="83">
        <f>IFERROR((VLOOKUP(TableQBRanks30[[#This Row],[Player]],QB!B:O,10,FALSE)),"")</f>
        <v>137.64935646000001</v>
      </c>
      <c r="L23" s="83">
        <f>IFERROR((VLOOKUP(TableQBRanks30[[#This Row],[Player]],QB!B:O,11,FALSE)),"")</f>
        <v>0.79323357960000007</v>
      </c>
      <c r="M23" s="57">
        <f>IFERROR(INDEX(TableQBCalcPts[Custom],MATCH(TableQBRanks30[[#This Row],[RK]],TableQBCalcPts[RK],0)),"")</f>
        <v>284.69249361643199</v>
      </c>
      <c r="N2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1.7441193726555853</v>
      </c>
      <c r="P23">
        <v>22</v>
      </c>
      <c r="Q23" t="str">
        <f>IFERROR(INDEX(TableRBCalcPts[PLAYER],MATCH(TableRBRanks31[[#This Row],[RK]],TableRBCalcPts[RK],0)),"")</f>
        <v>Ezekiel Elliott</v>
      </c>
      <c r="R23" t="str">
        <f>IFERROR(INDEX(TableRBCalcPts[TM],MATCH(TableRBRanks31[[#This Row],[Player]],TableRBCalcPts[PLAYER],0)),"")</f>
        <v>DAL</v>
      </c>
      <c r="S23">
        <f>IFERROR(INDEX(TableRBCalcPts[BYE],MATCH(TableRBRanks31[[#This Row],[Player]],TableRBCalcPts[PLAYER],0)),"")</f>
        <v>7</v>
      </c>
      <c r="T23" s="83">
        <f>IFERROR((VLOOKUP(TableRBRanks31[[#This Row],[Player]],RB!B:O,4,FALSE)),"")</f>
        <v>209.04587760000004</v>
      </c>
      <c r="U23" s="83">
        <f>IFERROR((VLOOKUP(TableRBRanks31[[#This Row],[Player]],RB!B:O,5,FALSE)),"")</f>
        <v>861.26901571200017</v>
      </c>
      <c r="V23" s="83">
        <f>IFERROR((VLOOKUP(TableRBRanks31[[#This Row],[Player]],RB!B:O,6,FALSE)),"")</f>
        <v>8.3618351040000025</v>
      </c>
      <c r="W23" s="83">
        <f>IFERROR((VLOOKUP(TableRBRanks31[[#This Row],[Player]],RB!B:O,7,FALSE)),"")</f>
        <v>42.688270799999991</v>
      </c>
      <c r="X23" s="83">
        <f>IFERROR((VLOOKUP(TableRBRanks31[[#This Row],[Player]],RB!B:O,8,FALSE)),"")</f>
        <v>32.229644453999995</v>
      </c>
      <c r="Y23" s="83">
        <f>IFERROR((VLOOKUP(TableRBRanks31[[#This Row],[Player]],RB!B:O,9,FALSE)),"")</f>
        <v>235.27640451419995</v>
      </c>
      <c r="Z23" s="83">
        <f>IFERROR((VLOOKUP(TableRBRanks31[[#This Row],[Player]],RB!B:O,10,FALSE)),"")</f>
        <v>1.12803755589</v>
      </c>
      <c r="AA23" s="57">
        <f>IFERROR((IFERROR(INDEX(TableRBCalcPts[Custom],MATCH(TableRBRanks31[[#This Row],[RK]],TableRBCalcPts[RK],0)),"")),"")</f>
        <v>182.70860020896004</v>
      </c>
      <c r="AB2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29.01047913021031</v>
      </c>
      <c r="AD23">
        <v>22</v>
      </c>
      <c r="AE23" t="str">
        <f>IFERROR(INDEX(TableWRCalcPts[PLAYER],MATCH(TableWRRanks32[[#This Row],[RK]],TableWRCalcPts[RK],0)),"")</f>
        <v>Amari Cooper</v>
      </c>
      <c r="AF23" t="str">
        <f>IFERROR(INDEX(TableWRCalcPts[TM],MATCH(TableWRRanks32[[#This Row],[Player]],TableWRCalcPts[PLAYER],0)),"")</f>
        <v>CLE</v>
      </c>
      <c r="AG23">
        <f>IFERROR(INDEX(TableWRCalcPts[BYE],MATCH(TableWRRanks32[[#This Row],[Player]],TableWRCalcPts[PLAYER],0)),"")</f>
        <v>5</v>
      </c>
      <c r="AH23" s="83">
        <f>IFERROR((VLOOKUP(TableWRRanks32[[#This Row],[Player]],WR!B:O,4,FALSE)),"")</f>
        <v>0</v>
      </c>
      <c r="AI23" s="83">
        <f>IFERROR((VLOOKUP(TableWRRanks32[[#This Row],[Player]],WR!B:O,5,FALSE)),"")</f>
        <v>0</v>
      </c>
      <c r="AJ23" s="83">
        <f>IFERROR((VLOOKUP(TableWRRanks32[[#This Row],[Player]],WR!B:O,6,FALSE)),"")</f>
        <v>129.03659999999999</v>
      </c>
      <c r="AK23" s="83">
        <f>IFERROR((VLOOKUP(TableWRRanks32[[#This Row],[Player]],WR!B:O,7,FALSE)),"")</f>
        <v>77.680033199999997</v>
      </c>
      <c r="AL23" s="83">
        <f>IFERROR((VLOOKUP(TableWRRanks32[[#This Row],[Player]],WR!B:O,8,FALSE)),"")</f>
        <v>1095.2884681199998</v>
      </c>
      <c r="AM23" s="83">
        <f>IFERROR((VLOOKUP(TableWRRanks32[[#This Row],[Player]],WR!B:O,9,FALSE)),"")</f>
        <v>6.2144026559999999</v>
      </c>
      <c r="AN23" s="57">
        <f>IFERROR((IFERROR(INDEX(TableWRCalcPts[Custom],MATCH(TableWRRanks32[[#This Row],[RK]],TableWRCalcPts[RK],0)),"")),"")</f>
        <v>185.65527934799999</v>
      </c>
      <c r="AO2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13.347055581017031</v>
      </c>
      <c r="AQ23">
        <v>22</v>
      </c>
      <c r="AR23" t="str">
        <f>IFERROR(INDEX(TableTECalcPts[PLAYER],MATCH(TableTERanks33[[#This Row],[RK]],TableTECalcPts[RK],0)),"")</f>
        <v>Juwan Johnson</v>
      </c>
      <c r="AS23" t="str">
        <f>IFERROR(INDEX(TableTECalcPts[TM],MATCH(TableTERanks33[[#This Row],[Player]],TableTECalcPts[PLAYER],0)),"")</f>
        <v>NO</v>
      </c>
      <c r="AT23">
        <f>IFERROR(INDEX(TableTECalcPts[BYE],MATCH(TableTERanks33[[#This Row],[Player]],TableTECalcPts[PLAYER],0)),"")</f>
        <v>11</v>
      </c>
      <c r="AU23" s="83">
        <f>IFERROR((VLOOKUP(TableTERanks33[[#This Row],[Player]],TE!B:O,4,FALSE)),"")</f>
        <v>66.759953567999986</v>
      </c>
      <c r="AV23" s="83">
        <f>IFERROR((VLOOKUP(TableTERanks33[[#This Row],[Player]],TE!B:O,5,FALSE)),"")</f>
        <v>42.859890190655989</v>
      </c>
      <c r="AW23" s="83">
        <f>IFERROR((VLOOKUP(TableTERanks33[[#This Row],[Player]],TE!B:O,6,FALSE)),"")</f>
        <v>454.74343492285999</v>
      </c>
      <c r="AX23" s="83">
        <f>IFERROR((VLOOKUP(TableTERanks33[[#This Row],[Player]],TE!B:O,7,FALSE)),"")</f>
        <v>3.6002307760151031</v>
      </c>
      <c r="AY23" s="57">
        <f>IFERROR((IFERROR(INDEX(TableTECalcPts[Custom],MATCH(TableTERanks33[[#This Row],[RK]],TableTECalcPts[RK],0)),"")),"")</f>
        <v>88.505673243704607</v>
      </c>
      <c r="AZ2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4" spans="1:52" x14ac:dyDescent="0.2">
      <c r="A24">
        <v>23</v>
      </c>
      <c r="B24" t="str">
        <f>IFERROR(INDEX(TableQBCalcPts[PLAYER],MATCH(TableQBRanks30[[#This Row],[RK]],TableQBCalcPts[RK],0)),"")</f>
        <v>J.J. McCarthy</v>
      </c>
      <c r="C24" t="str">
        <f>IFERROR(INDEX(TableQBCalcPts[TM],MATCH(TableQBRanks30[[#This Row],[Player]],TableQBCalcPts[PLAYER],0)),"")</f>
        <v>MIN</v>
      </c>
      <c r="D24">
        <f>IFERROR(INDEX(TableQBCalcPts[BYE],MATCH(TableQBRanks30[[#This Row],[Player]],TableQBCalcPts[PLAYER],0)),"")</f>
        <v>13</v>
      </c>
      <c r="E24" s="83">
        <f>IFERROR((VLOOKUP(TableQBRanks30[[#This Row],[Player]],QB!B:O,4,FALSE)),"")</f>
        <v>590.36400000000003</v>
      </c>
      <c r="F24" s="83">
        <f>IFERROR((VLOOKUP(TableQBRanks30[[#This Row],[Player]],QB!B:O,5,FALSE)),"")</f>
        <v>373.11004800000001</v>
      </c>
      <c r="G24" s="83">
        <f>IFERROR((VLOOKUP(TableQBRanks30[[#This Row],[Player]],QB!B:O,6,FALSE)),"")</f>
        <v>4139.6559825600007</v>
      </c>
      <c r="H24" s="83">
        <f>IFERROR((VLOOKUP(TableQBRanks30[[#This Row],[Player]],QB!B:O,7,FALSE)),"")</f>
        <v>24.204924000000002</v>
      </c>
      <c r="I24" s="83">
        <f>IFERROR((VLOOKUP(TableQBRanks30[[#This Row],[Player]],QB!B:O,8,FALSE)),"")</f>
        <v>9.3277511999999998</v>
      </c>
      <c r="J24" s="83">
        <f>IFERROR((VLOOKUP(TableQBRanks30[[#This Row],[Player]],QB!B:O,9,FALSE)),"")</f>
        <v>41.473600000000005</v>
      </c>
      <c r="K24" s="83">
        <f>IFERROR((VLOOKUP(TableQBRanks30[[#This Row],[Player]],QB!B:O,10,FALSE)),"")</f>
        <v>178.33648000000002</v>
      </c>
      <c r="L24" s="83">
        <f>IFERROR((VLOOKUP(TableQBRanks30[[#This Row],[Player]],QB!B:O,11,FALSE)),"")</f>
        <v>2.2810480000000002</v>
      </c>
      <c r="M24" s="57">
        <f>IFERROR(INDEX(TableQBCalcPts[Custom],MATCH(TableQBRanks30[[#This Row],[RK]],TableQBCalcPts[RK],0)),"")</f>
        <v>284.59812010240006</v>
      </c>
      <c r="N2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1.5882342026571465</v>
      </c>
      <c r="P24">
        <v>23</v>
      </c>
      <c r="Q24" t="str">
        <f>IFERROR(INDEX(TableRBCalcPts[PLAYER],MATCH(TableRBRanks31[[#This Row],[RK]],TableRBCalcPts[RK],0)),"")</f>
        <v>D'Andre Swift</v>
      </c>
      <c r="R24" t="str">
        <f>IFERROR(INDEX(TableRBCalcPts[TM],MATCH(TableRBRanks31[[#This Row],[Player]],TableRBCalcPts[PLAYER],0)),"")</f>
        <v>CHI</v>
      </c>
      <c r="S24">
        <f>IFERROR(INDEX(TableRBCalcPts[BYE],MATCH(TableRBRanks31[[#This Row],[Player]],TableRBCalcPts[PLAYER],0)),"")</f>
        <v>13</v>
      </c>
      <c r="T24" s="83">
        <f>IFERROR((VLOOKUP(TableRBRanks31[[#This Row],[Player]],RB!B:O,4,FALSE)),"")</f>
        <v>200.77706879999997</v>
      </c>
      <c r="U24" s="83">
        <f>IFERROR((VLOOKUP(TableRBRanks31[[#This Row],[Player]],RB!B:O,5,FALSE)),"")</f>
        <v>877.39579065599992</v>
      </c>
      <c r="V24" s="83">
        <f>IFERROR((VLOOKUP(TableRBRanks31[[#This Row],[Player]],RB!B:O,6,FALSE)),"")</f>
        <v>7.0271974079999993</v>
      </c>
      <c r="W24" s="83">
        <f>IFERROR((VLOOKUP(TableRBRanks31[[#This Row],[Player]],RB!B:O,7,FALSE)),"")</f>
        <v>45.344678399999985</v>
      </c>
      <c r="X24" s="83">
        <f>IFERROR((VLOOKUP(TableRBRanks31[[#This Row],[Player]],RB!B:O,8,FALSE)),"")</f>
        <v>34.008508799999987</v>
      </c>
      <c r="Y24" s="83">
        <f>IFERROR((VLOOKUP(TableRBRanks31[[#This Row],[Player]],RB!B:O,9,FALSE)),"")</f>
        <v>258.46466687999987</v>
      </c>
      <c r="Z24" s="83">
        <f>IFERROR((VLOOKUP(TableRBRanks31[[#This Row],[Player]],RB!B:O,10,FALSE)),"")</f>
        <v>1.5303828959999994</v>
      </c>
      <c r="AA24" s="57">
        <f>IFERROR((IFERROR(INDEX(TableRBCalcPts[Custom],MATCH(TableRBRanks31[[#This Row],[RK]],TableRBCalcPts[RK],0)),"")),"")</f>
        <v>181.93578197759999</v>
      </c>
      <c r="AB2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28.690152511106643</v>
      </c>
      <c r="AD24">
        <v>23</v>
      </c>
      <c r="AE24" t="str">
        <f>IFERROR(INDEX(TableWRCalcPts[PLAYER],MATCH(TableWRRanks32[[#This Row],[RK]],TableWRCalcPts[RK],0)),"")</f>
        <v>DeVonta Smith</v>
      </c>
      <c r="AF24" t="str">
        <f>IFERROR(INDEX(TableWRCalcPts[TM],MATCH(TableWRRanks32[[#This Row],[Player]],TableWRCalcPts[PLAYER],0)),"")</f>
        <v>PHI</v>
      </c>
      <c r="AG24">
        <f>IFERROR(INDEX(TableWRCalcPts[BYE],MATCH(TableWRRanks32[[#This Row],[Player]],TableWRCalcPts[PLAYER],0)),"")</f>
        <v>10</v>
      </c>
      <c r="AH24" s="83">
        <f>IFERROR((VLOOKUP(TableWRRanks32[[#This Row],[Player]],WR!B:O,4,FALSE)),"")</f>
        <v>24.242214527999998</v>
      </c>
      <c r="AI24" s="83">
        <f>IFERROR((VLOOKUP(TableWRRanks32[[#This Row],[Player]],WR!B:O,5,FALSE)),"")</f>
        <v>7.2436896000000001E-2</v>
      </c>
      <c r="AJ24" s="83">
        <f>IFERROR((VLOOKUP(TableWRRanks32[[#This Row],[Player]],WR!B:O,6,FALSE)),"")</f>
        <v>122.72641920000001</v>
      </c>
      <c r="AK24" s="83">
        <f>IFERROR((VLOOKUP(TableWRRanks32[[#This Row],[Player]],WR!B:O,7,FALSE)),"")</f>
        <v>80.385804576000012</v>
      </c>
      <c r="AL24" s="83">
        <f>IFERROR((VLOOKUP(TableWRRanks32[[#This Row],[Player]],WR!B:O,8,FALSE)),"")</f>
        <v>1039.3884531676802</v>
      </c>
      <c r="AM24" s="83">
        <f>IFERROR((VLOOKUP(TableWRRanks32[[#This Row],[Player]],WR!B:O,9,FALSE)),"")</f>
        <v>6.189706952352001</v>
      </c>
      <c r="AN24" s="57">
        <f>IFERROR((IFERROR(INDEX(TableWRCalcPts[Custom],MATCH(TableWRRanks32[[#This Row],[RK]],TableWRCalcPts[RK],0)),"")),"")</f>
        <v>184.12883214768004</v>
      </c>
      <c r="AO2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12.853181976162903</v>
      </c>
      <c r="AQ24">
        <v>23</v>
      </c>
      <c r="AR24" t="str">
        <f>IFERROR(INDEX(TableTECalcPts[PLAYER],MATCH(TableTERanks33[[#This Row],[RK]],TableTECalcPts[RK],0)),"")</f>
        <v>Daniel Bellinger</v>
      </c>
      <c r="AS24" t="str">
        <f>IFERROR(INDEX(TableTECalcPts[TM],MATCH(TableTERanks33[[#This Row],[Player]],TableTECalcPts[PLAYER],0)),"")</f>
        <v>NYG</v>
      </c>
      <c r="AT24">
        <f>IFERROR(INDEX(TableTECalcPts[BYE],MATCH(TableTERanks33[[#This Row],[Player]],TableTECalcPts[PLAYER],0)),"")</f>
        <v>13</v>
      </c>
      <c r="AU24" s="83">
        <f>IFERROR((VLOOKUP(TableTERanks33[[#This Row],[Player]],TE!B:O,4,FALSE)),"")</f>
        <v>76.504209599999982</v>
      </c>
      <c r="AV24" s="83">
        <f>IFERROR((VLOOKUP(TableTERanks33[[#This Row],[Player]],TE!B:O,5,FALSE)),"")</f>
        <v>53.093921462399983</v>
      </c>
      <c r="AW24" s="83">
        <f>IFERROR((VLOOKUP(TableTERanks33[[#This Row],[Player]],TE!B:O,6,FALSE)),"")</f>
        <v>453.95302850351987</v>
      </c>
      <c r="AX24" s="83">
        <f>IFERROR((VLOOKUP(TableTERanks33[[#This Row],[Player]],TE!B:O,7,FALSE)),"")</f>
        <v>2.6546960731199993</v>
      </c>
      <c r="AY24" s="57">
        <f>IFERROR((IFERROR(INDEX(TableTECalcPts[Custom],MATCH(TableTERanks33[[#This Row],[RK]],TableTECalcPts[RK],0)),"")),"")</f>
        <v>87.870440020271985</v>
      </c>
      <c r="AZ2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5" spans="1:52" x14ac:dyDescent="0.2">
      <c r="A25">
        <v>24</v>
      </c>
      <c r="B25" t="str">
        <f>IFERROR(INDEX(TableQBCalcPts[PLAYER],MATCH(TableQBRanks30[[#This Row],[RK]],TableQBCalcPts[RK],0)),"")</f>
        <v>Geno Smith</v>
      </c>
      <c r="C25" t="str">
        <f>IFERROR(INDEX(TableQBCalcPts[TM],MATCH(TableQBRanks30[[#This Row],[Player]],TableQBCalcPts[PLAYER],0)),"")</f>
        <v>SEA</v>
      </c>
      <c r="D25">
        <f>IFERROR(INDEX(TableQBCalcPts[BYE],MATCH(TableQBRanks30[[#This Row],[Player]],TableQBCalcPts[PLAYER],0)),"")</f>
        <v>5</v>
      </c>
      <c r="E25" s="83">
        <f>IFERROR((VLOOKUP(TableQBRanks30[[#This Row],[Player]],QB!B:O,4,FALSE)),"")</f>
        <v>533.09609999999998</v>
      </c>
      <c r="F25" s="83">
        <f>IFERROR((VLOOKUP(TableQBRanks30[[#This Row],[Player]],QB!B:O,5,FALSE)),"")</f>
        <v>352.90961820000001</v>
      </c>
      <c r="G25" s="83">
        <f>IFERROR((VLOOKUP(TableQBRanks30[[#This Row],[Player]],QB!B:O,6,FALSE)),"")</f>
        <v>3943.0591641486003</v>
      </c>
      <c r="H25" s="83">
        <f>IFERROR((VLOOKUP(TableQBRanks30[[#This Row],[Player]],QB!B:O,7,FALSE)),"")</f>
        <v>24.5224206</v>
      </c>
      <c r="I25" s="83">
        <f>IFERROR((VLOOKUP(TableQBRanks30[[#This Row],[Player]],QB!B:O,8,FALSE)),"")</f>
        <v>6.7052827457999999</v>
      </c>
      <c r="J25" s="83">
        <f>IFERROR((VLOOKUP(TableQBRanks30[[#This Row],[Player]],QB!B:O,9,FALSE)),"")</f>
        <v>43.969758000000006</v>
      </c>
      <c r="K25" s="83">
        <f>IFERROR((VLOOKUP(TableQBRanks30[[#This Row],[Player]],QB!B:O,10,FALSE)),"")</f>
        <v>198.74330616</v>
      </c>
      <c r="L25" s="83">
        <f>IFERROR((VLOOKUP(TableQBRanks30[[#This Row],[Player]],QB!B:O,11,FALSE)),"")</f>
        <v>1.5389415300000004</v>
      </c>
      <c r="M25" s="57">
        <f>IFERROR(INDEX(TableQBCalcPts[Custom],MATCH(TableQBRanks30[[#This Row],[RK]],TableQBCalcPts[RK],0)),"")</f>
        <v>278.21474601614403</v>
      </c>
      <c r="N2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0.40204785963838163</v>
      </c>
      <c r="P25">
        <v>24</v>
      </c>
      <c r="Q25" t="str">
        <f>IFERROR(INDEX(TableRBCalcPts[PLAYER],MATCH(TableRBRanks31[[#This Row],[RK]],TableRBCalcPts[RK],0)),"")</f>
        <v>James Cook</v>
      </c>
      <c r="R25" t="str">
        <f>IFERROR(INDEX(TableRBCalcPts[TM],MATCH(TableRBRanks31[[#This Row],[Player]],TableRBCalcPts[PLAYER],0)),"")</f>
        <v>BUF</v>
      </c>
      <c r="S25">
        <f>IFERROR(INDEX(TableRBCalcPts[BYE],MATCH(TableRBRanks31[[#This Row],[Player]],TableRBCalcPts[PLAYER],0)),"")</f>
        <v>13</v>
      </c>
      <c r="T25" s="83">
        <f>IFERROR((VLOOKUP(TableRBRanks31[[#This Row],[Player]],RB!B:O,4,FALSE)),"")</f>
        <v>178.83980800000003</v>
      </c>
      <c r="U25" s="83">
        <f>IFERROR((VLOOKUP(TableRBRanks31[[#This Row],[Player]],RB!B:O,5,FALSE)),"")</f>
        <v>804.77913600000011</v>
      </c>
      <c r="V25" s="83">
        <f>IFERROR((VLOOKUP(TableRBRanks31[[#This Row],[Player]],RB!B:O,6,FALSE)),"")</f>
        <v>5.365194240000001</v>
      </c>
      <c r="W25" s="83">
        <f>IFERROR((VLOOKUP(TableRBRanks31[[#This Row],[Player]],RB!B:O,7,FALSE)),"")</f>
        <v>54.664243199999987</v>
      </c>
      <c r="X25" s="83">
        <f>IFERROR((VLOOKUP(TableRBRanks31[[#This Row],[Player]],RB!B:O,8,FALSE)),"")</f>
        <v>40.779525427199992</v>
      </c>
      <c r="Y25" s="83">
        <f>IFERROR((VLOOKUP(TableRBRanks31[[#This Row],[Player]],RB!B:O,9,FALSE)),"")</f>
        <v>345.40258036838395</v>
      </c>
      <c r="Z25" s="83">
        <f>IFERROR((VLOOKUP(TableRBRanks31[[#This Row],[Player]],RB!B:O,10,FALSE)),"")</f>
        <v>2.0389762713599997</v>
      </c>
      <c r="AA25" s="57">
        <f>IFERROR((IFERROR(INDEX(TableRBCalcPts[Custom],MATCH(TableRBRanks31[[#This Row],[RK]],TableRBCalcPts[RK],0)),"")),"")</f>
        <v>179.83295741859843</v>
      </c>
      <c r="AB2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27.818549520623737</v>
      </c>
      <c r="AD25">
        <v>24</v>
      </c>
      <c r="AE25" t="str">
        <f>IFERROR(INDEX(TableWRCalcPts[PLAYER],MATCH(TableWRRanks32[[#This Row],[RK]],TableWRCalcPts[RK],0)),"")</f>
        <v>Malik Nabers</v>
      </c>
      <c r="AF25" t="str">
        <f>IFERROR(INDEX(TableWRCalcPts[TM],MATCH(TableWRRanks32[[#This Row],[Player]],TableWRCalcPts[PLAYER],0)),"")</f>
        <v>NYG</v>
      </c>
      <c r="AG25">
        <f>IFERROR(INDEX(TableWRCalcPts[BYE],MATCH(TableWRRanks32[[#This Row],[Player]],TableWRCalcPts[PLAYER],0)),"")</f>
        <v>13</v>
      </c>
      <c r="AH25" s="83">
        <f>IFERROR((VLOOKUP(TableWRRanks32[[#This Row],[Player]],WR!B:O,4,FALSE)),"")</f>
        <v>0</v>
      </c>
      <c r="AI25" s="83">
        <f>IFERROR((VLOOKUP(TableWRRanks32[[#This Row],[Player]],WR!B:O,5,FALSE)),"")</f>
        <v>0</v>
      </c>
      <c r="AJ25" s="83">
        <f>IFERROR((VLOOKUP(TableWRRanks32[[#This Row],[Player]],WR!B:O,6,FALSE)),"")</f>
        <v>129.46866239999994</v>
      </c>
      <c r="AK25" s="83">
        <f>IFERROR((VLOOKUP(TableWRRanks32[[#This Row],[Player]],WR!B:O,7,FALSE)),"")</f>
        <v>83.248349923199967</v>
      </c>
      <c r="AL25" s="83">
        <f>IFERROR((VLOOKUP(TableWRRanks32[[#This Row],[Player]],WR!B:O,8,FALSE)),"")</f>
        <v>1067.2438460154235</v>
      </c>
      <c r="AM25" s="83">
        <f>IFERROR((VLOOKUP(TableWRRanks32[[#This Row],[Player]],WR!B:O,9,FALSE)),"")</f>
        <v>5.8273844946239981</v>
      </c>
      <c r="AN25" s="57">
        <f>IFERROR((IFERROR(INDEX(TableWRCalcPts[Custom],MATCH(TableWRRanks32[[#This Row],[RK]],TableWRCalcPts[RK],0)),"")),"")</f>
        <v>183.31286653088634</v>
      </c>
      <c r="AO2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12.5891807840362</v>
      </c>
      <c r="AQ25">
        <v>24</v>
      </c>
      <c r="AR25" t="str">
        <f>IFERROR(INDEX(TableTECalcPts[PLAYER],MATCH(TableTERanks33[[#This Row],[RK]],TableTECalcPts[RK],0)),"")</f>
        <v>Cade Otton</v>
      </c>
      <c r="AS25" t="str">
        <f>IFERROR(INDEX(TableTECalcPts[TM],MATCH(TableTERanks33[[#This Row],[Player]],TableTECalcPts[PLAYER],0)),"")</f>
        <v>TB</v>
      </c>
      <c r="AT25">
        <f>IFERROR(INDEX(TableTECalcPts[BYE],MATCH(TableTERanks33[[#This Row],[Player]],TableTECalcPts[PLAYER],0)),"")</f>
        <v>5</v>
      </c>
      <c r="AU25" s="83">
        <f>IFERROR((VLOOKUP(TableTERanks33[[#This Row],[Player]],TE!B:O,4,FALSE)),"")</f>
        <v>68.200855799999999</v>
      </c>
      <c r="AV25" s="83">
        <f>IFERROR((VLOOKUP(TableTERanks33[[#This Row],[Player]],TE!B:O,5,FALSE)),"")</f>
        <v>44.671560548999999</v>
      </c>
      <c r="AW25" s="83">
        <f>IFERROR((VLOOKUP(TableTERanks33[[#This Row],[Player]],TE!B:O,6,FALSE)),"")</f>
        <v>450.73604593940996</v>
      </c>
      <c r="AX25" s="83">
        <f>IFERROR((VLOOKUP(TableTERanks33[[#This Row],[Player]],TE!B:O,7,FALSE)),"")</f>
        <v>3.3503670411749997</v>
      </c>
      <c r="AY25" s="57">
        <f>IFERROR((IFERROR(INDEX(TableTECalcPts[Custom],MATCH(TableTERanks33[[#This Row],[RK]],TableTECalcPts[RK],0)),"")),"")</f>
        <v>87.511587115490997</v>
      </c>
      <c r="AZ2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6" spans="1:52" x14ac:dyDescent="0.2">
      <c r="A26">
        <v>25</v>
      </c>
      <c r="B26" t="str">
        <f>IFERROR(INDEX(TableQBCalcPts[PLAYER],MATCH(TableQBRanks30[[#This Row],[RK]],TableQBCalcPts[RK],0)),"")</f>
        <v>Bryce Young</v>
      </c>
      <c r="C26" t="str">
        <f>IFERROR(INDEX(TableQBCalcPts[TM],MATCH(TableQBRanks30[[#This Row],[Player]],TableQBCalcPts[PLAYER],0)),"")</f>
        <v>CAR</v>
      </c>
      <c r="D26">
        <f>IFERROR(INDEX(TableQBCalcPts[BYE],MATCH(TableQBRanks30[[#This Row],[Player]],TableQBCalcPts[PLAYER],0)),"")</f>
        <v>7</v>
      </c>
      <c r="E26" s="83">
        <f>IFERROR((VLOOKUP(TableQBRanks30[[#This Row],[Player]],QB!B:O,4,FALSE)),"")</f>
        <v>561.44049999999993</v>
      </c>
      <c r="F26" s="83">
        <f>IFERROR((VLOOKUP(TableQBRanks30[[#This Row],[Player]],QB!B:O,5,FALSE)),"")</f>
        <v>352.58463399999994</v>
      </c>
      <c r="G26" s="83">
        <f>IFERROR((VLOOKUP(TableQBRanks30[[#This Row],[Player]],QB!B:O,6,FALSE)),"")</f>
        <v>3860.8017422999992</v>
      </c>
      <c r="H26" s="83">
        <f>IFERROR((VLOOKUP(TableQBRanks30[[#This Row],[Player]],QB!B:O,7,FALSE)),"")</f>
        <v>21.334738999999995</v>
      </c>
      <c r="I26" s="83">
        <f>IFERROR((VLOOKUP(TableQBRanks30[[#This Row],[Player]],QB!B:O,8,FALSE)),"")</f>
        <v>7.0516926799999986</v>
      </c>
      <c r="J26" s="83">
        <f>IFERROR((VLOOKUP(TableQBRanks30[[#This Row],[Player]],QB!B:O,9,FALSE)),"")</f>
        <v>55.738725000000002</v>
      </c>
      <c r="K26" s="83">
        <f>IFERROR((VLOOKUP(TableQBRanks30[[#This Row],[Player]],QB!B:O,10,FALSE)),"")</f>
        <v>325.51415400000002</v>
      </c>
      <c r="L26" s="83">
        <f>IFERROR((VLOOKUP(TableQBRanks30[[#This Row],[Player]],QB!B:O,11,FALSE)),"")</f>
        <v>2.0623328249999999</v>
      </c>
      <c r="M26" s="57">
        <f>IFERROR(INDEX(TableQBCalcPts[Custom],MATCH(TableQBRanks30[[#This Row],[RK]],TableQBCalcPts[RK],0)),"")</f>
        <v>277.64474536199998</v>
      </c>
      <c r="N2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0.31565814663570663</v>
      </c>
      <c r="P26">
        <v>25</v>
      </c>
      <c r="Q26" t="str">
        <f>IFERROR(INDEX(TableRBCalcPts[PLAYER],MATCH(TableRBRanks31[[#This Row],[RK]],TableRBCalcPts[RK],0)),"")</f>
        <v>Tyjae Spears</v>
      </c>
      <c r="R26" t="str">
        <f>IFERROR(INDEX(TableRBCalcPts[TM],MATCH(TableRBRanks31[[#This Row],[Player]],TableRBCalcPts[PLAYER],0)),"")</f>
        <v>TEN</v>
      </c>
      <c r="S26">
        <f>IFERROR(INDEX(TableRBCalcPts[BYE],MATCH(TableRBRanks31[[#This Row],[Player]],TableRBCalcPts[PLAYER],0)),"")</f>
        <v>7</v>
      </c>
      <c r="T26" s="83">
        <f>IFERROR((VLOOKUP(TableRBRanks31[[#This Row],[Player]],RB!B:O,4,FALSE)),"")</f>
        <v>166.42164000000002</v>
      </c>
      <c r="U26" s="83">
        <f>IFERROR((VLOOKUP(TableRBRanks31[[#This Row],[Player]],RB!B:O,5,FALSE)),"")</f>
        <v>722.2699176000001</v>
      </c>
      <c r="V26" s="83">
        <f>IFERROR((VLOOKUP(TableRBRanks31[[#This Row],[Player]],RB!B:O,6,FALSE)),"")</f>
        <v>5.4919141200000015</v>
      </c>
      <c r="W26" s="83">
        <f>IFERROR((VLOOKUP(TableRBRanks31[[#This Row],[Player]],RB!B:O,7,FALSE)),"")</f>
        <v>64.51344899999998</v>
      </c>
      <c r="X26" s="83">
        <f>IFERROR((VLOOKUP(TableRBRanks31[[#This Row],[Player]],RB!B:O,8,FALSE)),"")</f>
        <v>48.707653994999987</v>
      </c>
      <c r="Y26" s="83">
        <f>IFERROR((VLOOKUP(TableRBRanks31[[#This Row],[Player]],RB!B:O,9,FALSE)),"")</f>
        <v>385.27754310044992</v>
      </c>
      <c r="Z26" s="83">
        <f>IFERROR((VLOOKUP(TableRBRanks31[[#This Row],[Player]],RB!B:O,10,FALSE)),"")</f>
        <v>1.9483061597999995</v>
      </c>
      <c r="AA26" s="57">
        <f>IFERROR((IFERROR(INDEX(TableRBCalcPts[Custom],MATCH(TableRBRanks31[[#This Row],[RK]],TableRBCalcPts[RK],0)),"")),"")</f>
        <v>179.74989474634501</v>
      </c>
      <c r="AB2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27.784120745658331</v>
      </c>
      <c r="AD26">
        <v>25</v>
      </c>
      <c r="AE26" t="str">
        <f>IFERROR(INDEX(TableWRCalcPts[PLAYER],MATCH(TableWRRanks32[[#This Row],[RK]],TableWRCalcPts[RK],0)),"")</f>
        <v>Stefon Diggs</v>
      </c>
      <c r="AF26" t="str">
        <f>IFERROR(INDEX(TableWRCalcPts[TM],MATCH(TableWRRanks32[[#This Row],[Player]],TableWRCalcPts[PLAYER],0)),"")</f>
        <v>HOU</v>
      </c>
      <c r="AG26">
        <f>IFERROR(INDEX(TableWRCalcPts[BYE],MATCH(TableWRRanks32[[#This Row],[Player]],TableWRCalcPts[PLAYER],0)),"")</f>
        <v>7</v>
      </c>
      <c r="AH26" s="83">
        <f>IFERROR((VLOOKUP(TableWRRanks32[[#This Row],[Player]],WR!B:O,4,FALSE)),"")</f>
        <v>21.718527999999999</v>
      </c>
      <c r="AI26" s="83">
        <f>IFERROR((VLOOKUP(TableWRRanks32[[#This Row],[Player]],WR!B:O,5,FALSE)),"")</f>
        <v>6.4896000000000009E-2</v>
      </c>
      <c r="AJ26" s="83">
        <f>IFERROR((VLOOKUP(TableWRRanks32[[#This Row],[Player]],WR!B:O,6,FALSE)),"")</f>
        <v>122.018624</v>
      </c>
      <c r="AK26" s="83">
        <f>IFERROR((VLOOKUP(TableWRRanks32[[#This Row],[Player]],WR!B:O,7,FALSE)),"")</f>
        <v>81.752478080000003</v>
      </c>
      <c r="AL26" s="83">
        <f>IFERROR((VLOOKUP(TableWRRanks32[[#This Row],[Player]],WR!B:O,8,FALSE)),"")</f>
        <v>978.57716261760004</v>
      </c>
      <c r="AM26" s="83">
        <f>IFERROR((VLOOKUP(TableWRRanks32[[#This Row],[Player]],WR!B:O,9,FALSE)),"")</f>
        <v>6.7037032025600007</v>
      </c>
      <c r="AN26" s="57">
        <f>IFERROR((IFERROR(INDEX(TableWRCalcPts[Custom],MATCH(TableWRRanks32[[#This Row],[RK]],TableWRCalcPts[RK],0)),"")),"")</f>
        <v>181.51740331712003</v>
      </c>
      <c r="AO2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12.008268526095092</v>
      </c>
      <c r="AQ26">
        <v>25</v>
      </c>
      <c r="AR26" t="str">
        <f>IFERROR(INDEX(TableTECalcPts[PLAYER],MATCH(TableTERanks33[[#This Row],[RK]],TableTECalcPts[RK],0)),"")</f>
        <v>Dalton Schultz</v>
      </c>
      <c r="AS26" t="str">
        <f>IFERROR(INDEX(TableTECalcPts[TM],MATCH(TableTERanks33[[#This Row],[Player]],TableTECalcPts[PLAYER],0)),"")</f>
        <v>HOU</v>
      </c>
      <c r="AT26">
        <f>IFERROR(INDEX(TableTECalcPts[BYE],MATCH(TableTERanks33[[#This Row],[Player]],TableTECalcPts[PLAYER],0)),"")</f>
        <v>7</v>
      </c>
      <c r="AU26" s="83">
        <f>IFERROR((VLOOKUP(TableTERanks33[[#This Row],[Player]],TE!B:O,4,FALSE)),"")</f>
        <v>61.306918399999994</v>
      </c>
      <c r="AV26" s="83">
        <f>IFERROR((VLOOKUP(TableTERanks33[[#This Row],[Player]],TE!B:O,5,FALSE)),"")</f>
        <v>41.8113183488</v>
      </c>
      <c r="AW26" s="83">
        <f>IFERROR((VLOOKUP(TableTERanks33[[#This Row],[Player]],TE!B:O,6,FALSE)),"")</f>
        <v>450.72601180006399</v>
      </c>
      <c r="AX26" s="83">
        <f>IFERROR((VLOOKUP(TableTERanks33[[#This Row],[Player]],TE!B:O,7,FALSE)),"")</f>
        <v>3.4703394229504001</v>
      </c>
      <c r="AY26" s="57">
        <f>IFERROR((IFERROR(INDEX(TableTECalcPts[Custom],MATCH(TableTERanks33[[#This Row],[RK]],TableTECalcPts[RK],0)),"")),"")</f>
        <v>86.800296892108804</v>
      </c>
      <c r="AZ2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7" spans="1:52" x14ac:dyDescent="0.2">
      <c r="A27">
        <v>26</v>
      </c>
      <c r="B27" t="str">
        <f>IFERROR(INDEX(TableQBCalcPts[PLAYER],MATCH(TableQBRanks30[[#This Row],[RK]],TableQBCalcPts[RK],0)),"")</f>
        <v>Will Levis</v>
      </c>
      <c r="C27" t="str">
        <f>IFERROR(INDEX(TableQBCalcPts[TM],MATCH(TableQBRanks30[[#This Row],[Player]],TableQBCalcPts[PLAYER],0)),"")</f>
        <v>TEN</v>
      </c>
      <c r="D27">
        <f>IFERROR(INDEX(TableQBCalcPts[BYE],MATCH(TableQBRanks30[[#This Row],[Player]],TableQBCalcPts[PLAYER],0)),"")</f>
        <v>7</v>
      </c>
      <c r="E27" s="83">
        <f>IFERROR((VLOOKUP(TableQBRanks30[[#This Row],[Player]],QB!B:O,4,FALSE)),"")</f>
        <v>568.53224999999986</v>
      </c>
      <c r="F27" s="83">
        <f>IFERROR((VLOOKUP(TableQBRanks30[[#This Row],[Player]],QB!B:O,5,FALSE)),"")</f>
        <v>352.48999499999991</v>
      </c>
      <c r="G27" s="83">
        <f>IFERROR((VLOOKUP(TableQBRanks30[[#This Row],[Player]],QB!B:O,6,FALSE)),"")</f>
        <v>4133.6501713649986</v>
      </c>
      <c r="H27" s="83">
        <f>IFERROR((VLOOKUP(TableQBRanks30[[#This Row],[Player]],QB!B:O,7,FALSE)),"")</f>
        <v>22.172757749999995</v>
      </c>
      <c r="I27" s="83">
        <f>IFERROR((VLOOKUP(TableQBRanks30[[#This Row],[Player]],QB!B:O,8,FALSE)),"")</f>
        <v>6.3448199099999982</v>
      </c>
      <c r="J27" s="83">
        <f>IFERROR((VLOOKUP(TableQBRanks30[[#This Row],[Player]],QB!B:O,9,FALSE)),"")</f>
        <v>41.605410000000006</v>
      </c>
      <c r="K27" s="83">
        <f>IFERROR((VLOOKUP(TableQBRanks30[[#This Row],[Player]],QB!B:O,10,FALSE)),"")</f>
        <v>143.95471860000001</v>
      </c>
      <c r="L27" s="83">
        <f>IFERROR((VLOOKUP(TableQBRanks30[[#This Row],[Player]],QB!B:O,11,FALSE)),"")</f>
        <v>1.7474272200000003</v>
      </c>
      <c r="M27" s="57">
        <f>IFERROR(INDEX(TableQBCalcPts[Custom],MATCH(TableQBRanks30[[#This Row],[RK]],TableQBCalcPts[RK],0)),"")</f>
        <v>272.57225312459991</v>
      </c>
      <c r="N2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7">
        <v>26</v>
      </c>
      <c r="Q27" t="str">
        <f>IFERROR(INDEX(TableRBCalcPts[PLAYER],MATCH(TableRBRanks31[[#This Row],[RK]],TableRBCalcPts[RK],0)),"")</f>
        <v>David Montgomery</v>
      </c>
      <c r="R27" t="str">
        <f>IFERROR(INDEX(TableRBCalcPts[TM],MATCH(TableRBRanks31[[#This Row],[Player]],TableRBCalcPts[PLAYER],0)),"")</f>
        <v>DET</v>
      </c>
      <c r="S27">
        <f>IFERROR(INDEX(TableRBCalcPts[BYE],MATCH(TableRBRanks31[[#This Row],[Player]],TableRBCalcPts[PLAYER],0)),"")</f>
        <v>9</v>
      </c>
      <c r="T27" s="83">
        <f>IFERROR((VLOOKUP(TableRBRanks31[[#This Row],[Player]],RB!B:O,4,FALSE)),"")</f>
        <v>192.25532200000004</v>
      </c>
      <c r="U27" s="83">
        <f>IFERROR((VLOOKUP(TableRBRanks31[[#This Row],[Player]],RB!B:O,5,FALSE)),"")</f>
        <v>861.30384256000025</v>
      </c>
      <c r="V27" s="83">
        <f>IFERROR((VLOOKUP(TableRBRanks31[[#This Row],[Player]],RB!B:O,6,FALSE)),"")</f>
        <v>9.8050214220000012</v>
      </c>
      <c r="W27" s="83">
        <f>IFERROR((VLOOKUP(TableRBRanks31[[#This Row],[Player]],RB!B:O,7,FALSE)),"")</f>
        <v>23.706983999999995</v>
      </c>
      <c r="X27" s="83">
        <f>IFERROR((VLOOKUP(TableRBRanks31[[#This Row],[Player]],RB!B:O,8,FALSE)),"")</f>
        <v>17.377219271999994</v>
      </c>
      <c r="Y27" s="83">
        <f>IFERROR((VLOOKUP(TableRBRanks31[[#This Row],[Player]],RB!B:O,9,FALSE)),"")</f>
        <v>123.89957340935996</v>
      </c>
      <c r="Z27" s="83">
        <f>IFERROR((VLOOKUP(TableRBRanks31[[#This Row],[Player]],RB!B:O,10,FALSE)),"")</f>
        <v>0.52131657815999977</v>
      </c>
      <c r="AA27" s="57">
        <f>IFERROR((IFERROR(INDEX(TableRBCalcPts[Custom],MATCH(TableRBRanks31[[#This Row],[RK]],TableRBCalcPts[RK],0)),"")),"")</f>
        <v>169.16697923389603</v>
      </c>
      <c r="AB2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23.397591793828802</v>
      </c>
      <c r="AD27">
        <v>26</v>
      </c>
      <c r="AE27" t="str">
        <f>IFERROR(INDEX(TableWRCalcPts[PLAYER],MATCH(TableWRRanks32[[#This Row],[RK]],TableWRCalcPts[RK],0)),"")</f>
        <v>Davante Adams</v>
      </c>
      <c r="AF27" t="str">
        <f>IFERROR(INDEX(TableWRCalcPts[TM],MATCH(TableWRRanks32[[#This Row],[Player]],TableWRCalcPts[PLAYER],0)),"")</f>
        <v>LV</v>
      </c>
      <c r="AG27">
        <f>IFERROR(INDEX(TableWRCalcPts[BYE],MATCH(TableWRRanks32[[#This Row],[Player]],TableWRCalcPts[PLAYER],0)),"")</f>
        <v>13</v>
      </c>
      <c r="AH27" s="83">
        <f>IFERROR((VLOOKUP(TableWRRanks32[[#This Row],[Player]],WR!B:O,4,FALSE)),"")</f>
        <v>0</v>
      </c>
      <c r="AI27" s="83">
        <f>IFERROR((VLOOKUP(TableWRRanks32[[#This Row],[Player]],WR!B:O,5,FALSE)),"")</f>
        <v>0</v>
      </c>
      <c r="AJ27" s="83">
        <f>IFERROR((VLOOKUP(TableWRRanks32[[#This Row],[Player]],WR!B:O,6,FALSE)),"")</f>
        <v>145.65249999999997</v>
      </c>
      <c r="AK27" s="83">
        <f>IFERROR((VLOOKUP(TableWRRanks32[[#This Row],[Player]],WR!B:O,7,FALSE)),"")</f>
        <v>86.808889999999977</v>
      </c>
      <c r="AL27" s="83">
        <f>IFERROR((VLOOKUP(TableWRRanks32[[#This Row],[Player]],WR!B:O,8,FALSE)),"")</f>
        <v>989.62134599999979</v>
      </c>
      <c r="AM27" s="83">
        <f>IFERROR((VLOOKUP(TableWRRanks32[[#This Row],[Player]],WR!B:O,9,FALSE)),"")</f>
        <v>6.5106667499999977</v>
      </c>
      <c r="AN27" s="57">
        <f>IFERROR((IFERROR(INDEX(TableWRCalcPts[Custom],MATCH(TableWRRanks32[[#This Row],[RK]],TableWRCalcPts[RK],0)),"")),"")</f>
        <v>181.43058009999996</v>
      </c>
      <c r="AO2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11.980177351231569</v>
      </c>
      <c r="AQ27">
        <v>26</v>
      </c>
      <c r="AR27" t="str">
        <f>IFERROR(INDEX(TableTECalcPts[PLAYER],MATCH(TableTERanks33[[#This Row],[RK]],TableTECalcPts[RK],0)),"")</f>
        <v>Tyler Conklin</v>
      </c>
      <c r="AS27" t="str">
        <f>IFERROR(INDEX(TableTECalcPts[TM],MATCH(TableTERanks33[[#This Row],[Player]],TableTECalcPts[PLAYER],0)),"")</f>
        <v>NYJ</v>
      </c>
      <c r="AT27">
        <f>IFERROR(INDEX(TableTECalcPts[BYE],MATCH(TableTERanks33[[#This Row],[Player]],TableTECalcPts[PLAYER],0)),"")</f>
        <v>7</v>
      </c>
      <c r="AU27" s="83">
        <f>IFERROR((VLOOKUP(TableTERanks33[[#This Row],[Player]],TE!B:O,4,FALSE)),"")</f>
        <v>59.251191999999996</v>
      </c>
      <c r="AV27" s="83">
        <f>IFERROR((VLOOKUP(TableTERanks33[[#This Row],[Player]],TE!B:O,5,FALSE)),"")</f>
        <v>41.949843935999994</v>
      </c>
      <c r="AW27" s="83">
        <f>IFERROR((VLOOKUP(TableTERanks33[[#This Row],[Player]],TE!B:O,6,FALSE)),"")</f>
        <v>435.01988161631988</v>
      </c>
      <c r="AX27" s="83">
        <f>IFERROR((VLOOKUP(TableTERanks33[[#This Row],[Player]],TE!B:O,7,FALSE)),"")</f>
        <v>3.0203887633919995</v>
      </c>
      <c r="AY27" s="57">
        <f>IFERROR((IFERROR(INDEX(TableTECalcPts[Custom],MATCH(TableTERanks33[[#This Row],[RK]],TableTECalcPts[RK],0)),"")),"")</f>
        <v>82.599242709983983</v>
      </c>
      <c r="AZ2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8" spans="1:52" x14ac:dyDescent="0.2">
      <c r="A28">
        <v>27</v>
      </c>
      <c r="B28" t="str">
        <f>IFERROR(INDEX(TableQBCalcPts[PLAYER],MATCH(TableQBRanks30[[#This Row],[RK]],TableQBCalcPts[RK],0)),"")</f>
        <v>Derek Carr</v>
      </c>
      <c r="C28" t="str">
        <f>IFERROR(INDEX(TableQBCalcPts[TM],MATCH(TableQBRanks30[[#This Row],[Player]],TableQBCalcPts[PLAYER],0)),"")</f>
        <v>NO</v>
      </c>
      <c r="D28">
        <f>IFERROR(INDEX(TableQBCalcPts[BYE],MATCH(TableQBRanks30[[#This Row],[Player]],TableQBCalcPts[PLAYER],0)),"")</f>
        <v>11</v>
      </c>
      <c r="E28" s="83">
        <f>IFERROR((VLOOKUP(TableQBRanks30[[#This Row],[Player]],QB!B:O,4,FALSE)),"")</f>
        <v>555.98179999999991</v>
      </c>
      <c r="F28" s="83">
        <f>IFERROR((VLOOKUP(TableQBRanks30[[#This Row],[Player]],QB!B:O,5,FALSE)),"")</f>
        <v>369.72789699999998</v>
      </c>
      <c r="G28" s="83">
        <f>IFERROR((VLOOKUP(TableQBRanks30[[#This Row],[Player]],QB!B:O,6,FALSE)),"")</f>
        <v>4020.4211519780001</v>
      </c>
      <c r="H28" s="83">
        <f>IFERROR((VLOOKUP(TableQBRanks30[[#This Row],[Player]],QB!B:O,7,FALSE)),"")</f>
        <v>23.907217399999993</v>
      </c>
      <c r="I28" s="83">
        <f>IFERROR((VLOOKUP(TableQBRanks30[[#This Row],[Player]],QB!B:O,8,FALSE)),"")</f>
        <v>6.6551021459999991</v>
      </c>
      <c r="J28" s="83">
        <f>IFERROR((VLOOKUP(TableQBRanks30[[#This Row],[Player]],QB!B:O,9,FALSE)),"")</f>
        <v>21.989044000000003</v>
      </c>
      <c r="K28" s="83">
        <f>IFERROR((VLOOKUP(TableQBRanks30[[#This Row],[Player]],QB!B:O,10,FALSE)),"")</f>
        <v>57.391404840000007</v>
      </c>
      <c r="L28" s="83">
        <f>IFERROR((VLOOKUP(TableQBRanks30[[#This Row],[Player]],QB!B:O,11,FALSE)),"")</f>
        <v>0.35182470400000004</v>
      </c>
      <c r="M28" s="57">
        <f>IFERROR(INDEX(TableQBCalcPts[Custom],MATCH(TableQBRanks30[[#This Row],[RK]],TableQBCalcPts[RK],0)),"")</f>
        <v>257.64070224111998</v>
      </c>
      <c r="N2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8">
        <v>27</v>
      </c>
      <c r="Q28" t="str">
        <f>IFERROR(INDEX(TableRBCalcPts[PLAYER],MATCH(TableRBRanks31[[#This Row],[RK]],TableRBCalcPts[RK],0)),"")</f>
        <v>Brian Robinson</v>
      </c>
      <c r="R28" t="str">
        <f>IFERROR(INDEX(TableRBCalcPts[TM],MATCH(TableRBRanks31[[#This Row],[Player]],TableRBCalcPts[PLAYER],0)),"")</f>
        <v>WSH</v>
      </c>
      <c r="S28">
        <f>IFERROR(INDEX(TableRBCalcPts[BYE],MATCH(TableRBRanks31[[#This Row],[Player]],TableRBCalcPts[PLAYER],0)),"")</f>
        <v>14</v>
      </c>
      <c r="T28" s="83">
        <f>IFERROR((VLOOKUP(TableRBRanks31[[#This Row],[Player]],RB!B:O,4,FALSE)),"")</f>
        <v>208.89949499999997</v>
      </c>
      <c r="U28" s="83">
        <f>IFERROR((VLOOKUP(TableRBRanks31[[#This Row],[Player]],RB!B:O,5,FALSE)),"")</f>
        <v>883.64486384999998</v>
      </c>
      <c r="V28" s="83">
        <f>IFERROR((VLOOKUP(TableRBRanks31[[#This Row],[Player]],RB!B:O,6,FALSE)),"")</f>
        <v>6.6847838399999997</v>
      </c>
      <c r="W28" s="83">
        <f>IFERROR((VLOOKUP(TableRBRanks31[[#This Row],[Player]],RB!B:O,7,FALSE)),"")</f>
        <v>34.180733999999994</v>
      </c>
      <c r="X28" s="83">
        <f>IFERROR((VLOOKUP(TableRBRanks31[[#This Row],[Player]],RB!B:O,8,FALSE)),"")</f>
        <v>25.327923893999994</v>
      </c>
      <c r="Y28" s="83">
        <f>IFERROR((VLOOKUP(TableRBRanks31[[#This Row],[Player]],RB!B:O,9,FALSE)),"")</f>
        <v>195.02501398379997</v>
      </c>
      <c r="Z28" s="83">
        <f>IFERROR((VLOOKUP(TableRBRanks31[[#This Row],[Player]],RB!B:O,10,FALSE)),"")</f>
        <v>0.78516564071399986</v>
      </c>
      <c r="AA28" s="57">
        <f>IFERROR((IFERROR(INDEX(TableRBCalcPts[Custom],MATCH(TableRBRanks31[[#This Row],[RK]],TableRBCalcPts[RK],0)),"")),"")</f>
        <v>165.35064661466396</v>
      </c>
      <c r="AB2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21.815754208110516</v>
      </c>
      <c r="AD28">
        <v>27</v>
      </c>
      <c r="AE28" t="str">
        <f>IFERROR(INDEX(TableWRCalcPts[PLAYER],MATCH(TableWRRanks32[[#This Row],[RK]],TableWRCalcPts[RK],0)),"")</f>
        <v>DeAndre Hopkins</v>
      </c>
      <c r="AF28" t="str">
        <f>IFERROR(INDEX(TableWRCalcPts[TM],MATCH(TableWRRanks32[[#This Row],[Player]],TableWRCalcPts[PLAYER],0)),"")</f>
        <v>TEN</v>
      </c>
      <c r="AG28">
        <f>IFERROR(INDEX(TableWRCalcPts[BYE],MATCH(TableWRRanks32[[#This Row],[Player]],TableWRCalcPts[PLAYER],0)),"")</f>
        <v>7</v>
      </c>
      <c r="AH28" s="83">
        <f>IFERROR((VLOOKUP(TableWRRanks32[[#This Row],[Player]],WR!B:O,4,FALSE)),"")</f>
        <v>0</v>
      </c>
      <c r="AI28" s="83">
        <f>IFERROR((VLOOKUP(TableWRRanks32[[#This Row],[Player]],WR!B:O,5,FALSE)),"")</f>
        <v>0</v>
      </c>
      <c r="AJ28" s="83">
        <f>IFERROR((VLOOKUP(TableWRRanks32[[#This Row],[Player]],WR!B:O,6,FALSE)),"")</f>
        <v>134.89175699999996</v>
      </c>
      <c r="AK28" s="83">
        <f>IFERROR((VLOOKUP(TableWRRanks32[[#This Row],[Player]],WR!B:O,7,FALSE)),"")</f>
        <v>78.776786087999966</v>
      </c>
      <c r="AL28" s="83">
        <f>IFERROR((VLOOKUP(TableWRRanks32[[#This Row],[Player]],WR!B:O,8,FALSE)),"")</f>
        <v>1035.9147370571995</v>
      </c>
      <c r="AM28" s="83">
        <f>IFERROR((VLOOKUP(TableWRRanks32[[#This Row],[Player]],WR!B:O,9,FALSE)),"")</f>
        <v>6.3021428870399978</v>
      </c>
      <c r="AN28" s="57">
        <f>IFERROR((IFERROR(INDEX(TableWRCalcPts[Custom],MATCH(TableWRRanks32[[#This Row],[RK]],TableWRCalcPts[RK],0)),"")),"")</f>
        <v>180.79272407195992</v>
      </c>
      <c r="AO2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11.77380253795271</v>
      </c>
      <c r="AQ28">
        <v>27</v>
      </c>
      <c r="AR28" t="str">
        <f>IFERROR(INDEX(TableTECalcPts[PLAYER],MATCH(TableTERanks33[[#This Row],[RK]],TableTECalcPts[RK],0)),"")</f>
        <v>Noah Fant</v>
      </c>
      <c r="AS28" t="str">
        <f>IFERROR(INDEX(TableTECalcPts[TM],MATCH(TableTERanks33[[#This Row],[Player]],TableTECalcPts[PLAYER],0)),"")</f>
        <v>SEA</v>
      </c>
      <c r="AT28">
        <f>IFERROR(INDEX(TableTECalcPts[BYE],MATCH(TableTERanks33[[#This Row],[Player]],TableTECalcPts[PLAYER],0)),"")</f>
        <v>5</v>
      </c>
      <c r="AU28" s="83">
        <f>IFERROR((VLOOKUP(TableTERanks33[[#This Row],[Player]],TE!B:O,4,FALSE)),"")</f>
        <v>58.048241999999995</v>
      </c>
      <c r="AV28" s="83">
        <f>IFERROR((VLOOKUP(TableTERanks33[[#This Row],[Player]],TE!B:O,5,FALSE)),"")</f>
        <v>40.22743170599999</v>
      </c>
      <c r="AW28" s="83">
        <f>IFERROR((VLOOKUP(TableTERanks33[[#This Row],[Player]],TE!B:O,6,FALSE)),"")</f>
        <v>429.22669630301988</v>
      </c>
      <c r="AX28" s="83">
        <f>IFERROR((VLOOKUP(TableTERanks33[[#This Row],[Player]],TE!B:O,7,FALSE)),"")</f>
        <v>2.4136459023599994</v>
      </c>
      <c r="AY28" s="57">
        <f>IFERROR((IFERROR(INDEX(TableTECalcPts[Custom],MATCH(TableTERanks33[[#This Row],[RK]],TableTECalcPts[RK],0)),"")),"")</f>
        <v>77.518260897461985</v>
      </c>
      <c r="AZ2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9" spans="1:52" x14ac:dyDescent="0.2">
      <c r="A29">
        <v>28</v>
      </c>
      <c r="B29" t="str">
        <f>IFERROR(INDEX(TableQBCalcPts[PLAYER],MATCH(TableQBRanks30[[#This Row],[RK]],TableQBCalcPts[RK],0)),"")</f>
        <v>Drake Maye</v>
      </c>
      <c r="C29" t="str">
        <f>IFERROR(INDEX(TableQBCalcPts[TM],MATCH(TableQBRanks30[[#This Row],[Player]],TableQBCalcPts[PLAYER],0)),"")</f>
        <v>NE</v>
      </c>
      <c r="D29">
        <f>IFERROR(INDEX(TableQBCalcPts[BYE],MATCH(TableQBRanks30[[#This Row],[Player]],TableQBCalcPts[PLAYER],0)),"")</f>
        <v>11</v>
      </c>
      <c r="E29" s="83">
        <f>IFERROR((VLOOKUP(TableQBRanks30[[#This Row],[Player]],QB!B:O,4,FALSE)),"")</f>
        <v>477.22289999999998</v>
      </c>
      <c r="F29" s="83">
        <f>IFERROR((VLOOKUP(TableQBRanks30[[#This Row],[Player]],QB!B:O,5,FALSE)),"")</f>
        <v>297.30986669999999</v>
      </c>
      <c r="G29" s="83">
        <f>IFERROR((VLOOKUP(TableQBRanks30[[#This Row],[Player]],QB!B:O,6,FALSE)),"")</f>
        <v>3202.3245742257</v>
      </c>
      <c r="H29" s="83">
        <f>IFERROR((VLOOKUP(TableQBRanks30[[#This Row],[Player]],QB!B:O,7,FALSE)),"")</f>
        <v>18.134470199999999</v>
      </c>
      <c r="I29" s="83">
        <f>IFERROR((VLOOKUP(TableQBRanks30[[#This Row],[Player]],QB!B:O,8,FALSE)),"")</f>
        <v>5.3515776005999998</v>
      </c>
      <c r="J29" s="83">
        <f>IFERROR((VLOOKUP(TableQBRanks30[[#This Row],[Player]],QB!B:O,9,FALSE)),"")</f>
        <v>60.854785600000014</v>
      </c>
      <c r="K29" s="83">
        <f>IFERROR((VLOOKUP(TableQBRanks30[[#This Row],[Player]],QB!B:O,10,FALSE)),"")</f>
        <v>284.80039660800003</v>
      </c>
      <c r="L29" s="83">
        <f>IFERROR((VLOOKUP(TableQBRanks30[[#This Row],[Player]],QB!B:O,11,FALSE)),"")</f>
        <v>2.5559009952000009</v>
      </c>
      <c r="M29" s="57">
        <f>IFERROR(INDEX(TableQBCalcPts[Custom],MATCH(TableQBRanks30[[#This Row],[RK]],TableQBCalcPts[RK],0)),"")</f>
        <v>239.09473180042801</v>
      </c>
      <c r="N2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9">
        <v>28</v>
      </c>
      <c r="Q29" t="str">
        <f>IFERROR(INDEX(TableRBCalcPts[PLAYER],MATCH(TableRBRanks31[[#This Row],[RK]],TableRBCalcPts[RK],0)),"")</f>
        <v>Gus Edwards</v>
      </c>
      <c r="R29" t="str">
        <f>IFERROR(INDEX(TableRBCalcPts[TM],MATCH(TableRBRanks31[[#This Row],[Player]],TableRBCalcPts[PLAYER],0)),"")</f>
        <v>LAC</v>
      </c>
      <c r="S29">
        <f>IFERROR(INDEX(TableRBCalcPts[BYE],MATCH(TableRBRanks31[[#This Row],[Player]],TableRBCalcPts[PLAYER],0)),"")</f>
        <v>5</v>
      </c>
      <c r="T29" s="83">
        <f>IFERROR((VLOOKUP(TableRBRanks31[[#This Row],[Player]],RB!B:O,4,FALSE)),"")</f>
        <v>207.00980019999997</v>
      </c>
      <c r="U29" s="83">
        <f>IFERROR((VLOOKUP(TableRBRanks31[[#This Row],[Player]],RB!B:O,5,FALSE)),"")</f>
        <v>877.72155284799987</v>
      </c>
      <c r="V29" s="83">
        <f>IFERROR((VLOOKUP(TableRBRanks31[[#This Row],[Player]],RB!B:O,6,FALSE)),"")</f>
        <v>8.2803920079999997</v>
      </c>
      <c r="W29" s="83">
        <f>IFERROR((VLOOKUP(TableRBRanks31[[#This Row],[Player]],RB!B:O,7,FALSE)),"")</f>
        <v>22.334474399999998</v>
      </c>
      <c r="X29" s="83">
        <f>IFERROR((VLOOKUP(TableRBRanks31[[#This Row],[Player]],RB!B:O,8,FALSE)),"")</f>
        <v>17.6219003016</v>
      </c>
      <c r="Y29" s="83">
        <f>IFERROR((VLOOKUP(TableRBRanks31[[#This Row],[Player]],RB!B:O,9,FALSE)),"")</f>
        <v>139.21301238264002</v>
      </c>
      <c r="Z29" s="83">
        <f>IFERROR((VLOOKUP(TableRBRanks31[[#This Row],[Player]],RB!B:O,10,FALSE)),"")</f>
        <v>0.70487601206399997</v>
      </c>
      <c r="AA29" s="57">
        <f>IFERROR((IFERROR(INDEX(TableRBCalcPts[Custom],MATCH(TableRBRanks31[[#This Row],[RK]],TableRBCalcPts[RK],0)),"")),"")</f>
        <v>164.41601479424801</v>
      </c>
      <c r="AB2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21.428357225234389</v>
      </c>
      <c r="AD29">
        <v>28</v>
      </c>
      <c r="AE29" t="str">
        <f>IFERROR(INDEX(TableWRCalcPts[PLAYER],MATCH(TableWRRanks32[[#This Row],[RK]],TableWRCalcPts[RK],0)),"")</f>
        <v>Jordan Addison</v>
      </c>
      <c r="AF29" t="str">
        <f>IFERROR(INDEX(TableWRCalcPts[TM],MATCH(TableWRRanks32[[#This Row],[Player]],TableWRCalcPts[PLAYER],0)),"")</f>
        <v>MIN</v>
      </c>
      <c r="AG29">
        <f>IFERROR(INDEX(TableWRCalcPts[BYE],MATCH(TableWRRanks32[[#This Row],[Player]],TableWRCalcPts[PLAYER],0)),"")</f>
        <v>13</v>
      </c>
      <c r="AH29" s="83">
        <f>IFERROR((VLOOKUP(TableWRRanks32[[#This Row],[Player]],WR!B:O,4,FALSE)),"")</f>
        <v>0</v>
      </c>
      <c r="AI29" s="83">
        <f>IFERROR((VLOOKUP(TableWRRanks32[[#This Row],[Player]],WR!B:O,5,FALSE)),"")</f>
        <v>0</v>
      </c>
      <c r="AJ29" s="83">
        <f>IFERROR((VLOOKUP(TableWRRanks32[[#This Row],[Player]],WR!B:O,6,FALSE)),"")</f>
        <v>130.64183999999997</v>
      </c>
      <c r="AK29" s="83">
        <f>IFERROR((VLOOKUP(TableWRRanks32[[#This Row],[Player]],WR!B:O,7,FALSE)),"")</f>
        <v>79.430238719999977</v>
      </c>
      <c r="AL29" s="83">
        <f>IFERROR((VLOOKUP(TableWRRanks32[[#This Row],[Player]],WR!B:O,8,FALSE)),"")</f>
        <v>1031.7988009727997</v>
      </c>
      <c r="AM29" s="83">
        <f>IFERROR((VLOOKUP(TableWRRanks32[[#This Row],[Player]],WR!B:O,9,FALSE)),"")</f>
        <v>6.1161283814399985</v>
      </c>
      <c r="AN29" s="57">
        <f>IFERROR((IFERROR(INDEX(TableWRCalcPts[Custom],MATCH(TableWRRanks32[[#This Row],[RK]],TableWRCalcPts[RK],0)),"")),"")</f>
        <v>179.59176974591995</v>
      </c>
      <c r="AO2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11.385240364205591</v>
      </c>
      <c r="AQ29">
        <v>28</v>
      </c>
      <c r="AR29" t="str">
        <f>IFERROR(INDEX(TableTECalcPts[PLAYER],MATCH(TableTERanks33[[#This Row],[RK]],TableTECalcPts[RK],0)),"")</f>
        <v>Jonnu Smith</v>
      </c>
      <c r="AS29" t="str">
        <f>IFERROR(INDEX(TableTECalcPts[TM],MATCH(TableTERanks33[[#This Row],[Player]],TableTECalcPts[PLAYER],0)),"")</f>
        <v>MIA</v>
      </c>
      <c r="AT29">
        <f>IFERROR(INDEX(TableTECalcPts[BYE],MATCH(TableTERanks33[[#This Row],[Player]],TableTECalcPts[PLAYER],0)),"")</f>
        <v>10</v>
      </c>
      <c r="AU29" s="83">
        <f>IFERROR((VLOOKUP(TableTERanks33[[#This Row],[Player]],TE!B:O,4,FALSE)),"")</f>
        <v>49.838056799999997</v>
      </c>
      <c r="AV29" s="83">
        <f>IFERROR((VLOOKUP(TableTERanks33[[#This Row],[Player]],TE!B:O,5,FALSE)),"")</f>
        <v>33.939716680800004</v>
      </c>
      <c r="AW29" s="83">
        <f>IFERROR((VLOOKUP(TableTERanks33[[#This Row],[Player]],TE!B:O,6,FALSE)),"")</f>
        <v>370.28230898752804</v>
      </c>
      <c r="AX29" s="83">
        <f>IFERROR((VLOOKUP(TableTERanks33[[#This Row],[Player]],TE!B:O,7,FALSE)),"")</f>
        <v>2.5454787510600001</v>
      </c>
      <c r="AY29" s="57">
        <f>IFERROR((IFERROR(INDEX(TableTECalcPts[Custom],MATCH(TableTERanks33[[#This Row],[RK]],TableTECalcPts[RK],0)),"")),"")</f>
        <v>69.270961745512807</v>
      </c>
      <c r="AZ2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0" spans="1:52" x14ac:dyDescent="0.2">
      <c r="A30">
        <v>29</v>
      </c>
      <c r="B30" t="str">
        <f>IFERROR(INDEX(TableQBCalcPts[PLAYER],MATCH(TableQBRanks30[[#This Row],[RK]],TableQBCalcPts[RK],0)),"")</f>
        <v>Daniel Jones</v>
      </c>
      <c r="C30" t="str">
        <f>IFERROR(INDEX(TableQBCalcPts[TM],MATCH(TableQBRanks30[[#This Row],[Player]],TableQBCalcPts[PLAYER],0)),"")</f>
        <v>NYG</v>
      </c>
      <c r="D30">
        <f>IFERROR(INDEX(TableQBCalcPts[BYE],MATCH(TableQBRanks30[[#This Row],[Player]],TableQBCalcPts[PLAYER],0)),"")</f>
        <v>13</v>
      </c>
      <c r="E30" s="83">
        <f>IFERROR((VLOOKUP(TableQBRanks30[[#This Row],[Player]],QB!B:O,4,FALSE)),"")</f>
        <v>450.37799999999993</v>
      </c>
      <c r="F30" s="83">
        <f>IFERROR((VLOOKUP(TableQBRanks30[[#This Row],[Player]],QB!B:O,5,FALSE)),"")</f>
        <v>298.60061399999995</v>
      </c>
      <c r="G30" s="83">
        <f>IFERROR((VLOOKUP(TableQBRanks30[[#This Row],[Player]],QB!B:O,6,FALSE)),"")</f>
        <v>3023.6298173639993</v>
      </c>
      <c r="H30" s="83">
        <f>IFERROR((VLOOKUP(TableQBRanks30[[#This Row],[Player]],QB!B:O,7,FALSE)),"")</f>
        <v>15.312851999999999</v>
      </c>
      <c r="I30" s="83">
        <f>IFERROR((VLOOKUP(TableQBRanks30[[#This Row],[Player]],QB!B:O,8,FALSE)),"")</f>
        <v>6.2706128939999992</v>
      </c>
      <c r="J30" s="83">
        <f>IFERROR((VLOOKUP(TableQBRanks30[[#This Row],[Player]],QB!B:O,9,FALSE)),"")</f>
        <v>65.781912000000005</v>
      </c>
      <c r="K30" s="83">
        <f>IFERROR((VLOOKUP(TableQBRanks30[[#This Row],[Player]],QB!B:O,10,FALSE)),"")</f>
        <v>335.48775119999999</v>
      </c>
      <c r="L30" s="83">
        <f>IFERROR((VLOOKUP(TableQBRanks30[[#This Row],[Player]],QB!B:O,11,FALSE)),"")</f>
        <v>2.1050211840000004</v>
      </c>
      <c r="M30" s="57">
        <f>IFERROR(INDEX(TableQBCalcPts[Custom],MATCH(TableQBRanks30[[#This Row],[RK]],TableQBCalcPts[RK],0)),"")</f>
        <v>222.10489002455995</v>
      </c>
      <c r="N3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0">
        <v>29</v>
      </c>
      <c r="Q30" t="str">
        <f>IFERROR(INDEX(TableRBCalcPts[PLAYER],MATCH(TableRBRanks31[[#This Row],[RK]],TableRBCalcPts[RK],0)),"")</f>
        <v>Raheem Mostert</v>
      </c>
      <c r="R30" t="str">
        <f>IFERROR(INDEX(TableRBCalcPts[TM],MATCH(TableRBRanks31[[#This Row],[Player]],TableRBCalcPts[PLAYER],0)),"")</f>
        <v>MIA</v>
      </c>
      <c r="S30">
        <f>IFERROR(INDEX(TableRBCalcPts[BYE],MATCH(TableRBRanks31[[#This Row],[Player]],TableRBCalcPts[PLAYER],0)),"")</f>
        <v>10</v>
      </c>
      <c r="T30" s="83">
        <f>IFERROR((VLOOKUP(TableRBRanks31[[#This Row],[Player]],RB!B:O,4,FALSE)),"")</f>
        <v>160.02176960000003</v>
      </c>
      <c r="U30" s="83">
        <f>IFERROR((VLOOKUP(TableRBRanks31[[#This Row],[Player]],RB!B:O,5,FALSE)),"")</f>
        <v>752.10231712000018</v>
      </c>
      <c r="V30" s="83">
        <f>IFERROR((VLOOKUP(TableRBRanks31[[#This Row],[Player]],RB!B:O,6,FALSE)),"")</f>
        <v>9.2812626368000029</v>
      </c>
      <c r="W30" s="83">
        <f>IFERROR((VLOOKUP(TableRBRanks31[[#This Row],[Player]],RB!B:O,7,FALSE)),"")</f>
        <v>26.384853599999996</v>
      </c>
      <c r="X30" s="83">
        <f>IFERROR((VLOOKUP(TableRBRanks31[[#This Row],[Player]],RB!B:O,8,FALSE)),"")</f>
        <v>19.735870492799997</v>
      </c>
      <c r="Y30" s="83">
        <f>IFERROR((VLOOKUP(TableRBRanks31[[#This Row],[Player]],RB!B:O,9,FALSE)),"")</f>
        <v>141.11147402351997</v>
      </c>
      <c r="Z30" s="83">
        <f>IFERROR((VLOOKUP(TableRBRanks31[[#This Row],[Player]],RB!B:O,10,FALSE)),"")</f>
        <v>1.1841522295679998</v>
      </c>
      <c r="AA30" s="57">
        <f>IFERROR((IFERROR(INDEX(TableRBCalcPts[Custom],MATCH(TableRBRanks31[[#This Row],[RK]],TableRBCalcPts[RK],0)),"")),"")</f>
        <v>161.98180355896005</v>
      </c>
      <c r="AB3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20.419397260856062</v>
      </c>
      <c r="AD30">
        <v>29</v>
      </c>
      <c r="AE30" t="str">
        <f>IFERROR(INDEX(TableWRCalcPts[PLAYER],MATCH(TableWRRanks32[[#This Row],[RK]],TableWRCalcPts[RK],0)),"")</f>
        <v>Cooper Kupp</v>
      </c>
      <c r="AF30" t="str">
        <f>IFERROR(INDEX(TableWRCalcPts[TM],MATCH(TableWRRanks32[[#This Row],[Player]],TableWRCalcPts[PLAYER],0)),"")</f>
        <v>LAR</v>
      </c>
      <c r="AG30">
        <f>IFERROR(INDEX(TableWRCalcPts[BYE],MATCH(TableWRRanks32[[#This Row],[Player]],TableWRCalcPts[PLAYER],0)),"")</f>
        <v>10</v>
      </c>
      <c r="AH30" s="83">
        <f>IFERROR((VLOOKUP(TableWRRanks32[[#This Row],[Player]],WR!B:O,4,FALSE)),"")</f>
        <v>0</v>
      </c>
      <c r="AI30" s="83">
        <f>IFERROR((VLOOKUP(TableWRRanks32[[#This Row],[Player]],WR!B:O,5,FALSE)),"")</f>
        <v>0</v>
      </c>
      <c r="AJ30" s="83">
        <f>IFERROR((VLOOKUP(TableWRRanks32[[#This Row],[Player]],WR!B:O,6,FALSE)),"")</f>
        <v>120.75442399999996</v>
      </c>
      <c r="AK30" s="83">
        <f>IFERROR((VLOOKUP(TableWRRanks32[[#This Row],[Player]],WR!B:O,7,FALSE)),"")</f>
        <v>77.282831359999975</v>
      </c>
      <c r="AL30" s="83">
        <f>IFERROR((VLOOKUP(TableWRRanks32[[#This Row],[Player]],WR!B:O,8,FALSE)),"")</f>
        <v>981.49195827199958</v>
      </c>
      <c r="AM30" s="83">
        <f>IFERROR((VLOOKUP(TableWRRanks32[[#This Row],[Player]],WR!B:O,9,FALSE)),"")</f>
        <v>6.9554548223999975</v>
      </c>
      <c r="AN30" s="57">
        <f>IFERROR((IFERROR(INDEX(TableWRCalcPts[Custom],MATCH(TableWRRanks32[[#This Row],[RK]],TableWRCalcPts[RK],0)),"")),"")</f>
        <v>178.52334044159994</v>
      </c>
      <c r="AO3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11.039555933099352</v>
      </c>
      <c r="AQ30">
        <v>29</v>
      </c>
      <c r="AR30" t="str">
        <f>IFERROR(INDEX(TableTECalcPts[PLAYER],MATCH(TableTERanks33[[#This Row],[RK]],TableTECalcPts[RK],0)),"")</f>
        <v>Zach Ertz</v>
      </c>
      <c r="AS30" t="str">
        <f>IFERROR(INDEX(TableTECalcPts[TM],MATCH(TableTERanks33[[#This Row],[Player]],TableTECalcPts[PLAYER],0)),"")</f>
        <v>WSH</v>
      </c>
      <c r="AT30">
        <f>IFERROR(INDEX(TableTECalcPts[BYE],MATCH(TableTERanks33[[#This Row],[Player]],TableTECalcPts[PLAYER],0)),"")</f>
        <v>14</v>
      </c>
      <c r="AU30" s="83">
        <f>IFERROR((VLOOKUP(TableTERanks33[[#This Row],[Player]],TE!B:O,4,FALSE)),"")</f>
        <v>56.967889999999997</v>
      </c>
      <c r="AV30" s="83">
        <f>IFERROR((VLOOKUP(TableTERanks33[[#This Row],[Player]],TE!B:O,5,FALSE)),"")</f>
        <v>36.972160609999996</v>
      </c>
      <c r="AW30" s="83">
        <f>IFERROR((VLOOKUP(TableTERanks33[[#This Row],[Player]],TE!B:O,6,FALSE)),"")</f>
        <v>340.88332082419998</v>
      </c>
      <c r="AX30" s="83">
        <f>IFERROR((VLOOKUP(TableTERanks33[[#This Row],[Player]],TE!B:O,7,FALSE)),"")</f>
        <v>2.6619955639199997</v>
      </c>
      <c r="AY30" s="57">
        <f>IFERROR((IFERROR(INDEX(TableTECalcPts[Custom],MATCH(TableTERanks33[[#This Row],[RK]],TableTECalcPts[RK],0)),"")),"")</f>
        <v>68.546385770939992</v>
      </c>
      <c r="AZ3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1" spans="1:52" x14ac:dyDescent="0.2">
      <c r="A31">
        <v>30</v>
      </c>
      <c r="B31" t="str">
        <f>IFERROR(INDEX(TableQBCalcPts[PLAYER],MATCH(TableQBRanks30[[#This Row],[RK]],TableQBCalcPts[RK],0)),"")</f>
        <v>Russell Wilson</v>
      </c>
      <c r="C31" t="str">
        <f>IFERROR(INDEX(TableQBCalcPts[TM],MATCH(TableQBRanks30[[#This Row],[Player]],TableQBCalcPts[PLAYER],0)),"")</f>
        <v>PIT</v>
      </c>
      <c r="D31">
        <f>IFERROR(INDEX(TableQBCalcPts[BYE],MATCH(TableQBRanks30[[#This Row],[Player]],TableQBCalcPts[PLAYER],0)),"")</f>
        <v>6</v>
      </c>
      <c r="E31" s="83">
        <f>IFERROR((VLOOKUP(TableQBRanks30[[#This Row],[Player]],QB!B:O,4,FALSE)),"")</f>
        <v>393.22499999999997</v>
      </c>
      <c r="F31" s="83">
        <f>IFERROR((VLOOKUP(TableQBRanks30[[#This Row],[Player]],QB!B:O,5,FALSE)),"")</f>
        <v>254.8098</v>
      </c>
      <c r="G31" s="83">
        <f>IFERROR((VLOOKUP(TableQBRanks30[[#This Row],[Player]],QB!B:O,6,FALSE)),"")</f>
        <v>2757.5516555999998</v>
      </c>
      <c r="H31" s="83">
        <f>IFERROR((VLOOKUP(TableQBRanks30[[#This Row],[Player]],QB!B:O,7,FALSE)),"")</f>
        <v>16.908674999999999</v>
      </c>
      <c r="I31" s="83">
        <f>IFERROR((VLOOKUP(TableQBRanks30[[#This Row],[Player]],QB!B:O,8,FALSE)),"")</f>
        <v>4.5865763999999993</v>
      </c>
      <c r="J31" s="83">
        <f>IFERROR((VLOOKUP(TableQBRanks30[[#This Row],[Player]],QB!B:O,9,FALSE)),"")</f>
        <v>47.848500000000001</v>
      </c>
      <c r="K31" s="83">
        <f>IFERROR((VLOOKUP(TableQBRanks30[[#This Row],[Player]],QB!B:O,10,FALSE)),"")</f>
        <v>212.925825</v>
      </c>
      <c r="L31" s="83">
        <f>IFERROR((VLOOKUP(TableQBRanks30[[#This Row],[Player]],QB!B:O,11,FALSE)),"")</f>
        <v>1.1483640000000002</v>
      </c>
      <c r="M31" s="57">
        <f>IFERROR(INDEX(TableQBCalcPts[Custom],MATCH(TableQBRanks30[[#This Row],[RK]],TableQBCalcPts[RK],0)),"")</f>
        <v>201.532956324</v>
      </c>
      <c r="N3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1">
        <v>30</v>
      </c>
      <c r="Q31" t="str">
        <f>IFERROR(INDEX(TableRBCalcPts[PLAYER],MATCH(TableRBRanks31[[#This Row],[RK]],TableRBCalcPts[RK],0)),"")</f>
        <v>Zack Moss</v>
      </c>
      <c r="R31" t="str">
        <f>IFERROR(INDEX(TableRBCalcPts[TM],MATCH(TableRBRanks31[[#This Row],[Player]],TableRBCalcPts[PLAYER],0)),"")</f>
        <v>CIN</v>
      </c>
      <c r="S31">
        <f>IFERROR(INDEX(TableRBCalcPts[BYE],MATCH(TableRBRanks31[[#This Row],[Player]],TableRBCalcPts[PLAYER],0)),"")</f>
        <v>7</v>
      </c>
      <c r="T31" s="83">
        <f>IFERROR((VLOOKUP(TableRBRanks31[[#This Row],[Player]],RB!B:O,4,FALSE)),"")</f>
        <v>181.08906479999999</v>
      </c>
      <c r="U31" s="83">
        <f>IFERROR((VLOOKUP(TableRBRanks31[[#This Row],[Player]],RB!B:O,5,FALSE)),"")</f>
        <v>724.35625919999995</v>
      </c>
      <c r="V31" s="83">
        <f>IFERROR((VLOOKUP(TableRBRanks31[[#This Row],[Player]],RB!B:O,6,FALSE)),"")</f>
        <v>6.8813844623999998</v>
      </c>
      <c r="W31" s="83">
        <f>IFERROR((VLOOKUP(TableRBRanks31[[#This Row],[Player]],RB!B:O,7,FALSE)),"")</f>
        <v>43.649768400000006</v>
      </c>
      <c r="X31" s="83">
        <f>IFERROR((VLOOKUP(TableRBRanks31[[#This Row],[Player]],RB!B:O,8,FALSE)),"")</f>
        <v>34.570616572800006</v>
      </c>
      <c r="Y31" s="83">
        <f>IFERROR((VLOOKUP(TableRBRanks31[[#This Row],[Player]],RB!B:O,9,FALSE)),"")</f>
        <v>231.62313103776003</v>
      </c>
      <c r="Z31" s="83">
        <f>IFERROR((VLOOKUP(TableRBRanks31[[#This Row],[Player]],RB!B:O,10,FALSE)),"")</f>
        <v>1.2099715800480004</v>
      </c>
      <c r="AA31" s="57">
        <f>IFERROR((IFERROR(INDEX(TableRBCalcPts[Custom],MATCH(TableRBRanks31[[#This Row],[RK]],TableRBCalcPts[RK],0)),"")),"")</f>
        <v>161.43138356486401</v>
      </c>
      <c r="AB3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20.191252829680366</v>
      </c>
      <c r="AD31">
        <v>30</v>
      </c>
      <c r="AE31" t="str">
        <f>IFERROR(INDEX(TableWRCalcPts[PLAYER],MATCH(TableWRRanks32[[#This Row],[RK]],TableWRCalcPts[RK],0)),"")</f>
        <v>Christian Kirk</v>
      </c>
      <c r="AF31" t="str">
        <f>IFERROR(INDEX(TableWRCalcPts[TM],MATCH(TableWRRanks32[[#This Row],[Player]],TableWRCalcPts[PLAYER],0)),"")</f>
        <v>JAX</v>
      </c>
      <c r="AG31">
        <f>IFERROR(INDEX(TableWRCalcPts[BYE],MATCH(TableWRRanks32[[#This Row],[Player]],TableWRCalcPts[PLAYER],0)),"")</f>
        <v>9</v>
      </c>
      <c r="AH31" s="83">
        <f>IFERROR((VLOOKUP(TableWRRanks32[[#This Row],[Player]],WR!B:O,4,FALSE)),"")</f>
        <v>20.061372239999997</v>
      </c>
      <c r="AI31" s="83">
        <f>IFERROR((VLOOKUP(TableWRRanks32[[#This Row],[Player]],WR!B:O,5,FALSE)),"")</f>
        <v>0.102878832</v>
      </c>
      <c r="AJ31" s="83">
        <f>IFERROR((VLOOKUP(TableWRRanks32[[#This Row],[Player]],WR!B:O,6,FALSE)),"")</f>
        <v>126.89422199999994</v>
      </c>
      <c r="AK31" s="83">
        <f>IFERROR((VLOOKUP(TableWRRanks32[[#This Row],[Player]],WR!B:O,7,FALSE)),"")</f>
        <v>82.608138521999962</v>
      </c>
      <c r="AL31" s="83">
        <f>IFERROR((VLOOKUP(TableWRRanks32[[#This Row],[Player]],WR!B:O,8,FALSE)),"")</f>
        <v>1044.1668709180797</v>
      </c>
      <c r="AM31" s="83">
        <f>IFERROR((VLOOKUP(TableWRRanks32[[#This Row],[Player]],WR!B:O,9,FALSE)),"")</f>
        <v>4.9564883113199976</v>
      </c>
      <c r="AN31" s="57">
        <f>IFERROR((IFERROR(INDEX(TableWRCalcPts[Custom],MATCH(TableWRRanks32[[#This Row],[RK]],TableWRCalcPts[RK],0)),"")),"")</f>
        <v>178.08309643672794</v>
      </c>
      <c r="AO3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10.897117404170229</v>
      </c>
      <c r="AQ31">
        <v>30</v>
      </c>
      <c r="AR31" t="str">
        <f>IFERROR(INDEX(TableTECalcPts[PLAYER],MATCH(TableTERanks33[[#This Row],[RK]],TableTECalcPts[RK],0)),"")</f>
        <v>Mike Gesicki</v>
      </c>
      <c r="AS31" t="str">
        <f>IFERROR(INDEX(TableTECalcPts[TM],MATCH(TableTERanks33[[#This Row],[Player]],TableTECalcPts[PLAYER],0)),"")</f>
        <v>CIN</v>
      </c>
      <c r="AT31">
        <f>IFERROR(INDEX(TableTECalcPts[BYE],MATCH(TableTERanks33[[#This Row],[Player]],TableTECalcPts[PLAYER],0)),"")</f>
        <v>7</v>
      </c>
      <c r="AU31" s="83">
        <f>IFERROR((VLOOKUP(TableTERanks33[[#This Row],[Player]],TE!B:O,4,FALSE)),"")</f>
        <v>49.885449599999994</v>
      </c>
      <c r="AV31" s="83">
        <f>IFERROR((VLOOKUP(TableTERanks33[[#This Row],[Player]],TE!B:O,5,FALSE)),"")</f>
        <v>35.219127417599992</v>
      </c>
      <c r="AW31" s="83">
        <f>IFERROR((VLOOKUP(TableTERanks33[[#This Row],[Player]],TE!B:O,6,FALSE)),"")</f>
        <v>345.14744869247994</v>
      </c>
      <c r="AX31" s="83">
        <f>IFERROR((VLOOKUP(TableTERanks33[[#This Row],[Player]],TE!B:O,7,FALSE)),"")</f>
        <v>2.6414345563199992</v>
      </c>
      <c r="AY31" s="57">
        <f>IFERROR((IFERROR(INDEX(TableTECalcPts[Custom],MATCH(TableTERanks33[[#This Row],[RK]],TableTECalcPts[RK],0)),"")),"")</f>
        <v>67.972915915967988</v>
      </c>
      <c r="AZ3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2" spans="1:52" x14ac:dyDescent="0.2">
      <c r="A32">
        <v>31</v>
      </c>
      <c r="B32" t="str">
        <f>IFERROR(INDEX(TableQBCalcPts[PLAYER],MATCH(TableQBRanks30[[#This Row],[RK]],TableQBCalcPts[RK],0)),"")</f>
        <v>Bo Nix</v>
      </c>
      <c r="C32" t="str">
        <f>IFERROR(INDEX(TableQBCalcPts[TM],MATCH(TableQBRanks30[[#This Row],[Player]],TableQBCalcPts[PLAYER],0)),"")</f>
        <v>DEN</v>
      </c>
      <c r="D32">
        <f>IFERROR(INDEX(TableQBCalcPts[BYE],MATCH(TableQBRanks30[[#This Row],[Player]],TableQBCalcPts[PLAYER],0)),"")</f>
        <v>9</v>
      </c>
      <c r="E32" s="83">
        <f>IFERROR((VLOOKUP(TableQBRanks30[[#This Row],[Player]],QB!B:O,4,FALSE)),"")</f>
        <v>436.88625000000002</v>
      </c>
      <c r="F32" s="83">
        <f>IFERROR((VLOOKUP(TableQBRanks30[[#This Row],[Player]],QB!B:O,5,FALSE)),"")</f>
        <v>273.05390625000001</v>
      </c>
      <c r="G32" s="83">
        <f>IFERROR((VLOOKUP(TableQBRanks30[[#This Row],[Player]],QB!B:O,6,FALSE)),"")</f>
        <v>2968.0959609375</v>
      </c>
      <c r="H32" s="83">
        <f>IFERROR((VLOOKUP(TableQBRanks30[[#This Row],[Player]],QB!B:O,7,FALSE)),"")</f>
        <v>17.475450000000002</v>
      </c>
      <c r="I32" s="83">
        <f>IFERROR((VLOOKUP(TableQBRanks30[[#This Row],[Player]],QB!B:O,8,FALSE)),"")</f>
        <v>5.4610781250000002</v>
      </c>
      <c r="J32" s="83">
        <f>IFERROR((VLOOKUP(TableQBRanks30[[#This Row],[Player]],QB!B:O,9,FALSE)),"")</f>
        <v>30.766071000000007</v>
      </c>
      <c r="K32" s="83">
        <f>IFERROR((VLOOKUP(TableQBRanks30[[#This Row],[Player]],QB!B:O,10,FALSE)),"")</f>
        <v>123.37194471000002</v>
      </c>
      <c r="L32" s="83">
        <f>IFERROR((VLOOKUP(TableQBRanks30[[#This Row],[Player]],QB!B:O,11,FALSE)),"")</f>
        <v>0.92298213000000018</v>
      </c>
      <c r="M32" s="57">
        <f>IFERROR(INDEX(TableQBCalcPts[Custom],MATCH(TableQBRanks30[[#This Row],[RK]],TableQBCalcPts[RK],0)),"")</f>
        <v>201.03964756350001</v>
      </c>
      <c r="N3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2">
        <v>31</v>
      </c>
      <c r="Q32" t="str">
        <f>IFERROR(INDEX(TableRBCalcPts[PLAYER],MATCH(TableRBRanks31[[#This Row],[RK]],TableRBCalcPts[RK],0)),"")</f>
        <v>Devin Singletary</v>
      </c>
      <c r="R32" t="str">
        <f>IFERROR(INDEX(TableRBCalcPts[TM],MATCH(TableRBRanks31[[#This Row],[Player]],TableRBCalcPts[PLAYER],0)),"")</f>
        <v>NYG</v>
      </c>
      <c r="S32">
        <f>IFERROR(INDEX(TableRBCalcPts[BYE],MATCH(TableRBRanks31[[#This Row],[Player]],TableRBCalcPts[PLAYER],0)),"")</f>
        <v>13</v>
      </c>
      <c r="T32" s="83">
        <f>IFERROR((VLOOKUP(TableRBRanks31[[#This Row],[Player]],RB!B:O,4,FALSE)),"")</f>
        <v>197.34573600000002</v>
      </c>
      <c r="U32" s="83">
        <f>IFERROR((VLOOKUP(TableRBRanks31[[#This Row],[Player]],RB!B:O,5,FALSE)),"")</f>
        <v>820.95826176000014</v>
      </c>
      <c r="V32" s="83">
        <f>IFERROR((VLOOKUP(TableRBRanks31[[#This Row],[Player]],RB!B:O,6,FALSE)),"")</f>
        <v>5.3283348720000001</v>
      </c>
      <c r="W32" s="83">
        <f>IFERROR((VLOOKUP(TableRBRanks31[[#This Row],[Player]],RB!B:O,7,FALSE)),"")</f>
        <v>47.079513599999984</v>
      </c>
      <c r="X32" s="83">
        <f>IFERROR((VLOOKUP(TableRBRanks31[[#This Row],[Player]],RB!B:O,8,FALSE)),"")</f>
        <v>34.650522009599989</v>
      </c>
      <c r="Y32" s="83">
        <f>IFERROR((VLOOKUP(TableRBRanks31[[#This Row],[Player]],RB!B:O,9,FALSE)),"")</f>
        <v>232.15849746431994</v>
      </c>
      <c r="Z32" s="83">
        <f>IFERROR((VLOOKUP(TableRBRanks31[[#This Row],[Player]],RB!B:O,10,FALSE)),"")</f>
        <v>1.0048651382783997</v>
      </c>
      <c r="AA32" s="57">
        <f>IFERROR((IFERROR(INDEX(TableRBCalcPts[Custom],MATCH(TableRBRanks31[[#This Row],[RK]],TableRBCalcPts[RK],0)),"")),"")</f>
        <v>160.63613698890239</v>
      </c>
      <c r="AB3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19.861629851475968</v>
      </c>
      <c r="AD32">
        <v>31</v>
      </c>
      <c r="AE32" t="str">
        <f>IFERROR(INDEX(TableWRCalcPts[PLAYER],MATCH(TableWRRanks32[[#This Row],[RK]],TableWRCalcPts[RK],0)),"")</f>
        <v>Tank Dell</v>
      </c>
      <c r="AF32" t="str">
        <f>IFERROR(INDEX(TableWRCalcPts[TM],MATCH(TableWRRanks32[[#This Row],[Player]],TableWRCalcPts[PLAYER],0)),"")</f>
        <v>HOU</v>
      </c>
      <c r="AG32">
        <f>IFERROR(INDEX(TableWRCalcPts[BYE],MATCH(TableWRRanks32[[#This Row],[Player]],TableWRCalcPts[PLAYER],0)),"")</f>
        <v>7</v>
      </c>
      <c r="AH32" s="83">
        <f>IFERROR((VLOOKUP(TableWRRanks32[[#This Row],[Player]],WR!B:O,4,FALSE)),"")</f>
        <v>108.116736</v>
      </c>
      <c r="AI32" s="83">
        <f>IFERROR((VLOOKUP(TableWRRanks32[[#This Row],[Player]],WR!B:O,5,FALSE)),"")</f>
        <v>0.97343999999999997</v>
      </c>
      <c r="AJ32" s="83">
        <f>IFERROR((VLOOKUP(TableWRRanks32[[#This Row],[Player]],WR!B:O,6,FALSE)),"")</f>
        <v>104.16224</v>
      </c>
      <c r="AK32" s="83">
        <f>IFERROR((VLOOKUP(TableWRRanks32[[#This Row],[Player]],WR!B:O,7,FALSE)),"")</f>
        <v>64.059777600000004</v>
      </c>
      <c r="AL32" s="83">
        <f>IFERROR((VLOOKUP(TableWRRanks32[[#This Row],[Player]],WR!B:O,8,FALSE)),"")</f>
        <v>914.133026352</v>
      </c>
      <c r="AM32" s="83">
        <f>IFERROR((VLOOKUP(TableWRRanks32[[#This Row],[Player]],WR!B:O,9,FALSE)),"")</f>
        <v>6.2778582048000002</v>
      </c>
      <c r="AN32" s="57">
        <f>IFERROR((IFERROR(INDEX(TableWRCalcPts[Custom],MATCH(TableWRRanks32[[#This Row],[RK]],TableWRCalcPts[RK],0)),"")),"")</f>
        <v>177.76265426399999</v>
      </c>
      <c r="AO3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10.79344009980014</v>
      </c>
      <c r="AQ32">
        <v>31</v>
      </c>
      <c r="AR32" t="str">
        <f>IFERROR(INDEX(TableTECalcPts[PLAYER],MATCH(TableTERanks33[[#This Row],[RK]],TableTECalcPts[RK],0)),"")</f>
        <v>Tucker Kraft</v>
      </c>
      <c r="AS32" t="str">
        <f>IFERROR(INDEX(TableTECalcPts[TM],MATCH(TableTERanks33[[#This Row],[Player]],TableTECalcPts[PLAYER],0)),"")</f>
        <v>GB</v>
      </c>
      <c r="AT32">
        <f>IFERROR(INDEX(TableTECalcPts[BYE],MATCH(TableTERanks33[[#This Row],[Player]],TableTECalcPts[PLAYER],0)),"")</f>
        <v>6</v>
      </c>
      <c r="AU32" s="83">
        <f>IFERROR((VLOOKUP(TableTERanks33[[#This Row],[Player]],TE!B:O,4,FALSE)),"")</f>
        <v>45.616256</v>
      </c>
      <c r="AV32" s="83">
        <f>IFERROR((VLOOKUP(TableTERanks33[[#This Row],[Player]],TE!B:O,5,FALSE)),"")</f>
        <v>33.345483135999999</v>
      </c>
      <c r="AW32" s="83">
        <f>IFERROR((VLOOKUP(TableTERanks33[[#This Row],[Player]],TE!B:O,6,FALSE)),"")</f>
        <v>343.79193113216002</v>
      </c>
      <c r="AX32" s="83">
        <f>IFERROR((VLOOKUP(TableTERanks33[[#This Row],[Player]],TE!B:O,7,FALSE)),"")</f>
        <v>2.6676386508799999</v>
      </c>
      <c r="AY32" s="57">
        <f>IFERROR((IFERROR(INDEX(TableTECalcPts[Custom],MATCH(TableTERanks33[[#This Row],[RK]],TableTECalcPts[RK],0)),"")),"")</f>
        <v>67.057766586496001</v>
      </c>
      <c r="AZ3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3" spans="1:52" x14ac:dyDescent="0.2">
      <c r="A33">
        <v>32</v>
      </c>
      <c r="B33" t="str">
        <f>IFERROR(INDEX(TableQBCalcPts[PLAYER],MATCH(TableQBRanks30[[#This Row],[RK]],TableQBCalcPts[RK],0)),"")</f>
        <v>Gardner Minshew</v>
      </c>
      <c r="C33" t="str">
        <f>IFERROR(INDEX(TableQBCalcPts[TM],MATCH(TableQBRanks30[[#This Row],[Player]],TableQBCalcPts[PLAYER],0)),"")</f>
        <v>LV</v>
      </c>
      <c r="D33">
        <f>IFERROR(INDEX(TableQBCalcPts[BYE],MATCH(TableQBRanks30[[#This Row],[Player]],TableQBCalcPts[PLAYER],0)),"")</f>
        <v>13</v>
      </c>
      <c r="E33" s="83">
        <f>IFERROR((VLOOKUP(TableQBRanks30[[#This Row],[Player]],QB!B:O,4,FALSE)),"")</f>
        <v>356.7</v>
      </c>
      <c r="F33" s="83">
        <f>IFERROR((VLOOKUP(TableQBRanks30[[#This Row],[Player]],QB!B:O,5,FALSE)),"")</f>
        <v>226.50450000000001</v>
      </c>
      <c r="G33" s="83">
        <f>IFERROR((VLOOKUP(TableQBRanks30[[#This Row],[Player]],QB!B:O,6,FALSE)),"")</f>
        <v>2498.3446349999999</v>
      </c>
      <c r="H33" s="83">
        <f>IFERROR((VLOOKUP(TableQBRanks30[[#This Row],[Player]],QB!B:O,7,FALSE)),"")</f>
        <v>14.268000000000001</v>
      </c>
      <c r="I33" s="83">
        <f>IFERROR((VLOOKUP(TableQBRanks30[[#This Row],[Player]],QB!B:O,8,FALSE)),"")</f>
        <v>4.0770809999999997</v>
      </c>
      <c r="J33" s="83">
        <f>IFERROR((VLOOKUP(TableQBRanks30[[#This Row],[Player]],QB!B:O,9,FALSE)),"")</f>
        <v>16.875600000000002</v>
      </c>
      <c r="K33" s="83">
        <f>IFERROR((VLOOKUP(TableQBRanks30[[#This Row],[Player]],QB!B:O,10,FALSE)),"")</f>
        <v>54.339432000000009</v>
      </c>
      <c r="L33" s="83">
        <f>IFERROR((VLOOKUP(TableQBRanks30[[#This Row],[Player]],QB!B:O,11,FALSE)),"")</f>
        <v>0.67502400000000007</v>
      </c>
      <c r="M33" s="57">
        <f>IFERROR(INDEX(TableQBCalcPts[Custom],MATCH(TableQBRanks30[[#This Row],[RK]],TableQBCalcPts[RK],0)),"")</f>
        <v>162.41279159999999</v>
      </c>
      <c r="N3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3">
        <v>32</v>
      </c>
      <c r="Q33" t="str">
        <f>IFERROR(INDEX(TableRBCalcPts[PLAYER],MATCH(TableRBRanks31[[#This Row],[RK]],TableRBCalcPts[RK],0)),"")</f>
        <v>Tony Pollard</v>
      </c>
      <c r="R33" t="str">
        <f>IFERROR(INDEX(TableRBCalcPts[TM],MATCH(TableRBRanks31[[#This Row],[Player]],TableRBCalcPts[PLAYER],0)),"")</f>
        <v>TEN</v>
      </c>
      <c r="S33">
        <f>IFERROR(INDEX(TableRBCalcPts[BYE],MATCH(TableRBRanks31[[#This Row],[Player]],TableRBCalcPts[PLAYER],0)),"")</f>
        <v>7</v>
      </c>
      <c r="T33" s="83">
        <f>IFERROR((VLOOKUP(TableRBRanks31[[#This Row],[Player]],RB!B:O,4,FALSE)),"")</f>
        <v>187.224345</v>
      </c>
      <c r="U33" s="83">
        <f>IFERROR((VLOOKUP(TableRBRanks31[[#This Row],[Player]],RB!B:O,5,FALSE)),"")</f>
        <v>786.34224900000004</v>
      </c>
      <c r="V33" s="83">
        <f>IFERROR((VLOOKUP(TableRBRanks31[[#This Row],[Player]],RB!B:O,6,FALSE)),"")</f>
        <v>5.6167303500000001</v>
      </c>
      <c r="W33" s="83">
        <f>IFERROR((VLOOKUP(TableRBRanks31[[#This Row],[Player]],RB!B:O,7,FALSE)),"")</f>
        <v>41.054012999999991</v>
      </c>
      <c r="X33" s="83">
        <f>IFERROR((VLOOKUP(TableRBRanks31[[#This Row],[Player]],RB!B:O,8,FALSE)),"")</f>
        <v>31.488427970999993</v>
      </c>
      <c r="Y33" s="83">
        <f>IFERROR((VLOOKUP(TableRBRanks31[[#This Row],[Player]],RB!B:O,9,FALSE)),"")</f>
        <v>234.27390410423996</v>
      </c>
      <c r="Z33" s="83">
        <f>IFERROR((VLOOKUP(TableRBRanks31[[#This Row],[Player]],RB!B:O,10,FALSE)),"")</f>
        <v>1.1020949789849999</v>
      </c>
      <c r="AA33" s="57">
        <f>IFERROR((IFERROR(INDEX(TableRBCalcPts[Custom],MATCH(TableRBRanks31[[#This Row],[RK]],TableRBCalcPts[RK],0)),"")),"")</f>
        <v>158.11878126983396</v>
      </c>
      <c r="AB3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18.818207201946375</v>
      </c>
      <c r="AD33">
        <v>32</v>
      </c>
      <c r="AE33" t="str">
        <f>IFERROR(INDEX(TableWRCalcPts[PLAYER],MATCH(TableWRRanks32[[#This Row],[RK]],TableWRCalcPts[RK],0)),"")</f>
        <v>Brian Thomas</v>
      </c>
      <c r="AF33" t="str">
        <f>IFERROR(INDEX(TableWRCalcPts[TM],MATCH(TableWRRanks32[[#This Row],[Player]],TableWRCalcPts[PLAYER],0)),"")</f>
        <v>JAX</v>
      </c>
      <c r="AG33">
        <f>IFERROR(INDEX(TableWRCalcPts[BYE],MATCH(TableWRRanks32[[#This Row],[Player]],TableWRCalcPts[PLAYER],0)),"")</f>
        <v>9</v>
      </c>
      <c r="AH33" s="83">
        <f>IFERROR((VLOOKUP(TableWRRanks32[[#This Row],[Player]],WR!B:O,4,FALSE)),"")</f>
        <v>0</v>
      </c>
      <c r="AI33" s="83">
        <f>IFERROR((VLOOKUP(TableWRRanks32[[#This Row],[Player]],WR!B:O,5,FALSE)),"")</f>
        <v>0</v>
      </c>
      <c r="AJ33" s="83">
        <f>IFERROR((VLOOKUP(TableWRRanks32[[#This Row],[Player]],WR!B:O,6,FALSE)),"")</f>
        <v>120.85163999999996</v>
      </c>
      <c r="AK33" s="83">
        <f>IFERROR((VLOOKUP(TableWRRanks32[[#This Row],[Player]],WR!B:O,7,FALSE)),"")</f>
        <v>75.53227499999997</v>
      </c>
      <c r="AL33" s="83">
        <f>IFERROR((VLOOKUP(TableWRRanks32[[#This Row],[Player]],WR!B:O,8,FALSE)),"")</f>
        <v>1016.6644214999997</v>
      </c>
      <c r="AM33" s="83">
        <f>IFERROR((VLOOKUP(TableWRRanks32[[#This Row],[Player]],WR!B:O,9,FALSE)),"")</f>
        <v>6.2691788249999982</v>
      </c>
      <c r="AN33" s="57">
        <f>IFERROR((IFERROR(INDEX(TableWRCalcPts[Custom],MATCH(TableWRRanks32[[#This Row],[RK]],TableWRCalcPts[RK],0)),"")),"")</f>
        <v>177.04765259999994</v>
      </c>
      <c r="AO3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10.562105239870236</v>
      </c>
      <c r="AQ33">
        <v>32</v>
      </c>
      <c r="AR33" t="str">
        <f>IFERROR(INDEX(TableTECalcPts[PLAYER],MATCH(TableTERanks33[[#This Row],[RK]],TableTECalcPts[RK],0)),"")</f>
        <v>Michael Mayer</v>
      </c>
      <c r="AS33" t="str">
        <f>IFERROR(INDEX(TableTECalcPts[TM],MATCH(TableTERanks33[[#This Row],[Player]],TableTECalcPts[PLAYER],0)),"")</f>
        <v>LV</v>
      </c>
      <c r="AT33">
        <f>IFERROR(INDEX(TableTECalcPts[BYE],MATCH(TableTERanks33[[#This Row],[Player]],TableTECalcPts[PLAYER],0)),"")</f>
        <v>13</v>
      </c>
      <c r="AU33" s="83">
        <f>IFERROR((VLOOKUP(TableTERanks33[[#This Row],[Player]],TE!B:O,4,FALSE)),"")</f>
        <v>46.608799999999988</v>
      </c>
      <c r="AV33" s="83">
        <f>IFERROR((VLOOKUP(TableTERanks33[[#This Row],[Player]],TE!B:O,5,FALSE)),"")</f>
        <v>31.227895999999994</v>
      </c>
      <c r="AW33" s="83">
        <f>IFERROR((VLOOKUP(TableTERanks33[[#This Row],[Player]],TE!B:O,6,FALSE)),"")</f>
        <v>343.50685599999991</v>
      </c>
      <c r="AX33" s="83">
        <f>IFERROR((VLOOKUP(TableTERanks33[[#This Row],[Player]],TE!B:O,7,FALSE)),"")</f>
        <v>1.8736737599999995</v>
      </c>
      <c r="AY33" s="57">
        <f>IFERROR((IFERROR(INDEX(TableTECalcPts[Custom],MATCH(TableTERanks33[[#This Row],[RK]],TableTECalcPts[RK],0)),"")),"")</f>
        <v>61.206676159999986</v>
      </c>
      <c r="AZ3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4" spans="1:52" x14ac:dyDescent="0.2">
      <c r="A34">
        <v>33</v>
      </c>
      <c r="B34" t="str">
        <f>IFERROR(INDEX(TableQBCalcPts[PLAYER],MATCH(TableQBRanks30[[#This Row],[RK]],TableQBCalcPts[RK],0)),"")</f>
        <v>Justin Fields</v>
      </c>
      <c r="C34" t="str">
        <f>IFERROR(INDEX(TableQBCalcPts[TM],MATCH(TableQBRanks30[[#This Row],[Player]],TableQBCalcPts[PLAYER],0)),"")</f>
        <v>PIT</v>
      </c>
      <c r="D34">
        <f>IFERROR(INDEX(TableQBCalcPts[BYE],MATCH(TableQBRanks30[[#This Row],[Player]],TableQBCalcPts[PLAYER],0)),"")</f>
        <v>6</v>
      </c>
      <c r="E34" s="83">
        <f>IFERROR((VLOOKUP(TableQBRanks30[[#This Row],[Player]],QB!B:O,4,FALSE)),"")</f>
        <v>168.52500000000001</v>
      </c>
      <c r="F34" s="83">
        <f>IFERROR((VLOOKUP(TableQBRanks30[[#This Row],[Player]],QB!B:O,5,FALSE)),"")</f>
        <v>104.316975</v>
      </c>
      <c r="G34" s="83">
        <f>IFERROR((VLOOKUP(TableQBRanks30[[#This Row],[Player]],QB!B:O,6,FALSE)),"")</f>
        <v>1189.4221489499998</v>
      </c>
      <c r="H34" s="83">
        <f>IFERROR((VLOOKUP(TableQBRanks30[[#This Row],[Player]],QB!B:O,7,FALSE)),"")</f>
        <v>6.9095250000000004</v>
      </c>
      <c r="I34" s="83">
        <f>IFERROR((VLOOKUP(TableQBRanks30[[#This Row],[Player]],QB!B:O,8,FALSE)),"")</f>
        <v>2.6079243750000001</v>
      </c>
      <c r="J34" s="83">
        <f>IFERROR((VLOOKUP(TableQBRanks30[[#This Row],[Player]],QB!B:O,9,FALSE)),"")</f>
        <v>33.493950000000005</v>
      </c>
      <c r="K34" s="83">
        <f>IFERROR((VLOOKUP(TableQBRanks30[[#This Row],[Player]],QB!B:O,10,FALSE)),"")</f>
        <v>190.58057550000004</v>
      </c>
      <c r="L34" s="83">
        <f>IFERROR((VLOOKUP(TableQBRanks30[[#This Row],[Player]],QB!B:O,11,FALSE)),"")</f>
        <v>1.5072277500000002</v>
      </c>
      <c r="M34" s="57">
        <f>IFERROR(INDEX(TableQBCalcPts[Custom],MATCH(TableQBRanks30[[#This Row],[RK]],TableQBCalcPts[RK],0)),"")</f>
        <v>100.70848563300001</v>
      </c>
      <c r="N3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4">
        <v>33</v>
      </c>
      <c r="Q34" t="str">
        <f>IFERROR(INDEX(TableRBCalcPts[PLAYER],MATCH(TableRBRanks31[[#This Row],[RK]],TableRBCalcPts[RK],0)),"")</f>
        <v>Chuba Hubbard</v>
      </c>
      <c r="R34" t="str">
        <f>IFERROR(INDEX(TableRBCalcPts[TM],MATCH(TableRBRanks31[[#This Row],[Player]],TableRBCalcPts[PLAYER],0)),"")</f>
        <v>CAR</v>
      </c>
      <c r="S34">
        <f>IFERROR(INDEX(TableRBCalcPts[BYE],MATCH(TableRBRanks31[[#This Row],[Player]],TableRBCalcPts[PLAYER],0)),"")</f>
        <v>7</v>
      </c>
      <c r="T34" s="83">
        <f>IFERROR((VLOOKUP(TableRBRanks31[[#This Row],[Player]],RB!B:O,4,FALSE)),"")</f>
        <v>178.36392000000004</v>
      </c>
      <c r="U34" s="83">
        <f>IFERROR((VLOOKUP(TableRBRanks31[[#This Row],[Player]],RB!B:O,5,FALSE)),"")</f>
        <v>734.85935040000015</v>
      </c>
      <c r="V34" s="83">
        <f>IFERROR((VLOOKUP(TableRBRanks31[[#This Row],[Player]],RB!B:O,6,FALSE)),"")</f>
        <v>5.3509176000000007</v>
      </c>
      <c r="W34" s="83">
        <f>IFERROR((VLOOKUP(TableRBRanks31[[#This Row],[Player]],RB!B:O,7,FALSE)),"")</f>
        <v>46.333615999999992</v>
      </c>
      <c r="X34" s="83">
        <f>IFERROR((VLOOKUP(TableRBRanks31[[#This Row],[Player]],RB!B:O,8,FALSE)),"")</f>
        <v>35.445216239999993</v>
      </c>
      <c r="Y34" s="83">
        <f>IFERROR((VLOOKUP(TableRBRanks31[[#This Row],[Player]],RB!B:O,9,FALSE)),"")</f>
        <v>257.33226990239996</v>
      </c>
      <c r="Z34" s="83">
        <f>IFERROR((VLOOKUP(TableRBRanks31[[#This Row],[Player]],RB!B:O,10,FALSE)),"")</f>
        <v>1.0633564871999999</v>
      </c>
      <c r="AA34" s="57">
        <f>IFERROR((IFERROR(INDEX(TableRBCalcPts[Custom],MATCH(TableRBRanks31[[#This Row],[RK]],TableRBCalcPts[RK],0)),"")),"")</f>
        <v>155.42741467344004</v>
      </c>
      <c r="AB3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17.70265851584174</v>
      </c>
      <c r="AD34">
        <v>33</v>
      </c>
      <c r="AE34" t="str">
        <f>IFERROR(INDEX(TableWRCalcPts[PLAYER],MATCH(TableWRRanks32[[#This Row],[RK]],TableWRCalcPts[RK],0)),"")</f>
        <v>Courtland Sutton</v>
      </c>
      <c r="AF34" t="str">
        <f>IFERROR(INDEX(TableWRCalcPts[TM],MATCH(TableWRRanks32[[#This Row],[Player]],TableWRCalcPts[PLAYER],0)),"")</f>
        <v>DEN</v>
      </c>
      <c r="AG34">
        <f>IFERROR(INDEX(TableWRCalcPts[BYE],MATCH(TableWRRanks32[[#This Row],[Player]],TableWRCalcPts[PLAYER],0)),"")</f>
        <v>9</v>
      </c>
      <c r="AH34" s="83">
        <f>IFERROR((VLOOKUP(TableWRRanks32[[#This Row],[Player]],WR!B:O,4,FALSE)),"")</f>
        <v>0</v>
      </c>
      <c r="AI34" s="83">
        <f>IFERROR((VLOOKUP(TableWRRanks32[[#This Row],[Player]],WR!B:O,5,FALSE)),"")</f>
        <v>0</v>
      </c>
      <c r="AJ34" s="83">
        <f>IFERROR((VLOOKUP(TableWRRanks32[[#This Row],[Player]],WR!B:O,6,FALSE)),"")</f>
        <v>131.29888099999999</v>
      </c>
      <c r="AK34" s="83">
        <f>IFERROR((VLOOKUP(TableWRRanks32[[#This Row],[Player]],WR!B:O,7,FALSE)),"")</f>
        <v>79.435823004999989</v>
      </c>
      <c r="AL34" s="83">
        <f>IFERROR((VLOOKUP(TableWRRanks32[[#This Row],[Player]],WR!B:O,8,FALSE)),"")</f>
        <v>957.99602544029995</v>
      </c>
      <c r="AM34" s="83">
        <f>IFERROR((VLOOKUP(TableWRRanks32[[#This Row],[Player]],WR!B:O,9,FALSE)),"")</f>
        <v>6.7520449554249993</v>
      </c>
      <c r="AN34" s="57">
        <f>IFERROR((IFERROR(INDEX(TableWRCalcPts[Custom],MATCH(TableWRRanks32[[#This Row],[RK]],TableWRCalcPts[RK],0)),"")),"")</f>
        <v>176.02978377907999</v>
      </c>
      <c r="AO3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10.232779375371951</v>
      </c>
      <c r="AQ34">
        <v>33</v>
      </c>
      <c r="AR34" t="str">
        <f>IFERROR(INDEX(TableTECalcPts[PLAYER],MATCH(TableTERanks33[[#This Row],[RK]],TableTECalcPts[RK],0)),"")</f>
        <v>Will Dissly</v>
      </c>
      <c r="AS34" t="str">
        <f>IFERROR(INDEX(TableTECalcPts[TM],MATCH(TableTERanks33[[#This Row],[Player]],TableTECalcPts[PLAYER],0)),"")</f>
        <v>LAC</v>
      </c>
      <c r="AT34">
        <f>IFERROR(INDEX(TableTECalcPts[BYE],MATCH(TableTERanks33[[#This Row],[Player]],TableTECalcPts[PLAYER],0)),"")</f>
        <v>5</v>
      </c>
      <c r="AU34" s="83">
        <f>IFERROR((VLOOKUP(TableTERanks33[[#This Row],[Player]],TE!B:O,4,FALSE)),"")</f>
        <v>41.877139499999991</v>
      </c>
      <c r="AV34" s="83">
        <f>IFERROR((VLOOKUP(TableTERanks33[[#This Row],[Player]],TE!B:O,5,FALSE)),"")</f>
        <v>30.109663300499992</v>
      </c>
      <c r="AW34" s="83">
        <f>IFERROR((VLOOKUP(TableTERanks33[[#This Row],[Player]],TE!B:O,6,FALSE)),"")</f>
        <v>301.99992290401491</v>
      </c>
      <c r="AX34" s="83">
        <f>IFERROR((VLOOKUP(TableTERanks33[[#This Row],[Player]],TE!B:O,7,FALSE)),"")</f>
        <v>2.4087730640399996</v>
      </c>
      <c r="AY34" s="57">
        <f>IFERROR((IFERROR(INDEX(TableTECalcPts[Custom],MATCH(TableTERanks33[[#This Row],[RK]],TableTECalcPts[RK],0)),"")),"")</f>
        <v>59.707462324891488</v>
      </c>
      <c r="AZ3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5" spans="1:52" x14ac:dyDescent="0.2">
      <c r="A35">
        <v>34</v>
      </c>
      <c r="B35" t="str">
        <f>IFERROR(INDEX(TableQBCalcPts[PLAYER],MATCH(TableQBRanks30[[#This Row],[RK]],TableQBCalcPts[RK],0)),"")</f>
        <v>Aidan O'Connell</v>
      </c>
      <c r="C35" t="str">
        <f>IFERROR(INDEX(TableQBCalcPts[TM],MATCH(TableQBRanks30[[#This Row],[Player]],TableQBCalcPts[PLAYER],0)),"")</f>
        <v>LV</v>
      </c>
      <c r="D35">
        <f>IFERROR(INDEX(TableQBCalcPts[BYE],MATCH(TableQBRanks30[[#This Row],[Player]],TableQBCalcPts[PLAYER],0)),"")</f>
        <v>13</v>
      </c>
      <c r="E35" s="83">
        <f>IFERROR((VLOOKUP(TableQBRanks30[[#This Row],[Player]],QB!B:O,4,FALSE)),"")</f>
        <v>237.8</v>
      </c>
      <c r="F35" s="83">
        <f>IFERROR((VLOOKUP(TableQBRanks30[[#This Row],[Player]],QB!B:O,5,FALSE)),"")</f>
        <v>149.5762</v>
      </c>
      <c r="G35" s="83">
        <f>IFERROR((VLOOKUP(TableQBRanks30[[#This Row],[Player]],QB!B:O,6,FALSE)),"")</f>
        <v>1631.876342</v>
      </c>
      <c r="H35" s="83">
        <f>IFERROR((VLOOKUP(TableQBRanks30[[#This Row],[Player]],QB!B:O,7,FALSE)),"")</f>
        <v>8.7986000000000004</v>
      </c>
      <c r="I35" s="83">
        <f>IFERROR((VLOOKUP(TableQBRanks30[[#This Row],[Player]],QB!B:O,8,FALSE)),"")</f>
        <v>3.2906763999999997</v>
      </c>
      <c r="J35" s="83">
        <f>IFERROR((VLOOKUP(TableQBRanks30[[#This Row],[Player]],QB!B:O,9,FALSE)),"")</f>
        <v>4.2189000000000005</v>
      </c>
      <c r="K35" s="83">
        <f>IFERROR((VLOOKUP(TableQBRanks30[[#This Row],[Player]],QB!B:O,10,FALSE)),"")</f>
        <v>9.7034700000000011</v>
      </c>
      <c r="L35" s="83">
        <f>IFERROR((VLOOKUP(TableQBRanks30[[#This Row],[Player]],QB!B:O,11,FALSE)),"")</f>
        <v>8.4378000000000009E-2</v>
      </c>
      <c r="M35" s="57">
        <f>IFERROR(INDEX(TableQBCalcPts[Custom],MATCH(TableQBRanks30[[#This Row],[RK]],TableQBCalcPts[RK],0)),"")</f>
        <v>98.655392280000015</v>
      </c>
      <c r="N3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5">
        <v>34</v>
      </c>
      <c r="Q35" t="str">
        <f>IFERROR(INDEX(TableRBCalcPts[PLAYER],MATCH(TableRBRanks31[[#This Row],[RK]],TableRBCalcPts[RK],0)),"")</f>
        <v>Najee Harris</v>
      </c>
      <c r="R35" t="str">
        <f>IFERROR(INDEX(TableRBCalcPts[TM],MATCH(TableRBRanks31[[#This Row],[Player]],TableRBCalcPts[PLAYER],0)),"")</f>
        <v>PIT</v>
      </c>
      <c r="S35">
        <f>IFERROR(INDEX(TableRBCalcPts[BYE],MATCH(TableRBRanks31[[#This Row],[Player]],TableRBCalcPts[PLAYER],0)),"")</f>
        <v>6</v>
      </c>
      <c r="T35" s="83">
        <f>IFERROR((VLOOKUP(TableRBRanks31[[#This Row],[Player]],RB!B:O,4,FALSE)),"")</f>
        <v>200.96369999999999</v>
      </c>
      <c r="U35" s="83">
        <f>IFERROR((VLOOKUP(TableRBRanks31[[#This Row],[Player]],RB!B:O,5,FALSE)),"")</f>
        <v>821.94153299999994</v>
      </c>
      <c r="V35" s="83">
        <f>IFERROR((VLOOKUP(TableRBRanks31[[#This Row],[Player]],RB!B:O,6,FALSE)),"")</f>
        <v>7.0337295000000006</v>
      </c>
      <c r="W35" s="83">
        <f>IFERROR((VLOOKUP(TableRBRanks31[[#This Row],[Player]],RB!B:O,7,FALSE)),"")</f>
        <v>28.62678</v>
      </c>
      <c r="X35" s="83">
        <f>IFERROR((VLOOKUP(TableRBRanks31[[#This Row],[Player]],RB!B:O,8,FALSE)),"")</f>
        <v>21.384204660000002</v>
      </c>
      <c r="Y35" s="83">
        <f>IFERROR((VLOOKUP(TableRBRanks31[[#This Row],[Player]],RB!B:O,9,FALSE)),"")</f>
        <v>133.00975298520001</v>
      </c>
      <c r="Z35" s="83">
        <f>IFERROR((VLOOKUP(TableRBRanks31[[#This Row],[Player]],RB!B:O,10,FALSE)),"")</f>
        <v>0.64152613980000006</v>
      </c>
      <c r="AA35" s="57">
        <f>IFERROR((IFERROR(INDEX(TableRBCalcPts[Custom],MATCH(TableRBRanks31[[#This Row],[RK]],TableRBCalcPts[RK],0)),"")),"")</f>
        <v>152.23876476732002</v>
      </c>
      <c r="AB3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16.380990104713394</v>
      </c>
      <c r="AD35">
        <v>34</v>
      </c>
      <c r="AE35" t="str">
        <f>IFERROR(INDEX(TableWRCalcPts[PLAYER],MATCH(TableWRRanks32[[#This Row],[RK]],TableWRCalcPts[RK],0)),"")</f>
        <v>Rashee Rice</v>
      </c>
      <c r="AF35" t="str">
        <f>IFERROR(INDEX(TableWRCalcPts[TM],MATCH(TableWRRanks32[[#This Row],[Player]],TableWRCalcPts[PLAYER],0)),"")</f>
        <v>KC</v>
      </c>
      <c r="AG35">
        <f>IFERROR(INDEX(TableWRCalcPts[BYE],MATCH(TableWRRanks32[[#This Row],[Player]],TableWRCalcPts[PLAYER],0)),"")</f>
        <v>10</v>
      </c>
      <c r="AH35" s="83">
        <f>IFERROR((VLOOKUP(TableWRRanks32[[#This Row],[Player]],WR!B:O,4,FALSE)),"")</f>
        <v>21.095244799999996</v>
      </c>
      <c r="AI35" s="83">
        <f>IFERROR((VLOOKUP(TableWRRanks32[[#This Row],[Player]],WR!B:O,5,FALSE)),"")</f>
        <v>6.3033599999999995E-2</v>
      </c>
      <c r="AJ35" s="83">
        <f>IFERROR((VLOOKUP(TableWRRanks32[[#This Row],[Player]],WR!B:O,6,FALSE)),"")</f>
        <v>107.15711999999996</v>
      </c>
      <c r="AK35" s="83">
        <f>IFERROR((VLOOKUP(TableWRRanks32[[#This Row],[Player]],WR!B:O,7,FALSE)),"")</f>
        <v>77.581754879999977</v>
      </c>
      <c r="AL35" s="83">
        <f>IFERROR((VLOOKUP(TableWRRanks32[[#This Row],[Player]],WR!B:O,8,FALSE)),"")</f>
        <v>911.58561983999971</v>
      </c>
      <c r="AM35" s="83">
        <f>IFERROR((VLOOKUP(TableWRRanks32[[#This Row],[Player]],WR!B:O,9,FALSE)),"")</f>
        <v>6.9823579391999973</v>
      </c>
      <c r="AN35" s="57">
        <f>IFERROR((IFERROR(INDEX(TableWRCalcPts[Custom],MATCH(TableWRRanks32[[#This Row],[RK]],TableWRCalcPts[RK],0)),"")),"")</f>
        <v>174.33131313919995</v>
      </c>
      <c r="AO3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9.6832485318022332</v>
      </c>
      <c r="AQ35">
        <v>34</v>
      </c>
      <c r="AR35" t="str">
        <f>IFERROR(INDEX(TableTECalcPts[PLAYER],MATCH(TableTERanks33[[#This Row],[RK]],TableTECalcPts[RK],0)),"")</f>
        <v>Ja'Tavion Sanders</v>
      </c>
      <c r="AS35" t="str">
        <f>IFERROR(INDEX(TableTECalcPts[TM],MATCH(TableTERanks33[[#This Row],[Player]],TableTECalcPts[PLAYER],0)),"")</f>
        <v>CAR</v>
      </c>
      <c r="AT35">
        <f>IFERROR(INDEX(TableTECalcPts[BYE],MATCH(TableTERanks33[[#This Row],[Player]],TableTECalcPts[PLAYER],0)),"")</f>
        <v>7</v>
      </c>
      <c r="AU35" s="83">
        <f>IFERROR((VLOOKUP(TableTERanks33[[#This Row],[Player]],TE!B:O,4,FALSE)),"")</f>
        <v>46.333615999999992</v>
      </c>
      <c r="AV35" s="83">
        <f>IFERROR((VLOOKUP(TableTERanks33[[#This Row],[Player]],TE!B:O,5,FALSE)),"")</f>
        <v>29.329178927999994</v>
      </c>
      <c r="AW35" s="83">
        <f>IFERROR((VLOOKUP(TableTERanks33[[#This Row],[Player]],TE!B:O,6,FALSE)),"")</f>
        <v>313.82221452959993</v>
      </c>
      <c r="AX35" s="83">
        <f>IFERROR((VLOOKUP(TableTERanks33[[#This Row],[Player]],TE!B:O,7,FALSE)),"")</f>
        <v>2.1703592406719996</v>
      </c>
      <c r="AY35" s="57">
        <f>IFERROR((IFERROR(INDEX(TableTECalcPts[Custom],MATCH(TableTERanks33[[#This Row],[RK]],TableTECalcPts[RK],0)),"")),"")</f>
        <v>59.068966360991993</v>
      </c>
      <c r="AZ3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6" spans="1:52" x14ac:dyDescent="0.2">
      <c r="A36">
        <v>35</v>
      </c>
      <c r="B36" t="str">
        <f>IFERROR(INDEX(TableQBCalcPts[PLAYER],MATCH(TableQBRanks30[[#This Row],[RK]],TableQBCalcPts[RK],0)),"")</f>
        <v>Drew Lock</v>
      </c>
      <c r="C36" t="str">
        <f>IFERROR(INDEX(TableQBCalcPts[TM],MATCH(TableQBRanks30[[#This Row],[Player]],TableQBCalcPts[PLAYER],0)),"")</f>
        <v>NYG</v>
      </c>
      <c r="D36">
        <f>IFERROR(INDEX(TableQBCalcPts[BYE],MATCH(TableQBRanks30[[#This Row],[Player]],TableQBCalcPts[PLAYER],0)),"")</f>
        <v>13</v>
      </c>
      <c r="E36" s="83">
        <f>IFERROR((VLOOKUP(TableQBRanks30[[#This Row],[Player]],QB!B:O,4,FALSE)),"")</f>
        <v>150.12599999999998</v>
      </c>
      <c r="F36" s="83">
        <f>IFERROR((VLOOKUP(TableQBRanks30[[#This Row],[Player]],QB!B:O,5,FALSE)),"")</f>
        <v>92.327489999999983</v>
      </c>
      <c r="G36" s="83">
        <f>IFERROR((VLOOKUP(TableQBRanks30[[#This Row],[Player]],QB!B:O,6,FALSE)),"")</f>
        <v>1019.1108346199999</v>
      </c>
      <c r="H36" s="83">
        <f>IFERROR((VLOOKUP(TableQBRanks30[[#This Row],[Player]],QB!B:O,7,FALSE)),"")</f>
        <v>5.4045359999999985</v>
      </c>
      <c r="I36" s="83">
        <f>IFERROR((VLOOKUP(TableQBRanks30[[#This Row],[Player]],QB!B:O,8,FALSE)),"")</f>
        <v>2.2158597599999998</v>
      </c>
      <c r="J36" s="83">
        <f>IFERROR((VLOOKUP(TableQBRanks30[[#This Row],[Player]],QB!B:O,9,FALSE)),"")</f>
        <v>8.7709216000000012</v>
      </c>
      <c r="K36" s="83">
        <f>IFERROR((VLOOKUP(TableQBRanks30[[#This Row],[Player]],QB!B:O,10,FALSE)),"")</f>
        <v>33.768048160000006</v>
      </c>
      <c r="L36" s="83">
        <f>IFERROR((VLOOKUP(TableQBRanks30[[#This Row],[Player]],QB!B:O,11,FALSE)),"")</f>
        <v>0.22804396160000001</v>
      </c>
      <c r="M36" s="57">
        <f>IFERROR(INDEX(TableQBCalcPts[Custom],MATCH(TableQBRanks30[[#This Row],[RK]],TableQBCalcPts[RK],0)),"")</f>
        <v>64.911786210399995</v>
      </c>
      <c r="N3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6">
        <v>35</v>
      </c>
      <c r="Q36" t="str">
        <f>IFERROR(INDEX(TableRBCalcPts[PLAYER],MATCH(TableRBRanks31[[#This Row],[RK]],TableRBCalcPts[RK],0)),"")</f>
        <v>Javonte Williams</v>
      </c>
      <c r="R36" t="str">
        <f>IFERROR(INDEX(TableRBCalcPts[TM],MATCH(TableRBRanks31[[#This Row],[Player]],TableRBCalcPts[PLAYER],0)),"")</f>
        <v>DEN</v>
      </c>
      <c r="S36">
        <f>IFERROR(INDEX(TableRBCalcPts[BYE],MATCH(TableRBRanks31[[#This Row],[Player]],TableRBCalcPts[PLAYER],0)),"")</f>
        <v>9</v>
      </c>
      <c r="T36" s="83">
        <f>IFERROR((VLOOKUP(TableRBRanks31[[#This Row],[Player]],RB!B:O,4,FALSE)),"")</f>
        <v>184.59642600000001</v>
      </c>
      <c r="U36" s="83">
        <f>IFERROR((VLOOKUP(TableRBRanks31[[#This Row],[Player]],RB!B:O,5,FALSE)),"")</f>
        <v>762.38323937999996</v>
      </c>
      <c r="V36" s="83">
        <f>IFERROR((VLOOKUP(TableRBRanks31[[#This Row],[Player]],RB!B:O,6,FALSE)),"")</f>
        <v>6.0916820580000008</v>
      </c>
      <c r="W36" s="83">
        <f>IFERROR((VLOOKUP(TableRBRanks31[[#This Row],[Player]],RB!B:O,7,FALSE)),"")</f>
        <v>34.251881999999995</v>
      </c>
      <c r="X36" s="83">
        <f>IFERROR((VLOOKUP(TableRBRanks31[[#This Row],[Player]],RB!B:O,8,FALSE)),"")</f>
        <v>25.757415263999995</v>
      </c>
      <c r="Y36" s="83">
        <f>IFERROR((VLOOKUP(TableRBRanks31[[#This Row],[Player]],RB!B:O,9,FALSE)),"")</f>
        <v>156.60508480511999</v>
      </c>
      <c r="Z36" s="83">
        <f>IFERROR((VLOOKUP(TableRBRanks31[[#This Row],[Player]],RB!B:O,10,FALSE)),"")</f>
        <v>0.90150953423999991</v>
      </c>
      <c r="AA36" s="57">
        <f>IFERROR((IFERROR(INDEX(TableRBCalcPts[Custom],MATCH(TableRBRanks31[[#This Row],[RK]],TableRBCalcPts[RK],0)),"")),"")</f>
        <v>146.73668960395202</v>
      </c>
      <c r="AB3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14.100426495293547</v>
      </c>
      <c r="AD36">
        <v>35</v>
      </c>
      <c r="AE36" t="str">
        <f>IFERROR(INDEX(TableWRCalcPts[PLAYER],MATCH(TableWRRanks32[[#This Row],[RK]],TableWRCalcPts[RK],0)),"")</f>
        <v>Terry McLaurin</v>
      </c>
      <c r="AF36" t="str">
        <f>IFERROR(INDEX(TableWRCalcPts[TM],MATCH(TableWRRanks32[[#This Row],[Player]],TableWRCalcPts[PLAYER],0)),"")</f>
        <v>WSH</v>
      </c>
      <c r="AG36">
        <f>IFERROR(INDEX(TableWRCalcPts[BYE],MATCH(TableWRRanks32[[#This Row],[Player]],TableWRCalcPts[PLAYER],0)),"")</f>
        <v>14</v>
      </c>
      <c r="AH36" s="83">
        <f>IFERROR((VLOOKUP(TableWRRanks32[[#This Row],[Player]],WR!B:O,4,FALSE)),"")</f>
        <v>0</v>
      </c>
      <c r="AI36" s="83">
        <f>IFERROR((VLOOKUP(TableWRRanks32[[#This Row],[Player]],WR!B:O,5,FALSE)),"")</f>
        <v>0</v>
      </c>
      <c r="AJ36" s="83">
        <f>IFERROR((VLOOKUP(TableWRRanks32[[#This Row],[Player]],WR!B:O,6,FALSE)),"")</f>
        <v>127.0383947</v>
      </c>
      <c r="AK36" s="83">
        <f>IFERROR((VLOOKUP(TableWRRanks32[[#This Row],[Player]],WR!B:O,7,FALSE)),"")</f>
        <v>78.128612740500003</v>
      </c>
      <c r="AL36" s="83">
        <f>IFERROR((VLOOKUP(TableWRRanks32[[#This Row],[Player]],WR!B:O,8,FALSE)),"")</f>
        <v>1062.5491332708</v>
      </c>
      <c r="AM36" s="83">
        <f>IFERROR((VLOOKUP(TableWRRanks32[[#This Row],[Player]],WR!B:O,9,FALSE)),"")</f>
        <v>4.6095881516894996</v>
      </c>
      <c r="AN36" s="57">
        <f>IFERROR((IFERROR(INDEX(TableWRCalcPts[Custom],MATCH(TableWRRanks32[[#This Row],[RK]],TableWRCalcPts[RK],0)),"")),"")</f>
        <v>172.97674860746699</v>
      </c>
      <c r="AO3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9.2449866199887865</v>
      </c>
      <c r="AQ36">
        <v>35</v>
      </c>
      <c r="AR36" t="str">
        <f>IFERROR(INDEX(TableTECalcPts[PLAYER],MATCH(TableTERanks33[[#This Row],[RK]],TableTECalcPts[RK],0)),"")</f>
        <v>Dawson Knox</v>
      </c>
      <c r="AS36" t="str">
        <f>IFERROR(INDEX(TableTECalcPts[TM],MATCH(TableTERanks33[[#This Row],[Player]],TableTECalcPts[PLAYER],0)),"")</f>
        <v>BUF</v>
      </c>
      <c r="AT36">
        <f>IFERROR(INDEX(TableTECalcPts[BYE],MATCH(TableTERanks33[[#This Row],[Player]],TableTECalcPts[PLAYER],0)),"")</f>
        <v>13</v>
      </c>
      <c r="AU36" s="83">
        <f>IFERROR((VLOOKUP(TableTERanks33[[#This Row],[Player]],TE!B:O,4,FALSE)),"")</f>
        <v>42.516633599999992</v>
      </c>
      <c r="AV36" s="83">
        <f>IFERROR((VLOOKUP(TableTERanks33[[#This Row],[Player]],TE!B:O,5,FALSE)),"")</f>
        <v>26.785479167999995</v>
      </c>
      <c r="AW36" s="83">
        <f>IFERROR((VLOOKUP(TableTERanks33[[#This Row],[Player]],TE!B:O,6,FALSE)),"")</f>
        <v>289.01532022271994</v>
      </c>
      <c r="AX36" s="83">
        <f>IFERROR((VLOOKUP(TableTERanks33[[#This Row],[Player]],TE!B:O,7,FALSE)),"")</f>
        <v>2.6785479167999995</v>
      </c>
      <c r="AY36" s="57">
        <f>IFERROR((IFERROR(INDEX(TableTECalcPts[Custom],MATCH(TableTERanks33[[#This Row],[RK]],TableTECalcPts[RK],0)),"")),"")</f>
        <v>58.365559107071988</v>
      </c>
      <c r="AZ3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7" spans="1:52" x14ac:dyDescent="0.2">
      <c r="A37">
        <v>36</v>
      </c>
      <c r="B37" t="str">
        <f>IFERROR(INDEX(TableQBCalcPts[PLAYER],MATCH(TableQBRanks30[[#This Row],[RK]],TableQBCalcPts[RK],0)),"")</f>
        <v>Jacoby Brissett</v>
      </c>
      <c r="C37" t="str">
        <f>IFERROR(INDEX(TableQBCalcPts[TM],MATCH(TableQBRanks30[[#This Row],[Player]],TableQBCalcPts[PLAYER],0)),"")</f>
        <v>NE</v>
      </c>
      <c r="D37">
        <f>IFERROR(INDEX(TableQBCalcPts[BYE],MATCH(TableQBRanks30[[#This Row],[Player]],TableQBCalcPts[PLAYER],0)),"")</f>
        <v>11</v>
      </c>
      <c r="E37" s="83">
        <f>IFERROR((VLOOKUP(TableQBRanks30[[#This Row],[Player]],QB!B:O,4,FALSE)),"")</f>
        <v>101.22909999999999</v>
      </c>
      <c r="F37" s="83">
        <f>IFERROR((VLOOKUP(TableQBRanks30[[#This Row],[Player]],QB!B:O,5,FALSE)),"")</f>
        <v>63.673103899999994</v>
      </c>
      <c r="G37" s="83">
        <f>IFERROR((VLOOKUP(TableQBRanks30[[#This Row],[Player]],QB!B:O,6,FALSE)),"")</f>
        <v>671.68757304109988</v>
      </c>
      <c r="H37" s="83">
        <f>IFERROR((VLOOKUP(TableQBRanks30[[#This Row],[Player]],QB!B:O,7,FALSE)),"")</f>
        <v>3.2393311999999996</v>
      </c>
      <c r="I37" s="83">
        <f>IFERROR((VLOOKUP(TableQBRanks30[[#This Row],[Player]],QB!B:O,8,FALSE)),"")</f>
        <v>1.0824427663</v>
      </c>
      <c r="J37" s="83">
        <f>IFERROR((VLOOKUP(TableQBRanks30[[#This Row],[Player]],QB!B:O,9,FALSE)),"")</f>
        <v>0</v>
      </c>
      <c r="K37" s="83">
        <f>IFERROR((VLOOKUP(TableQBRanks30[[#This Row],[Player]],QB!B:O,10,FALSE)),"")</f>
        <v>0</v>
      </c>
      <c r="L37" s="83">
        <f>IFERROR((VLOOKUP(TableQBRanks30[[#This Row],[Player]],QB!B:O,11,FALSE)),"")</f>
        <v>0</v>
      </c>
      <c r="M37" s="57">
        <f>IFERROR(INDEX(TableQBCalcPts[Custom],MATCH(TableQBRanks30[[#This Row],[RK]],TableQBCalcPts[RK],0)),"")</f>
        <v>38.742384955344001</v>
      </c>
      <c r="N3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7">
        <v>36</v>
      </c>
      <c r="Q37" t="str">
        <f>IFERROR(INDEX(TableRBCalcPts[PLAYER],MATCH(TableRBRanks31[[#This Row],[RK]],TableRBCalcPts[RK],0)),"")</f>
        <v>Austin Ekeler</v>
      </c>
      <c r="R37" t="str">
        <f>IFERROR(INDEX(TableRBCalcPts[TM],MATCH(TableRBRanks31[[#This Row],[Player]],TableRBCalcPts[PLAYER],0)),"")</f>
        <v>WSH</v>
      </c>
      <c r="S37">
        <f>IFERROR(INDEX(TableRBCalcPts[BYE],MATCH(TableRBRanks31[[#This Row],[Player]],TableRBCalcPts[PLAYER],0)),"")</f>
        <v>14</v>
      </c>
      <c r="T37" s="83">
        <f>IFERROR((VLOOKUP(TableRBRanks31[[#This Row],[Player]],RB!B:O,4,FALSE)),"")</f>
        <v>113.73416949999998</v>
      </c>
      <c r="U37" s="83">
        <f>IFERROR((VLOOKUP(TableRBRanks31[[#This Row],[Player]],RB!B:O,5,FALSE)),"")</f>
        <v>466.31009494999989</v>
      </c>
      <c r="V37" s="83">
        <f>IFERROR((VLOOKUP(TableRBRanks31[[#This Row],[Player]],RB!B:O,6,FALSE)),"")</f>
        <v>3.5257592544999992</v>
      </c>
      <c r="W37" s="83">
        <f>IFERROR((VLOOKUP(TableRBRanks31[[#This Row],[Player]],RB!B:O,7,FALSE)),"")</f>
        <v>65.513073500000004</v>
      </c>
      <c r="X37" s="83">
        <f>IFERROR((VLOOKUP(TableRBRanks31[[#This Row],[Player]],RB!B:O,8,FALSE)),"")</f>
        <v>49.396857419000007</v>
      </c>
      <c r="Y37" s="83">
        <f>IFERROR((VLOOKUP(TableRBRanks31[[#This Row],[Player]],RB!B:O,9,FALSE)),"")</f>
        <v>396.65676507457005</v>
      </c>
      <c r="Z37" s="83">
        <f>IFERROR((VLOOKUP(TableRBRanks31[[#This Row],[Player]],RB!B:O,10,FALSE)),"")</f>
        <v>1.7288900096650004</v>
      </c>
      <c r="AA37" s="57">
        <f>IFERROR((IFERROR(INDEX(TableRBCalcPts[Custom],MATCH(TableRBRanks31[[#This Row],[RK]],TableRBCalcPts[RK],0)),"")),"")</f>
        <v>142.52301029694701</v>
      </c>
      <c r="AB3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12.353892068919272</v>
      </c>
      <c r="AD37">
        <v>36</v>
      </c>
      <c r="AE37" t="str">
        <f>IFERROR(INDEX(TableWRCalcPts[PLAYER],MATCH(TableWRRanks32[[#This Row],[RK]],TableWRCalcPts[RK],0)),"")</f>
        <v>Chris Godwin</v>
      </c>
      <c r="AF37" t="str">
        <f>IFERROR(INDEX(TableWRCalcPts[TM],MATCH(TableWRRanks32[[#This Row],[Player]],TableWRCalcPts[PLAYER],0)),"")</f>
        <v>TB</v>
      </c>
      <c r="AG37">
        <f>IFERROR(INDEX(TableWRCalcPts[BYE],MATCH(TableWRRanks32[[#This Row],[Player]],TableWRCalcPts[PLAYER],0)),"")</f>
        <v>5</v>
      </c>
      <c r="AH37" s="83">
        <f>IFERROR((VLOOKUP(TableWRRanks32[[#This Row],[Player]],WR!B:O,4,FALSE)),"")</f>
        <v>21.251872907999999</v>
      </c>
      <c r="AI37" s="83">
        <f>IFERROR((VLOOKUP(TableWRRanks32[[#This Row],[Player]],WR!B:O,5,FALSE)),"")</f>
        <v>0.1018053792</v>
      </c>
      <c r="AJ37" s="83">
        <f>IFERROR((VLOOKUP(TableWRRanks32[[#This Row],[Player]],WR!B:O,6,FALSE)),"")</f>
        <v>124.54069319999999</v>
      </c>
      <c r="AK37" s="83">
        <f>IFERROR((VLOOKUP(TableWRRanks32[[#This Row],[Player]],WR!B:O,7,FALSE)),"")</f>
        <v>79.706043647999991</v>
      </c>
      <c r="AL37" s="83">
        <f>IFERROR((VLOOKUP(TableWRRanks32[[#This Row],[Player]],WR!B:O,8,FALSE)),"")</f>
        <v>991.5431829811198</v>
      </c>
      <c r="AM37" s="83">
        <f>IFERROR((VLOOKUP(TableWRRanks32[[#This Row],[Player]],WR!B:O,9,FALSE)),"")</f>
        <v>5.1808928371199992</v>
      </c>
      <c r="AN37" s="57">
        <f>IFERROR((IFERROR(INDEX(TableWRCalcPts[Custom],MATCH(TableWRRanks32[[#This Row],[RK]],TableWRCalcPts[RK],0)),"")),"")</f>
        <v>172.82871671083197</v>
      </c>
      <c r="AO3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9.1970917131690779</v>
      </c>
      <c r="AQ37">
        <v>36</v>
      </c>
      <c r="AR37" t="str">
        <f>IFERROR(INDEX(TableTECalcPts[PLAYER],MATCH(TableTERanks33[[#This Row],[RK]],TableTECalcPts[RK],0)),"")</f>
        <v>Colby Parkinson</v>
      </c>
      <c r="AS37" t="str">
        <f>IFERROR(INDEX(TableTECalcPts[TM],MATCH(TableTERanks33[[#This Row],[Player]],TableTECalcPts[PLAYER],0)),"")</f>
        <v>LAR</v>
      </c>
      <c r="AT37">
        <f>IFERROR(INDEX(TableTECalcPts[BYE],MATCH(TableTERanks33[[#This Row],[Player]],TableTECalcPts[PLAYER],0)),"")</f>
        <v>10</v>
      </c>
      <c r="AU37" s="83">
        <f>IFERROR((VLOOKUP(TableTERanks33[[#This Row],[Player]],TE!B:O,4,FALSE)),"")</f>
        <v>42.264048399999993</v>
      </c>
      <c r="AV37" s="83">
        <f>IFERROR((VLOOKUP(TableTERanks33[[#This Row],[Player]],TE!B:O,5,FALSE)),"")</f>
        <v>27.978800040799996</v>
      </c>
      <c r="AW37" s="83">
        <f>IFERROR((VLOOKUP(TableTERanks33[[#This Row],[Player]],TE!B:O,6,FALSE)),"")</f>
        <v>280.90715240963192</v>
      </c>
      <c r="AX37" s="83">
        <f>IFERROR((VLOOKUP(TableTERanks33[[#This Row],[Player]],TE!B:O,7,FALSE)),"")</f>
        <v>2.2383040032639996</v>
      </c>
      <c r="AY37" s="57">
        <f>IFERROR((IFERROR(INDEX(TableTECalcPts[Custom],MATCH(TableTERanks33[[#This Row],[RK]],TableTECalcPts[RK],0)),"")),"")</f>
        <v>55.509939280947187</v>
      </c>
      <c r="AZ3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8" spans="1:52" x14ac:dyDescent="0.2">
      <c r="A38">
        <v>37</v>
      </c>
      <c r="B38" t="str">
        <f>IFERROR(INDEX(TableQBCalcPts[PLAYER],MATCH(TableQBRanks30[[#This Row],[RK]],TableQBCalcPts[RK],0)),"")</f>
        <v>Zach Wilson</v>
      </c>
      <c r="C38" t="str">
        <f>IFERROR(INDEX(TableQBCalcPts[TM],MATCH(TableQBRanks30[[#This Row],[Player]],TableQBCalcPts[PLAYER],0)),"")</f>
        <v>DEN</v>
      </c>
      <c r="D38">
        <f>IFERROR(INDEX(TableQBCalcPts[BYE],MATCH(TableQBRanks30[[#This Row],[Player]],TableQBCalcPts[PLAYER],0)),"")</f>
        <v>9</v>
      </c>
      <c r="E38" s="83">
        <f>IFERROR((VLOOKUP(TableQBRanks30[[#This Row],[Player]],QB!B:O,4,FALSE)),"")</f>
        <v>87.377249999999989</v>
      </c>
      <c r="F38" s="83">
        <f>IFERROR((VLOOKUP(TableQBRanks30[[#This Row],[Player]],QB!B:O,5,FALSE)),"")</f>
        <v>51.72733199999999</v>
      </c>
      <c r="G38" s="83">
        <f>IFERROR((VLOOKUP(TableQBRanks30[[#This Row],[Player]],QB!B:O,6,FALSE)),"")</f>
        <v>555.55154567999989</v>
      </c>
      <c r="H38" s="83">
        <f>IFERROR((VLOOKUP(TableQBRanks30[[#This Row],[Player]],QB!B:O,7,FALSE)),"")</f>
        <v>3.1455809999999995</v>
      </c>
      <c r="I38" s="83">
        <f>IFERROR((VLOOKUP(TableQBRanks30[[#This Row],[Player]],QB!B:O,8,FALSE)),"")</f>
        <v>1.2931832999999999</v>
      </c>
      <c r="J38" s="83">
        <f>IFERROR((VLOOKUP(TableQBRanks30[[#This Row],[Player]],QB!B:O,9,FALSE)),"")</f>
        <v>4.3951530000000005</v>
      </c>
      <c r="K38" s="83">
        <f>IFERROR((VLOOKUP(TableQBRanks30[[#This Row],[Player]],QB!B:O,10,FALSE)),"")</f>
        <v>19.558430850000004</v>
      </c>
      <c r="L38" s="83">
        <f>IFERROR((VLOOKUP(TableQBRanks30[[#This Row],[Player]],QB!B:O,11,FALSE)),"")</f>
        <v>0.12306428400000002</v>
      </c>
      <c r="M38" s="57">
        <f>IFERROR(INDEX(TableQBCalcPts[Custom],MATCH(TableQBRanks30[[#This Row],[RK]],TableQBCalcPts[RK],0)),"")</f>
        <v>36.205431316199991</v>
      </c>
      <c r="N3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8">
        <v>37</v>
      </c>
      <c r="Q38" t="str">
        <f>IFERROR(INDEX(TableRBCalcPts[PLAYER],MATCH(TableRBRanks31[[#This Row],[RK]],TableRBCalcPts[RK],0)),"")</f>
        <v>Zach Charbonnet</v>
      </c>
      <c r="R38" t="str">
        <f>IFERROR(INDEX(TableRBCalcPts[TM],MATCH(TableRBRanks31[[#This Row],[Player]],TableRBCalcPts[PLAYER],0)),"")</f>
        <v>SEA</v>
      </c>
      <c r="S38">
        <f>IFERROR(INDEX(TableRBCalcPts[BYE],MATCH(TableRBRanks31[[#This Row],[Player]],TableRBCalcPts[PLAYER],0)),"")</f>
        <v>5</v>
      </c>
      <c r="T38" s="83">
        <f>IFERROR((VLOOKUP(TableRBRanks31[[#This Row],[Player]],RB!B:O,4,FALSE)),"")</f>
        <v>140.70322560000002</v>
      </c>
      <c r="U38" s="83">
        <f>IFERROR((VLOOKUP(TableRBRanks31[[#This Row],[Player]],RB!B:O,5,FALSE)),"")</f>
        <v>609.2449668480001</v>
      </c>
      <c r="V38" s="83">
        <f>IFERROR((VLOOKUP(TableRBRanks31[[#This Row],[Player]],RB!B:O,6,FALSE)),"")</f>
        <v>4.2210967680000007</v>
      </c>
      <c r="W38" s="83">
        <f>IFERROR((VLOOKUP(TableRBRanks31[[#This Row],[Player]],RB!B:O,7,FALSE)),"")</f>
        <v>49.341005699999997</v>
      </c>
      <c r="X38" s="83">
        <f>IFERROR((VLOOKUP(TableRBRanks31[[#This Row],[Player]],RB!B:O,8,FALSE)),"")</f>
        <v>39.226099531499997</v>
      </c>
      <c r="Y38" s="83">
        <f>IFERROR((VLOOKUP(TableRBRanks31[[#This Row],[Player]],RB!B:O,9,FALSE)),"")</f>
        <v>282.03565563148499</v>
      </c>
      <c r="Z38" s="83">
        <f>IFERROR((VLOOKUP(TableRBRanks31[[#This Row],[Player]],RB!B:O,10,FALSE)),"")</f>
        <v>1.1767829859449999</v>
      </c>
      <c r="AA38" s="57">
        <f>IFERROR((IFERROR(INDEX(TableRBCalcPts[Custom],MATCH(TableRBRanks31[[#This Row],[RK]],TableRBCalcPts[RK],0)),"")),"")</f>
        <v>141.12839053736855</v>
      </c>
      <c r="AB3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11.775833976611134</v>
      </c>
      <c r="AD38">
        <v>37</v>
      </c>
      <c r="AE38" t="str">
        <f>IFERROR(INDEX(TableWRCalcPts[PLAYER],MATCH(TableWRRanks32[[#This Row],[RK]],TableWRCalcPts[RK],0)),"")</f>
        <v>Zay Flowers</v>
      </c>
      <c r="AF38" t="str">
        <f>IFERROR(INDEX(TableWRCalcPts[TM],MATCH(TableWRRanks32[[#This Row],[Player]],TableWRCalcPts[PLAYER],0)),"")</f>
        <v>BAL</v>
      </c>
      <c r="AG38">
        <f>IFERROR(INDEX(TableWRCalcPts[BYE],MATCH(TableWRRanks32[[#This Row],[Player]],TableWRCalcPts[PLAYER],0)),"")</f>
        <v>13</v>
      </c>
      <c r="AH38" s="83">
        <f>IFERROR((VLOOKUP(TableWRRanks32[[#This Row],[Player]],WR!B:O,4,FALSE)),"")</f>
        <v>41.826687335999992</v>
      </c>
      <c r="AI38" s="83">
        <f>IFERROR((VLOOKUP(TableWRRanks32[[#This Row],[Player]],WR!B:O,5,FALSE)),"")</f>
        <v>0.35446345199999996</v>
      </c>
      <c r="AJ38" s="83">
        <f>IFERROR((VLOOKUP(TableWRRanks32[[#This Row],[Player]],WR!B:O,6,FALSE)),"")</f>
        <v>113.81002640000001</v>
      </c>
      <c r="AK38" s="83">
        <f>IFERROR((VLOOKUP(TableWRRanks32[[#This Row],[Player]],WR!B:O,7,FALSE)),"")</f>
        <v>78.07367811040001</v>
      </c>
      <c r="AL38" s="83">
        <f>IFERROR((VLOOKUP(TableWRRanks32[[#This Row],[Player]],WR!B:O,8,FALSE)),"")</f>
        <v>911.90056032947211</v>
      </c>
      <c r="AM38" s="83">
        <f>IFERROR((VLOOKUP(TableWRRanks32[[#This Row],[Player]],WR!B:O,9,FALSE)),"")</f>
        <v>5.8555258582800009</v>
      </c>
      <c r="AN38" s="57">
        <f>IFERROR((IFERROR(INDEX(TableWRCalcPts[Custom],MATCH(TableWRRanks32[[#This Row],[RK]],TableWRCalcPts[RK],0)),"")),"")</f>
        <v>171.6694996834272</v>
      </c>
      <c r="AO3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8.8220334130767597</v>
      </c>
      <c r="AQ38">
        <v>37</v>
      </c>
      <c r="AR38" t="str">
        <f>IFERROR(INDEX(TableTECalcPts[PLAYER],MATCH(TableTERanks33[[#This Row],[RK]],TableTECalcPts[RK],0)),"")</f>
        <v>Isaiah Likely</v>
      </c>
      <c r="AS38" t="str">
        <f>IFERROR(INDEX(TableTECalcPts[TM],MATCH(TableTERanks33[[#This Row],[Player]],TableTECalcPts[PLAYER],0)),"")</f>
        <v>BAL</v>
      </c>
      <c r="AT38">
        <f>IFERROR(INDEX(TableTECalcPts[BYE],MATCH(TableTERanks33[[#This Row],[Player]],TableTECalcPts[PLAYER],0)),"")</f>
        <v>13</v>
      </c>
      <c r="AU38" s="83">
        <f>IFERROR((VLOOKUP(TableTERanks33[[#This Row],[Player]],TE!B:O,4,FALSE)),"")</f>
        <v>37.054427200000006</v>
      </c>
      <c r="AV38" s="83">
        <f>IFERROR((VLOOKUP(TableTERanks33[[#This Row],[Player]],TE!B:O,5,FALSE)),"")</f>
        <v>26.123371176000003</v>
      </c>
      <c r="AW38" s="83">
        <f>IFERROR((VLOOKUP(TableTERanks33[[#This Row],[Player]],TE!B:O,6,FALSE)),"")</f>
        <v>283.17734354784005</v>
      </c>
      <c r="AX38" s="83">
        <f>IFERROR((VLOOKUP(TableTERanks33[[#This Row],[Player]],TE!B:O,7,FALSE)),"")</f>
        <v>2.35110340584</v>
      </c>
      <c r="AY38" s="57">
        <f>IFERROR((IFERROR(INDEX(TableTECalcPts[Custom],MATCH(TableTERanks33[[#This Row],[RK]],TableTECalcPts[RK],0)),"")),"")</f>
        <v>55.486040377824011</v>
      </c>
      <c r="AZ3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9" spans="1:52" x14ac:dyDescent="0.2">
      <c r="A39">
        <v>38</v>
      </c>
      <c r="B39" t="str">
        <f>IFERROR(INDEX(TableQBCalcPts[PLAYER],MATCH(TableQBRanks30[[#This Row],[RK]],TableQBCalcPts[RK],0)),"")</f>
        <v>Sam Howell</v>
      </c>
      <c r="C39" t="str">
        <f>IFERROR(INDEX(TableQBCalcPts[TM],MATCH(TableQBRanks30[[#This Row],[Player]],TableQBCalcPts[PLAYER],0)),"")</f>
        <v>SEA</v>
      </c>
      <c r="D39">
        <f>IFERROR(INDEX(TableQBCalcPts[BYE],MATCH(TableQBRanks30[[#This Row],[Player]],TableQBCalcPts[PLAYER],0)),"")</f>
        <v>5</v>
      </c>
      <c r="E39" s="83">
        <f>IFERROR((VLOOKUP(TableQBRanks30[[#This Row],[Player]],QB!B:O,4,FALSE)),"")</f>
        <v>59.232900000000001</v>
      </c>
      <c r="F39" s="83">
        <f>IFERROR((VLOOKUP(TableQBRanks30[[#This Row],[Player]],QB!B:O,5,FALSE)),"")</f>
        <v>37.435192800000003</v>
      </c>
      <c r="G39" s="83">
        <f>IFERROR((VLOOKUP(TableQBRanks30[[#This Row],[Player]],QB!B:O,6,FALSE)),"")</f>
        <v>404.82417493920002</v>
      </c>
      <c r="H39" s="83">
        <f>IFERROR((VLOOKUP(TableQBRanks30[[#This Row],[Player]],QB!B:O,7,FALSE)),"")</f>
        <v>2.4285489</v>
      </c>
      <c r="I39" s="83">
        <f>IFERROR((VLOOKUP(TableQBRanks30[[#This Row],[Player]],QB!B:O,8,FALSE)),"")</f>
        <v>1.0107502056000002</v>
      </c>
      <c r="J39" s="83">
        <f>IFERROR((VLOOKUP(TableQBRanks30[[#This Row],[Player]],QB!B:O,9,FALSE)),"")</f>
        <v>4.3969758000000008</v>
      </c>
      <c r="K39" s="83">
        <f>IFERROR((VLOOKUP(TableQBRanks30[[#This Row],[Player]],QB!B:O,10,FALSE)),"")</f>
        <v>22.864274160000004</v>
      </c>
      <c r="L39" s="83">
        <f>IFERROR((VLOOKUP(TableQBRanks30[[#This Row],[Player]],QB!B:O,11,FALSE)),"")</f>
        <v>8.7939516000000023E-2</v>
      </c>
      <c r="M39" s="57">
        <f>IFERROR(INDEX(TableQBCalcPts[Custom],MATCH(TableQBRanks30[[#This Row],[RK]],TableQBCalcPts[RK],0)),"")</f>
        <v>27.710476903968001</v>
      </c>
      <c r="N3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9">
        <v>38</v>
      </c>
      <c r="Q39" t="str">
        <f>IFERROR(INDEX(TableRBCalcPts[PLAYER],MATCH(TableRBRanks31[[#This Row],[RK]],TableRBCalcPts[RK],0)),"")</f>
        <v>Jaylen Warren</v>
      </c>
      <c r="R39" t="str">
        <f>IFERROR(INDEX(TableRBCalcPts[TM],MATCH(TableRBRanks31[[#This Row],[Player]],TableRBCalcPts[PLAYER],0)),"")</f>
        <v>PIT</v>
      </c>
      <c r="S39">
        <f>IFERROR(INDEX(TableRBCalcPts[BYE],MATCH(TableRBRanks31[[#This Row],[Player]],TableRBCalcPts[PLAYER],0)),"")</f>
        <v>6</v>
      </c>
      <c r="T39" s="83">
        <f>IFERROR((VLOOKUP(TableRBRanks31[[#This Row],[Player]],RB!B:O,4,FALSE)),"")</f>
        <v>148.33035000000001</v>
      </c>
      <c r="U39" s="83">
        <f>IFERROR((VLOOKUP(TableRBRanks31[[#This Row],[Player]],RB!B:O,5,FALSE)),"")</f>
        <v>700.11925199999996</v>
      </c>
      <c r="V39" s="83">
        <f>IFERROR((VLOOKUP(TableRBRanks31[[#This Row],[Player]],RB!B:O,6,FALSE)),"")</f>
        <v>4.4499105000000005</v>
      </c>
      <c r="W39" s="83">
        <f>IFERROR((VLOOKUP(TableRBRanks31[[#This Row],[Player]],RB!B:O,7,FALSE)),"")</f>
        <v>36.884504999999997</v>
      </c>
      <c r="X39" s="83">
        <f>IFERROR((VLOOKUP(TableRBRanks31[[#This Row],[Player]],RB!B:O,8,FALSE)),"")</f>
        <v>29.58137301</v>
      </c>
      <c r="Y39" s="83">
        <f>IFERROR((VLOOKUP(TableRBRanks31[[#This Row],[Player]],RB!B:O,9,FALSE)),"")</f>
        <v>209.73193464089999</v>
      </c>
      <c r="Z39" s="83">
        <f>IFERROR((VLOOKUP(TableRBRanks31[[#This Row],[Player]],RB!B:O,10,FALSE)),"")</f>
        <v>1.1832549204</v>
      </c>
      <c r="AA39" s="57">
        <f>IFERROR((IFERROR(INDEX(TableRBCalcPts[Custom],MATCH(TableRBRanks31[[#This Row],[RK]],TableRBCalcPts[RK],0)),"")),"")</f>
        <v>139.57479769148998</v>
      </c>
      <c r="AB3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11.131882884893068</v>
      </c>
      <c r="AD39">
        <v>38</v>
      </c>
      <c r="AE39" t="str">
        <f>IFERROR(INDEX(TableWRCalcPts[PLAYER],MATCH(TableWRRanks32[[#This Row],[RK]],TableWRCalcPts[RK],0)),"")</f>
        <v>Jameson Williams</v>
      </c>
      <c r="AF39" t="str">
        <f>IFERROR(INDEX(TableWRCalcPts[TM],MATCH(TableWRRanks32[[#This Row],[Player]],TableWRCalcPts[PLAYER],0)),"")</f>
        <v>DET</v>
      </c>
      <c r="AG39">
        <f>IFERROR(INDEX(TableWRCalcPts[BYE],MATCH(TableWRRanks32[[#This Row],[Player]],TableWRCalcPts[PLAYER],0)),"")</f>
        <v>9</v>
      </c>
      <c r="AH39" s="83">
        <f>IFERROR((VLOOKUP(TableWRRanks32[[#This Row],[Player]],WR!B:O,4,FALSE)),"")</f>
        <v>0</v>
      </c>
      <c r="AI39" s="83">
        <f>IFERROR((VLOOKUP(TableWRRanks32[[#This Row],[Player]],WR!B:O,5,FALSE)),"")</f>
        <v>0</v>
      </c>
      <c r="AJ39" s="83">
        <f>IFERROR((VLOOKUP(TableWRRanks32[[#This Row],[Player]],WR!B:O,6,FALSE)),"")</f>
        <v>109.64480099999997</v>
      </c>
      <c r="AK39" s="83">
        <f>IFERROR((VLOOKUP(TableWRRanks32[[#This Row],[Player]],WR!B:O,7,FALSE)),"")</f>
        <v>65.567590997999986</v>
      </c>
      <c r="AL39" s="83">
        <f>IFERROR((VLOOKUP(TableWRRanks32[[#This Row],[Player]],WR!B:O,8,FALSE)),"")</f>
        <v>981.54683724005986</v>
      </c>
      <c r="AM39" s="83">
        <f>IFERROR((VLOOKUP(TableWRRanks32[[#This Row],[Player]],WR!B:O,9,FALSE)),"")</f>
        <v>6.6223266907979994</v>
      </c>
      <c r="AN39" s="57">
        <f>IFERROR((IFERROR(INDEX(TableWRCalcPts[Custom],MATCH(TableWRRanks32[[#This Row],[RK]],TableWRCalcPts[RK],0)),"")),"")</f>
        <v>170.67243936779397</v>
      </c>
      <c r="AO3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8.4994400261351295</v>
      </c>
      <c r="AQ39">
        <v>38</v>
      </c>
      <c r="AR39" t="str">
        <f>IFERROR(INDEX(TableTECalcPts[PLAYER],MATCH(TableTERanks33[[#This Row],[RK]],TableTECalcPts[RK],0)),"")</f>
        <v>Austin Hooper</v>
      </c>
      <c r="AS39" t="str">
        <f>IFERROR(INDEX(TableTECalcPts[TM],MATCH(TableTERanks33[[#This Row],[Player]],TableTECalcPts[PLAYER],0)),"")</f>
        <v>NE</v>
      </c>
      <c r="AT39">
        <f>IFERROR(INDEX(TableTECalcPts[BYE],MATCH(TableTERanks33[[#This Row],[Player]],TableTECalcPts[PLAYER],0)),"")</f>
        <v>11</v>
      </c>
      <c r="AU39" s="83">
        <f>IFERROR((VLOOKUP(TableTERanks33[[#This Row],[Player]],TE!B:O,4,FALSE)),"")</f>
        <v>45.35063679999999</v>
      </c>
      <c r="AV39" s="83">
        <f>IFERROR((VLOOKUP(TableTERanks33[[#This Row],[Player]],TE!B:O,5,FALSE)),"")</f>
        <v>29.432563283199993</v>
      </c>
      <c r="AW39" s="83">
        <f>IFERROR((VLOOKUP(TableTERanks33[[#This Row],[Player]],TE!B:O,6,FALSE)),"")</f>
        <v>277.54907176057594</v>
      </c>
      <c r="AX39" s="83">
        <f>IFERROR((VLOOKUP(TableTERanks33[[#This Row],[Player]],TE!B:O,7,FALSE)),"")</f>
        <v>2.1191445563903994</v>
      </c>
      <c r="AY39" s="57">
        <f>IFERROR((IFERROR(INDEX(TableTECalcPts[Custom],MATCH(TableTERanks33[[#This Row],[RK]],TableTECalcPts[RK],0)),"")),"")</f>
        <v>55.186056155999992</v>
      </c>
      <c r="AZ3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0" spans="1:52" x14ac:dyDescent="0.2">
      <c r="A40">
        <v>39</v>
      </c>
      <c r="B40" t="str">
        <f>IFERROR(INDEX(TableQBCalcPts[PLAYER],MATCH(TableQBRanks30[[#This Row],[RK]],TableQBCalcPts[RK],0)),"")</f>
        <v>Desmond Ridder</v>
      </c>
      <c r="C40" t="str">
        <f>IFERROR(INDEX(TableQBCalcPts[TM],MATCH(TableQBRanks30[[#This Row],[Player]],TableQBCalcPts[PLAYER],0)),"")</f>
        <v>ARI</v>
      </c>
      <c r="D40">
        <f>IFERROR(INDEX(TableQBCalcPts[BYE],MATCH(TableQBRanks30[[#This Row],[Player]],TableQBCalcPts[PLAYER],0)),"")</f>
        <v>14</v>
      </c>
      <c r="E40" s="83">
        <f>IFERROR((VLOOKUP(TableQBRanks30[[#This Row],[Player]],QB!B:O,4,FALSE)),"")</f>
        <v>42.120750000000001</v>
      </c>
      <c r="F40" s="83">
        <f>IFERROR((VLOOKUP(TableQBRanks30[[#This Row],[Player]],QB!B:O,5,FALSE)),"")</f>
        <v>27.67333275</v>
      </c>
      <c r="G40" s="83">
        <f>IFERROR((VLOOKUP(TableQBRanks30[[#This Row],[Player]],QB!B:O,6,FALSE)),"")</f>
        <v>304.40666025000002</v>
      </c>
      <c r="H40" s="83">
        <f>IFERROR((VLOOKUP(TableQBRanks30[[#This Row],[Player]],QB!B:O,7,FALSE)),"")</f>
        <v>1.7690715000000001</v>
      </c>
      <c r="I40" s="83">
        <f>IFERROR((VLOOKUP(TableQBRanks30[[#This Row],[Player]],QB!B:O,8,FALSE)),"")</f>
        <v>0.69183331875000009</v>
      </c>
      <c r="J40" s="83">
        <f>IFERROR((VLOOKUP(TableQBRanks30[[#This Row],[Player]],QB!B:O,9,FALSE)),"")</f>
        <v>0</v>
      </c>
      <c r="K40" s="83">
        <f>IFERROR((VLOOKUP(TableQBRanks30[[#This Row],[Player]],QB!B:O,10,FALSE)),"")</f>
        <v>0</v>
      </c>
      <c r="L40" s="83">
        <f>IFERROR((VLOOKUP(TableQBRanks30[[#This Row],[Player]],QB!B:O,11,FALSE)),"")</f>
        <v>0</v>
      </c>
      <c r="M40" s="57">
        <f>IFERROR(INDEX(TableQBCalcPts[Custom],MATCH(TableQBRanks30[[#This Row],[RK]],TableQBCalcPts[RK],0)),"")</f>
        <v>18.56071909125</v>
      </c>
      <c r="N4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0">
        <v>39</v>
      </c>
      <c r="Q40" t="str">
        <f>IFERROR(INDEX(TableRBCalcPts[PLAYER],MATCH(TableRBRanks31[[#This Row],[RK]],TableRBCalcPts[RK],0)),"")</f>
        <v>Rico Dowdle</v>
      </c>
      <c r="R40" t="str">
        <f>IFERROR(INDEX(TableRBCalcPts[TM],MATCH(TableRBRanks31[[#This Row],[Player]],TableRBCalcPts[PLAYER],0)),"")</f>
        <v>DAL</v>
      </c>
      <c r="S40">
        <f>IFERROR(INDEX(TableRBCalcPts[BYE],MATCH(TableRBRanks31[[#This Row],[Player]],TableRBCalcPts[PLAYER],0)),"")</f>
        <v>7</v>
      </c>
      <c r="T40" s="83">
        <f>IFERROR((VLOOKUP(TableRBRanks31[[#This Row],[Player]],RB!B:O,4,FALSE)),"")</f>
        <v>149.96769480000003</v>
      </c>
      <c r="U40" s="83">
        <f>IFERROR((VLOOKUP(TableRBRanks31[[#This Row],[Player]],RB!B:O,5,FALSE)),"")</f>
        <v>632.86367205600015</v>
      </c>
      <c r="V40" s="83">
        <f>IFERROR((VLOOKUP(TableRBRanks31[[#This Row],[Player]],RB!B:O,6,FALSE)),"")</f>
        <v>5.2488693180000014</v>
      </c>
      <c r="W40" s="83">
        <f>IFERROR((VLOOKUP(TableRBRanks31[[#This Row],[Player]],RB!B:O,7,FALSE)),"")</f>
        <v>24.39329759999999</v>
      </c>
      <c r="X40" s="83">
        <f>IFERROR((VLOOKUP(TableRBRanks31[[#This Row],[Player]],RB!B:O,8,FALSE)),"")</f>
        <v>17.929073735999992</v>
      </c>
      <c r="Y40" s="83">
        <f>IFERROR((VLOOKUP(TableRBRanks31[[#This Row],[Player]],RB!B:O,9,FALSE)),"")</f>
        <v>145.58407873631992</v>
      </c>
      <c r="Z40" s="83">
        <f>IFERROR((VLOOKUP(TableRBRanks31[[#This Row],[Player]],RB!B:O,10,FALSE)),"")</f>
        <v>0.7171629494399997</v>
      </c>
      <c r="AA40" s="57">
        <f>IFERROR((IFERROR(INDEX(TableRBCalcPts[Custom],MATCH(TableRBRanks31[[#This Row],[RK]],TableRBCalcPts[RK],0)),"")),"")</f>
        <v>122.60550555187201</v>
      </c>
      <c r="AB4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4.0982548478057454</v>
      </c>
      <c r="AD40">
        <v>39</v>
      </c>
      <c r="AE40" t="str">
        <f>IFERROR(INDEX(TableWRCalcPts[PLAYER],MATCH(TableWRRanks32[[#This Row],[RK]],TableWRCalcPts[RK],0)),"")</f>
        <v>Curtis Samuel</v>
      </c>
      <c r="AF40" t="str">
        <f>IFERROR(INDEX(TableWRCalcPts[TM],MATCH(TableWRRanks32[[#This Row],[Player]],TableWRCalcPts[PLAYER],0)),"")</f>
        <v>BUF</v>
      </c>
      <c r="AG40">
        <f>IFERROR(INDEX(TableWRCalcPts[BYE],MATCH(TableWRRanks32[[#This Row],[Player]],TableWRCalcPts[PLAYER],0)),"")</f>
        <v>13</v>
      </c>
      <c r="AH40" s="83">
        <f>IFERROR((VLOOKUP(TableWRRanks32[[#This Row],[Player]],WR!B:O,4,FALSE)),"")</f>
        <v>72.430122240000003</v>
      </c>
      <c r="AI40" s="83">
        <f>IFERROR((VLOOKUP(TableWRRanks32[[#This Row],[Player]],WR!B:O,5,FALSE)),"")</f>
        <v>0.73771420800000009</v>
      </c>
      <c r="AJ40" s="83">
        <f>IFERROR((VLOOKUP(TableWRRanks32[[#This Row],[Player]],WR!B:O,6,FALSE)),"")</f>
        <v>115.40229119999996</v>
      </c>
      <c r="AK40" s="83">
        <f>IFERROR((VLOOKUP(TableWRRanks32[[#This Row],[Player]],WR!B:O,7,FALSE)),"")</f>
        <v>76.16551219199998</v>
      </c>
      <c r="AL40" s="83">
        <f>IFERROR((VLOOKUP(TableWRRanks32[[#This Row],[Player]],WR!B:O,8,FALSE)),"")</f>
        <v>845.43718533119977</v>
      </c>
      <c r="AM40" s="83">
        <f>IFERROR((VLOOKUP(TableWRRanks32[[#This Row],[Player]],WR!B:O,9,FALSE)),"")</f>
        <v>5.5600823900159986</v>
      </c>
      <c r="AN40" s="57">
        <f>IFERROR((IFERROR(INDEX(TableWRCalcPts[Custom],MATCH(TableWRRanks32[[#This Row],[RK]],TableWRCalcPts[RK],0)),"")),"")</f>
        <v>167.65626644121596</v>
      </c>
      <c r="AO4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7.523573847599585</v>
      </c>
      <c r="AQ40">
        <v>39</v>
      </c>
      <c r="AR40" t="str">
        <f>IFERROR(INDEX(TableTECalcPts[PLAYER],MATCH(TableTERanks33[[#This Row],[RK]],TableTECalcPts[RK],0)),"")</f>
        <v>Tommy Tremble</v>
      </c>
      <c r="AS40" t="str">
        <f>IFERROR(INDEX(TableTECalcPts[TM],MATCH(TableTERanks33[[#This Row],[Player]],TableTECalcPts[PLAYER],0)),"")</f>
        <v>CAR</v>
      </c>
      <c r="AT40">
        <f>IFERROR(INDEX(TableTECalcPts[BYE],MATCH(TableTERanks33[[#This Row],[Player]],TableTECalcPts[PLAYER],0)),"")</f>
        <v>7</v>
      </c>
      <c r="AU40" s="83">
        <f>IFERROR((VLOOKUP(TableTERanks33[[#This Row],[Player]],TE!B:O,4,FALSE)),"")</f>
        <v>46.333615999999992</v>
      </c>
      <c r="AV40" s="83">
        <f>IFERROR((VLOOKUP(TableTERanks33[[#This Row],[Player]],TE!B:O,5,FALSE)),"")</f>
        <v>29.097510847999995</v>
      </c>
      <c r="AW40" s="83">
        <f>IFERROR((VLOOKUP(TableTERanks33[[#This Row],[Player]],TE!B:O,6,FALSE)),"")</f>
        <v>282.24585522559994</v>
      </c>
      <c r="AX40" s="83">
        <f>IFERROR((VLOOKUP(TableTERanks33[[#This Row],[Player]],TE!B:O,7,FALSE)),"")</f>
        <v>2.0368257593599997</v>
      </c>
      <c r="AY40" s="57">
        <f>IFERROR((IFERROR(INDEX(TableTECalcPts[Custom],MATCH(TableTERanks33[[#This Row],[RK]],TableTECalcPts[RK],0)),"")),"")</f>
        <v>54.994295502719993</v>
      </c>
      <c r="AZ4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1" spans="1:52" x14ac:dyDescent="0.2">
      <c r="A41">
        <v>40</v>
      </c>
      <c r="B41" t="str">
        <f>IFERROR(INDEX(TableQBCalcPts[PLAYER],MATCH(TableQBRanks30[[#This Row],[RK]],TableQBCalcPts[RK],0)),"")</f>
        <v>Sam Darnold</v>
      </c>
      <c r="C41" t="str">
        <f>IFERROR(INDEX(TableQBCalcPts[TM],MATCH(TableQBRanks30[[#This Row],[Player]],TableQBCalcPts[PLAYER],0)),"")</f>
        <v>MIN</v>
      </c>
      <c r="D41">
        <f>IFERROR(INDEX(TableQBCalcPts[BYE],MATCH(TableQBRanks30[[#This Row],[Player]],TableQBCalcPts[PLAYER],0)),"")</f>
        <v>13</v>
      </c>
      <c r="E41" s="83">
        <f>IFERROR((VLOOKUP(TableQBRanks30[[#This Row],[Player]],QB!B:O,4,FALSE)),"")</f>
        <v>38.087999999999994</v>
      </c>
      <c r="F41" s="83">
        <f>IFERROR((VLOOKUP(TableQBRanks30[[#This Row],[Player]],QB!B:O,5,FALSE)),"")</f>
        <v>24.414407999999998</v>
      </c>
      <c r="G41" s="83">
        <f>IFERROR((VLOOKUP(TableQBRanks30[[#This Row],[Player]],QB!B:O,6,FALSE)),"")</f>
        <v>270.07218129599994</v>
      </c>
      <c r="H41" s="83">
        <f>IFERROR((VLOOKUP(TableQBRanks30[[#This Row],[Player]],QB!B:O,7,FALSE)),"")</f>
        <v>1.4854319999999999</v>
      </c>
      <c r="I41" s="83">
        <f>IFERROR((VLOOKUP(TableQBRanks30[[#This Row],[Player]],QB!B:O,8,FALSE)),"")</f>
        <v>0.70801783200000001</v>
      </c>
      <c r="J41" s="83">
        <f>IFERROR((VLOOKUP(TableQBRanks30[[#This Row],[Player]],QB!B:O,9,FALSE)),"")</f>
        <v>2.07368</v>
      </c>
      <c r="K41" s="83">
        <f>IFERROR((VLOOKUP(TableQBRanks30[[#This Row],[Player]],QB!B:O,10,FALSE)),"")</f>
        <v>7.6933527999999995</v>
      </c>
      <c r="L41" s="83">
        <f>IFERROR((VLOOKUP(TableQBRanks30[[#This Row],[Player]],QB!B:O,11,FALSE)),"")</f>
        <v>8.2947199999999999E-2</v>
      </c>
      <c r="M41" s="57">
        <f>IFERROR(INDEX(TableQBCalcPts[Custom],MATCH(TableQBRanks30[[#This Row],[RK]],TableQBCalcPts[RK],0)),"")</f>
        <v>17.303615899839997</v>
      </c>
      <c r="N4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1">
        <v>40</v>
      </c>
      <c r="Q41" t="str">
        <f>IFERROR(INDEX(TableRBCalcPts[PLAYER],MATCH(TableRBRanks31[[#This Row],[RK]],TableRBCalcPts[RK],0)),"")</f>
        <v>Tyler Allgeier</v>
      </c>
      <c r="R41" t="str">
        <f>IFERROR(INDEX(TableRBCalcPts[TM],MATCH(TableRBRanks31[[#This Row],[Player]],TableRBCalcPts[PLAYER],0)),"")</f>
        <v>ATL</v>
      </c>
      <c r="S41">
        <f>IFERROR(INDEX(TableRBCalcPts[BYE],MATCH(TableRBRanks31[[#This Row],[Player]],TableRBCalcPts[PLAYER],0)),"")</f>
        <v>11</v>
      </c>
      <c r="T41" s="83">
        <f>IFERROR((VLOOKUP(TableRBRanks31[[#This Row],[Player]],RB!B:O,4,FALSE)),"")</f>
        <v>116.19326880000001</v>
      </c>
      <c r="U41" s="83">
        <f>IFERROR((VLOOKUP(TableRBRanks31[[#This Row],[Player]],RB!B:O,5,FALSE)),"")</f>
        <v>488.01172896000008</v>
      </c>
      <c r="V41" s="83">
        <f>IFERROR((VLOOKUP(TableRBRanks31[[#This Row],[Player]],RB!B:O,6,FALSE)),"")</f>
        <v>4.0667644080000009</v>
      </c>
      <c r="W41" s="83">
        <f>IFERROR((VLOOKUP(TableRBRanks31[[#This Row],[Player]],RB!B:O,7,FALSE)),"")</f>
        <v>34.508073599999989</v>
      </c>
      <c r="X41" s="83">
        <f>IFERROR((VLOOKUP(TableRBRanks31[[#This Row],[Player]],RB!B:O,8,FALSE)),"")</f>
        <v>27.571950806399993</v>
      </c>
      <c r="Y41" s="83">
        <f>IFERROR((VLOOKUP(TableRBRanks31[[#This Row],[Player]],RB!B:O,9,FALSE)),"")</f>
        <v>220.02416743507194</v>
      </c>
      <c r="Z41" s="83">
        <f>IFERROR((VLOOKUP(TableRBRanks31[[#This Row],[Player]],RB!B:O,10,FALSE)),"")</f>
        <v>1.3785975403199997</v>
      </c>
      <c r="AA41" s="57">
        <f>IFERROR((IFERROR(INDEX(TableRBCalcPts[Custom],MATCH(TableRBRanks31[[#This Row],[RK]],TableRBCalcPts[RK],0)),"")),"")</f>
        <v>117.2617367326272</v>
      </c>
      <c r="AB4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1.883307878803917</v>
      </c>
      <c r="AD41">
        <v>40</v>
      </c>
      <c r="AE41" t="str">
        <f>IFERROR(INDEX(TableWRCalcPts[PLAYER],MATCH(TableWRRanks32[[#This Row],[RK]],TableWRCalcPts[RK],0)),"")</f>
        <v>Keon Coleman</v>
      </c>
      <c r="AF41" t="str">
        <f>IFERROR(INDEX(TableWRCalcPts[TM],MATCH(TableWRRanks32[[#This Row],[Player]],TableWRCalcPts[PLAYER],0)),"")</f>
        <v>BUF</v>
      </c>
      <c r="AG41">
        <f>IFERROR(INDEX(TableWRCalcPts[BYE],MATCH(TableWRRanks32[[#This Row],[Player]],TableWRCalcPts[PLAYER],0)),"")</f>
        <v>13</v>
      </c>
      <c r="AH41" s="83">
        <f>IFERROR((VLOOKUP(TableWRRanks32[[#This Row],[Player]],WR!B:O,4,FALSE)),"")</f>
        <v>0</v>
      </c>
      <c r="AI41" s="83">
        <f>IFERROR((VLOOKUP(TableWRRanks32[[#This Row],[Player]],WR!B:O,5,FALSE)),"")</f>
        <v>0</v>
      </c>
      <c r="AJ41" s="83">
        <f>IFERROR((VLOOKUP(TableWRRanks32[[#This Row],[Player]],WR!B:O,6,FALSE)),"")</f>
        <v>121.47609599999996</v>
      </c>
      <c r="AK41" s="83">
        <f>IFERROR((VLOOKUP(TableWRRanks32[[#This Row],[Player]],WR!B:O,7,FALSE)),"")</f>
        <v>73.250085887999973</v>
      </c>
      <c r="AL41" s="83">
        <f>IFERROR((VLOOKUP(TableWRRanks32[[#This Row],[Player]],WR!B:O,8,FALSE)),"")</f>
        <v>922.21858132991963</v>
      </c>
      <c r="AM41" s="83">
        <f>IFERROR((VLOOKUP(TableWRRanks32[[#This Row],[Player]],WR!B:O,9,FALSE)),"")</f>
        <v>6.2995073863679973</v>
      </c>
      <c r="AN41" s="57">
        <f>IFERROR((IFERROR(INDEX(TableWRCalcPts[Custom],MATCH(TableWRRanks32[[#This Row],[RK]],TableWRCalcPts[RK],0)),"")),"")</f>
        <v>166.64394539519995</v>
      </c>
      <c r="AO4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7.1960429351901425</v>
      </c>
      <c r="AQ41">
        <v>40</v>
      </c>
      <c r="AR41" t="str">
        <f>IFERROR(INDEX(TableTECalcPts[PLAYER],MATCH(TableTERanks33[[#This Row],[RK]],TableTECalcPts[RK],0)),"")</f>
        <v>Greg Dulcich</v>
      </c>
      <c r="AS41" t="str">
        <f>IFERROR(INDEX(TableTECalcPts[TM],MATCH(TableTERanks33[[#This Row],[Player]],TableTECalcPts[PLAYER],0)),"")</f>
        <v>DEN</v>
      </c>
      <c r="AT41">
        <f>IFERROR(INDEX(TableTECalcPts[BYE],MATCH(TableTERanks33[[#This Row],[Player]],TableTECalcPts[PLAYER],0)),"")</f>
        <v>9</v>
      </c>
      <c r="AU41" s="83">
        <f>IFERROR((VLOOKUP(TableTERanks33[[#This Row],[Player]],TE!B:O,4,FALSE)),"")</f>
        <v>45.669176</v>
      </c>
      <c r="AV41" s="83">
        <f>IFERROR((VLOOKUP(TableTERanks33[[#This Row],[Player]],TE!B:O,5,FALSE)),"")</f>
        <v>28.451896648000002</v>
      </c>
      <c r="AW41" s="83">
        <f>IFERROR((VLOOKUP(TableTERanks33[[#This Row],[Player]],TE!B:O,6,FALSE)),"")</f>
        <v>290.49386477608004</v>
      </c>
      <c r="AX41" s="83">
        <f>IFERROR((VLOOKUP(TableTERanks33[[#This Row],[Player]],TE!B:O,7,FALSE)),"")</f>
        <v>1.5648543156400001</v>
      </c>
      <c r="AY41" s="57">
        <f>IFERROR((IFERROR(INDEX(TableTECalcPts[Custom],MATCH(TableTERanks33[[#This Row],[RK]],TableTECalcPts[RK],0)),"")),"")</f>
        <v>52.664460695448014</v>
      </c>
      <c r="AZ4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2" spans="1:52" x14ac:dyDescent="0.2">
      <c r="A42">
        <v>41</v>
      </c>
      <c r="B42" t="str">
        <f>IFERROR(INDEX(TableQBCalcPts[PLAYER],MATCH(TableQBRanks30[[#This Row],[RK]],TableQBCalcPts[RK],0)),"")</f>
        <v>Marcus Mariota</v>
      </c>
      <c r="C42" t="str">
        <f>IFERROR(INDEX(TableQBCalcPts[TM],MATCH(TableQBRanks30[[#This Row],[Player]],TableQBCalcPts[PLAYER],0)),"")</f>
        <v>WSH</v>
      </c>
      <c r="D42">
        <f>IFERROR(INDEX(TableQBCalcPts[BYE],MATCH(TableQBRanks30[[#This Row],[Player]],TableQBCalcPts[PLAYER],0)),"")</f>
        <v>14</v>
      </c>
      <c r="E42" s="83">
        <f>IFERROR((VLOOKUP(TableQBRanks30[[#This Row],[Player]],QB!B:O,4,FALSE)),"")</f>
        <v>34.878300000000003</v>
      </c>
      <c r="F42" s="83">
        <f>IFERROR((VLOOKUP(TableQBRanks30[[#This Row],[Player]],QB!B:O,5,FALSE)),"")</f>
        <v>21.101371500000003</v>
      </c>
      <c r="G42" s="83">
        <f>IFERROR((VLOOKUP(TableQBRanks30[[#This Row],[Player]],QB!B:O,6,FALSE)),"")</f>
        <v>215.65601673000003</v>
      </c>
      <c r="H42" s="83">
        <f>IFERROR((VLOOKUP(TableQBRanks30[[#This Row],[Player]],QB!B:O,7,FALSE)),"")</f>
        <v>1.2207405000000002</v>
      </c>
      <c r="I42" s="83">
        <f>IFERROR((VLOOKUP(TableQBRanks30[[#This Row],[Player]],QB!B:O,8,FALSE)),"")</f>
        <v>0.31652057250000004</v>
      </c>
      <c r="J42" s="83">
        <f>IFERROR((VLOOKUP(TableQBRanks30[[#This Row],[Player]],QB!B:O,9,FALSE)),"")</f>
        <v>0</v>
      </c>
      <c r="K42" s="83">
        <f>IFERROR((VLOOKUP(TableQBRanks30[[#This Row],[Player]],QB!B:O,10,FALSE)),"")</f>
        <v>0</v>
      </c>
      <c r="L42" s="83">
        <f>IFERROR((VLOOKUP(TableQBRanks30[[#This Row],[Player]],QB!B:O,11,FALSE)),"")</f>
        <v>0</v>
      </c>
      <c r="M42" s="57">
        <f>IFERROR(INDEX(TableQBCalcPts[Custom],MATCH(TableQBRanks30[[#This Row],[RK]],TableQBCalcPts[RK],0)),"")</f>
        <v>13.192682096700002</v>
      </c>
      <c r="N4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2">
        <v>41</v>
      </c>
      <c r="Q42" t="str">
        <f>IFERROR(INDEX(TableRBCalcPts[PLAYER],MATCH(TableRBRanks31[[#This Row],[RK]],TableRBCalcPts[RK],0)),"")</f>
        <v>Ty Chandler</v>
      </c>
      <c r="R42" t="str">
        <f>IFERROR(INDEX(TableRBCalcPts[TM],MATCH(TableRBRanks31[[#This Row],[Player]],TableRBCalcPts[PLAYER],0)),"")</f>
        <v>MIN</v>
      </c>
      <c r="S42">
        <f>IFERROR(INDEX(TableRBCalcPts[BYE],MATCH(TableRBRanks31[[#This Row],[Player]],TableRBCalcPts[PLAYER],0)),"")</f>
        <v>13</v>
      </c>
      <c r="T42" s="83">
        <f>IFERROR((VLOOKUP(TableRBRanks31[[#This Row],[Player]],RB!B:O,4,FALSE)),"")</f>
        <v>143.08392000000001</v>
      </c>
      <c r="U42" s="83">
        <f>IFERROR((VLOOKUP(TableRBRanks31[[#This Row],[Player]],RB!B:O,5,FALSE)),"")</f>
        <v>618.12253440000006</v>
      </c>
      <c r="V42" s="83">
        <f>IFERROR((VLOOKUP(TableRBRanks31[[#This Row],[Player]],RB!B:O,6,FALSE)),"")</f>
        <v>4.5786854400000001</v>
      </c>
      <c r="W42" s="83">
        <f>IFERROR((VLOOKUP(TableRBRanks31[[#This Row],[Player]],RB!B:O,7,FALSE)),"")</f>
        <v>24.884159999999998</v>
      </c>
      <c r="X42" s="83">
        <f>IFERROR((VLOOKUP(TableRBRanks31[[#This Row],[Player]],RB!B:O,8,FALSE)),"")</f>
        <v>18.563583359999999</v>
      </c>
      <c r="Y42" s="83">
        <f>IFERROR((VLOOKUP(TableRBRanks31[[#This Row],[Player]],RB!B:O,9,FALSE)),"")</f>
        <v>139.22687519999999</v>
      </c>
      <c r="Z42" s="83">
        <f>IFERROR((VLOOKUP(TableRBRanks31[[#This Row],[Player]],RB!B:O,10,FALSE)),"")</f>
        <v>0.72397975104000001</v>
      </c>
      <c r="AA42" s="57">
        <f>IFERROR((IFERROR(INDEX(TableRBCalcPts[Custom],MATCH(TableRBRanks31[[#This Row],[RK]],TableRBCalcPts[RK],0)),"")),"")</f>
        <v>116.83272378624001</v>
      </c>
      <c r="AB4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1.705485641838745</v>
      </c>
      <c r="AD42">
        <v>41</v>
      </c>
      <c r="AE42" t="str">
        <f>IFERROR(INDEX(TableWRCalcPts[PLAYER],MATCH(TableWRRanks32[[#This Row],[RK]],TableWRCalcPts[RK],0)),"")</f>
        <v>Ladd McConkey</v>
      </c>
      <c r="AF42" t="str">
        <f>IFERROR(INDEX(TableWRCalcPts[TM],MATCH(TableWRRanks32[[#This Row],[Player]],TableWRCalcPts[PLAYER],0)),"")</f>
        <v>LAC</v>
      </c>
      <c r="AG42">
        <f>IFERROR(INDEX(TableWRCalcPts[BYE],MATCH(TableWRRanks32[[#This Row],[Player]],TableWRCalcPts[PLAYER],0)),"")</f>
        <v>5</v>
      </c>
      <c r="AH42" s="83">
        <f>IFERROR((VLOOKUP(TableWRRanks32[[#This Row],[Player]],WR!B:O,4,FALSE)),"")</f>
        <v>0</v>
      </c>
      <c r="AI42" s="83">
        <f>IFERROR((VLOOKUP(TableWRRanks32[[#This Row],[Player]],WR!B:O,5,FALSE)),"")</f>
        <v>0</v>
      </c>
      <c r="AJ42" s="83">
        <f>IFERROR((VLOOKUP(TableWRRanks32[[#This Row],[Player]],WR!B:O,6,FALSE)),"")</f>
        <v>112.78909571999998</v>
      </c>
      <c r="AK42" s="83">
        <f>IFERROR((VLOOKUP(TableWRRanks32[[#This Row],[Player]],WR!B:O,7,FALSE)),"")</f>
        <v>75.568694132399983</v>
      </c>
      <c r="AL42" s="83">
        <f>IFERROR((VLOOKUP(TableWRRanks32[[#This Row],[Player]],WR!B:O,8,FALSE)),"")</f>
        <v>935.54043335911183</v>
      </c>
      <c r="AM42" s="83">
        <f>IFERROR((VLOOKUP(TableWRRanks32[[#This Row],[Player]],WR!B:O,9,FALSE)),"")</f>
        <v>5.8187894481947984</v>
      </c>
      <c r="AN42" s="57">
        <f>IFERROR((IFERROR(INDEX(TableWRCalcPts[Custom],MATCH(TableWRRanks32[[#This Row],[RK]],TableWRCalcPts[RK],0)),"")),"")</f>
        <v>166.25112709127995</v>
      </c>
      <c r="AO4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7.0689487312314405</v>
      </c>
      <c r="AQ42">
        <v>41</v>
      </c>
      <c r="AR42" t="str">
        <f>IFERROR(INDEX(TableTECalcPts[PLAYER],MATCH(TableTERanks33[[#This Row],[RK]],TableTECalcPts[RK],0)),"")</f>
        <v>Ben Sinnott</v>
      </c>
      <c r="AS42" t="str">
        <f>IFERROR(INDEX(TableTECalcPts[TM],MATCH(TableTERanks33[[#This Row],[Player]],TableTECalcPts[PLAYER],0)),"")</f>
        <v>WSH</v>
      </c>
      <c r="AT42">
        <f>IFERROR(INDEX(TableTECalcPts[BYE],MATCH(TableTERanks33[[#This Row],[Player]],TableTECalcPts[PLAYER],0)),"")</f>
        <v>14</v>
      </c>
      <c r="AU42" s="83">
        <f>IFERROR((VLOOKUP(TableTERanks33[[#This Row],[Player]],TE!B:O,4,FALSE)),"")</f>
        <v>37.029128499999999</v>
      </c>
      <c r="AV42" s="83">
        <f>IFERROR((VLOOKUP(TableTERanks33[[#This Row],[Player]],TE!B:O,5,FALSE)),"")</f>
        <v>24.142991781999999</v>
      </c>
      <c r="AW42" s="83">
        <f>IFERROR((VLOOKUP(TableTERanks33[[#This Row],[Player]],TE!B:O,6,FALSE)),"")</f>
        <v>256.39857272483999</v>
      </c>
      <c r="AX42" s="83">
        <f>IFERROR((VLOOKUP(TableTERanks33[[#This Row],[Player]],TE!B:O,7,FALSE)),"")</f>
        <v>1.8107243836499998</v>
      </c>
      <c r="AY42" s="57">
        <f>IFERROR((IFERROR(INDEX(TableTECalcPts[Custom],MATCH(TableTERanks33[[#This Row],[RK]],TableTECalcPts[RK],0)),"")),"")</f>
        <v>48.575699465383998</v>
      </c>
      <c r="AZ4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3" spans="1:52" x14ac:dyDescent="0.2">
      <c r="A43">
        <v>42</v>
      </c>
      <c r="B43" t="str">
        <f>IFERROR(INDEX(TableQBCalcPts[PLAYER],MATCH(TableQBRanks30[[#This Row],[RK]],TableQBCalcPts[RK],0)),"")</f>
        <v>Jake Browning</v>
      </c>
      <c r="C43" t="str">
        <f>IFERROR(INDEX(TableQBCalcPts[TM],MATCH(TableQBRanks30[[#This Row],[Player]],TableQBCalcPts[PLAYER],0)),"")</f>
        <v>CIN</v>
      </c>
      <c r="D43">
        <f>IFERROR(INDEX(TableQBCalcPts[BYE],MATCH(TableQBRanks30[[#This Row],[Player]],TableQBCalcPts[PLAYER],0)),"")</f>
        <v>7</v>
      </c>
      <c r="E43" s="83">
        <f>IFERROR((VLOOKUP(TableQBRanks30[[#This Row],[Player]],QB!B:O,4,FALSE)),"")</f>
        <v>31.814700000000027</v>
      </c>
      <c r="F43" s="83">
        <f>IFERROR((VLOOKUP(TableQBRanks30[[#This Row],[Player]],QB!B:O,5,FALSE)),"")</f>
        <v>19.311522900000014</v>
      </c>
      <c r="G43" s="83">
        <f>IFERROR((VLOOKUP(TableQBRanks30[[#This Row],[Player]],QB!B:O,6,FALSE)),"")</f>
        <v>209.53002346500014</v>
      </c>
      <c r="H43" s="83">
        <f>IFERROR((VLOOKUP(TableQBRanks30[[#This Row],[Player]],QB!B:O,7,FALSE)),"")</f>
        <v>1.0816998000000011</v>
      </c>
      <c r="I43" s="83">
        <f>IFERROR((VLOOKUP(TableQBRanks30[[#This Row],[Player]],QB!B:O,8,FALSE)),"")</f>
        <v>0.38623045800000028</v>
      </c>
      <c r="J43" s="83">
        <f>IFERROR((VLOOKUP(TableQBRanks30[[#This Row],[Player]],QB!B:O,9,FALSE)),"")</f>
        <v>0</v>
      </c>
      <c r="K43" s="83">
        <f>IFERROR((VLOOKUP(TableQBRanks30[[#This Row],[Player]],QB!B:O,10,FALSE)),"")</f>
        <v>0</v>
      </c>
      <c r="L43" s="83">
        <f>IFERROR((VLOOKUP(TableQBRanks30[[#This Row],[Player]],QB!B:O,11,FALSE)),"")</f>
        <v>0</v>
      </c>
      <c r="M43" s="57">
        <f>IFERROR(INDEX(TableQBCalcPts[Custom],MATCH(TableQBRanks30[[#This Row],[RK]],TableQBCalcPts[RK],0)),"")</f>
        <v>12.32176968060001</v>
      </c>
      <c r="N4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3">
        <v>42</v>
      </c>
      <c r="Q43" t="str">
        <f>IFERROR(INDEX(TableRBCalcPts[PLAYER],MATCH(TableRBRanks31[[#This Row],[RK]],TableRBCalcPts[RK],0)),"")</f>
        <v>Trey Benson</v>
      </c>
      <c r="R43" t="str">
        <f>IFERROR(INDEX(TableRBCalcPts[TM],MATCH(TableRBRanks31[[#This Row],[Player]],TableRBCalcPts[PLAYER],0)),"")</f>
        <v>ARI</v>
      </c>
      <c r="S43">
        <f>IFERROR(INDEX(TableRBCalcPts[BYE],MATCH(TableRBRanks31[[#This Row],[Player]],TableRBCalcPts[PLAYER],0)),"")</f>
        <v>14</v>
      </c>
      <c r="T43" s="83">
        <f>IFERROR((VLOOKUP(TableRBRanks31[[#This Row],[Player]],RB!B:O,4,FALSE)),"")</f>
        <v>140.74294500000002</v>
      </c>
      <c r="U43" s="83">
        <f>IFERROR((VLOOKUP(TableRBRanks31[[#This Row],[Player]],RB!B:O,5,FALSE)),"")</f>
        <v>610.82438130000003</v>
      </c>
      <c r="V43" s="83">
        <f>IFERROR((VLOOKUP(TableRBRanks31[[#This Row],[Player]],RB!B:O,6,FALSE)),"")</f>
        <v>4.6445171850000007</v>
      </c>
      <c r="W43" s="83">
        <f>IFERROR((VLOOKUP(TableRBRanks31[[#This Row],[Player]],RB!B:O,7,FALSE)),"")</f>
        <v>23.587620000000001</v>
      </c>
      <c r="X43" s="83">
        <f>IFERROR((VLOOKUP(TableRBRanks31[[#This Row],[Player]],RB!B:O,8,FALSE)),"")</f>
        <v>17.619952140000002</v>
      </c>
      <c r="Y43" s="83">
        <f>IFERROR((VLOOKUP(TableRBRanks31[[#This Row],[Player]],RB!B:O,9,FALSE)),"")</f>
        <v>124.57306162980002</v>
      </c>
      <c r="Z43" s="83">
        <f>IFERROR((VLOOKUP(TableRBRanks31[[#This Row],[Player]],RB!B:O,10,FALSE)),"")</f>
        <v>0.59907837276000009</v>
      </c>
      <c r="AA43" s="57">
        <f>IFERROR((IFERROR(INDEX(TableRBCalcPts[Custom],MATCH(TableRBRanks31[[#This Row],[RK]],TableRBCalcPts[RK],0)),"")),"")</f>
        <v>113.81129370954001</v>
      </c>
      <c r="AB4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0.45312843537871977</v>
      </c>
      <c r="AD43">
        <v>42</v>
      </c>
      <c r="AE43" t="str">
        <f>IFERROR(INDEX(TableWRCalcPts[PLAYER],MATCH(TableWRRanks32[[#This Row],[RK]],TableWRCalcPts[RK],0)),"")</f>
        <v>Christian Watson</v>
      </c>
      <c r="AF43" t="str">
        <f>IFERROR(INDEX(TableWRCalcPts[TM],MATCH(TableWRRanks32[[#This Row],[Player]],TableWRCalcPts[PLAYER],0)),"")</f>
        <v>GB</v>
      </c>
      <c r="AG43">
        <f>IFERROR(INDEX(TableWRCalcPts[BYE],MATCH(TableWRRanks32[[#This Row],[Player]],TableWRCalcPts[PLAYER],0)),"")</f>
        <v>6</v>
      </c>
      <c r="AH43" s="83">
        <f>IFERROR((VLOOKUP(TableWRRanks32[[#This Row],[Player]],WR!B:O,4,FALSE)),"")</f>
        <v>29.210695359999999</v>
      </c>
      <c r="AI43" s="83">
        <f>IFERROR((VLOOKUP(TableWRRanks32[[#This Row],[Player]],WR!B:O,5,FALSE)),"")</f>
        <v>0.12544470399999999</v>
      </c>
      <c r="AJ43" s="83">
        <f>IFERROR((VLOOKUP(TableWRRanks32[[#This Row],[Player]],WR!B:O,6,FALSE)),"")</f>
        <v>102.63657600000001</v>
      </c>
      <c r="AK43" s="83">
        <f>IFERROR((VLOOKUP(TableWRRanks32[[#This Row],[Player]],WR!B:O,7,FALSE)),"")</f>
        <v>59.837123808000001</v>
      </c>
      <c r="AL43" s="83">
        <f>IFERROR((VLOOKUP(TableWRRanks32[[#This Row],[Player]],WR!B:O,8,FALSE)),"")</f>
        <v>892.76988721535997</v>
      </c>
      <c r="AM43" s="83">
        <f>IFERROR((VLOOKUP(TableWRRanks32[[#This Row],[Player]],WR!B:O,9,FALSE)),"")</f>
        <v>7.18045485696</v>
      </c>
      <c r="AN43" s="57">
        <f>IFERROR((IFERROR(INDEX(TableWRCalcPts[Custom],MATCH(TableWRRanks32[[#This Row],[RK]],TableWRCalcPts[RK],0)),"")),"")</f>
        <v>165.95201752729599</v>
      </c>
      <c r="AO4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6.9721734752120108</v>
      </c>
      <c r="AQ43">
        <v>42</v>
      </c>
      <c r="AR43" t="str">
        <f>IFERROR(INDEX(TableTECalcPts[PLAYER],MATCH(TableTERanks33[[#This Row],[RK]],TableTECalcPts[RK],0)),"")</f>
        <v>Jeremy Ruckert</v>
      </c>
      <c r="AS43" t="str">
        <f>IFERROR(INDEX(TableTECalcPts[TM],MATCH(TableTERanks33[[#This Row],[Player]],TableTECalcPts[PLAYER],0)),"")</f>
        <v>NYJ</v>
      </c>
      <c r="AT43">
        <f>IFERROR(INDEX(TableTECalcPts[BYE],MATCH(TableTERanks33[[#This Row],[Player]],TableTECalcPts[PLAYER],0)),"")</f>
        <v>7</v>
      </c>
      <c r="AU43" s="83">
        <f>IFERROR((VLOOKUP(TableTERanks33[[#This Row],[Player]],TE!B:O,4,FALSE)),"")</f>
        <v>35.550715199999992</v>
      </c>
      <c r="AV43" s="83">
        <f>IFERROR((VLOOKUP(TableTERanks33[[#This Row],[Player]],TE!B:O,5,FALSE)),"")</f>
        <v>24.636645633599993</v>
      </c>
      <c r="AW43" s="83">
        <f>IFERROR((VLOOKUP(TableTERanks33[[#This Row],[Player]],TE!B:O,6,FALSE)),"")</f>
        <v>243.90279177263994</v>
      </c>
      <c r="AX43" s="83">
        <f>IFERROR((VLOOKUP(TableTERanks33[[#This Row],[Player]],TE!B:O,7,FALSE)),"")</f>
        <v>1.8723850681535994</v>
      </c>
      <c r="AY43" s="57">
        <f>IFERROR((IFERROR(INDEX(TableTECalcPts[Custom],MATCH(TableTERanks33[[#This Row],[RK]],TableTECalcPts[RK],0)),"")),"")</f>
        <v>47.942912402985584</v>
      </c>
      <c r="AZ4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4" spans="1:52" x14ac:dyDescent="0.2">
      <c r="A44">
        <v>43</v>
      </c>
      <c r="B44" t="str">
        <f>IFERROR(INDEX(TableQBCalcPts[PLAYER],MATCH(TableQBRanks30[[#This Row],[RK]],TableQBCalcPts[RK],0)),"")</f>
        <v>Joe Flacco</v>
      </c>
      <c r="C44" t="str">
        <f>IFERROR(INDEX(TableQBCalcPts[TM],MATCH(TableQBRanks30[[#This Row],[Player]],TableQBCalcPts[PLAYER],0)),"")</f>
        <v>IND</v>
      </c>
      <c r="D44">
        <f>IFERROR(INDEX(TableQBCalcPts[BYE],MATCH(TableQBRanks30[[#This Row],[Player]],TableQBCalcPts[PLAYER],0)),"")</f>
        <v>11</v>
      </c>
      <c r="E44" s="83">
        <f>IFERROR((VLOOKUP(TableQBRanks30[[#This Row],[Player]],QB!B:O,4,FALSE)),"")</f>
        <v>27.379000000000026</v>
      </c>
      <c r="F44" s="83">
        <f>IFERROR((VLOOKUP(TableQBRanks30[[#This Row],[Player]],QB!B:O,5,FALSE)),"")</f>
        <v>17.440423000000017</v>
      </c>
      <c r="G44" s="83">
        <f>IFERROR((VLOOKUP(TableQBRanks30[[#This Row],[Player]],QB!B:O,6,FALSE)),"")</f>
        <v>200.73926873000019</v>
      </c>
      <c r="H44" s="83">
        <f>IFERROR((VLOOKUP(TableQBRanks30[[#This Row],[Player]],QB!B:O,7,FALSE)),"")</f>
        <v>1.095160000000001</v>
      </c>
      <c r="I44" s="83">
        <f>IFERROR((VLOOKUP(TableQBRanks30[[#This Row],[Player]],QB!B:O,8,FALSE)),"")</f>
        <v>0.41857015200000042</v>
      </c>
      <c r="J44" s="83">
        <f>IFERROR((VLOOKUP(TableQBRanks30[[#This Row],[Player]],QB!B:O,9,FALSE)),"")</f>
        <v>0</v>
      </c>
      <c r="K44" s="83">
        <f>IFERROR((VLOOKUP(TableQBRanks30[[#This Row],[Player]],QB!B:O,10,FALSE)),"")</f>
        <v>0</v>
      </c>
      <c r="L44" s="83">
        <f>IFERROR((VLOOKUP(TableQBRanks30[[#This Row],[Player]],QB!B:O,11,FALSE)),"")</f>
        <v>0</v>
      </c>
      <c r="M44" s="57">
        <f>IFERROR(INDEX(TableQBCalcPts[Custom],MATCH(TableQBRanks30[[#This Row],[RK]],TableQBCalcPts[RK],0)),"")</f>
        <v>11.991640597200011</v>
      </c>
      <c r="N4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4">
        <v>43</v>
      </c>
      <c r="Q44" t="str">
        <f>IFERROR(INDEX(TableRBCalcPts[PLAYER],MATCH(TableRBRanks31[[#This Row],[RK]],TableRBCalcPts[RK],0)),"")</f>
        <v>Chase Brown</v>
      </c>
      <c r="R44" t="str">
        <f>IFERROR(INDEX(TableRBCalcPts[TM],MATCH(TableRBRanks31[[#This Row],[Player]],TableRBCalcPts[PLAYER],0)),"")</f>
        <v>CIN</v>
      </c>
      <c r="S44">
        <f>IFERROR(INDEX(TableRBCalcPts[BYE],MATCH(TableRBRanks31[[#This Row],[Player]],TableRBCalcPts[PLAYER],0)),"")</f>
        <v>7</v>
      </c>
      <c r="T44" s="83">
        <f>IFERROR((VLOOKUP(TableRBRanks31[[#This Row],[Player]],RB!B:O,4,FALSE)),"")</f>
        <v>129.91172039999998</v>
      </c>
      <c r="U44" s="83">
        <f>IFERROR((VLOOKUP(TableRBRanks31[[#This Row],[Player]],RB!B:O,5,FALSE)),"")</f>
        <v>567.71421814799987</v>
      </c>
      <c r="V44" s="83">
        <f>IFERROR((VLOOKUP(TableRBRanks31[[#This Row],[Player]],RB!B:O,6,FALSE)),"")</f>
        <v>4.6768219343999986</v>
      </c>
      <c r="W44" s="83">
        <f>IFERROR((VLOOKUP(TableRBRanks31[[#This Row],[Player]],RB!B:O,7,FALSE)),"")</f>
        <v>24.942724799999997</v>
      </c>
      <c r="X44" s="83">
        <f>IFERROR((VLOOKUP(TableRBRanks31[[#This Row],[Player]],RB!B:O,8,FALSE)),"")</f>
        <v>19.629924417599998</v>
      </c>
      <c r="Y44" s="83">
        <f>IFERROR((VLOOKUP(TableRBRanks31[[#This Row],[Player]],RB!B:O,9,FALSE)),"")</f>
        <v>141.33545580671998</v>
      </c>
      <c r="Z44" s="83">
        <f>IFERROR((VLOOKUP(TableRBRanks31[[#This Row],[Player]],RB!B:O,10,FALSE)),"")</f>
        <v>0.68704735461599997</v>
      </c>
      <c r="AA44" s="57">
        <f>IFERROR((IFERROR(INDEX(TableRBCalcPts[Custom],MATCH(TableRBRanks31[[#This Row],[RK]],TableRBCalcPts[RK],0)),"")),"")</f>
        <v>112.90314533836799</v>
      </c>
      <c r="AB4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7.6708618172691131E-2</v>
      </c>
      <c r="AD44">
        <v>43</v>
      </c>
      <c r="AE44" t="str">
        <f>IFERROR(INDEX(TableWRCalcPts[PLAYER],MATCH(TableWRRanks32[[#This Row],[RK]],TableWRCalcPts[RK],0)),"")</f>
        <v>Xavier Legette</v>
      </c>
      <c r="AF44" t="str">
        <f>IFERROR(INDEX(TableWRCalcPts[TM],MATCH(TableWRRanks32[[#This Row],[Player]],TableWRCalcPts[PLAYER],0)),"")</f>
        <v>CAR</v>
      </c>
      <c r="AG44">
        <f>IFERROR(INDEX(TableWRCalcPts[BYE],MATCH(TableWRRanks32[[#This Row],[Player]],TableWRCalcPts[PLAYER],0)),"")</f>
        <v>7</v>
      </c>
      <c r="AH44" s="83">
        <f>IFERROR((VLOOKUP(TableWRRanks32[[#This Row],[Player]],WR!B:O,4,FALSE)),"")</f>
        <v>26.754587999999998</v>
      </c>
      <c r="AI44" s="83">
        <f>IFERROR((VLOOKUP(TableWRRanks32[[#This Row],[Player]],WR!B:O,5,FALSE)),"")</f>
        <v>0.22295490000000001</v>
      </c>
      <c r="AJ44" s="83">
        <f>IFERROR((VLOOKUP(TableWRRanks32[[#This Row],[Player]],WR!B:O,6,FALSE)),"")</f>
        <v>112.93818899999998</v>
      </c>
      <c r="AK44" s="83">
        <f>IFERROR((VLOOKUP(TableWRRanks32[[#This Row],[Player]],WR!B:O,7,FALSE)),"")</f>
        <v>70.360491746999983</v>
      </c>
      <c r="AL44" s="83">
        <f>IFERROR((VLOOKUP(TableWRRanks32[[#This Row],[Player]],WR!B:O,8,FALSE)),"")</f>
        <v>935.79454023509982</v>
      </c>
      <c r="AM44" s="83">
        <f>IFERROR((VLOOKUP(TableWRRanks32[[#This Row],[Player]],WR!B:O,9,FALSE)),"")</f>
        <v>5.0659554057839982</v>
      </c>
      <c r="AN44" s="57">
        <f>IFERROR((IFERROR(INDEX(TableWRCalcPts[Custom],MATCH(TableWRRanks32[[#This Row],[RK]],TableWRCalcPts[RK],0)),"")),"")</f>
        <v>163.16862053171394</v>
      </c>
      <c r="AO4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6.0716206702017033</v>
      </c>
      <c r="AQ44">
        <v>43</v>
      </c>
      <c r="AR44" t="str">
        <f>IFERROR(INDEX(TableTECalcPts[PLAYER],MATCH(TableTERanks33[[#This Row],[RK]],TableTECalcPts[RK],0)),"")</f>
        <v>Donald Parham</v>
      </c>
      <c r="AS44" t="str">
        <f>IFERROR(INDEX(TableTECalcPts[TM],MATCH(TableTERanks33[[#This Row],[Player]],TableTECalcPts[PLAYER],0)),"")</f>
        <v>LAC</v>
      </c>
      <c r="AT44">
        <f>IFERROR(INDEX(TableTECalcPts[BYE],MATCH(TableTERanks33[[#This Row],[Player]],TableTECalcPts[PLAYER],0)),"")</f>
        <v>5</v>
      </c>
      <c r="AU44" s="83">
        <f>IFERROR((VLOOKUP(TableTERanks33[[#This Row],[Player]],TE!B:O,4,FALSE)),"")</f>
        <v>30.709902299999992</v>
      </c>
      <c r="AV44" s="83">
        <f>IFERROR((VLOOKUP(TableTERanks33[[#This Row],[Player]],TE!B:O,5,FALSE)),"")</f>
        <v>21.589061316899993</v>
      </c>
      <c r="AW44" s="83">
        <f>IFERROR((VLOOKUP(TableTERanks33[[#This Row],[Player]],TE!B:O,6,FALSE)),"")</f>
        <v>226.68514382744993</v>
      </c>
      <c r="AX44" s="83">
        <f>IFERROR((VLOOKUP(TableTERanks33[[#This Row],[Player]],TE!B:O,7,FALSE)),"")</f>
        <v>2.2668514382744993</v>
      </c>
      <c r="AY44" s="57">
        <f>IFERROR((IFERROR(INDEX(TableTECalcPts[Custom],MATCH(TableTERanks33[[#This Row],[RK]],TableTECalcPts[RK],0)),"")),"")</f>
        <v>47.064153670841982</v>
      </c>
      <c r="AZ4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5" spans="1:52" x14ac:dyDescent="0.2">
      <c r="A45">
        <v>44</v>
      </c>
      <c r="B45" t="str">
        <f>IFERROR(INDEX(TableQBCalcPts[PLAYER],MATCH(TableQBRanks30[[#This Row],[RK]],TableQBCalcPts[RK],0)),"")</f>
        <v>Andy Dalton</v>
      </c>
      <c r="C45" t="str">
        <f>IFERROR(INDEX(TableQBCalcPts[TM],MATCH(TableQBRanks30[[#This Row],[Player]],TableQBCalcPts[PLAYER],0)),"")</f>
        <v>CAR</v>
      </c>
      <c r="D45">
        <f>IFERROR(INDEX(TableQBCalcPts[BYE],MATCH(TableQBRanks30[[#This Row],[Player]],TableQBCalcPts[PLAYER],0)),"")</f>
        <v>7</v>
      </c>
      <c r="E45" s="83">
        <f>IFERROR((VLOOKUP(TableQBRanks30[[#This Row],[Player]],QB!B:O,4,FALSE)),"")</f>
        <v>29.549499999999995</v>
      </c>
      <c r="F45" s="83">
        <f>IFERROR((VLOOKUP(TableQBRanks30[[#This Row],[Player]],QB!B:O,5,FALSE)),"")</f>
        <v>19.207174999999996</v>
      </c>
      <c r="G45" s="83">
        <f>IFERROR((VLOOKUP(TableQBRanks30[[#This Row],[Player]],QB!B:O,6,FALSE)),"")</f>
        <v>192.84003699999994</v>
      </c>
      <c r="H45" s="83">
        <f>IFERROR((VLOOKUP(TableQBRanks30[[#This Row],[Player]],QB!B:O,7,FALSE)),"")</f>
        <v>1.004683</v>
      </c>
      <c r="I45" s="83">
        <f>IFERROR((VLOOKUP(TableQBRanks30[[#This Row],[Player]],QB!B:O,8,FALSE)),"")</f>
        <v>0.11524304999999997</v>
      </c>
      <c r="J45" s="83">
        <f>IFERROR((VLOOKUP(TableQBRanks30[[#This Row],[Player]],QB!B:O,9,FALSE)),"")</f>
        <v>2.229549</v>
      </c>
      <c r="K45" s="83">
        <f>IFERROR((VLOOKUP(TableQBRanks30[[#This Row],[Player]],QB!B:O,10,FALSE)),"")</f>
        <v>2.6754587999999999</v>
      </c>
      <c r="L45" s="83">
        <f>IFERROR((VLOOKUP(TableQBRanks30[[#This Row],[Player]],QB!B:O,11,FALSE)),"")</f>
        <v>0</v>
      </c>
      <c r="M45" s="57">
        <f>IFERROR(INDEX(TableQBCalcPts[Custom],MATCH(TableQBRanks30[[#This Row],[RK]],TableQBCalcPts[RK],0)),"")</f>
        <v>11.884636309999998</v>
      </c>
      <c r="N4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5">
        <v>44</v>
      </c>
      <c r="Q45" t="str">
        <f>IFERROR(INDEX(TableRBCalcPts[PLAYER],MATCH(TableRBRanks31[[#This Row],[RK]],TableRBCalcPts[RK],0)),"")</f>
        <v>Jerome Ford</v>
      </c>
      <c r="R45" t="str">
        <f>IFERROR(INDEX(TableRBCalcPts[TM],MATCH(TableRBRanks31[[#This Row],[Player]],TableRBCalcPts[PLAYER],0)),"")</f>
        <v>CLE</v>
      </c>
      <c r="S45">
        <f>IFERROR(INDEX(TableRBCalcPts[BYE],MATCH(TableRBRanks31[[#This Row],[Player]],TableRBCalcPts[PLAYER],0)),"")</f>
        <v>5</v>
      </c>
      <c r="T45" s="83">
        <f>IFERROR((VLOOKUP(TableRBRanks31[[#This Row],[Player]],RB!B:O,4,FALSE)),"")</f>
        <v>145.93424999999999</v>
      </c>
      <c r="U45" s="83">
        <f>IFERROR((VLOOKUP(TableRBRanks31[[#This Row],[Player]],RB!B:O,5,FALSE)),"")</f>
        <v>608.54582249999999</v>
      </c>
      <c r="V45" s="83">
        <f>IFERROR((VLOOKUP(TableRBRanks31[[#This Row],[Player]],RB!B:O,6,FALSE)),"")</f>
        <v>5.8373699999999999</v>
      </c>
      <c r="W45" s="83">
        <f>IFERROR((VLOOKUP(TableRBRanks31[[#This Row],[Player]],RB!B:O,7,FALSE)),"")</f>
        <v>16.129574999999999</v>
      </c>
      <c r="X45" s="83">
        <f>IFERROR((VLOOKUP(TableRBRanks31[[#This Row],[Player]],RB!B:O,8,FALSE)),"")</f>
        <v>11.693941874999998</v>
      </c>
      <c r="Y45" s="83">
        <f>IFERROR((VLOOKUP(TableRBRanks31[[#This Row],[Player]],RB!B:O,9,FALSE)),"")</f>
        <v>81.857593124999994</v>
      </c>
      <c r="Z45" s="83">
        <f>IFERROR((VLOOKUP(TableRBRanks31[[#This Row],[Player]],RB!B:O,10,FALSE)),"")</f>
        <v>0.46775767499999993</v>
      </c>
      <c r="AA45" s="57">
        <f>IFERROR((IFERROR(INDEX(TableRBCalcPts[Custom],MATCH(TableRBRanks31[[#This Row],[RK]],TableRBCalcPts[RK],0)),"")),"")</f>
        <v>112.71807855</v>
      </c>
      <c r="AB4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5">
        <v>44</v>
      </c>
      <c r="AE45" t="str">
        <f>IFERROR(INDEX(TableWRCalcPts[PLAYER],MATCH(TableWRRanks32[[#This Row],[RK]],TableWRCalcPts[RK],0)),"")</f>
        <v>Michael Pittman</v>
      </c>
      <c r="AF45" t="str">
        <f>IFERROR(INDEX(TableWRCalcPts[TM],MATCH(TableWRRanks32[[#This Row],[Player]],TableWRCalcPts[PLAYER],0)),"")</f>
        <v>IND</v>
      </c>
      <c r="AG45">
        <f>IFERROR(INDEX(TableWRCalcPts[BYE],MATCH(TableWRRanks32[[#This Row],[Player]],TableWRCalcPts[PLAYER],0)),"")</f>
        <v>11</v>
      </c>
      <c r="AH45" s="83">
        <f>IFERROR((VLOOKUP(TableWRRanks32[[#This Row],[Player]],WR!B:O,4,FALSE)),"")</f>
        <v>0</v>
      </c>
      <c r="AI45" s="83">
        <f>IFERROR((VLOOKUP(TableWRRanks32[[#This Row],[Player]],WR!B:O,5,FALSE)),"")</f>
        <v>0</v>
      </c>
      <c r="AJ45" s="83">
        <f>IFERROR((VLOOKUP(TableWRRanks32[[#This Row],[Player]],WR!B:O,6,FALSE)),"")</f>
        <v>121.81464680000001</v>
      </c>
      <c r="AK45" s="83">
        <f>IFERROR((VLOOKUP(TableWRRanks32[[#This Row],[Player]],WR!B:O,7,FALSE)),"")</f>
        <v>77.474115364799999</v>
      </c>
      <c r="AL45" s="83">
        <f>IFERROR((VLOOKUP(TableWRRanks32[[#This Row],[Player]],WR!B:O,8,FALSE)),"")</f>
        <v>910.32085553640002</v>
      </c>
      <c r="AM45" s="83">
        <f>IFERROR((VLOOKUP(TableWRRanks32[[#This Row],[Player]],WR!B:O,9,FALSE)),"")</f>
        <v>5.2682398448064003</v>
      </c>
      <c r="AN45" s="57">
        <f>IFERROR((IFERROR(INDEX(TableWRCalcPts[Custom],MATCH(TableWRRanks32[[#This Row],[RK]],TableWRCalcPts[RK],0)),"")),"")</f>
        <v>161.37858230487842</v>
      </c>
      <c r="AO4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5.4924636369753648</v>
      </c>
      <c r="AQ45">
        <v>44</v>
      </c>
      <c r="AR45" t="str">
        <f>IFERROR(INDEX(TableTECalcPts[PLAYER],MATCH(TableTERanks33[[#This Row],[RK]],TableTECalcPts[RK],0)),"")</f>
        <v>Josh Oliver</v>
      </c>
      <c r="AS45" t="str">
        <f>IFERROR(INDEX(TableTECalcPts[TM],MATCH(TableTERanks33[[#This Row],[Player]],TableTECalcPts[PLAYER],0)),"")</f>
        <v>MIN</v>
      </c>
      <c r="AT45">
        <f>IFERROR(INDEX(TableTECalcPts[BYE],MATCH(TableTERanks33[[#This Row],[Player]],TableTECalcPts[PLAYER],0)),"")</f>
        <v>13</v>
      </c>
      <c r="AU45" s="83">
        <f>IFERROR((VLOOKUP(TableTERanks33[[#This Row],[Player]],TE!B:O,4,FALSE)),"")</f>
        <v>37.326239999999999</v>
      </c>
      <c r="AV45" s="83">
        <f>IFERROR((VLOOKUP(TableTERanks33[[#This Row],[Player]],TE!B:O,5,FALSE)),"")</f>
        <v>24.000772319999999</v>
      </c>
      <c r="AW45" s="83">
        <f>IFERROR((VLOOKUP(TableTERanks33[[#This Row],[Player]],TE!B:O,6,FALSE)),"")</f>
        <v>227.2873138704</v>
      </c>
      <c r="AX45" s="83">
        <f>IFERROR((VLOOKUP(TableTERanks33[[#This Row],[Player]],TE!B:O,7,FALSE)),"")</f>
        <v>1.9200617856</v>
      </c>
      <c r="AY45" s="57">
        <f>IFERROR((IFERROR(INDEX(TableTECalcPts[Custom],MATCH(TableTERanks33[[#This Row],[RK]],TableTECalcPts[RK],0)),"")),"")</f>
        <v>46.24948826064</v>
      </c>
      <c r="AZ4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6" spans="1:52" x14ac:dyDescent="0.2">
      <c r="A46">
        <v>45</v>
      </c>
      <c r="B46" t="str">
        <f>IFERROR(INDEX(TableQBCalcPts[PLAYER],MATCH(TableQBRanks30[[#This Row],[RK]],TableQBCalcPts[RK],0)),"")</f>
        <v>Kyle Trask</v>
      </c>
      <c r="C46" t="str">
        <f>IFERROR(INDEX(TableQBCalcPts[TM],MATCH(TableQBRanks30[[#This Row],[Player]],TableQBCalcPts[PLAYER],0)),"")</f>
        <v>TB</v>
      </c>
      <c r="D46">
        <f>IFERROR(INDEX(TableQBCalcPts[BYE],MATCH(TableQBRanks30[[#This Row],[Player]],TableQBCalcPts[PLAYER],0)),"")</f>
        <v>5</v>
      </c>
      <c r="E46" s="83">
        <f>IFERROR((VLOOKUP(TableQBRanks30[[#This Row],[Player]],QB!B:O,4,FALSE)),"")</f>
        <v>30.2577</v>
      </c>
      <c r="F46" s="83">
        <f>IFERROR((VLOOKUP(TableQBRanks30[[#This Row],[Player]],QB!B:O,5,FALSE)),"")</f>
        <v>18.487454700000001</v>
      </c>
      <c r="G46" s="83">
        <f>IFERROR((VLOOKUP(TableQBRanks30[[#This Row],[Player]],QB!B:O,6,FALSE)),"")</f>
        <v>200.03425985400003</v>
      </c>
      <c r="H46" s="83">
        <f>IFERROR((VLOOKUP(TableQBRanks30[[#This Row],[Player]],QB!B:O,7,FALSE)),"")</f>
        <v>1.0287618000000001</v>
      </c>
      <c r="I46" s="83">
        <f>IFERROR((VLOOKUP(TableQBRanks30[[#This Row],[Player]],QB!B:O,8,FALSE)),"")</f>
        <v>0.369749094</v>
      </c>
      <c r="J46" s="83">
        <f>IFERROR((VLOOKUP(TableQBRanks30[[#This Row],[Player]],QB!B:O,9,FALSE)),"")</f>
        <v>0</v>
      </c>
      <c r="K46" s="83">
        <f>IFERROR((VLOOKUP(TableQBRanks30[[#This Row],[Player]],QB!B:O,10,FALSE)),"")</f>
        <v>0</v>
      </c>
      <c r="L46" s="83">
        <f>IFERROR((VLOOKUP(TableQBRanks30[[#This Row],[Player]],QB!B:O,11,FALSE)),"")</f>
        <v>0</v>
      </c>
      <c r="M46" s="57">
        <f>IFERROR(INDEX(TableQBCalcPts[Custom],MATCH(TableQBRanks30[[#This Row],[RK]],TableQBCalcPts[RK],0)),"")</f>
        <v>11.746668500160002</v>
      </c>
      <c r="N4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6">
        <v>45</v>
      </c>
      <c r="Q46" t="str">
        <f>IFERROR(INDEX(TableRBCalcPts[PLAYER],MATCH(TableRBRanks31[[#This Row],[RK]],TableRBCalcPts[RK],0)),"")</f>
        <v>Antonio Gibson</v>
      </c>
      <c r="R46" t="str">
        <f>IFERROR(INDEX(TableRBCalcPts[TM],MATCH(TableRBRanks31[[#This Row],[Player]],TableRBCalcPts[PLAYER],0)),"")</f>
        <v>NE</v>
      </c>
      <c r="S46">
        <f>IFERROR(INDEX(TableRBCalcPts[BYE],MATCH(TableRBRanks31[[#This Row],[Player]],TableRBCalcPts[PLAYER],0)),"")</f>
        <v>11</v>
      </c>
      <c r="T46" s="83">
        <f>IFERROR((VLOOKUP(TableRBRanks31[[#This Row],[Player]],RB!B:O,4,FALSE)),"")</f>
        <v>126.0563416</v>
      </c>
      <c r="U46" s="83">
        <f>IFERROR((VLOOKUP(TableRBRanks31[[#This Row],[Player]],RB!B:O,5,FALSE)),"")</f>
        <v>530.697198136</v>
      </c>
      <c r="V46" s="83">
        <f>IFERROR((VLOOKUP(TableRBRanks31[[#This Row],[Player]],RB!B:O,6,FALSE)),"")</f>
        <v>3.5295775647999998</v>
      </c>
      <c r="W46" s="83">
        <f>IFERROR((VLOOKUP(TableRBRanks31[[#This Row],[Player]],RB!B:O,7,FALSE)),"")</f>
        <v>34.012977599999992</v>
      </c>
      <c r="X46" s="83">
        <f>IFERROR((VLOOKUP(TableRBRanks31[[#This Row],[Player]],RB!B:O,8,FALSE)),"")</f>
        <v>25.577759155199995</v>
      </c>
      <c r="Y46" s="83">
        <f>IFERROR((VLOOKUP(TableRBRanks31[[#This Row],[Player]],RB!B:O,9,FALSE)),"")</f>
        <v>194.90252476262395</v>
      </c>
      <c r="Z46" s="83">
        <f>IFERROR((VLOOKUP(TableRBRanks31[[#This Row],[Player]],RB!B:O,10,FALSE)),"")</f>
        <v>0.97195484789759978</v>
      </c>
      <c r="AA46" s="57">
        <f>IFERROR((IFERROR(INDEX(TableRBCalcPts[Custom],MATCH(TableRBRanks31[[#This Row],[RK]],TableRBCalcPts[RK],0)),"")),"")</f>
        <v>112.358046343648</v>
      </c>
      <c r="AB4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6">
        <v>45</v>
      </c>
      <c r="AE46" t="str">
        <f>IFERROR(INDEX(TableWRCalcPts[PLAYER],MATCH(TableWRRanks32[[#This Row],[RK]],TableWRCalcPts[RK],0)),"")</f>
        <v>Brandin Cooks</v>
      </c>
      <c r="AF46" t="str">
        <f>IFERROR(INDEX(TableWRCalcPts[TM],MATCH(TableWRRanks32[[#This Row],[Player]],TableWRCalcPts[PLAYER],0)),"")</f>
        <v>DAL</v>
      </c>
      <c r="AG46">
        <f>IFERROR(INDEX(TableWRCalcPts[BYE],MATCH(TableWRRanks32[[#This Row],[Player]],TableWRCalcPts[PLAYER],0)),"")</f>
        <v>7</v>
      </c>
      <c r="AH46" s="83">
        <f>IFERROR((VLOOKUP(TableWRRanks32[[#This Row],[Player]],WR!B:O,4,FALSE)),"")</f>
        <v>0</v>
      </c>
      <c r="AI46" s="83">
        <f>IFERROR((VLOOKUP(TableWRRanks32[[#This Row],[Player]],WR!B:O,5,FALSE)),"")</f>
        <v>0</v>
      </c>
      <c r="AJ46" s="83">
        <f>IFERROR((VLOOKUP(TableWRRanks32[[#This Row],[Player]],WR!B:O,6,FALSE)),"")</f>
        <v>109.76983919999996</v>
      </c>
      <c r="AK46" s="83">
        <f>IFERROR((VLOOKUP(TableWRRanks32[[#This Row],[Player]],WR!B:O,7,FALSE)),"")</f>
        <v>72.009014515199979</v>
      </c>
      <c r="AL46" s="83">
        <f>IFERROR((VLOOKUP(TableWRRanks32[[#This Row],[Player]],WR!B:O,8,FALSE)),"")</f>
        <v>871.30907563391975</v>
      </c>
      <c r="AM46" s="83">
        <f>IFERROR((VLOOKUP(TableWRRanks32[[#This Row],[Player]],WR!B:O,9,FALSE)),"")</f>
        <v>6.1207662337919988</v>
      </c>
      <c r="AN46" s="57">
        <f>IFERROR((IFERROR(INDEX(TableWRCalcPts[Custom],MATCH(TableWRRanks32[[#This Row],[RK]],TableWRCalcPts[RK],0)),"")),"")</f>
        <v>159.86001222374398</v>
      </c>
      <c r="AO4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5.0011386307541903</v>
      </c>
      <c r="AQ46">
        <v>45</v>
      </c>
      <c r="AR46" t="str">
        <f>IFERROR(INDEX(TableTECalcPts[PLAYER],MATCH(TableTERanks33[[#This Row],[RK]],TableTECalcPts[RK],0)),"")</f>
        <v>Theo Johnson</v>
      </c>
      <c r="AS46" t="str">
        <f>IFERROR(INDEX(TableTECalcPts[TM],MATCH(TableTERanks33[[#This Row],[Player]],TableTECalcPts[PLAYER],0)),"")</f>
        <v>NYG</v>
      </c>
      <c r="AT46">
        <f>IFERROR(INDEX(TableTECalcPts[BYE],MATCH(TableTERanks33[[#This Row],[Player]],TableTECalcPts[PLAYER],0)),"")</f>
        <v>13</v>
      </c>
      <c r="AU46" s="83">
        <f>IFERROR((VLOOKUP(TableTERanks33[[#This Row],[Player]],TE!B:O,4,FALSE)),"")</f>
        <v>35.309635199999988</v>
      </c>
      <c r="AV46" s="83">
        <f>IFERROR((VLOOKUP(TableTERanks33[[#This Row],[Player]],TE!B:O,5,FALSE)),"")</f>
        <v>24.434267558399991</v>
      </c>
      <c r="AW46" s="83">
        <f>IFERROR((VLOOKUP(TableTERanks33[[#This Row],[Player]],TE!B:O,6,FALSE)),"")</f>
        <v>226.99434561753588</v>
      </c>
      <c r="AX46" s="83">
        <f>IFERROR((VLOOKUP(TableTERanks33[[#This Row],[Player]],TE!B:O,7,FALSE)),"")</f>
        <v>1.4660560535039995</v>
      </c>
      <c r="AY46" s="57">
        <f>IFERROR((IFERROR(INDEX(TableTECalcPts[Custom],MATCH(TableTERanks33[[#This Row],[RK]],TableTECalcPts[RK],0)),"")),"")</f>
        <v>43.712904661977589</v>
      </c>
      <c r="AZ4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7" spans="1:52" x14ac:dyDescent="0.2">
      <c r="A47">
        <v>46</v>
      </c>
      <c r="B47" t="str">
        <f>IFERROR(INDEX(TableQBCalcPts[PLAYER],MATCH(TableQBRanks30[[#This Row],[RK]],TableQBCalcPts[RK],0)),"")</f>
        <v>Jimmy Garoppolo</v>
      </c>
      <c r="C47" t="str">
        <f>IFERROR(INDEX(TableQBCalcPts[TM],MATCH(TableQBRanks30[[#This Row],[Player]],TableQBCalcPts[PLAYER],0)),"")</f>
        <v>LAR</v>
      </c>
      <c r="D47">
        <f>IFERROR(INDEX(TableQBCalcPts[BYE],MATCH(TableQBRanks30[[#This Row],[Player]],TableQBCalcPts[PLAYER],0)),"")</f>
        <v>10</v>
      </c>
      <c r="E47" s="83">
        <f>IFERROR((VLOOKUP(TableQBRanks30[[#This Row],[Player]],QB!B:O,4,FALSE)),"")</f>
        <v>24.643760000000018</v>
      </c>
      <c r="F47" s="83">
        <f>IFERROR((VLOOKUP(TableQBRanks30[[#This Row],[Player]],QB!B:O,5,FALSE)),"")</f>
        <v>16.141662800000013</v>
      </c>
      <c r="G47" s="83">
        <f>IFERROR((VLOOKUP(TableQBRanks30[[#This Row],[Player]],QB!B:O,6,FALSE)),"")</f>
        <v>183.53070603600014</v>
      </c>
      <c r="H47" s="83">
        <f>IFERROR((VLOOKUP(TableQBRanks30[[#This Row],[Player]],QB!B:O,7,FALSE)),"")</f>
        <v>1.0843254400000006</v>
      </c>
      <c r="I47" s="83">
        <f>IFERROR((VLOOKUP(TableQBRanks30[[#This Row],[Player]],QB!B:O,8,FALSE)),"")</f>
        <v>0.40354157000000035</v>
      </c>
      <c r="J47" s="83">
        <f>IFERROR((VLOOKUP(TableQBRanks30[[#This Row],[Player]],QB!B:O,9,FALSE)),"")</f>
        <v>0</v>
      </c>
      <c r="K47" s="83">
        <f>IFERROR((VLOOKUP(TableQBRanks30[[#This Row],[Player]],QB!B:O,10,FALSE)),"")</f>
        <v>0</v>
      </c>
      <c r="L47" s="83">
        <f>IFERROR((VLOOKUP(TableQBRanks30[[#This Row],[Player]],QB!B:O,11,FALSE)),"")</f>
        <v>0</v>
      </c>
      <c r="M47" s="57">
        <f>IFERROR(INDEX(TableQBCalcPts[Custom],MATCH(TableQBRanks30[[#This Row],[RK]],TableQBCalcPts[RK],0)),"")</f>
        <v>11.27498843144001</v>
      </c>
      <c r="N4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7">
        <v>46</v>
      </c>
      <c r="Q47" t="str">
        <f>IFERROR(INDEX(TableRBCalcPts[PLAYER],MATCH(TableRBRanks31[[#This Row],[RK]],TableRBCalcPts[RK],0)),"")</f>
        <v>Jonathon Brooks</v>
      </c>
      <c r="R47" t="str">
        <f>IFERROR(INDEX(TableRBCalcPts[TM],MATCH(TableRBRanks31[[#This Row],[Player]],TableRBCalcPts[PLAYER],0)),"")</f>
        <v>CAR</v>
      </c>
      <c r="S47">
        <f>IFERROR(INDEX(TableRBCalcPts[BYE],MATCH(TableRBRanks31[[#This Row],[Player]],TableRBCalcPts[PLAYER],0)),"")</f>
        <v>7</v>
      </c>
      <c r="T47" s="83">
        <f>IFERROR((VLOOKUP(TableRBRanks31[[#This Row],[Player]],RB!B:O,4,FALSE)),"")</f>
        <v>133.77294000000001</v>
      </c>
      <c r="U47" s="83">
        <f>IFERROR((VLOOKUP(TableRBRanks31[[#This Row],[Player]],RB!B:O,5,FALSE)),"")</f>
        <v>583.25001840000004</v>
      </c>
      <c r="V47" s="83">
        <f>IFERROR((VLOOKUP(TableRBRanks31[[#This Row],[Player]],RB!B:O,6,FALSE)),"")</f>
        <v>4.6820529000000004</v>
      </c>
      <c r="W47" s="83">
        <f>IFERROR((VLOOKUP(TableRBRanks31[[#This Row],[Player]],RB!B:O,7,FALSE)),"")</f>
        <v>23.166807999999996</v>
      </c>
      <c r="X47" s="83">
        <f>IFERROR((VLOOKUP(TableRBRanks31[[#This Row],[Player]],RB!B:O,8,FALSE)),"")</f>
        <v>17.027603879999997</v>
      </c>
      <c r="Y47" s="83">
        <f>IFERROR((VLOOKUP(TableRBRanks31[[#This Row],[Player]],RB!B:O,9,FALSE)),"")</f>
        <v>129.58006552679998</v>
      </c>
      <c r="Z47" s="83">
        <f>IFERROR((VLOOKUP(TableRBRanks31[[#This Row],[Player]],RB!B:O,10,FALSE)),"")</f>
        <v>0.54488332415999996</v>
      </c>
      <c r="AA47" s="57">
        <f>IFERROR((IFERROR(INDEX(TableRBCalcPts[Custom],MATCH(TableRBRanks31[[#This Row],[RK]],TableRBCalcPts[RK],0)),"")),"")</f>
        <v>111.15842767764001</v>
      </c>
      <c r="AB4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7">
        <v>46</v>
      </c>
      <c r="AE47" t="str">
        <f>IFERROR(INDEX(TableWRCalcPts[PLAYER],MATCH(TableWRRanks32[[#This Row],[RK]],TableWRCalcPts[RK],0)),"")</f>
        <v>Jaxon Smith-Njigba</v>
      </c>
      <c r="AF47" t="str">
        <f>IFERROR(INDEX(TableWRCalcPts[TM],MATCH(TableWRRanks32[[#This Row],[Player]],TableWRCalcPts[PLAYER],0)),"")</f>
        <v>SEA</v>
      </c>
      <c r="AG47">
        <f>IFERROR(INDEX(TableWRCalcPts[BYE],MATCH(TableWRRanks32[[#This Row],[Player]],TableWRCalcPts[PLAYER],0)),"")</f>
        <v>5</v>
      </c>
      <c r="AH47" s="83">
        <f>IFERROR((VLOOKUP(TableWRRanks32[[#This Row],[Player]],WR!B:O,4,FALSE)),"")</f>
        <v>0</v>
      </c>
      <c r="AI47" s="83">
        <f>IFERROR((VLOOKUP(TableWRRanks32[[#This Row],[Player]],WR!B:O,5,FALSE)),"")</f>
        <v>0</v>
      </c>
      <c r="AJ47" s="83">
        <f>IFERROR((VLOOKUP(TableWRRanks32[[#This Row],[Player]],WR!B:O,6,FALSE)),"")</f>
        <v>116.09648399999999</v>
      </c>
      <c r="AK47" s="83">
        <f>IFERROR((VLOOKUP(TableWRRanks32[[#This Row],[Player]],WR!B:O,7,FALSE)),"")</f>
        <v>77.088065376000003</v>
      </c>
      <c r="AL47" s="83">
        <f>IFERROR((VLOOKUP(TableWRRanks32[[#This Row],[Player]],WR!B:O,8,FALSE)),"")</f>
        <v>878.80394528640011</v>
      </c>
      <c r="AM47" s="83">
        <f>IFERROR((VLOOKUP(TableWRRanks32[[#This Row],[Player]],WR!B:O,9,FALSE)),"")</f>
        <v>5.5503407070719994</v>
      </c>
      <c r="AN47" s="57">
        <f>IFERROR((IFERROR(INDEX(TableWRCalcPts[Custom],MATCH(TableWRRanks32[[#This Row],[RK]],TableWRCalcPts[RK],0)),"")),"")</f>
        <v>159.726471459072</v>
      </c>
      <c r="AO4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4.9579322500620169</v>
      </c>
      <c r="AQ47">
        <v>46</v>
      </c>
      <c r="AR47" t="str">
        <f>IFERROR(INDEX(TableTECalcPts[PLAYER],MATCH(TableTERanks33[[#This Row],[RK]],TableTECalcPts[RK],0)),"")</f>
        <v>Mo Alie-Cox</v>
      </c>
      <c r="AS47" t="str">
        <f>IFERROR(INDEX(TableTECalcPts[TM],MATCH(TableTERanks33[[#This Row],[Player]],TableTECalcPts[PLAYER],0)),"")</f>
        <v>IND</v>
      </c>
      <c r="AT47">
        <f>IFERROR(INDEX(TableTECalcPts[BYE],MATCH(TableTERanks33[[#This Row],[Player]],TableTECalcPts[PLAYER],0)),"")</f>
        <v>11</v>
      </c>
      <c r="AU47" s="83">
        <f>IFERROR((VLOOKUP(TableTERanks33[[#This Row],[Player]],TE!B:O,4,FALSE)),"")</f>
        <v>26.831420000000001</v>
      </c>
      <c r="AV47" s="83">
        <f>IFERROR((VLOOKUP(TableTERanks33[[#This Row],[Player]],TE!B:O,5,FALSE)),"")</f>
        <v>16.447660460000002</v>
      </c>
      <c r="AW47" s="83">
        <f>IFERROR((VLOOKUP(TableTERanks33[[#This Row],[Player]],TE!B:O,6,FALSE)),"")</f>
        <v>199.83907458900003</v>
      </c>
      <c r="AX47" s="83">
        <f>IFERROR((VLOOKUP(TableTERanks33[[#This Row],[Player]],TE!B:O,7,FALSE)),"")</f>
        <v>1.3980511391000003</v>
      </c>
      <c r="AY47" s="57">
        <f>IFERROR((IFERROR(INDEX(TableTECalcPts[Custom],MATCH(TableTERanks33[[#This Row],[RK]],TableTECalcPts[RK],0)),"")),"")</f>
        <v>36.596044523500012</v>
      </c>
      <c r="AZ4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8" spans="1:52" x14ac:dyDescent="0.2">
      <c r="A48">
        <v>47</v>
      </c>
      <c r="B48" t="str">
        <f>IFERROR(INDEX(TableQBCalcPts[PLAYER],MATCH(TableQBRanks30[[#This Row],[RK]],TableQBCalcPts[RK],0)),"")</f>
        <v>Jameis Winston</v>
      </c>
      <c r="C48" t="str">
        <f>IFERROR(INDEX(TableQBCalcPts[TM],MATCH(TableQBRanks30[[#This Row],[Player]],TableQBCalcPts[PLAYER],0)),"")</f>
        <v>CLE</v>
      </c>
      <c r="D48">
        <f>IFERROR(INDEX(TableQBCalcPts[BYE],MATCH(TableQBRanks30[[#This Row],[Player]],TableQBCalcPts[PLAYER],0)),"")</f>
        <v>5</v>
      </c>
      <c r="E48" s="83">
        <f>IFERROR((VLOOKUP(TableQBRanks30[[#This Row],[Player]],QB!B:O,4,FALSE)),"")</f>
        <v>10.972500000000009</v>
      </c>
      <c r="F48" s="83">
        <f>IFERROR((VLOOKUP(TableQBRanks30[[#This Row],[Player]],QB!B:O,5,FALSE)),"")</f>
        <v>6.6493350000000051</v>
      </c>
      <c r="G48" s="83">
        <f>IFERROR((VLOOKUP(TableQBRanks30[[#This Row],[Player]],QB!B:O,6,FALSE)),"")</f>
        <v>79.652383965000055</v>
      </c>
      <c r="H48" s="83">
        <f>IFERROR((VLOOKUP(TableQBRanks30[[#This Row],[Player]],QB!B:O,7,FALSE)),"")</f>
        <v>0.48279000000000039</v>
      </c>
      <c r="I48" s="83">
        <f>IFERROR((VLOOKUP(TableQBRanks30[[#This Row],[Player]],QB!B:O,8,FALSE)),"")</f>
        <v>0.19283071500000015</v>
      </c>
      <c r="J48" s="83">
        <f>IFERROR((VLOOKUP(TableQBRanks30[[#This Row],[Player]],QB!B:O,9,FALSE)),"")</f>
        <v>4.8644749999999997</v>
      </c>
      <c r="K48" s="83">
        <f>IFERROR((VLOOKUP(TableQBRanks30[[#This Row],[Player]],QB!B:O,10,FALSE)),"")</f>
        <v>16.782438750000001</v>
      </c>
      <c r="L48" s="83">
        <f>IFERROR((VLOOKUP(TableQBRanks30[[#This Row],[Player]],QB!B:O,11,FALSE)),"")</f>
        <v>8.7560549999999987E-2</v>
      </c>
      <c r="M48" s="57">
        <f>IFERROR(INDEX(TableQBCalcPts[Custom],MATCH(TableQBRanks30[[#This Row],[RK]],TableQBCalcPts[RK],0)),"")</f>
        <v>7.1280318186000038</v>
      </c>
      <c r="N4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8">
        <v>47</v>
      </c>
      <c r="Q48" t="str">
        <f>IFERROR(INDEX(TableRBCalcPts[PLAYER],MATCH(TableRBRanks31[[#This Row],[RK]],TableRBCalcPts[RK],0)),"")</f>
        <v>J.K. Dobbins</v>
      </c>
      <c r="R48" t="str">
        <f>IFERROR(INDEX(TableRBCalcPts[TM],MATCH(TableRBRanks31[[#This Row],[Player]],TableRBCalcPts[PLAYER],0)),"")</f>
        <v>LAC</v>
      </c>
      <c r="S48">
        <f>IFERROR(INDEX(TableRBCalcPts[BYE],MATCH(TableRBRanks31[[#This Row],[Player]],TableRBCalcPts[PLAYER],0)),"")</f>
        <v>5</v>
      </c>
      <c r="T48" s="83">
        <f>IFERROR((VLOOKUP(TableRBRanks31[[#This Row],[Player]],RB!B:O,4,FALSE)),"")</f>
        <v>120.35453499999998</v>
      </c>
      <c r="U48" s="83">
        <f>IFERROR((VLOOKUP(TableRBRanks31[[#This Row],[Player]],RB!B:O,5,FALSE)),"")</f>
        <v>505.48904699999997</v>
      </c>
      <c r="V48" s="83">
        <f>IFERROR((VLOOKUP(TableRBRanks31[[#This Row],[Player]],RB!B:O,6,FALSE)),"")</f>
        <v>4.2124087249999995</v>
      </c>
      <c r="W48" s="83">
        <f>IFERROR((VLOOKUP(TableRBRanks31[[#This Row],[Player]],RB!B:O,7,FALSE)),"")</f>
        <v>33.501711599999993</v>
      </c>
      <c r="X48" s="83">
        <f>IFERROR((VLOOKUP(TableRBRanks31[[#This Row],[Player]],RB!B:O,8,FALSE)),"")</f>
        <v>24.288740909999994</v>
      </c>
      <c r="Y48" s="83">
        <f>IFERROR((VLOOKUP(TableRBRanks31[[#This Row],[Player]],RB!B:O,9,FALSE)),"")</f>
        <v>171.72139823369997</v>
      </c>
      <c r="Z48" s="83">
        <f>IFERROR((VLOOKUP(TableRBRanks31[[#This Row],[Player]],RB!B:O,10,FALSE)),"")</f>
        <v>0.85010593184999983</v>
      </c>
      <c r="AA48" s="57">
        <f>IFERROR((IFERROR(INDEX(TableRBCalcPts[Custom],MATCH(TableRBRanks31[[#This Row],[RK]],TableRBCalcPts[RK],0)),"")),"")</f>
        <v>110.24050291947</v>
      </c>
      <c r="AB4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8">
        <v>47</v>
      </c>
      <c r="AE48" t="str">
        <f>IFERROR(INDEX(TableWRCalcPts[PLAYER],MATCH(TableWRRanks32[[#This Row],[RK]],TableWRCalcPts[RK],0)),"")</f>
        <v>Xavier Worthy</v>
      </c>
      <c r="AF48" t="str">
        <f>IFERROR(INDEX(TableWRCalcPts[TM],MATCH(TableWRRanks32[[#This Row],[Player]],TableWRCalcPts[PLAYER],0)),"")</f>
        <v>KC</v>
      </c>
      <c r="AG48">
        <f>IFERROR(INDEX(TableWRCalcPts[BYE],MATCH(TableWRRanks32[[#This Row],[Player]],TableWRCalcPts[PLAYER],0)),"")</f>
        <v>10</v>
      </c>
      <c r="AH48" s="83">
        <f>IFERROR((VLOOKUP(TableWRRanks32[[#This Row],[Player]],WR!B:O,4,FALSE)),"")</f>
        <v>48.830028799999994</v>
      </c>
      <c r="AI48" s="83">
        <f>IFERROR((VLOOKUP(TableWRRanks32[[#This Row],[Player]],WR!B:O,5,FALSE)),"")</f>
        <v>0.23532544</v>
      </c>
      <c r="AJ48" s="83">
        <f>IFERROR((VLOOKUP(TableWRRanks32[[#This Row],[Player]],WR!B:O,6,FALSE)),"")</f>
        <v>97.702079999999981</v>
      </c>
      <c r="AK48" s="83">
        <f>IFERROR((VLOOKUP(TableWRRanks32[[#This Row],[Player]],WR!B:O,7,FALSE)),"")</f>
        <v>62.529331199999987</v>
      </c>
      <c r="AL48" s="83">
        <f>IFERROR((VLOOKUP(TableWRRanks32[[#This Row],[Player]],WR!B:O,8,FALSE)),"")</f>
        <v>860.40359731199976</v>
      </c>
      <c r="AM48" s="83">
        <f>IFERROR((VLOOKUP(TableWRRanks32[[#This Row],[Player]],WR!B:O,9,FALSE)),"")</f>
        <v>5.9402864639999988</v>
      </c>
      <c r="AN48" s="57">
        <f>IFERROR((IFERROR(INDEX(TableWRCalcPts[Custom],MATCH(TableWRRanks32[[#This Row],[RK]],TableWRCalcPts[RK],0)),"")),"")</f>
        <v>159.24169963519995</v>
      </c>
      <c r="AO4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4.8010869899460955</v>
      </c>
      <c r="AQ48">
        <v>47</v>
      </c>
      <c r="AR48" t="str">
        <f>IFERROR(INDEX(TableTECalcPts[PLAYER],MATCH(TableTERanks33[[#This Row],[RK]],TableTECalcPts[RK],0)),"")</f>
        <v>Adam Trautman</v>
      </c>
      <c r="AS48" t="str">
        <f>IFERROR(INDEX(TableTECalcPts[TM],MATCH(TableTERanks33[[#This Row],[Player]],TableTECalcPts[PLAYER],0)),"")</f>
        <v>DEN</v>
      </c>
      <c r="AT48">
        <f>IFERROR(INDEX(TableTECalcPts[BYE],MATCH(TableTERanks33[[#This Row],[Player]],TableTECalcPts[PLAYER],0)),"")</f>
        <v>9</v>
      </c>
      <c r="AU48" s="83">
        <f>IFERROR((VLOOKUP(TableTERanks33[[#This Row],[Player]],TE!B:O,4,FALSE)),"")</f>
        <v>28.543234999999999</v>
      </c>
      <c r="AV48" s="83">
        <f>IFERROR((VLOOKUP(TableTERanks33[[#This Row],[Player]],TE!B:O,5,FALSE)),"")</f>
        <v>17.582632759999999</v>
      </c>
      <c r="AW48" s="83">
        <f>IFERROR((VLOOKUP(TableTERanks33[[#This Row],[Player]],TE!B:O,6,FALSE)),"")</f>
        <v>167.03501122</v>
      </c>
      <c r="AX48" s="83">
        <f>IFERROR((VLOOKUP(TableTERanks33[[#This Row],[Player]],TE!B:O,7,FALSE)),"")</f>
        <v>1.0549579655999999</v>
      </c>
      <c r="AY48" s="57">
        <f>IFERROR((IFERROR(INDEX(TableTECalcPts[Custom],MATCH(TableTERanks33[[#This Row],[RK]],TableTECalcPts[RK],0)),"")),"")</f>
        <v>31.824565295600003</v>
      </c>
      <c r="AZ4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9" spans="1:52" x14ac:dyDescent="0.2">
      <c r="A49">
        <v>48</v>
      </c>
      <c r="B49" t="str">
        <f>IFERROR(INDEX(TableQBCalcPts[PLAYER],MATCH(TableQBRanks30[[#This Row],[RK]],TableQBCalcPts[RK],0)),"")</f>
        <v>Mike White</v>
      </c>
      <c r="C49" t="str">
        <f>IFERROR(INDEX(TableQBCalcPts[TM],MATCH(TableQBRanks30[[#This Row],[Player]],TableQBCalcPts[PLAYER],0)),"")</f>
        <v>MIA</v>
      </c>
      <c r="D49">
        <f>IFERROR(INDEX(TableQBCalcPts[BYE],MATCH(TableQBRanks30[[#This Row],[Player]],TableQBCalcPts[PLAYER],0)),"")</f>
        <v>10</v>
      </c>
      <c r="E49" s="83">
        <f>IFERROR((VLOOKUP(TableQBRanks30[[#This Row],[Player]],QB!B:O,4,FALSE)),"")</f>
        <v>17.948880000000013</v>
      </c>
      <c r="F49" s="83">
        <f>IFERROR((VLOOKUP(TableQBRanks30[[#This Row],[Player]],QB!B:O,5,FALSE)),"")</f>
        <v>10.894970160000009</v>
      </c>
      <c r="G49" s="83">
        <f>IFERROR((VLOOKUP(TableQBRanks30[[#This Row],[Player]],QB!B:O,6,FALSE)),"")</f>
        <v>115.59563339760008</v>
      </c>
      <c r="H49" s="83">
        <f>IFERROR((VLOOKUP(TableQBRanks30[[#This Row],[Player]],QB!B:O,7,FALSE)),"")</f>
        <v>0.61026192000000046</v>
      </c>
      <c r="I49" s="83">
        <f>IFERROR((VLOOKUP(TableQBRanks30[[#This Row],[Player]],QB!B:O,8,FALSE)),"")</f>
        <v>0.21789940320000017</v>
      </c>
      <c r="J49" s="83">
        <f>IFERROR((VLOOKUP(TableQBRanks30[[#This Row],[Player]],QB!B:O,9,FALSE)),"")</f>
        <v>0</v>
      </c>
      <c r="K49" s="83">
        <f>IFERROR((VLOOKUP(TableQBRanks30[[#This Row],[Player]],QB!B:O,10,FALSE)),"")</f>
        <v>0</v>
      </c>
      <c r="L49" s="83">
        <f>IFERROR((VLOOKUP(TableQBRanks30[[#This Row],[Player]],QB!B:O,11,FALSE)),"")</f>
        <v>0</v>
      </c>
      <c r="M49" s="57">
        <f>IFERROR(INDEX(TableQBCalcPts[Custom],MATCH(TableQBRanks30[[#This Row],[RK]],TableQBCalcPts[RK],0)),"")</f>
        <v>6.8469736127040051</v>
      </c>
      <c r="N4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9">
        <v>48</v>
      </c>
      <c r="Q49" t="str">
        <f>IFERROR(INDEX(TableRBCalcPts[PLAYER],MATCH(TableRBRanks31[[#This Row],[RK]],TableRBCalcPts[RK],0)),"")</f>
        <v>Blake Corum</v>
      </c>
      <c r="R49" t="str">
        <f>IFERROR(INDEX(TableRBCalcPts[TM],MATCH(TableRBRanks31[[#This Row],[Player]],TableRBCalcPts[PLAYER],0)),"")</f>
        <v>LAR</v>
      </c>
      <c r="S49">
        <f>IFERROR(INDEX(TableRBCalcPts[BYE],MATCH(TableRBRanks31[[#This Row],[Player]],TableRBCalcPts[PLAYER],0)),"")</f>
        <v>10</v>
      </c>
      <c r="T49" s="83">
        <f>IFERROR((VLOOKUP(TableRBRanks31[[#This Row],[Player]],RB!B:O,4,FALSE)),"")</f>
        <v>126.392364</v>
      </c>
      <c r="U49" s="83">
        <f>IFERROR((VLOOKUP(TableRBRanks31[[#This Row],[Player]],RB!B:O,5,FALSE)),"")</f>
        <v>542.22324156000002</v>
      </c>
      <c r="V49" s="83">
        <f>IFERROR((VLOOKUP(TableRBRanks31[[#This Row],[Player]],RB!B:O,6,FALSE)),"")</f>
        <v>5.0556945600000001</v>
      </c>
      <c r="W49" s="83">
        <f>IFERROR((VLOOKUP(TableRBRanks31[[#This Row],[Player]],RB!B:O,7,FALSE)),"")</f>
        <v>24.150884799999993</v>
      </c>
      <c r="X49" s="83">
        <f>IFERROR((VLOOKUP(TableRBRanks31[[#This Row],[Player]],RB!B:O,8,FALSE)),"")</f>
        <v>16.760714051199994</v>
      </c>
      <c r="Y49" s="83">
        <f>IFERROR((VLOOKUP(TableRBRanks31[[#This Row],[Player]],RB!B:O,9,FALSE)),"")</f>
        <v>114.30806982918396</v>
      </c>
      <c r="Z49" s="83">
        <f>IFERROR((VLOOKUP(TableRBRanks31[[#This Row],[Player]],RB!B:O,10,FALSE)),"")</f>
        <v>0.58662499179199978</v>
      </c>
      <c r="AA49" s="57">
        <f>IFERROR((IFERROR(INDEX(TableRBCalcPts[Custom],MATCH(TableRBRanks31[[#This Row],[RK]],TableRBCalcPts[RK],0)),"")),"")</f>
        <v>107.8874054752704</v>
      </c>
      <c r="AB4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9">
        <v>48</v>
      </c>
      <c r="AE49" t="str">
        <f>IFERROR(INDEX(TableWRCalcPts[PLAYER],MATCH(TableWRRanks32[[#This Row],[RK]],TableWRCalcPts[RK],0)),"")</f>
        <v>Diontae Johnson</v>
      </c>
      <c r="AF49" t="str">
        <f>IFERROR(INDEX(TableWRCalcPts[TM],MATCH(TableWRRanks32[[#This Row],[Player]],TableWRCalcPts[PLAYER],0)),"")</f>
        <v>CAR</v>
      </c>
      <c r="AG49">
        <f>IFERROR(INDEX(TableWRCalcPts[BYE],MATCH(TableWRRanks32[[#This Row],[Player]],TableWRCalcPts[PLAYER],0)),"")</f>
        <v>7</v>
      </c>
      <c r="AH49" s="83">
        <f>IFERROR((VLOOKUP(TableWRRanks32[[#This Row],[Player]],WR!B:O,4,FALSE)),"")</f>
        <v>0</v>
      </c>
      <c r="AI49" s="83">
        <f>IFERROR((VLOOKUP(TableWRRanks32[[#This Row],[Player]],WR!B:O,5,FALSE)),"")</f>
        <v>0</v>
      </c>
      <c r="AJ49" s="83">
        <f>IFERROR((VLOOKUP(TableWRRanks32[[#This Row],[Player]],WR!B:O,6,FALSE)),"")</f>
        <v>121.62574199999997</v>
      </c>
      <c r="AK49" s="83">
        <f>IFERROR((VLOOKUP(TableWRRanks32[[#This Row],[Player]],WR!B:O,7,FALSE)),"")</f>
        <v>73.340322425999986</v>
      </c>
      <c r="AL49" s="83">
        <f>IFERROR((VLOOKUP(TableWRRanks32[[#This Row],[Player]],WR!B:O,8,FALSE)),"")</f>
        <v>905.01957873683978</v>
      </c>
      <c r="AM49" s="83">
        <f>IFERROR((VLOOKUP(TableWRRanks32[[#This Row],[Player]],WR!B:O,9,FALSE)),"")</f>
        <v>4.9871419249679994</v>
      </c>
      <c r="AN49" s="57">
        <f>IFERROR((IFERROR(INDEX(TableWRCalcPts[Custom],MATCH(TableWRRanks32[[#This Row],[RK]],TableWRCalcPts[RK],0)),"")),"")</f>
        <v>157.09497063649198</v>
      </c>
      <c r="AO4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4.1065246172583434</v>
      </c>
      <c r="AQ49">
        <v>48</v>
      </c>
      <c r="AR49" t="str">
        <f>IFERROR(INDEX(TableTECalcPts[PLAYER],MATCH(TableTERanks33[[#This Row],[RK]],TableTECalcPts[RK],0)),"")</f>
        <v>Gerald Everett</v>
      </c>
      <c r="AS49" t="str">
        <f>IFERROR(INDEX(TableTECalcPts[TM],MATCH(TableTERanks33[[#This Row],[Player]],TableTECalcPts[PLAYER],0)),"")</f>
        <v>CHI</v>
      </c>
      <c r="AT49">
        <f>IFERROR(INDEX(TableTECalcPts[BYE],MATCH(TableTERanks33[[#This Row],[Player]],TableTECalcPts[PLAYER],0)),"")</f>
        <v>13</v>
      </c>
      <c r="AU49" s="83">
        <f>IFERROR((VLOOKUP(TableTERanks33[[#This Row],[Player]],TE!B:O,4,FALSE)),"")</f>
        <v>22.672339199999993</v>
      </c>
      <c r="AV49" s="83">
        <f>IFERROR((VLOOKUP(TableTERanks33[[#This Row],[Player]],TE!B:O,5,FALSE)),"")</f>
        <v>14.737020479999996</v>
      </c>
      <c r="AW49" s="83">
        <f>IFERROR((VLOOKUP(TableTERanks33[[#This Row],[Player]],TE!B:O,6,FALSE)),"")</f>
        <v>157.68611913599995</v>
      </c>
      <c r="AX49" s="83">
        <f>IFERROR((VLOOKUP(TableTERanks33[[#This Row],[Player]],TE!B:O,7,FALSE)),"")</f>
        <v>1.3263318431999995</v>
      </c>
      <c r="AY49" s="57">
        <f>IFERROR((IFERROR(INDEX(TableTECalcPts[Custom],MATCH(TableTERanks33[[#This Row],[RK]],TableTECalcPts[RK],0)),"")),"")</f>
        <v>31.095113212799991</v>
      </c>
      <c r="AZ4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0" spans="1:52" x14ac:dyDescent="0.2">
      <c r="A50">
        <v>49</v>
      </c>
      <c r="B50" t="str">
        <f>IFERROR(INDEX(TableQBCalcPts[PLAYER],MATCH(TableQBRanks30[[#This Row],[RK]],TableQBCalcPts[RK],0)),"")</f>
        <v>Mason Rudolph</v>
      </c>
      <c r="C50" t="str">
        <f>IFERROR(INDEX(TableQBCalcPts[TM],MATCH(TableQBRanks30[[#This Row],[Player]],TableQBCalcPts[PLAYER],0)),"")</f>
        <v>TEN</v>
      </c>
      <c r="D50">
        <f>IFERROR(INDEX(TableQBCalcPts[BYE],MATCH(TableQBRanks30[[#This Row],[Player]],TableQBCalcPts[PLAYER],0)),"")</f>
        <v>7</v>
      </c>
      <c r="E50" s="83">
        <f>IFERROR((VLOOKUP(TableQBRanks30[[#This Row],[Player]],QB!B:O,4,FALSE)),"")</f>
        <v>29.922749999999997</v>
      </c>
      <c r="F50" s="83">
        <f>IFERROR((VLOOKUP(TableQBRanks30[[#This Row],[Player]],QB!B:O,5,FALSE)),"")</f>
        <v>18.163109249999998</v>
      </c>
      <c r="G50" s="83">
        <f>IFERROR((VLOOKUP(TableQBRanks30[[#This Row],[Player]],QB!B:O,6,FALSE)),"")</f>
        <v>67.294319771249988</v>
      </c>
      <c r="H50" s="83">
        <f>IFERROR((VLOOKUP(TableQBRanks30[[#This Row],[Player]],QB!B:O,7,FALSE)),"")</f>
        <v>1.0772189999999997</v>
      </c>
      <c r="I50" s="83">
        <f>IFERROR((VLOOKUP(TableQBRanks30[[#This Row],[Player]],QB!B:O,8,FALSE)),"")</f>
        <v>0.36326218499999996</v>
      </c>
      <c r="J50" s="83">
        <f>IFERROR((VLOOKUP(TableQBRanks30[[#This Row],[Player]],QB!B:O,9,FALSE)),"")</f>
        <v>0</v>
      </c>
      <c r="K50" s="83">
        <f>IFERROR((VLOOKUP(TableQBRanks30[[#This Row],[Player]],QB!B:O,10,FALSE)),"")</f>
        <v>0</v>
      </c>
      <c r="L50" s="83">
        <f>IFERROR((VLOOKUP(TableQBRanks30[[#This Row],[Player]],QB!B:O,11,FALSE)),"")</f>
        <v>0</v>
      </c>
      <c r="M50" s="57">
        <f>IFERROR(INDEX(TableQBCalcPts[Custom],MATCH(TableQBRanks30[[#This Row],[RK]],TableQBCalcPts[RK],0)),"")</f>
        <v>6.6373866058499988</v>
      </c>
      <c r="N5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0">
        <v>49</v>
      </c>
      <c r="Q50" t="str">
        <f>IFERROR(INDEX(TableRBCalcPts[PLAYER],MATCH(TableRBRanks31[[#This Row],[RK]],TableRBCalcPts[RK],0)),"")</f>
        <v>Kendre Miller</v>
      </c>
      <c r="R50" t="str">
        <f>IFERROR(INDEX(TableRBCalcPts[TM],MATCH(TableRBRanks31[[#This Row],[Player]],TableRBCalcPts[PLAYER],0)),"")</f>
        <v>NO</v>
      </c>
      <c r="S50">
        <f>IFERROR(INDEX(TableRBCalcPts[BYE],MATCH(TableRBRanks31[[#This Row],[Player]],TableRBCalcPts[PLAYER],0)),"")</f>
        <v>11</v>
      </c>
      <c r="T50" s="83">
        <f>IFERROR((VLOOKUP(TableRBRanks31[[#This Row],[Player]],RB!B:O,4,FALSE)),"")</f>
        <v>123.13864640000003</v>
      </c>
      <c r="U50" s="83">
        <f>IFERROR((VLOOKUP(TableRBRanks31[[#This Row],[Player]],RB!B:O,5,FALSE)),"")</f>
        <v>541.81004416000019</v>
      </c>
      <c r="V50" s="83">
        <f>IFERROR((VLOOKUP(TableRBRanks31[[#This Row],[Player]],RB!B:O,6,FALSE)),"")</f>
        <v>3.817298038400001</v>
      </c>
      <c r="W50" s="83">
        <f>IFERROR((VLOOKUP(TableRBRanks31[[#This Row],[Player]],RB!B:O,7,FALSE)),"")</f>
        <v>27.816647319999998</v>
      </c>
      <c r="X50" s="83">
        <f>IFERROR((VLOOKUP(TableRBRanks31[[#This Row],[Player]],RB!B:O,8,FALSE)),"")</f>
        <v>21.001568726599999</v>
      </c>
      <c r="Y50" s="83">
        <f>IFERROR((VLOOKUP(TableRBRanks31[[#This Row],[Player]],RB!B:O,9,FALSE)),"")</f>
        <v>143.02068302814598</v>
      </c>
      <c r="Z50" s="83">
        <f>IFERROR((VLOOKUP(TableRBRanks31[[#This Row],[Player]],RB!B:O,10,FALSE)),"")</f>
        <v>0.73505490543100005</v>
      </c>
      <c r="AA50" s="57">
        <f>IFERROR((IFERROR(INDEX(TableRBCalcPts[Custom],MATCH(TableRBRanks31[[#This Row],[RK]],TableRBCalcPts[RK],0)),"")),"")</f>
        <v>106.29797474510063</v>
      </c>
      <c r="AB5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0">
        <v>49</v>
      </c>
      <c r="AE50" t="str">
        <f>IFERROR(INDEX(TableWRCalcPts[PLAYER],MATCH(TableWRRanks32[[#This Row],[RK]],TableWRCalcPts[RK],0)),"")</f>
        <v>Calvin Ridley</v>
      </c>
      <c r="AF50" t="str">
        <f>IFERROR(INDEX(TableWRCalcPts[TM],MATCH(TableWRRanks32[[#This Row],[Player]],TableWRCalcPts[PLAYER],0)),"")</f>
        <v>TEN</v>
      </c>
      <c r="AG50">
        <f>IFERROR(INDEX(TableWRCalcPts[BYE],MATCH(TableWRRanks32[[#This Row],[Player]],TableWRCalcPts[PLAYER],0)),"")</f>
        <v>7</v>
      </c>
      <c r="AH50" s="83">
        <f>IFERROR((VLOOKUP(TableWRRanks32[[#This Row],[Player]],WR!B:O,4,FALSE)),"")</f>
        <v>0</v>
      </c>
      <c r="AI50" s="83">
        <f>IFERROR((VLOOKUP(TableWRRanks32[[#This Row],[Player]],WR!B:O,5,FALSE)),"")</f>
        <v>0</v>
      </c>
      <c r="AJ50" s="83">
        <f>IFERROR((VLOOKUP(TableWRRanks32[[#This Row],[Player]],WR!B:O,6,FALSE)),"")</f>
        <v>117.29717999999997</v>
      </c>
      <c r="AK50" s="83">
        <f>IFERROR((VLOOKUP(TableWRRanks32[[#This Row],[Player]],WR!B:O,7,FALSE)),"")</f>
        <v>65.803717979999988</v>
      </c>
      <c r="AL50" s="83">
        <f>IFERROR((VLOOKUP(TableWRRanks32[[#This Row],[Player]],WR!B:O,8,FALSE)),"")</f>
        <v>919.93597736039987</v>
      </c>
      <c r="AM50" s="83">
        <f>IFERROR((VLOOKUP(TableWRRanks32[[#This Row],[Player]],WR!B:O,9,FALSE)),"")</f>
        <v>4.9352788484999985</v>
      </c>
      <c r="AN50" s="57">
        <f>IFERROR((IFERROR(INDEX(TableWRCalcPts[Custom],MATCH(TableWRRanks32[[#This Row],[RK]],TableWRCalcPts[RK],0)),"")),"")</f>
        <v>154.50712981703998</v>
      </c>
      <c r="AO5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3.2692429385841426</v>
      </c>
      <c r="AQ50">
        <v>49</v>
      </c>
      <c r="AR50" t="str">
        <f>IFERROR(INDEX(TableTECalcPts[PLAYER],MATCH(TableTERanks33[[#This Row],[RK]],TableTECalcPts[RK],0)),"")</f>
        <v>Charlie Woerner</v>
      </c>
      <c r="AS50" t="str">
        <f>IFERROR(INDEX(TableTECalcPts[TM],MATCH(TableTERanks33[[#This Row],[Player]],TableTECalcPts[PLAYER],0)),"")</f>
        <v>ATL</v>
      </c>
      <c r="AT50">
        <f>IFERROR(INDEX(TableTECalcPts[BYE],MATCH(TableTERanks33[[#This Row],[Player]],TableTECalcPts[PLAYER],0)),"")</f>
        <v>11</v>
      </c>
      <c r="AU50" s="83">
        <f>IFERROR((VLOOKUP(TableTERanks33[[#This Row],[Player]],TE!B:O,4,FALSE)),"")</f>
        <v>23.005382399999995</v>
      </c>
      <c r="AV50" s="83">
        <f>IFERROR((VLOOKUP(TableTERanks33[[#This Row],[Player]],TE!B:O,5,FALSE)),"")</f>
        <v>14.723444735999998</v>
      </c>
      <c r="AW50" s="83">
        <f>IFERROR((VLOOKUP(TableTERanks33[[#This Row],[Player]],TE!B:O,6,FALSE)),"")</f>
        <v>133.98334709759996</v>
      </c>
      <c r="AX50" s="83">
        <f>IFERROR((VLOOKUP(TableTERanks33[[#This Row],[Player]],TE!B:O,7,FALSE)),"")</f>
        <v>1.1042583551999998</v>
      </c>
      <c r="AY50" s="57">
        <f>IFERROR((IFERROR(INDEX(TableTECalcPts[Custom],MATCH(TableTERanks33[[#This Row],[RK]],TableTECalcPts[RK],0)),"")),"")</f>
        <v>27.385607208959996</v>
      </c>
      <c r="AZ5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1" spans="1:52" x14ac:dyDescent="0.2">
      <c r="A51">
        <v>50</v>
      </c>
      <c r="B51" t="str">
        <f>IFERROR(INDEX(TableQBCalcPts[PLAYER],MATCH(TableQBRanks30[[#This Row],[RK]],TableQBCalcPts[RK],0)),"")</f>
        <v>Josh Johnson</v>
      </c>
      <c r="C51" t="str">
        <f>IFERROR(INDEX(TableQBCalcPts[TM],MATCH(TableQBRanks30[[#This Row],[Player]],TableQBCalcPts[PLAYER],0)),"")</f>
        <v>BAL</v>
      </c>
      <c r="D51">
        <f>IFERROR(INDEX(TableQBCalcPts[BYE],MATCH(TableQBRanks30[[#This Row],[Player]],TableQBCalcPts[PLAYER],0)),"")</f>
        <v>13</v>
      </c>
      <c r="E51" s="83">
        <f>IFERROR((VLOOKUP(TableQBRanks30[[#This Row],[Player]],QB!B:O,4,FALSE)),"")</f>
        <v>27.007600000000004</v>
      </c>
      <c r="F51" s="83">
        <f>IFERROR((VLOOKUP(TableQBRanks30[[#This Row],[Player]],QB!B:O,5,FALSE)),"")</f>
        <v>16.393613200000001</v>
      </c>
      <c r="G51" s="83">
        <f>IFERROR((VLOOKUP(TableQBRanks30[[#This Row],[Player]],QB!B:O,6,FALSE)),"")</f>
        <v>59.180943652000003</v>
      </c>
      <c r="H51" s="83">
        <f>IFERROR((VLOOKUP(TableQBRanks30[[#This Row],[Player]],QB!B:O,7,FALSE)),"")</f>
        <v>0.91825840000000014</v>
      </c>
      <c r="I51" s="83">
        <f>IFERROR((VLOOKUP(TableQBRanks30[[#This Row],[Player]],QB!B:O,8,FALSE)),"")</f>
        <v>0.32787226400000002</v>
      </c>
      <c r="J51" s="83">
        <f>IFERROR((VLOOKUP(TableQBRanks30[[#This Row],[Player]],QB!B:O,9,FALSE)),"")</f>
        <v>2.6256551999999997</v>
      </c>
      <c r="K51" s="83">
        <f>IFERROR((VLOOKUP(TableQBRanks30[[#This Row],[Player]],QB!B:O,10,FALSE)),"")</f>
        <v>3.3083255519999999</v>
      </c>
      <c r="L51" s="83">
        <f>IFERROR((VLOOKUP(TableQBRanks30[[#This Row],[Player]],QB!B:O,11,FALSE)),"")</f>
        <v>6.8267035199999992E-2</v>
      </c>
      <c r="M51" s="57">
        <f>IFERROR(INDEX(TableQBCalcPts[Custom],MATCH(TableQBRanks30[[#This Row],[RK]],TableQBCalcPts[RK],0)),"")</f>
        <v>6.452833848480001</v>
      </c>
      <c r="N5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1">
        <v>50</v>
      </c>
      <c r="Q51" t="str">
        <f>IFERROR(INDEX(TableRBCalcPts[PLAYER],MATCH(TableRBRanks31[[#This Row],[RK]],TableRBCalcPts[RK],0)),"")</f>
        <v>Ray Davis</v>
      </c>
      <c r="R51" t="str">
        <f>IFERROR(INDEX(TableRBCalcPts[TM],MATCH(TableRBRanks31[[#This Row],[Player]],TableRBCalcPts[PLAYER],0)),"")</f>
        <v>BUF</v>
      </c>
      <c r="S51">
        <f>IFERROR(INDEX(TableRBCalcPts[BYE],MATCH(TableRBRanks31[[#This Row],[Player]],TableRBCalcPts[PLAYER],0)),"")</f>
        <v>13</v>
      </c>
      <c r="T51" s="83">
        <f>IFERROR((VLOOKUP(TableRBRanks31[[#This Row],[Player]],RB!B:O,4,FALSE)),"")</f>
        <v>120.71687040000002</v>
      </c>
      <c r="U51" s="83">
        <f>IFERROR((VLOOKUP(TableRBRanks31[[#This Row],[Player]],RB!B:O,5,FALSE)),"")</f>
        <v>514.253867904</v>
      </c>
      <c r="V51" s="83">
        <f>IFERROR((VLOOKUP(TableRBRanks31[[#This Row],[Player]],RB!B:O,6,FALSE)),"")</f>
        <v>3.8629398528000007</v>
      </c>
      <c r="W51" s="83">
        <f>IFERROR((VLOOKUP(TableRBRanks31[[#This Row],[Player]],RB!B:O,7,FALSE)),"")</f>
        <v>18.221414399999993</v>
      </c>
      <c r="X51" s="83">
        <f>IFERROR((VLOOKUP(TableRBRanks31[[#This Row],[Player]],RB!B:O,8,FALSE)),"")</f>
        <v>13.319853926399995</v>
      </c>
      <c r="Y51" s="83">
        <f>IFERROR((VLOOKUP(TableRBRanks31[[#This Row],[Player]],RB!B:O,9,FALSE)),"")</f>
        <v>109.62239781427196</v>
      </c>
      <c r="Z51" s="83">
        <f>IFERROR((VLOOKUP(TableRBRanks31[[#This Row],[Player]],RB!B:O,10,FALSE)),"")</f>
        <v>0.53279415705599986</v>
      </c>
      <c r="AA51" s="57">
        <f>IFERROR((IFERROR(INDEX(TableRBCalcPts[Custom],MATCH(TableRBRanks31[[#This Row],[RK]],TableRBCalcPts[RK],0)),"")),"")</f>
        <v>95.421957594163203</v>
      </c>
      <c r="AB5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1">
        <v>50</v>
      </c>
      <c r="AE51" t="str">
        <f>IFERROR(INDEX(TableWRCalcPts[PLAYER],MATCH(TableWRRanks32[[#This Row],[RK]],TableWRCalcPts[RK],0)),"")</f>
        <v>Mike Williams</v>
      </c>
      <c r="AF51" t="str">
        <f>IFERROR(INDEX(TableWRCalcPts[TM],MATCH(TableWRRanks32[[#This Row],[Player]],TableWRCalcPts[PLAYER],0)),"")</f>
        <v>NYJ</v>
      </c>
      <c r="AG51">
        <f>IFERROR(INDEX(TableWRCalcPts[BYE],MATCH(TableWRRanks32[[#This Row],[Player]],TableWRCalcPts[PLAYER],0)),"")</f>
        <v>7</v>
      </c>
      <c r="AH51" s="83">
        <f>IFERROR((VLOOKUP(TableWRRanks32[[#This Row],[Player]],WR!B:O,4,FALSE)),"")</f>
        <v>0</v>
      </c>
      <c r="AI51" s="83">
        <f>IFERROR((VLOOKUP(TableWRRanks32[[#This Row],[Player]],WR!B:O,5,FALSE)),"")</f>
        <v>0</v>
      </c>
      <c r="AJ51" s="83">
        <f>IFERROR((VLOOKUP(TableWRRanks32[[#This Row],[Player]],WR!B:O,6,FALSE)),"")</f>
        <v>103.68958599999998</v>
      </c>
      <c r="AK51" s="83">
        <f>IFERROR((VLOOKUP(TableWRRanks32[[#This Row],[Player]],WR!B:O,7,FALSE)),"")</f>
        <v>61.176855739999986</v>
      </c>
      <c r="AL51" s="83">
        <f>IFERROR((VLOOKUP(TableWRRanks32[[#This Row],[Player]],WR!B:O,8,FALSE)),"")</f>
        <v>869.32312006539985</v>
      </c>
      <c r="AM51" s="83">
        <f>IFERROR((VLOOKUP(TableWRRanks32[[#This Row],[Player]],WR!B:O,9,FALSE)),"")</f>
        <v>6.1176855739999993</v>
      </c>
      <c r="AN51" s="57">
        <f>IFERROR((IFERROR(INDEX(TableWRCalcPts[Custom],MATCH(TableWRRanks32[[#This Row],[RK]],TableWRCalcPts[RK],0)),"")),"")</f>
        <v>154.22685332053999</v>
      </c>
      <c r="AO5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3.1785610180740038</v>
      </c>
      <c r="AQ51">
        <v>50</v>
      </c>
      <c r="AR51" t="str">
        <f>IFERROR(INDEX(TableTECalcPts[PLAYER],MATCH(TableTERanks33[[#This Row],[RK]],TableTECalcPts[RK],0)),"")</f>
        <v>Pharoah Brown</v>
      </c>
      <c r="AS51" t="str">
        <f>IFERROR(INDEX(TableTECalcPts[TM],MATCH(TableTERanks33[[#This Row],[Player]],TableTECalcPts[PLAYER],0)),"")</f>
        <v>SEA</v>
      </c>
      <c r="AT51">
        <f>IFERROR(INDEX(TableTECalcPts[BYE],MATCH(TableTERanks33[[#This Row],[Player]],TableTECalcPts[PLAYER],0)),"")</f>
        <v>5</v>
      </c>
      <c r="AU51" s="83">
        <f>IFERROR((VLOOKUP(TableTERanks33[[#This Row],[Player]],TE!B:O,4,FALSE)),"")</f>
        <v>23.219296799999999</v>
      </c>
      <c r="AV51" s="83">
        <f>IFERROR((VLOOKUP(TableTERanks33[[#This Row],[Player]],TE!B:O,5,FALSE)),"")</f>
        <v>15.09254292</v>
      </c>
      <c r="AW51" s="83">
        <f>IFERROR((VLOOKUP(TableTERanks33[[#This Row],[Player]],TE!B:O,6,FALSE)),"")</f>
        <v>143.37915773999998</v>
      </c>
      <c r="AX51" s="83">
        <f>IFERROR((VLOOKUP(TableTERanks33[[#This Row],[Player]],TE!B:O,7,FALSE)),"")</f>
        <v>0.75462714600000003</v>
      </c>
      <c r="AY51" s="57">
        <f>IFERROR((IFERROR(INDEX(TableTECalcPts[Custom],MATCH(TableTERanks33[[#This Row],[RK]],TableTECalcPts[RK],0)),"")),"")</f>
        <v>26.411950109999999</v>
      </c>
      <c r="AZ5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2" spans="1:52" x14ac:dyDescent="0.2">
      <c r="A52">
        <v>51</v>
      </c>
      <c r="B52" t="str">
        <f>IFERROR(INDEX(TableQBCalcPts[PLAYER],MATCH(TableQBRanks30[[#This Row],[RK]],TableQBCalcPts[RK],0)),"")</f>
        <v>Taylor Heinicke</v>
      </c>
      <c r="C52" t="str">
        <f>IFERROR(INDEX(TableQBCalcPts[TM],MATCH(TableQBRanks30[[#This Row],[Player]],TableQBCalcPts[PLAYER],0)),"")</f>
        <v>ATL</v>
      </c>
      <c r="D52">
        <f>IFERROR(INDEX(TableQBCalcPts[BYE],MATCH(TableQBRanks30[[#This Row],[Player]],TableQBCalcPts[PLAYER],0)),"")</f>
        <v>11</v>
      </c>
      <c r="E52" s="83">
        <f>IFERROR((VLOOKUP(TableQBRanks30[[#This Row],[Player]],QB!B:O,4,FALSE)),"")</f>
        <v>11.737439999999999</v>
      </c>
      <c r="F52" s="83">
        <f>IFERROR((VLOOKUP(TableQBRanks30[[#This Row],[Player]],QB!B:O,5,FALSE)),"")</f>
        <v>7.3476374399999997</v>
      </c>
      <c r="G52" s="83">
        <f>IFERROR((VLOOKUP(TableQBRanks30[[#This Row],[Player]],QB!B:O,6,FALSE)),"")</f>
        <v>79.354484352</v>
      </c>
      <c r="H52" s="83">
        <f>IFERROR((VLOOKUP(TableQBRanks30[[#This Row],[Player]],QB!B:O,7,FALSE)),"")</f>
        <v>0.51644735999999991</v>
      </c>
      <c r="I52" s="83">
        <f>IFERROR((VLOOKUP(TableQBRanks30[[#This Row],[Player]],QB!B:O,8,FALSE)),"")</f>
        <v>0.183690936</v>
      </c>
      <c r="J52" s="83">
        <f>IFERROR((VLOOKUP(TableQBRanks30[[#This Row],[Player]],QB!B:O,9,FALSE)),"")</f>
        <v>2.1517272000000003</v>
      </c>
      <c r="K52" s="83">
        <f>IFERROR((VLOOKUP(TableQBRanks30[[#This Row],[Player]],QB!B:O,10,FALSE)),"")</f>
        <v>12.221810496000002</v>
      </c>
      <c r="L52" s="83">
        <f>IFERROR((VLOOKUP(TableQBRanks30[[#This Row],[Player]],QB!B:O,11,FALSE)),"")</f>
        <v>2.3668999200000002E-2</v>
      </c>
      <c r="M52" s="57">
        <f>IFERROR(INDEX(TableQBCalcPts[Custom],MATCH(TableQBRanks30[[#This Row],[RK]],TableQBCalcPts[RK],0)),"")</f>
        <v>6.4204729228800002</v>
      </c>
      <c r="N5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2">
        <v>51</v>
      </c>
      <c r="Q52" t="str">
        <f>IFERROR(INDEX(TableRBCalcPts[PLAYER],MATCH(TableRBRanks31[[#This Row],[RK]],TableRBCalcPts[RK],0)),"")</f>
        <v>Samaje Perine</v>
      </c>
      <c r="R52" t="str">
        <f>IFERROR(INDEX(TableRBCalcPts[TM],MATCH(TableRBRanks31[[#This Row],[Player]],TableRBCalcPts[PLAYER],0)),"")</f>
        <v>DEN</v>
      </c>
      <c r="S52">
        <f>IFERROR(INDEX(TableRBCalcPts[BYE],MATCH(TableRBRanks31[[#This Row],[Player]],TableRBCalcPts[PLAYER],0)),"")</f>
        <v>9</v>
      </c>
      <c r="T52" s="83">
        <f>IFERROR((VLOOKUP(TableRBRanks31[[#This Row],[Player]],RB!B:O,4,FALSE)),"")</f>
        <v>87.903060000000011</v>
      </c>
      <c r="U52" s="83">
        <f>IFERROR((VLOOKUP(TableRBRanks31[[#This Row],[Player]],RB!B:O,5,FALSE)),"")</f>
        <v>374.46703560000003</v>
      </c>
      <c r="V52" s="83">
        <f>IFERROR((VLOOKUP(TableRBRanks31[[#This Row],[Player]],RB!B:O,6,FALSE)),"")</f>
        <v>2.5491887400000004</v>
      </c>
      <c r="W52" s="83">
        <f>IFERROR((VLOOKUP(TableRBRanks31[[#This Row],[Player]],RB!B:O,7,FALSE)),"")</f>
        <v>39.960529000000001</v>
      </c>
      <c r="X52" s="83">
        <f>IFERROR((VLOOKUP(TableRBRanks31[[#This Row],[Player]],RB!B:O,8,FALSE)),"")</f>
        <v>30.849528388000003</v>
      </c>
      <c r="Y52" s="83">
        <f>IFERROR((VLOOKUP(TableRBRanks31[[#This Row],[Player]],RB!B:O,9,FALSE)),"")</f>
        <v>223.04209024524005</v>
      </c>
      <c r="Z52" s="83">
        <f>IFERROR((VLOOKUP(TableRBRanks31[[#This Row],[Player]],RB!B:O,10,FALSE)),"")</f>
        <v>0.77123820970000012</v>
      </c>
      <c r="AA52" s="57">
        <f>IFERROR((IFERROR(INDEX(TableRBCalcPts[Custom],MATCH(TableRBRanks31[[#This Row],[RK]],TableRBCalcPts[RK],0)),"")),"")</f>
        <v>95.098238476724006</v>
      </c>
      <c r="AB5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2">
        <v>51</v>
      </c>
      <c r="AE52" t="str">
        <f>IFERROR(INDEX(TableWRCalcPts[PLAYER],MATCH(TableWRRanks32[[#This Row],[RK]],TableWRCalcPts[RK],0)),"")</f>
        <v>Jakobi Meyers</v>
      </c>
      <c r="AF52" t="str">
        <f>IFERROR(INDEX(TableWRCalcPts[TM],MATCH(TableWRRanks32[[#This Row],[Player]],TableWRCalcPts[PLAYER],0)),"")</f>
        <v>LV</v>
      </c>
      <c r="AG52">
        <f>IFERROR(INDEX(TableWRCalcPts[BYE],MATCH(TableWRRanks32[[#This Row],[Player]],TableWRCalcPts[PLAYER],0)),"")</f>
        <v>13</v>
      </c>
      <c r="AH52" s="83">
        <f>IFERROR((VLOOKUP(TableWRRanks32[[#This Row],[Player]],WR!B:O,4,FALSE)),"")</f>
        <v>23.246139000000003</v>
      </c>
      <c r="AI52" s="83">
        <f>IFERROR((VLOOKUP(TableWRRanks32[[#This Row],[Player]],WR!B:O,5,FALSE)),"")</f>
        <v>0.24469620000000003</v>
      </c>
      <c r="AJ52" s="83">
        <f>IFERROR((VLOOKUP(TableWRRanks32[[#This Row],[Player]],WR!B:O,6,FALSE)),"")</f>
        <v>110.69589999999997</v>
      </c>
      <c r="AK52" s="83">
        <f>IFERROR((VLOOKUP(TableWRRanks32[[#This Row],[Player]],WR!B:O,7,FALSE)),"")</f>
        <v>70.845375999999973</v>
      </c>
      <c r="AL52" s="83">
        <f>IFERROR((VLOOKUP(TableWRRanks32[[#This Row],[Player]],WR!B:O,8,FALSE)),"")</f>
        <v>839.51770559999966</v>
      </c>
      <c r="AM52" s="83">
        <f>IFERROR((VLOOKUP(TableWRRanks32[[#This Row],[Player]],WR!B:O,9,FALSE)),"")</f>
        <v>4.9591763199999983</v>
      </c>
      <c r="AN52" s="57">
        <f>IFERROR((IFERROR(INDEX(TableWRCalcPts[Custom],MATCH(TableWRRanks32[[#This Row],[RK]],TableWRCalcPts[RK],0)),"")),"")</f>
        <v>152.92230757999994</v>
      </c>
      <c r="AO5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2.7564824113311239</v>
      </c>
      <c r="AQ52">
        <v>51</v>
      </c>
      <c r="AR52" t="str">
        <f>IFERROR(INDEX(TableTECalcPts[PLAYER],MATCH(TableTERanks33[[#This Row],[RK]],TableTECalcPts[RK],0)),"")</f>
        <v>Chris Manhertz</v>
      </c>
      <c r="AS52" t="str">
        <f>IFERROR(INDEX(TableTECalcPts[TM],MATCH(TableTERanks33[[#This Row],[Player]],TableTECalcPts[PLAYER],0)),"")</f>
        <v>NYG</v>
      </c>
      <c r="AT52">
        <f>IFERROR(INDEX(TableTECalcPts[BYE],MATCH(TableTERanks33[[#This Row],[Player]],TableTECalcPts[PLAYER],0)),"")</f>
        <v>13</v>
      </c>
      <c r="AU52" s="83">
        <f>IFERROR((VLOOKUP(TableTERanks33[[#This Row],[Player]],TE!B:O,4,FALSE)),"")</f>
        <v>23.539756799999992</v>
      </c>
      <c r="AV52" s="83">
        <f>IFERROR((VLOOKUP(TableTERanks33[[#This Row],[Player]],TE!B:O,5,FALSE)),"")</f>
        <v>15.300841919999995</v>
      </c>
      <c r="AW52" s="83">
        <f>IFERROR((VLOOKUP(TableTERanks33[[#This Row],[Player]],TE!B:O,6,FALSE)),"")</f>
        <v>137.70757727999995</v>
      </c>
      <c r="AX52" s="83">
        <f>IFERROR((VLOOKUP(TableTERanks33[[#This Row],[Player]],TE!B:O,7,FALSE)),"")</f>
        <v>0.76504209599999973</v>
      </c>
      <c r="AY52" s="57">
        <f>IFERROR((IFERROR(INDEX(TableTECalcPts[Custom],MATCH(TableTERanks33[[#This Row],[RK]],TableTECalcPts[RK],0)),"")),"")</f>
        <v>26.011431263999992</v>
      </c>
      <c r="AZ5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3" spans="1:52" x14ac:dyDescent="0.2">
      <c r="A53">
        <v>52</v>
      </c>
      <c r="B53" t="str">
        <f>IFERROR(INDEX(TableQBCalcPts[PLAYER],MATCH(TableQBRanks30[[#This Row],[RK]],TableQBCalcPts[RK],0)),"")</f>
        <v>Trey Lance</v>
      </c>
      <c r="C53" t="str">
        <f>IFERROR(INDEX(TableQBCalcPts[TM],MATCH(TableQBRanks30[[#This Row],[Player]],TableQBCalcPts[PLAYER],0)),"")</f>
        <v>DAL</v>
      </c>
      <c r="D53">
        <f>IFERROR(INDEX(TableQBCalcPts[BYE],MATCH(TableQBRanks30[[#This Row],[Player]],TableQBCalcPts[PLAYER],0)),"")</f>
        <v>7</v>
      </c>
      <c r="E53" s="83">
        <f>IFERROR((VLOOKUP(TableQBRanks30[[#This Row],[Player]],QB!B:O,4,FALSE)),"")</f>
        <v>12.445560000000009</v>
      </c>
      <c r="F53" s="83">
        <f>IFERROR((VLOOKUP(TableQBRanks30[[#This Row],[Player]],QB!B:O,5,FALSE)),"")</f>
        <v>7.4797815600000055</v>
      </c>
      <c r="G53" s="83">
        <f>IFERROR((VLOOKUP(TableQBRanks30[[#This Row],[Player]],QB!B:O,6,FALSE)),"")</f>
        <v>81.15562992600006</v>
      </c>
      <c r="H53" s="83">
        <f>IFERROR((VLOOKUP(TableQBRanks30[[#This Row],[Player]],QB!B:O,7,FALSE)),"")</f>
        <v>0.4480401600000003</v>
      </c>
      <c r="I53" s="83">
        <f>IFERROR((VLOOKUP(TableQBRanks30[[#This Row],[Player]],QB!B:O,8,FALSE)),"")</f>
        <v>0.17951475744000014</v>
      </c>
      <c r="J53" s="83">
        <f>IFERROR((VLOOKUP(TableQBRanks30[[#This Row],[Player]],QB!B:O,9,FALSE)),"")</f>
        <v>2.2722378000000001</v>
      </c>
      <c r="K53" s="83">
        <f>IFERROR((VLOOKUP(TableQBRanks30[[#This Row],[Player]],QB!B:O,10,FALSE)),"")</f>
        <v>5.6578721220000006</v>
      </c>
      <c r="L53" s="83">
        <f>IFERROR((VLOOKUP(TableQBRanks30[[#This Row],[Player]],QB!B:O,11,FALSE)),"")</f>
        <v>4.5444756000000003E-2</v>
      </c>
      <c r="M53" s="57">
        <f>IFERROR(INDEX(TableQBCalcPts[Custom],MATCH(TableQBRanks30[[#This Row],[RK]],TableQBCalcPts[RK],0)),"")</f>
        <v>5.697326827800004</v>
      </c>
      <c r="N5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3">
        <v>52</v>
      </c>
      <c r="Q53" t="str">
        <f>IFERROR(INDEX(TableRBCalcPts[PLAYER],MATCH(TableRBRanks31[[#This Row],[RK]],TableRBCalcPts[RK],0)),"")</f>
        <v>MarShawn Lloyd</v>
      </c>
      <c r="R53" t="str">
        <f>IFERROR(INDEX(TableRBCalcPts[TM],MATCH(TableRBRanks31[[#This Row],[Player]],TableRBCalcPts[PLAYER],0)),"")</f>
        <v>GB</v>
      </c>
      <c r="S53">
        <f>IFERROR(INDEX(TableRBCalcPts[BYE],MATCH(TableRBRanks31[[#This Row],[Player]],TableRBCalcPts[PLAYER],0)),"")</f>
        <v>6</v>
      </c>
      <c r="T53" s="83">
        <f>IFERROR((VLOOKUP(TableRBRanks31[[#This Row],[Player]],RB!B:O,4,FALSE)),"")</f>
        <v>98.563695999999993</v>
      </c>
      <c r="U53" s="83">
        <f>IFERROR((VLOOKUP(TableRBRanks31[[#This Row],[Player]],RB!B:O,5,FALSE)),"")</f>
        <v>422.83825583999999</v>
      </c>
      <c r="V53" s="83">
        <f>IFERROR((VLOOKUP(TableRBRanks31[[#This Row],[Player]],RB!B:O,6,FALSE)),"")</f>
        <v>3.1540382719999998</v>
      </c>
      <c r="W53" s="83">
        <f>IFERROR((VLOOKUP(TableRBRanks31[[#This Row],[Player]],RB!B:O,7,FALSE)),"")</f>
        <v>28.510160000000003</v>
      </c>
      <c r="X53" s="83">
        <f>IFERROR((VLOOKUP(TableRBRanks31[[#This Row],[Player]],RB!B:O,8,FALSE)),"")</f>
        <v>20.18519328</v>
      </c>
      <c r="Y53" s="83">
        <f>IFERROR((VLOOKUP(TableRBRanks31[[#This Row],[Player]],RB!B:O,9,FALSE)),"")</f>
        <v>166.52784456000001</v>
      </c>
      <c r="Z53" s="83">
        <f>IFERROR((VLOOKUP(TableRBRanks31[[#This Row],[Player]],RB!B:O,10,FALSE)),"")</f>
        <v>0.70648176480000002</v>
      </c>
      <c r="AA53" s="57">
        <f>IFERROR((IFERROR(INDEX(TableRBCalcPts[Custom],MATCH(TableRBRanks31[[#This Row],[RK]],TableRBCalcPts[RK],0)),"")),"")</f>
        <v>92.192326900800012</v>
      </c>
      <c r="AB5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3">
        <v>52</v>
      </c>
      <c r="AE53" t="str">
        <f>IFERROR(INDEX(TableWRCalcPts[PLAYER],MATCH(TableWRRanks32[[#This Row],[RK]],TableWRCalcPts[RK],0)),"")</f>
        <v>Keenan Allen</v>
      </c>
      <c r="AF53" t="str">
        <f>IFERROR(INDEX(TableWRCalcPts[TM],MATCH(TableWRRanks32[[#This Row],[Player]],TableWRCalcPts[PLAYER],0)),"")</f>
        <v>CHI</v>
      </c>
      <c r="AG53">
        <f>IFERROR(INDEX(TableWRCalcPts[BYE],MATCH(TableWRRanks32[[#This Row],[Player]],TableWRCalcPts[PLAYER],0)),"")</f>
        <v>13</v>
      </c>
      <c r="AH53" s="83">
        <f>IFERROR((VLOOKUP(TableWRRanks32[[#This Row],[Player]],WR!B:O,4,FALSE)),"")</f>
        <v>0</v>
      </c>
      <c r="AI53" s="83">
        <f>IFERROR((VLOOKUP(TableWRRanks32[[#This Row],[Player]],WR!B:O,5,FALSE)),"")</f>
        <v>0</v>
      </c>
      <c r="AJ53" s="83">
        <f>IFERROR((VLOOKUP(TableWRRanks32[[#This Row],[Player]],WR!B:O,6,FALSE)),"")</f>
        <v>113.36169599999997</v>
      </c>
      <c r="AK53" s="83">
        <f>IFERROR((VLOOKUP(TableWRRanks32[[#This Row],[Player]],WR!B:O,7,FALSE)),"")</f>
        <v>73.685102399999977</v>
      </c>
      <c r="AL53" s="83">
        <f>IFERROR((VLOOKUP(TableWRRanks32[[#This Row],[Player]],WR!B:O,8,FALSE)),"")</f>
        <v>832.64165711999976</v>
      </c>
      <c r="AM53" s="83">
        <f>IFERROR((VLOOKUP(TableWRRanks32[[#This Row],[Player]],WR!B:O,9,FALSE)),"")</f>
        <v>5.1579571679999985</v>
      </c>
      <c r="AN53" s="57">
        <f>IFERROR((IFERROR(INDEX(TableWRCalcPts[Custom],MATCH(TableWRRanks32[[#This Row],[RK]],TableWRCalcPts[RK],0)),"")),"")</f>
        <v>151.05445991999994</v>
      </c>
      <c r="AO5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2.1521505635153644</v>
      </c>
      <c r="AQ53">
        <v>52</v>
      </c>
      <c r="AR53" t="str">
        <f>IFERROR(INDEX(TableTECalcPts[PLAYER],MATCH(TableTERanks33[[#This Row],[RK]],TableTECalcPts[RK],0)),"")</f>
        <v>Harrison Bryant</v>
      </c>
      <c r="AS53" t="str">
        <f>IFERROR(INDEX(TableTECalcPts[TM],MATCH(TableTERanks33[[#This Row],[Player]],TableTECalcPts[PLAYER],0)),"")</f>
        <v>LV</v>
      </c>
      <c r="AT53">
        <f>IFERROR(INDEX(TableTECalcPts[BYE],MATCH(TableTERanks33[[#This Row],[Player]],TableTECalcPts[PLAYER],0)),"")</f>
        <v>13</v>
      </c>
      <c r="AU53" s="83">
        <f>IFERROR((VLOOKUP(TableTERanks33[[#This Row],[Player]],TE!B:O,4,FALSE)),"")</f>
        <v>20.391349999999999</v>
      </c>
      <c r="AV53" s="83">
        <f>IFERROR((VLOOKUP(TableTERanks33[[#This Row],[Player]],TE!B:O,5,FALSE)),"")</f>
        <v>13.335942899999999</v>
      </c>
      <c r="AW53" s="83">
        <f>IFERROR((VLOOKUP(TableTERanks33[[#This Row],[Player]],TE!B:O,6,FALSE)),"")</f>
        <v>142.69458902999997</v>
      </c>
      <c r="AX53" s="83">
        <f>IFERROR((VLOOKUP(TableTERanks33[[#This Row],[Player]],TE!B:O,7,FALSE)),"")</f>
        <v>0.80015657399999995</v>
      </c>
      <c r="AY53" s="57">
        <f>IFERROR((IFERROR(INDEX(TableTECalcPts[Custom],MATCH(TableTERanks33[[#This Row],[RK]],TableTECalcPts[RK],0)),"")),"")</f>
        <v>25.738369796999997</v>
      </c>
      <c r="AZ5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4" spans="1:52" x14ac:dyDescent="0.2">
      <c r="A54">
        <v>53</v>
      </c>
      <c r="B54" t="str">
        <f>IFERROR(INDEX(TableQBCalcPts[PLAYER],MATCH(TableQBRanks30[[#This Row],[RK]],TableQBCalcPts[RK],0)),"")</f>
        <v>Kenny Pickett</v>
      </c>
      <c r="C54" t="str">
        <f>IFERROR(INDEX(TableQBCalcPts[TM],MATCH(TableQBRanks30[[#This Row],[Player]],TableQBCalcPts[PLAYER],0)),"")</f>
        <v>PHI</v>
      </c>
      <c r="D54">
        <f>IFERROR(INDEX(TableQBCalcPts[BYE],MATCH(TableQBRanks30[[#This Row],[Player]],TableQBCalcPts[PLAYER],0)),"")</f>
        <v>10</v>
      </c>
      <c r="E54" s="83">
        <f>IFERROR((VLOOKUP(TableQBRanks30[[#This Row],[Player]],QB!B:O,4,FALSE)),"")</f>
        <v>11.384640000000012</v>
      </c>
      <c r="F54" s="83">
        <f>IFERROR((VLOOKUP(TableQBRanks30[[#This Row],[Player]],QB!B:O,5,FALSE)),"")</f>
        <v>7.3089388800000075</v>
      </c>
      <c r="G54" s="83">
        <f>IFERROR((VLOOKUP(TableQBRanks30[[#This Row],[Player]],QB!B:O,6,FALSE)),"")</f>
        <v>76.890037017600079</v>
      </c>
      <c r="H54" s="83">
        <f>IFERROR((VLOOKUP(TableQBRanks30[[#This Row],[Player]],QB!B:O,7,FALSE)),"")</f>
        <v>0.31876992000000032</v>
      </c>
      <c r="I54" s="83">
        <f>IFERROR((VLOOKUP(TableQBRanks30[[#This Row],[Player]],QB!B:O,8,FALSE)),"")</f>
        <v>0.14617877760000014</v>
      </c>
      <c r="J54" s="83">
        <f>IFERROR((VLOOKUP(TableQBRanks30[[#This Row],[Player]],QB!B:O,9,FALSE)),"")</f>
        <v>2.4145631999999999</v>
      </c>
      <c r="K54" s="83">
        <f>IFERROR((VLOOKUP(TableQBRanks30[[#This Row],[Player]],QB!B:O,10,FALSE)),"")</f>
        <v>7.316126495999999</v>
      </c>
      <c r="L54" s="83">
        <f>IFERROR((VLOOKUP(TableQBRanks30[[#This Row],[Player]],QB!B:O,11,FALSE)),"")</f>
        <v>7.7266022399999995E-2</v>
      </c>
      <c r="M54" s="57">
        <f>IFERROR(INDEX(TableQBCalcPts[Custom],MATCH(TableQBRanks30[[#This Row],[RK]],TableQBCalcPts[RK],0)),"")</f>
        <v>5.3997111671040043</v>
      </c>
      <c r="N5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4">
        <v>53</v>
      </c>
      <c r="Q54" t="str">
        <f>IFERROR(INDEX(TableRBCalcPts[PLAYER],MATCH(TableRBRanks31[[#This Row],[RK]],TableRBCalcPts[RK],0)),"")</f>
        <v>Jaylen Wright</v>
      </c>
      <c r="R54" t="str">
        <f>IFERROR(INDEX(TableRBCalcPts[TM],MATCH(TableRBRanks31[[#This Row],[Player]],TableRBCalcPts[PLAYER],0)),"")</f>
        <v>MIA</v>
      </c>
      <c r="S54">
        <f>IFERROR(INDEX(TableRBCalcPts[BYE],MATCH(TableRBRanks31[[#This Row],[Player]],TableRBCalcPts[PLAYER],0)),"")</f>
        <v>10</v>
      </c>
      <c r="T54" s="83">
        <f>IFERROR((VLOOKUP(TableRBRanks31[[#This Row],[Player]],RB!B:O,4,FALSE)),"")</f>
        <v>63.166488000000008</v>
      </c>
      <c r="U54" s="83">
        <f>IFERROR((VLOOKUP(TableRBRanks31[[#This Row],[Player]],RB!B:O,5,FALSE)),"")</f>
        <v>300.04081800000006</v>
      </c>
      <c r="V54" s="83">
        <f>IFERROR((VLOOKUP(TableRBRanks31[[#This Row],[Player]],RB!B:O,6,FALSE)),"")</f>
        <v>3.0951579120000003</v>
      </c>
      <c r="W54" s="83">
        <f>IFERROR((VLOOKUP(TableRBRanks31[[#This Row],[Player]],RB!B:O,7,FALSE)),"")</f>
        <v>35.179804799999992</v>
      </c>
      <c r="X54" s="83">
        <f>IFERROR((VLOOKUP(TableRBRanks31[[#This Row],[Player]],RB!B:O,8,FALSE)),"")</f>
        <v>25.751617113599995</v>
      </c>
      <c r="Y54" s="83">
        <f>IFERROR((VLOOKUP(TableRBRanks31[[#This Row],[Player]],RB!B:O,9,FALSE)),"")</f>
        <v>213.73842204287996</v>
      </c>
      <c r="Z54" s="83">
        <f>IFERROR((VLOOKUP(TableRBRanks31[[#This Row],[Player]],RB!B:O,10,FALSE)),"")</f>
        <v>1.4163389412479996</v>
      </c>
      <c r="AA54" s="57">
        <f>IFERROR((IFERROR(INDEX(TableRBCalcPts[Custom],MATCH(TableRBRanks31[[#This Row],[RK]],TableRBCalcPts[RK],0)),"")),"")</f>
        <v>91.322713680576001</v>
      </c>
      <c r="AB5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4">
        <v>53</v>
      </c>
      <c r="AE54" t="str">
        <f>IFERROR(INDEX(TableWRCalcPts[PLAYER],MATCH(TableWRRanks32[[#This Row],[RK]],TableWRCalcPts[RK],0)),"")</f>
        <v>Tyler Lockett</v>
      </c>
      <c r="AF54" t="str">
        <f>IFERROR(INDEX(TableWRCalcPts[TM],MATCH(TableWRRanks32[[#This Row],[Player]],TableWRCalcPts[PLAYER],0)),"")</f>
        <v>SEA</v>
      </c>
      <c r="AG54">
        <f>IFERROR(INDEX(TableWRCalcPts[BYE],MATCH(TableWRRanks32[[#This Row],[Player]],TableWRCalcPts[PLAYER],0)),"")</f>
        <v>5</v>
      </c>
      <c r="AH54" s="83">
        <f>IFERROR((VLOOKUP(TableWRRanks32[[#This Row],[Player]],WR!B:O,4,FALSE)),"")</f>
        <v>0</v>
      </c>
      <c r="AI54" s="83">
        <f>IFERROR((VLOOKUP(TableWRRanks32[[#This Row],[Player]],WR!B:O,5,FALSE)),"")</f>
        <v>0</v>
      </c>
      <c r="AJ54" s="83">
        <f>IFERROR((VLOOKUP(TableWRRanks32[[#This Row],[Player]],WR!B:O,6,FALSE)),"")</f>
        <v>110.29165979999999</v>
      </c>
      <c r="AK54" s="83">
        <f>IFERROR((VLOOKUP(TableWRRanks32[[#This Row],[Player]],WR!B:O,7,FALSE)),"")</f>
        <v>71.910162189600001</v>
      </c>
      <c r="AL54" s="83">
        <f>IFERROR((VLOOKUP(TableWRRanks32[[#This Row],[Player]],WR!B:O,8,FALSE)),"")</f>
        <v>826.96686518039996</v>
      </c>
      <c r="AM54" s="83">
        <f>IFERROR((VLOOKUP(TableWRRanks32[[#This Row],[Player]],WR!B:O,9,FALSE)),"")</f>
        <v>5.1056215154615998</v>
      </c>
      <c r="AN54" s="57">
        <f>IFERROR((IFERROR(INDEX(TableWRCalcPts[Custom],MATCH(TableWRRanks32[[#This Row],[RK]],TableWRCalcPts[RK],0)),"")),"")</f>
        <v>149.2854967056096</v>
      </c>
      <c r="AO5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1.5798122347725259</v>
      </c>
      <c r="AQ54">
        <v>53</v>
      </c>
      <c r="AR54" t="str">
        <f>IFERROR(INDEX(TableTECalcPts[PLAYER],MATCH(TableTERanks33[[#This Row],[RK]],TableTECalcPts[RK],0)),"")</f>
        <v>Irv Smith</v>
      </c>
      <c r="AS54" t="str">
        <f>IFERROR(INDEX(TableTECalcPts[TM],MATCH(TableTERanks33[[#This Row],[Player]],TableTECalcPts[PLAYER],0)),"")</f>
        <v>KC</v>
      </c>
      <c r="AT54">
        <f>IFERROR(INDEX(TableTECalcPts[BYE],MATCH(TableTERanks33[[#This Row],[Player]],TableTECalcPts[PLAYER],0)),"")</f>
        <v>10</v>
      </c>
      <c r="AU54" s="83">
        <f>IFERROR((VLOOKUP(TableTERanks33[[#This Row],[Player]],TE!B:O,4,FALSE)),"")</f>
        <v>18.910079999999994</v>
      </c>
      <c r="AV54" s="83">
        <f>IFERROR((VLOOKUP(TableTERanks33[[#This Row],[Player]],TE!B:O,5,FALSE)),"")</f>
        <v>13.369426559999996</v>
      </c>
      <c r="AW54" s="83">
        <f>IFERROR((VLOOKUP(TableTERanks33[[#This Row],[Player]],TE!B:O,6,FALSE)),"")</f>
        <v>131.55515735039995</v>
      </c>
      <c r="AX54" s="83">
        <f>IFERROR((VLOOKUP(TableTERanks33[[#This Row],[Player]],TE!B:O,7,FALSE)),"")</f>
        <v>0.97596813887999956</v>
      </c>
      <c r="AY54" s="57">
        <f>IFERROR((IFERROR(INDEX(TableTECalcPts[Custom],MATCH(TableTERanks33[[#This Row],[RK]],TableTECalcPts[RK],0)),"")),"")</f>
        <v>25.696037848319992</v>
      </c>
      <c r="AZ5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5" spans="1:52" x14ac:dyDescent="0.2">
      <c r="A55">
        <v>54</v>
      </c>
      <c r="B55" t="str">
        <f>IFERROR(INDEX(TableQBCalcPts[PLAYER],MATCH(TableQBRanks30[[#This Row],[RK]],TableQBCalcPts[RK],0)),"")</f>
        <v>Hendon Hooker</v>
      </c>
      <c r="C55" t="str">
        <f>IFERROR(INDEX(TableQBCalcPts[TM],MATCH(TableQBRanks30[[#This Row],[Player]],TableQBCalcPts[PLAYER],0)),"")</f>
        <v>DET</v>
      </c>
      <c r="D55">
        <f>IFERROR(INDEX(TableQBCalcPts[BYE],MATCH(TableQBRanks30[[#This Row],[Player]],TableQBCalcPts[PLAYER],0)),"")</f>
        <v>9</v>
      </c>
      <c r="E55" s="83">
        <f>IFERROR((VLOOKUP(TableQBRanks30[[#This Row],[Player]],QB!B:O,4,FALSE)),"")</f>
        <v>12.09540000000001</v>
      </c>
      <c r="F55" s="83">
        <f>IFERROR((VLOOKUP(TableQBRanks30[[#This Row],[Player]],QB!B:O,5,FALSE)),"")</f>
        <v>7.4870526000000064</v>
      </c>
      <c r="G55" s="83">
        <f>IFERROR((VLOOKUP(TableQBRanks30[[#This Row],[Player]],QB!B:O,6,FALSE)),"")</f>
        <v>85.082865746400074</v>
      </c>
      <c r="H55" s="83">
        <f>IFERROR((VLOOKUP(TableQBRanks30[[#This Row],[Player]],QB!B:O,7,FALSE)),"")</f>
        <v>0.50800680000000042</v>
      </c>
      <c r="I55" s="83">
        <f>IFERROR((VLOOKUP(TableQBRanks30[[#This Row],[Player]],QB!B:O,8,FALSE)),"")</f>
        <v>0.11230578900000009</v>
      </c>
      <c r="J55" s="83">
        <f>IFERROR((VLOOKUP(TableQBRanks30[[#This Row],[Player]],QB!B:O,9,FALSE)),"")</f>
        <v>0</v>
      </c>
      <c r="K55" s="83">
        <f>IFERROR((VLOOKUP(TableQBRanks30[[#This Row],[Player]],QB!B:O,10,FALSE)),"")</f>
        <v>0</v>
      </c>
      <c r="L55" s="83">
        <f>IFERROR((VLOOKUP(TableQBRanks30[[#This Row],[Player]],QB!B:O,11,FALSE)),"")</f>
        <v>0</v>
      </c>
      <c r="M55" s="57">
        <f>IFERROR(INDEX(TableQBCalcPts[Custom],MATCH(TableQBRanks30[[#This Row],[RK]],TableQBCalcPts[RK],0)),"")</f>
        <v>5.3230360408560049</v>
      </c>
      <c r="N5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5">
        <v>54</v>
      </c>
      <c r="Q55" t="str">
        <f>IFERROR(INDEX(TableRBCalcPts[PLAYER],MATCH(TableRBRanks31[[#This Row],[RK]],TableRBCalcPts[RK],0)),"")</f>
        <v>Roschon Johnson</v>
      </c>
      <c r="R55" t="str">
        <f>IFERROR(INDEX(TableRBCalcPts[TM],MATCH(TableRBRanks31[[#This Row],[Player]],TableRBCalcPts[PLAYER],0)),"")</f>
        <v>CHI</v>
      </c>
      <c r="S55">
        <f>IFERROR(INDEX(TableRBCalcPts[BYE],MATCH(TableRBRanks31[[#This Row],[Player]],TableRBCalcPts[PLAYER],0)),"")</f>
        <v>13</v>
      </c>
      <c r="T55" s="83">
        <f>IFERROR((VLOOKUP(TableRBRanks31[[#This Row],[Player]],RB!B:O,4,FALSE)),"")</f>
        <v>82.136073599999989</v>
      </c>
      <c r="U55" s="83">
        <f>IFERROR((VLOOKUP(TableRBRanks31[[#This Row],[Player]],RB!B:O,5,FALSE)),"")</f>
        <v>350.72103427199994</v>
      </c>
      <c r="V55" s="83">
        <f>IFERROR((VLOOKUP(TableRBRanks31[[#This Row],[Player]],RB!B:O,6,FALSE)),"")</f>
        <v>2.9568986495999994</v>
      </c>
      <c r="W55" s="83">
        <f>IFERROR((VLOOKUP(TableRBRanks31[[#This Row],[Player]],RB!B:O,7,FALSE)),"")</f>
        <v>34.008508799999987</v>
      </c>
      <c r="X55" s="83">
        <f>IFERROR((VLOOKUP(TableRBRanks31[[#This Row],[Player]],RB!B:O,8,FALSE)),"")</f>
        <v>25.166296511999992</v>
      </c>
      <c r="Y55" s="83">
        <f>IFERROR((VLOOKUP(TableRBRanks31[[#This Row],[Player]],RB!B:O,9,FALSE)),"")</f>
        <v>183.71396453759994</v>
      </c>
      <c r="Z55" s="83">
        <f>IFERROR((VLOOKUP(TableRBRanks31[[#This Row],[Player]],RB!B:O,10,FALSE)),"")</f>
        <v>1.1324833430399996</v>
      </c>
      <c r="AA55" s="57">
        <f>IFERROR((IFERROR(INDEX(TableRBCalcPts[Custom],MATCH(TableRBRanks31[[#This Row],[RK]],TableRBCalcPts[RK],0)),"")),"")</f>
        <v>90.562940092799991</v>
      </c>
      <c r="AB5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5">
        <v>54</v>
      </c>
      <c r="AE55" t="str">
        <f>IFERROR(INDEX(TableWRCalcPts[PLAYER],MATCH(TableWRRanks32[[#This Row],[RK]],TableWRCalcPts[RK],0)),"")</f>
        <v>Marquise Brown</v>
      </c>
      <c r="AF55" t="str">
        <f>IFERROR(INDEX(TableWRCalcPts[TM],MATCH(TableWRRanks32[[#This Row],[Player]],TableWRCalcPts[PLAYER],0)),"")</f>
        <v>KC</v>
      </c>
      <c r="AG55">
        <f>IFERROR(INDEX(TableWRCalcPts[BYE],MATCH(TableWRRanks32[[#This Row],[Player]],TableWRCalcPts[PLAYER],0)),"")</f>
        <v>10</v>
      </c>
      <c r="AH55" s="83">
        <f>IFERROR((VLOOKUP(TableWRRanks32[[#This Row],[Player]],WR!B:O,4,FALSE)),"")</f>
        <v>21.095244799999996</v>
      </c>
      <c r="AI55" s="83">
        <f>IFERROR((VLOOKUP(TableWRRanks32[[#This Row],[Player]],WR!B:O,5,FALSE)),"")</f>
        <v>6.3033599999999995E-2</v>
      </c>
      <c r="AJ55" s="83">
        <f>IFERROR((VLOOKUP(TableWRRanks32[[#This Row],[Player]],WR!B:O,6,FALSE)),"")</f>
        <v>100.85375999999997</v>
      </c>
      <c r="AK55" s="83">
        <f>IFERROR((VLOOKUP(TableWRRanks32[[#This Row],[Player]],WR!B:O,7,FALSE)),"")</f>
        <v>61.218232319999977</v>
      </c>
      <c r="AL55" s="83">
        <f>IFERROR((VLOOKUP(TableWRRanks32[[#This Row],[Player]],WR!B:O,8,FALSE)),"")</f>
        <v>814.81467217919976</v>
      </c>
      <c r="AM55" s="83">
        <f>IFERROR((VLOOKUP(TableWRRanks32[[#This Row],[Player]],WR!B:O,9,FALSE)),"")</f>
        <v>5.509640908799998</v>
      </c>
      <c r="AN55" s="57">
        <f>IFERROR((IFERROR(INDEX(TableWRCalcPts[Custom],MATCH(TableWRRanks32[[#This Row],[RK]],TableWRCalcPts[RK],0)),"")),"")</f>
        <v>147.63615491071997</v>
      </c>
      <c r="AO5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1.0461767590692139</v>
      </c>
      <c r="AQ55">
        <v>54</v>
      </c>
      <c r="AR55" t="str">
        <f>IFERROR(INDEX(TableTECalcPts[PLAYER],MATCH(TableTERanks33[[#This Row],[RK]],TableTECalcPts[RK],0)),"")</f>
        <v>Hayden Hurst</v>
      </c>
      <c r="AS55" t="str">
        <f>IFERROR(INDEX(TableTECalcPts[TM],MATCH(TableTERanks33[[#This Row],[Player]],TableTECalcPts[PLAYER],0)),"")</f>
        <v>LAC</v>
      </c>
      <c r="AT55">
        <f>IFERROR(INDEX(TableTECalcPts[BYE],MATCH(TableTERanks33[[#This Row],[Player]],TableTECalcPts[PLAYER],0)),"")</f>
        <v>5</v>
      </c>
      <c r="AU55" s="83">
        <f>IFERROR((VLOOKUP(TableTERanks33[[#This Row],[Player]],TE!B:O,4,FALSE)),"")</f>
        <v>19.542665100000001</v>
      </c>
      <c r="AV55" s="83">
        <f>IFERROR((VLOOKUP(TableTERanks33[[#This Row],[Player]],TE!B:O,5,FALSE)),"")</f>
        <v>12.995872291500001</v>
      </c>
      <c r="AW55" s="83">
        <f>IFERROR((VLOOKUP(TableTERanks33[[#This Row],[Player]],TE!B:O,6,FALSE)),"")</f>
        <v>128.65913568585003</v>
      </c>
      <c r="AX55" s="83">
        <f>IFERROR((VLOOKUP(TableTERanks33[[#This Row],[Player]],TE!B:O,7,FALSE)),"")</f>
        <v>0.9746904218625001</v>
      </c>
      <c r="AY55" s="57">
        <f>IFERROR((IFERROR(INDEX(TableTECalcPts[Custom],MATCH(TableTERanks33[[#This Row],[RK]],TableTECalcPts[RK],0)),"")),"")</f>
        <v>25.211992245510004</v>
      </c>
      <c r="AZ5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6" spans="1:52" x14ac:dyDescent="0.2">
      <c r="A56">
        <v>55</v>
      </c>
      <c r="B56" t="str">
        <f>IFERROR(INDEX(TableQBCalcPts[PLAYER],MATCH(TableQBRanks30[[#This Row],[RK]],TableQBCalcPts[RK],0)),"")</f>
        <v>Tyrod Taylor</v>
      </c>
      <c r="C56" t="str">
        <f>IFERROR(INDEX(TableQBCalcPts[TM],MATCH(TableQBRanks30[[#This Row],[Player]],TableQBCalcPts[PLAYER],0)),"")</f>
        <v>NYJ</v>
      </c>
      <c r="D56">
        <f>IFERROR(INDEX(TableQBCalcPts[BYE],MATCH(TableQBRanks30[[#This Row],[Player]],TableQBCalcPts[PLAYER],0)),"")</f>
        <v>7</v>
      </c>
      <c r="E56" s="83">
        <f>IFERROR((VLOOKUP(TableQBRanks30[[#This Row],[Player]],QB!B:O,4,FALSE)),"")</f>
        <v>12.092079999999999</v>
      </c>
      <c r="F56" s="83">
        <f>IFERROR((VLOOKUP(TableQBRanks30[[#This Row],[Player]],QB!B:O,5,FALSE)),"")</f>
        <v>7.3398925599999991</v>
      </c>
      <c r="G56" s="83">
        <f>IFERROR((VLOOKUP(TableQBRanks30[[#This Row],[Player]],QB!B:O,6,FALSE)),"")</f>
        <v>77.876260061599993</v>
      </c>
      <c r="H56" s="83">
        <f>IFERROR((VLOOKUP(TableQBRanks30[[#This Row],[Player]],QB!B:O,7,FALSE)),"")</f>
        <v>0.41113072000000001</v>
      </c>
      <c r="I56" s="83">
        <f>IFERROR((VLOOKUP(TableQBRanks30[[#This Row],[Player]],QB!B:O,8,FALSE)),"")</f>
        <v>0.1467978512</v>
      </c>
      <c r="J56" s="83">
        <f>IFERROR((VLOOKUP(TableQBRanks30[[#This Row],[Player]],QB!B:O,9,FALSE)),"")</f>
        <v>2.2167404000000004</v>
      </c>
      <c r="K56" s="83">
        <f>IFERROR((VLOOKUP(TableQBRanks30[[#This Row],[Player]],QB!B:O,10,FALSE)),"")</f>
        <v>4.8768288800000015</v>
      </c>
      <c r="L56" s="83">
        <f>IFERROR((VLOOKUP(TableQBRanks30[[#This Row],[Player]],QB!B:O,11,FALSE)),"")</f>
        <v>0</v>
      </c>
      <c r="M56" s="57">
        <f>IFERROR(INDEX(TableQBCalcPts[Custom],MATCH(TableQBRanks30[[#This Row],[RK]],TableQBCalcPts[RK],0)),"")</f>
        <v>5.1004583192640007</v>
      </c>
      <c r="N5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6">
        <v>55</v>
      </c>
      <c r="Q56" t="str">
        <f>IFERROR(INDEX(TableRBCalcPts[PLAYER],MATCH(TableRBRanks31[[#This Row],[RK]],TableRBCalcPts[RK],0)),"")</f>
        <v>Audric Estime</v>
      </c>
      <c r="R56" t="str">
        <f>IFERROR(INDEX(TableRBCalcPts[TM],MATCH(TableRBRanks31[[#This Row],[Player]],TableRBCalcPts[PLAYER],0)),"")</f>
        <v>DEN</v>
      </c>
      <c r="S56">
        <f>IFERROR(INDEX(TableRBCalcPts[BYE],MATCH(TableRBRanks31[[#This Row],[Player]],TableRBCalcPts[PLAYER],0)),"")</f>
        <v>9</v>
      </c>
      <c r="T56" s="83">
        <f>IFERROR((VLOOKUP(TableRBRanks31[[#This Row],[Player]],RB!B:O,4,FALSE)),"")</f>
        <v>114.27397800000003</v>
      </c>
      <c r="U56" s="83">
        <f>IFERROR((VLOOKUP(TableRBRanks31[[#This Row],[Player]],RB!B:O,5,FALSE)),"")</f>
        <v>494.80632474000015</v>
      </c>
      <c r="V56" s="83">
        <f>IFERROR((VLOOKUP(TableRBRanks31[[#This Row],[Player]],RB!B:O,6,FALSE)),"")</f>
        <v>3.6567672960000008</v>
      </c>
      <c r="W56" s="83">
        <f>IFERROR((VLOOKUP(TableRBRanks31[[#This Row],[Player]],RB!B:O,7,FALSE)),"")</f>
        <v>11.417294</v>
      </c>
      <c r="X56" s="83">
        <f>IFERROR((VLOOKUP(TableRBRanks31[[#This Row],[Player]],RB!B:O,8,FALSE)),"")</f>
        <v>8.3346246199999996</v>
      </c>
      <c r="Y56" s="83">
        <f>IFERROR((VLOOKUP(TableRBRanks31[[#This Row],[Player]],RB!B:O,9,FALSE)),"")</f>
        <v>52.091403874999997</v>
      </c>
      <c r="Z56" s="83">
        <f>IFERROR((VLOOKUP(TableRBRanks31[[#This Row],[Player]],RB!B:O,10,FALSE)),"")</f>
        <v>0.1666924924</v>
      </c>
      <c r="AA56" s="57">
        <f>IFERROR((IFERROR(INDEX(TableRBCalcPts[Custom],MATCH(TableRBRanks31[[#This Row],[RK]],TableRBCalcPts[RK],0)),"")),"")</f>
        <v>81.797843901900023</v>
      </c>
      <c r="AB5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6">
        <v>55</v>
      </c>
      <c r="AE56" t="str">
        <f>IFERROR(INDEX(TableWRCalcPts[PLAYER],MATCH(TableWRRanks32[[#This Row],[RK]],TableWRCalcPts[RK],0)),"")</f>
        <v>Michael Wilson</v>
      </c>
      <c r="AF56" t="str">
        <f>IFERROR(INDEX(TableWRCalcPts[TM],MATCH(TableWRRanks32[[#This Row],[Player]],TableWRCalcPts[PLAYER],0)),"")</f>
        <v>ARI</v>
      </c>
      <c r="AG56">
        <f>IFERROR(INDEX(TableWRCalcPts[BYE],MATCH(TableWRRanks32[[#This Row],[Player]],TableWRCalcPts[PLAYER],0)),"")</f>
        <v>14</v>
      </c>
      <c r="AH56" s="83">
        <f>IFERROR((VLOOKUP(TableWRRanks32[[#This Row],[Player]],WR!B:O,4,FALSE)),"")</f>
        <v>0</v>
      </c>
      <c r="AI56" s="83">
        <f>IFERROR((VLOOKUP(TableWRRanks32[[#This Row],[Player]],WR!B:O,5,FALSE)),"")</f>
        <v>0</v>
      </c>
      <c r="AJ56" s="83">
        <f>IFERROR((VLOOKUP(TableWRRanks32[[#This Row],[Player]],WR!B:O,6,FALSE)),"")</f>
        <v>109.0927425</v>
      </c>
      <c r="AK56" s="83">
        <f>IFERROR((VLOOKUP(TableWRRanks32[[#This Row],[Player]],WR!B:O,7,FALSE)),"")</f>
        <v>65.782923727499991</v>
      </c>
      <c r="AL56" s="83">
        <f>IFERROR((VLOOKUP(TableWRRanks32[[#This Row],[Player]],WR!B:O,8,FALSE)),"")</f>
        <v>828.86483896649986</v>
      </c>
      <c r="AM56" s="83">
        <f>IFERROR((VLOOKUP(TableWRRanks32[[#This Row],[Player]],WR!B:O,9,FALSE)),"")</f>
        <v>4.8021534321074988</v>
      </c>
      <c r="AN56" s="57">
        <f>IFERROR((IFERROR(INDEX(TableWRCalcPts[Custom],MATCH(TableWRRanks32[[#This Row],[RK]],TableWRCalcPts[RK],0)),"")),"")</f>
        <v>144.59086635304499</v>
      </c>
      <c r="AO5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6.0890378063220486E-2</v>
      </c>
      <c r="AQ56">
        <v>55</v>
      </c>
      <c r="AR56" t="str">
        <f>IFERROR(INDEX(TableTECalcPts[PLAYER],MATCH(TableTERanks33[[#This Row],[RK]],TableTECalcPts[RK],0)),"")</f>
        <v>Cade Stover</v>
      </c>
      <c r="AS56" t="str">
        <f>IFERROR(INDEX(TableTECalcPts[TM],MATCH(TableTERanks33[[#This Row],[Player]],TableTECalcPts[PLAYER],0)),"")</f>
        <v>HOU</v>
      </c>
      <c r="AT56">
        <f>IFERROR(INDEX(TableTECalcPts[BYE],MATCH(TableTERanks33[[#This Row],[Player]],TableTECalcPts[PLAYER],0)),"")</f>
        <v>7</v>
      </c>
      <c r="AU56" s="83">
        <f>IFERROR((VLOOKUP(TableTERanks33[[#This Row],[Player]],TE!B:O,4,FALSE)),"")</f>
        <v>17.856383999999998</v>
      </c>
      <c r="AV56" s="83">
        <f>IFERROR((VLOOKUP(TableTERanks33[[#This Row],[Player]],TE!B:O,5,FALSE)),"")</f>
        <v>12.017346432</v>
      </c>
      <c r="AW56" s="83">
        <f>IFERROR((VLOOKUP(TableTERanks33[[#This Row],[Player]],TE!B:O,6,FALSE)),"")</f>
        <v>124.9804028928</v>
      </c>
      <c r="AX56" s="83">
        <f>IFERROR((VLOOKUP(TableTERanks33[[#This Row],[Player]],TE!B:O,7,FALSE)),"")</f>
        <v>0.84121425024000007</v>
      </c>
      <c r="AY56" s="57">
        <f>IFERROR((IFERROR(INDEX(TableTECalcPts[Custom],MATCH(TableTERanks33[[#This Row],[RK]],TableTECalcPts[RK],0)),"")),"")</f>
        <v>23.553999006720002</v>
      </c>
      <c r="AZ5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7" spans="1:52" x14ac:dyDescent="0.2">
      <c r="A57">
        <v>56</v>
      </c>
      <c r="B57" t="str">
        <f>IFERROR(INDEX(TableQBCalcPts[PLAYER],MATCH(TableQBRanks30[[#This Row],[RK]],TableQBCalcPts[RK],0)),"")</f>
        <v>Nathan Peterman</v>
      </c>
      <c r="C57" t="str">
        <f>IFERROR(INDEX(TableQBCalcPts[TM],MATCH(TableQBRanks30[[#This Row],[Player]],TableQBCalcPts[PLAYER],0)),"")</f>
        <v>NO</v>
      </c>
      <c r="D57">
        <f>IFERROR(INDEX(TableQBCalcPts[BYE],MATCH(TableQBRanks30[[#This Row],[Player]],TableQBCalcPts[PLAYER],0)),"")</f>
        <v>11</v>
      </c>
      <c r="E57" s="83">
        <f>IFERROR((VLOOKUP(TableQBRanks30[[#This Row],[Player]],QB!B:O,4,FALSE)),"")</f>
        <v>11.704879999999999</v>
      </c>
      <c r="F57" s="83">
        <f>IFERROR((VLOOKUP(TableQBRanks30[[#This Row],[Player]],QB!B:O,5,FALSE)),"")</f>
        <v>7.1048621599999997</v>
      </c>
      <c r="G57" s="83">
        <f>IFERROR((VLOOKUP(TableQBRanks30[[#This Row],[Player]],QB!B:O,6,FALSE)),"")</f>
        <v>72.82483714</v>
      </c>
      <c r="H57" s="83">
        <f>IFERROR((VLOOKUP(TableQBRanks30[[#This Row],[Player]],QB!B:O,7,FALSE)),"")</f>
        <v>0.39796592000000003</v>
      </c>
      <c r="I57" s="83">
        <f>IFERROR((VLOOKUP(TableQBRanks30[[#This Row],[Player]],QB!B:O,8,FALSE)),"")</f>
        <v>0.1420972432</v>
      </c>
      <c r="J57" s="83">
        <f>IFERROR((VLOOKUP(TableQBRanks30[[#This Row],[Player]],QB!B:O,9,FALSE)),"")</f>
        <v>2.1989044</v>
      </c>
      <c r="K57" s="83">
        <f>IFERROR((VLOOKUP(TableQBRanks30[[#This Row],[Player]],QB!B:O,10,FALSE)),"")</f>
        <v>3.0564771159999999</v>
      </c>
      <c r="L57" s="83">
        <f>IFERROR((VLOOKUP(TableQBRanks30[[#This Row],[Player]],QB!B:O,11,FALSE)),"")</f>
        <v>2.1989043999999999E-2</v>
      </c>
      <c r="M57" s="57">
        <f>IFERROR(INDEX(TableQBCalcPts[Custom],MATCH(TableQBRanks30[[#This Row],[RK]],TableQBCalcPts[RK],0)),"")</f>
        <v>4.8003418979999992</v>
      </c>
      <c r="N5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7">
        <v>56</v>
      </c>
      <c r="Q57" t="str">
        <f>IFERROR(INDEX(TableRBCalcPts[PLAYER],MATCH(TableRBRanks31[[#This Row],[RK]],TableRBCalcPts[RK],0)),"")</f>
        <v>Cordarrelle Patterson</v>
      </c>
      <c r="R57" t="str">
        <f>IFERROR(INDEX(TableRBCalcPts[TM],MATCH(TableRBRanks31[[#This Row],[Player]],TableRBCalcPts[PLAYER],0)),"")</f>
        <v>PIT</v>
      </c>
      <c r="S57">
        <f>IFERROR(INDEX(TableRBCalcPts[BYE],MATCH(TableRBRanks31[[#This Row],[Player]],TableRBCalcPts[PLAYER],0)),"")</f>
        <v>6</v>
      </c>
      <c r="T57" s="83">
        <f>IFERROR((VLOOKUP(TableRBRanks31[[#This Row],[Player]],RB!B:O,4,FALSE)),"")</f>
        <v>47.848500000000001</v>
      </c>
      <c r="U57" s="83">
        <f>IFERROR((VLOOKUP(TableRBRanks31[[#This Row],[Player]],RB!B:O,5,FALSE)),"")</f>
        <v>189.001575</v>
      </c>
      <c r="V57" s="83">
        <f>IFERROR((VLOOKUP(TableRBRanks31[[#This Row],[Player]],RB!B:O,6,FALSE)),"")</f>
        <v>1.9617885000000002</v>
      </c>
      <c r="W57" s="83">
        <f>IFERROR((VLOOKUP(TableRBRanks31[[#This Row],[Player]],RB!B:O,7,FALSE)),"")</f>
        <v>45.692745000000002</v>
      </c>
      <c r="X57" s="83">
        <f>IFERROR((VLOOKUP(TableRBRanks31[[#This Row],[Player]],RB!B:O,8,FALSE)),"")</f>
        <v>35.046335415000001</v>
      </c>
      <c r="Y57" s="83">
        <f>IFERROR((VLOOKUP(TableRBRanks31[[#This Row],[Player]],RB!B:O,9,FALSE)),"")</f>
        <v>230.60488703070001</v>
      </c>
      <c r="Z57" s="83">
        <f>IFERROR((VLOOKUP(TableRBRanks31[[#This Row],[Player]],RB!B:O,10,FALSE)),"")</f>
        <v>1.577085093675</v>
      </c>
      <c r="AA57" s="57">
        <f>IFERROR((IFERROR(INDEX(TableRBCalcPts[Custom],MATCH(TableRBRanks31[[#This Row],[RK]],TableRBCalcPts[RK],0)),"")),"")</f>
        <v>80.717055472620004</v>
      </c>
      <c r="AB5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7">
        <v>56</v>
      </c>
      <c r="AE57" t="str">
        <f>IFERROR(INDEX(TableWRCalcPts[PLAYER],MATCH(TableWRRanks32[[#This Row],[RK]],TableWRCalcPts[RK],0)),"")</f>
        <v>Roman Wilson</v>
      </c>
      <c r="AF57" t="str">
        <f>IFERROR(INDEX(TableWRCalcPts[TM],MATCH(TableWRRanks32[[#This Row],[Player]],TableWRCalcPts[PLAYER],0)),"")</f>
        <v>PIT</v>
      </c>
      <c r="AG57">
        <f>IFERROR(INDEX(TableWRCalcPts[BYE],MATCH(TableWRRanks32[[#This Row],[Player]],TableWRCalcPts[PLAYER],0)),"")</f>
        <v>6</v>
      </c>
      <c r="AH57" s="83">
        <f>IFERROR((VLOOKUP(TableWRRanks32[[#This Row],[Player]],WR!B:O,4,FALSE)),"")</f>
        <v>0</v>
      </c>
      <c r="AI57" s="83">
        <f>IFERROR((VLOOKUP(TableWRRanks32[[#This Row],[Player]],WR!B:O,5,FALSE)),"")</f>
        <v>0</v>
      </c>
      <c r="AJ57" s="83">
        <f>IFERROR((VLOOKUP(TableWRRanks32[[#This Row],[Player]],WR!B:O,6,FALSE)),"")</f>
        <v>105.14836500000001</v>
      </c>
      <c r="AK57" s="83">
        <f>IFERROR((VLOOKUP(TableWRRanks32[[#This Row],[Player]],WR!B:O,7,FALSE)),"")</f>
        <v>66.453766680000015</v>
      </c>
      <c r="AL57" s="83">
        <f>IFERROR((VLOOKUP(TableWRRanks32[[#This Row],[Player]],WR!B:O,8,FALSE)),"")</f>
        <v>820.70401849800021</v>
      </c>
      <c r="AM57" s="83">
        <f>IFERROR((VLOOKUP(TableWRRanks32[[#This Row],[Player]],WR!B:O,9,FALSE)),"")</f>
        <v>4.8511249676400006</v>
      </c>
      <c r="AN57" s="57">
        <f>IFERROR((IFERROR(INDEX(TableWRCalcPts[Custom],MATCH(TableWRRanks32[[#This Row],[RK]],TableWRCalcPts[RK],0)),"")),"")</f>
        <v>144.40403499564002</v>
      </c>
      <c r="AO5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4.4211888855525842E-4</v>
      </c>
      <c r="AQ57">
        <v>56</v>
      </c>
      <c r="AR57" t="str">
        <f>IFERROR(INDEX(TableTECalcPts[PLAYER],MATCH(TableTERanks33[[#This Row],[RK]],TableTECalcPts[RK],0)),"")</f>
        <v>Peyton Hendershot</v>
      </c>
      <c r="AS57" t="str">
        <f>IFERROR(INDEX(TableTECalcPts[TM],MATCH(TableTERanks33[[#This Row],[Player]],TableTECalcPts[PLAYER],0)),"")</f>
        <v>DAL</v>
      </c>
      <c r="AT57">
        <f>IFERROR(INDEX(TableTECalcPts[BYE],MATCH(TableTERanks33[[#This Row],[Player]],TableTECalcPts[PLAYER],0)),"")</f>
        <v>7</v>
      </c>
      <c r="AU57" s="83">
        <f>IFERROR((VLOOKUP(TableTERanks33[[#This Row],[Player]],TE!B:O,4,FALSE)),"")</f>
        <v>18.294973199999994</v>
      </c>
      <c r="AV57" s="83">
        <f>IFERROR((VLOOKUP(TableTERanks33[[#This Row],[Player]],TE!B:O,5,FALSE)),"")</f>
        <v>12.202747124399997</v>
      </c>
      <c r="AW57" s="83">
        <f>IFERROR((VLOOKUP(TableTERanks33[[#This Row],[Player]],TE!B:O,6,FALSE)),"")</f>
        <v>110.31283400457596</v>
      </c>
      <c r="AX57" s="83">
        <f>IFERROR((VLOOKUP(TableTERanks33[[#This Row],[Player]],TE!B:O,7,FALSE)),"")</f>
        <v>1.0128280113251997</v>
      </c>
      <c r="AY57" s="57">
        <f>IFERROR((IFERROR(INDEX(TableTECalcPts[Custom],MATCH(TableTERanks33[[#This Row],[RK]],TableTECalcPts[RK],0)),"")),"")</f>
        <v>23.209625030608795</v>
      </c>
      <c r="AZ5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8" spans="1:52" x14ac:dyDescent="0.2">
      <c r="A58">
        <v>57</v>
      </c>
      <c r="B58" t="str">
        <f>IFERROR(INDEX(TableQBCalcPts[PLAYER],MATCH(TableQBRanks30[[#This Row],[RK]],TableQBCalcPts[RK],0)),"")</f>
        <v>Tyson Bagent</v>
      </c>
      <c r="C58" t="str">
        <f>IFERROR(INDEX(TableQBCalcPts[TM],MATCH(TableQBRanks30[[#This Row],[Player]],TableQBCalcPts[PLAYER],0)),"")</f>
        <v>CHI</v>
      </c>
      <c r="D58">
        <f>IFERROR(INDEX(TableQBCalcPts[BYE],MATCH(TableQBRanks30[[#This Row],[Player]],TableQBCalcPts[PLAYER],0)),"")</f>
        <v>13</v>
      </c>
      <c r="E58" s="83">
        <f>IFERROR((VLOOKUP(TableQBRanks30[[#This Row],[Player]],QB!B:O,4,FALSE)),"")</f>
        <v>11.567520000000002</v>
      </c>
      <c r="F58" s="83">
        <f>IFERROR((VLOOKUP(TableQBRanks30[[#This Row],[Player]],QB!B:O,5,FALSE)),"")</f>
        <v>7.0214846400000006</v>
      </c>
      <c r="G58" s="83">
        <f>IFERROR((VLOOKUP(TableQBRanks30[[#This Row],[Player]],QB!B:O,6,FALSE)),"")</f>
        <v>70.565920632000015</v>
      </c>
      <c r="H58" s="83">
        <f>IFERROR((VLOOKUP(TableQBRanks30[[#This Row],[Player]],QB!B:O,7,FALSE)),"")</f>
        <v>0.39329568000000009</v>
      </c>
      <c r="I58" s="83">
        <f>IFERROR((VLOOKUP(TableQBRanks30[[#This Row],[Player]],QB!B:O,8,FALSE)),"")</f>
        <v>0.14042969280000001</v>
      </c>
      <c r="J58" s="83">
        <f>IFERROR((VLOOKUP(TableQBRanks30[[#This Row],[Player]],QB!B:O,9,FALSE)),"")</f>
        <v>0</v>
      </c>
      <c r="K58" s="83">
        <f>IFERROR((VLOOKUP(TableQBRanks30[[#This Row],[Player]],QB!B:O,10,FALSE)),"")</f>
        <v>0</v>
      </c>
      <c r="L58" s="83">
        <f>IFERROR((VLOOKUP(TableQBRanks30[[#This Row],[Player]],QB!B:O,11,FALSE)),"")</f>
        <v>0</v>
      </c>
      <c r="M58" s="57">
        <f>IFERROR(INDEX(TableQBCalcPts[Custom],MATCH(TableQBRanks30[[#This Row],[RK]],TableQBCalcPts[RK],0)),"")</f>
        <v>4.2553898524800013</v>
      </c>
      <c r="N5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8">
        <v>57</v>
      </c>
      <c r="Q58" t="str">
        <f>IFERROR(INDEX(TableRBCalcPts[PLAYER],MATCH(TableRBRanks31[[#This Row],[RK]],TableRBCalcPts[RK],0)),"")</f>
        <v>Bucky Irving</v>
      </c>
      <c r="R58" t="str">
        <f>IFERROR(INDEX(TableRBCalcPts[TM],MATCH(TableRBRanks31[[#This Row],[Player]],TableRBCalcPts[PLAYER],0)),"")</f>
        <v>TB</v>
      </c>
      <c r="S58">
        <f>IFERROR(INDEX(TableRBCalcPts[BYE],MATCH(TableRBRanks31[[#This Row],[Player]],TableRBCalcPts[PLAYER],0)),"")</f>
        <v>5</v>
      </c>
      <c r="T58" s="83">
        <f>IFERROR((VLOOKUP(TableRBRanks31[[#This Row],[Player]],RB!B:O,4,FALSE)),"")</f>
        <v>84.837816000000018</v>
      </c>
      <c r="U58" s="83">
        <f>IFERROR((VLOOKUP(TableRBRanks31[[#This Row],[Player]],RB!B:O,5,FALSE)),"")</f>
        <v>355.47044904000012</v>
      </c>
      <c r="V58" s="83">
        <f>IFERROR((VLOOKUP(TableRBRanks31[[#This Row],[Player]],RB!B:O,6,FALSE)),"")</f>
        <v>2.6299722960000005</v>
      </c>
      <c r="W58" s="83">
        <f>IFERROR((VLOOKUP(TableRBRanks31[[#This Row],[Player]],RB!B:O,7,FALSE)),"")</f>
        <v>23.722036799999998</v>
      </c>
      <c r="X58" s="83">
        <f>IFERROR((VLOOKUP(TableRBRanks31[[#This Row],[Player]],RB!B:O,8,FALSE)),"")</f>
        <v>19.119961660799998</v>
      </c>
      <c r="Y58" s="83">
        <f>IFERROR((VLOOKUP(TableRBRanks31[[#This Row],[Player]],RB!B:O,9,FALSE)),"")</f>
        <v>153.72449175283197</v>
      </c>
      <c r="Z58" s="83">
        <f>IFERROR((VLOOKUP(TableRBRanks31[[#This Row],[Player]],RB!B:O,10,FALSE)),"")</f>
        <v>0.66919865812799995</v>
      </c>
      <c r="AA58" s="57">
        <f>IFERROR((IFERROR(INDEX(TableRBCalcPts[Custom],MATCH(TableRBRanks31[[#This Row],[RK]],TableRBCalcPts[RK],0)),"")),"")</f>
        <v>80.274500634451215</v>
      </c>
      <c r="AB5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8">
        <v>57</v>
      </c>
      <c r="AE58" t="str">
        <f>IFERROR(INDEX(TableWRCalcPts[PLAYER],MATCH(TableWRRanks32[[#This Row],[RK]],TableWRCalcPts[RK],0)),"")</f>
        <v>Demarcus Robinson</v>
      </c>
      <c r="AF58" t="str">
        <f>IFERROR(INDEX(TableWRCalcPts[TM],MATCH(TableWRRanks32[[#This Row],[Player]],TableWRCalcPts[PLAYER],0)),"")</f>
        <v>LAR</v>
      </c>
      <c r="AG58">
        <f>IFERROR(INDEX(TableWRCalcPts[BYE],MATCH(TableWRRanks32[[#This Row],[Player]],TableWRCalcPts[PLAYER],0)),"")</f>
        <v>10</v>
      </c>
      <c r="AH58" s="83">
        <f>IFERROR((VLOOKUP(TableWRRanks32[[#This Row],[Player]],WR!B:O,4,FALSE)),"")</f>
        <v>0</v>
      </c>
      <c r="AI58" s="83">
        <f>IFERROR((VLOOKUP(TableWRRanks32[[#This Row],[Player]],WR!B:O,5,FALSE)),"")</f>
        <v>0</v>
      </c>
      <c r="AJ58" s="83">
        <f>IFERROR((VLOOKUP(TableWRRanks32[[#This Row],[Player]],WR!B:O,6,FALSE)),"")</f>
        <v>90.565817999999965</v>
      </c>
      <c r="AK58" s="83">
        <f>IFERROR((VLOOKUP(TableWRRanks32[[#This Row],[Player]],WR!B:O,7,FALSE)),"")</f>
        <v>58.867781699999981</v>
      </c>
      <c r="AL58" s="83">
        <f>IFERROR((VLOOKUP(TableWRRanks32[[#This Row],[Player]],WR!B:O,8,FALSE)),"")</f>
        <v>814.14142091099973</v>
      </c>
      <c r="AM58" s="83">
        <f>IFERROR((VLOOKUP(TableWRRanks32[[#This Row],[Player]],WR!B:O,9,FALSE)),"")</f>
        <v>5.5924392614999983</v>
      </c>
      <c r="AN58" s="57">
        <f>IFERROR((IFERROR(INDEX(TableWRCalcPts[Custom],MATCH(TableWRRanks32[[#This Row],[RK]],TableWRCalcPts[RK],0)),"")),"")</f>
        <v>144.40266851009997</v>
      </c>
      <c r="AO5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58">
        <v>57</v>
      </c>
      <c r="AR58" t="str">
        <f>IFERROR(INDEX(TableTECalcPts[PLAYER],MATCH(TableTERanks33[[#This Row],[RK]],TableTECalcPts[RK],0)),"")</f>
        <v>Brenton Strange</v>
      </c>
      <c r="AS58" t="str">
        <f>IFERROR(INDEX(TableTECalcPts[TM],MATCH(TableTERanks33[[#This Row],[Player]],TableTECalcPts[PLAYER],0)),"")</f>
        <v>JAX</v>
      </c>
      <c r="AT58">
        <f>IFERROR(INDEX(TableTECalcPts[BYE],MATCH(TableTERanks33[[#This Row],[Player]],TableTECalcPts[PLAYER],0)),"")</f>
        <v>9</v>
      </c>
      <c r="AU58" s="83">
        <f>IFERROR((VLOOKUP(TableTERanks33[[#This Row],[Player]],TE!B:O,4,FALSE)),"")</f>
        <v>18.127745999999991</v>
      </c>
      <c r="AV58" s="83">
        <f>IFERROR((VLOOKUP(TableTERanks33[[#This Row],[Player]],TE!B:O,5,FALSE)),"")</f>
        <v>12.018695597999995</v>
      </c>
      <c r="AW58" s="83">
        <f>IFERROR((VLOOKUP(TableTERanks33[[#This Row],[Player]],TE!B:O,6,FALSE)),"")</f>
        <v>114.41798209295995</v>
      </c>
      <c r="AX58" s="83">
        <f>IFERROR((VLOOKUP(TableTERanks33[[#This Row],[Player]],TE!B:O,7,FALSE)),"")</f>
        <v>0.7812152138699997</v>
      </c>
      <c r="AY58" s="57">
        <f>IFERROR((IFERROR(INDEX(TableTECalcPts[Custom],MATCH(TableTERanks33[[#This Row],[RK]],TableTECalcPts[RK],0)),"")),"")</f>
        <v>22.138437291515991</v>
      </c>
      <c r="AZ5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9" spans="1:52" x14ac:dyDescent="0.2">
      <c r="A59">
        <v>58</v>
      </c>
      <c r="B59" t="str">
        <f>IFERROR(INDEX(TableQBCalcPts[PLAYER],MATCH(TableQBRanks30[[#This Row],[RK]],TableQBCalcPts[RK],0)),"")</f>
        <v>Josh Dobbs</v>
      </c>
      <c r="C59" t="str">
        <f>IFERROR(INDEX(TableQBCalcPts[TM],MATCH(TableQBRanks30[[#This Row],[Player]],TableQBCalcPts[PLAYER],0)),"")</f>
        <v>SF</v>
      </c>
      <c r="D59">
        <f>IFERROR(INDEX(TableQBCalcPts[BYE],MATCH(TableQBRanks30[[#This Row],[Player]],TableQBCalcPts[PLAYER],0)),"")</f>
        <v>9</v>
      </c>
      <c r="E59" s="83">
        <f>IFERROR((VLOOKUP(TableQBRanks30[[#This Row],[Player]],QB!B:O,4,FALSE)),"")</f>
        <v>10.868040000000001</v>
      </c>
      <c r="F59" s="83">
        <f>IFERROR((VLOOKUP(TableQBRanks30[[#This Row],[Player]],QB!B:O,5,FALSE)),"")</f>
        <v>6.5969002799999998</v>
      </c>
      <c r="G59" s="83">
        <f>IFERROR((VLOOKUP(TableQBRanks30[[#This Row],[Player]],QB!B:O,6,FALSE)),"")</f>
        <v>71.70830604359999</v>
      </c>
      <c r="H59" s="83">
        <f>IFERROR((VLOOKUP(TableQBRanks30[[#This Row],[Player]],QB!B:O,7,FALSE)),"")</f>
        <v>0.36951336000000007</v>
      </c>
      <c r="I59" s="83">
        <f>IFERROR((VLOOKUP(TableQBRanks30[[#This Row],[Player]],QB!B:O,8,FALSE)),"")</f>
        <v>0.13193800559999999</v>
      </c>
      <c r="J59" s="83">
        <f>IFERROR((VLOOKUP(TableQBRanks30[[#This Row],[Player]],QB!B:O,9,FALSE)),"")</f>
        <v>0</v>
      </c>
      <c r="K59" s="83">
        <f>IFERROR((VLOOKUP(TableQBRanks30[[#This Row],[Player]],QB!B:O,10,FALSE)),"")</f>
        <v>0</v>
      </c>
      <c r="L59" s="83">
        <f>IFERROR((VLOOKUP(TableQBRanks30[[#This Row],[Player]],QB!B:O,11,FALSE)),"")</f>
        <v>0</v>
      </c>
      <c r="M59" s="57">
        <f>IFERROR(INDEX(TableQBCalcPts[Custom],MATCH(TableQBRanks30[[#This Row],[RK]],TableQBCalcPts[RK],0)),"")</f>
        <v>4.2144476761439993</v>
      </c>
      <c r="N5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9">
        <v>58</v>
      </c>
      <c r="Q59" t="str">
        <f>IFERROR(INDEX(TableRBCalcPts[PLAYER],MATCH(TableRBRanks31[[#This Row],[RK]],TableRBCalcPts[RK],0)),"")</f>
        <v>Tank Bigsby</v>
      </c>
      <c r="R59" t="str">
        <f>IFERROR(INDEX(TableRBCalcPts[TM],MATCH(TableRBRanks31[[#This Row],[Player]],TableRBCalcPts[PLAYER],0)),"")</f>
        <v>JAX</v>
      </c>
      <c r="S59">
        <f>IFERROR(INDEX(TableRBCalcPts[BYE],MATCH(TableRBRanks31[[#This Row],[Player]],TableRBCalcPts[PLAYER],0)),"")</f>
        <v>9</v>
      </c>
      <c r="T59" s="83">
        <f>IFERROR((VLOOKUP(TableRBRanks31[[#This Row],[Player]],RB!B:O,4,FALSE)),"")</f>
        <v>102.878832</v>
      </c>
      <c r="U59" s="83">
        <f>IFERROR((VLOOKUP(TableRBRanks31[[#This Row],[Player]],RB!B:O,5,FALSE)),"")</f>
        <v>413.57290463999999</v>
      </c>
      <c r="V59" s="83">
        <f>IFERROR((VLOOKUP(TableRBRanks31[[#This Row],[Player]],RB!B:O,6,FALSE)),"")</f>
        <v>3.2921226240000001</v>
      </c>
      <c r="W59" s="83">
        <f>IFERROR((VLOOKUP(TableRBRanks31[[#This Row],[Player]],RB!B:O,7,FALSE)),"")</f>
        <v>18.127745999999991</v>
      </c>
      <c r="X59" s="83">
        <f>IFERROR((VLOOKUP(TableRBRanks31[[#This Row],[Player]],RB!B:O,8,FALSE)),"")</f>
        <v>12.743805437999994</v>
      </c>
      <c r="Y59" s="83">
        <f>IFERROR((VLOOKUP(TableRBRanks31[[#This Row],[Player]],RB!B:O,9,FALSE)),"")</f>
        <v>103.35226210217994</v>
      </c>
      <c r="Z59" s="83">
        <f>IFERROR((VLOOKUP(TableRBRanks31[[#This Row],[Player]],RB!B:O,10,FALSE)),"")</f>
        <v>0.31859513594999989</v>
      </c>
      <c r="AA59" s="57">
        <f>IFERROR((IFERROR(INDEX(TableRBCalcPts[Custom],MATCH(TableRBRanks31[[#This Row],[RK]],TableRBCalcPts[RK],0)),"")),"")</f>
        <v>79.728725952917998</v>
      </c>
      <c r="AB5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9">
        <v>58</v>
      </c>
      <c r="AE59" t="str">
        <f>IFERROR(INDEX(TableWRCalcPts[PLAYER],MATCH(TableWRRanks32[[#This Row],[RK]],TableWRCalcPts[RK],0)),"")</f>
        <v>Jahan Dotson</v>
      </c>
      <c r="AF59" t="str">
        <f>IFERROR(INDEX(TableWRCalcPts[TM],MATCH(TableWRRanks32[[#This Row],[Player]],TableWRCalcPts[PLAYER],0)),"")</f>
        <v>WSH</v>
      </c>
      <c r="AG59">
        <f>IFERROR(INDEX(TableWRCalcPts[BYE],MATCH(TableWRRanks32[[#This Row],[Player]],TableWRCalcPts[PLAYER],0)),"")</f>
        <v>14</v>
      </c>
      <c r="AH59" s="83">
        <f>IFERROR((VLOOKUP(TableWRRanks32[[#This Row],[Player]],WR!B:O,4,FALSE)),"")</f>
        <v>29.7101504</v>
      </c>
      <c r="AI59" s="83">
        <f>IFERROR((VLOOKUP(TableWRRanks32[[#This Row],[Player]],WR!B:O,5,FALSE)),"")</f>
        <v>0.28317487099999999</v>
      </c>
      <c r="AJ59" s="83">
        <f>IFERROR((VLOOKUP(TableWRRanks32[[#This Row],[Player]],WR!B:O,6,FALSE)),"")</f>
        <v>105.96027539999999</v>
      </c>
      <c r="AK59" s="83">
        <f>IFERROR((VLOOKUP(TableWRRanks32[[#This Row],[Player]],WR!B:O,7,FALSE)),"")</f>
        <v>62.198681659799988</v>
      </c>
      <c r="AL59" s="83">
        <f>IFERROR((VLOOKUP(TableWRRanks32[[#This Row],[Player]],WR!B:O,8,FALSE)),"")</f>
        <v>779.34948119729381</v>
      </c>
      <c r="AM59" s="83">
        <f>IFERROR((VLOOKUP(TableWRRanks32[[#This Row],[Player]],WR!B:O,9,FALSE)),"")</f>
        <v>4.3539077161859998</v>
      </c>
      <c r="AN59" s="57">
        <f>IFERROR((IFERROR(INDEX(TableWRCalcPts[Custom],MATCH(TableWRRanks32[[#This Row],[RK]],TableWRCalcPts[RK],0)),"")),"")</f>
        <v>139.82779951274537</v>
      </c>
      <c r="AO5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59">
        <v>58</v>
      </c>
      <c r="AR59" t="str">
        <f>IFERROR(INDEX(TableTECalcPts[PLAYER],MATCH(TableTERanks33[[#This Row],[RK]],TableTECalcPts[RK],0)),"")</f>
        <v>Josh Whyle</v>
      </c>
      <c r="AS59" t="str">
        <f>IFERROR(INDEX(TableTECalcPts[TM],MATCH(TableTERanks33[[#This Row],[Player]],TableTECalcPts[PLAYER],0)),"")</f>
        <v>TEN</v>
      </c>
      <c r="AT59">
        <f>IFERROR(INDEX(TableTECalcPts[BYE],MATCH(TableTERanks33[[#This Row],[Player]],TableTECalcPts[PLAYER],0)),"")</f>
        <v>7</v>
      </c>
      <c r="AU59" s="83">
        <f>IFERROR((VLOOKUP(TableTERanks33[[#This Row],[Player]],TE!B:O,4,FALSE)),"")</f>
        <v>17.594576999999994</v>
      </c>
      <c r="AV59" s="83">
        <f>IFERROR((VLOOKUP(TableTERanks33[[#This Row],[Player]],TE!B:O,5,FALSE)),"")</f>
        <v>11.630015396999996</v>
      </c>
      <c r="AW59" s="83">
        <f>IFERROR((VLOOKUP(TableTERanks33[[#This Row],[Player]],TE!B:O,6,FALSE)),"")</f>
        <v>117.11425504778997</v>
      </c>
      <c r="AX59" s="83">
        <f>IFERROR((VLOOKUP(TableTERanks33[[#This Row],[Player]],TE!B:O,7,FALSE)),"")</f>
        <v>0.6978009238199997</v>
      </c>
      <c r="AY59" s="57">
        <f>IFERROR((IFERROR(INDEX(TableTECalcPts[Custom],MATCH(TableTERanks33[[#This Row],[RK]],TableTECalcPts[RK],0)),"")),"")</f>
        <v>21.713238746198993</v>
      </c>
      <c r="AZ5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0" spans="1:52" x14ac:dyDescent="0.2">
      <c r="A60">
        <v>59</v>
      </c>
      <c r="B60" t="str">
        <f>IFERROR(INDEX(TableQBCalcPts[PLAYER],MATCH(TableQBRanks30[[#This Row],[RK]],TableQBCalcPts[RK],0)),"")</f>
        <v>Mac Jones</v>
      </c>
      <c r="C60" t="str">
        <f>IFERROR(INDEX(TableQBCalcPts[TM],MATCH(TableQBRanks30[[#This Row],[Player]],TableQBCalcPts[PLAYER],0)),"")</f>
        <v>JAX</v>
      </c>
      <c r="D60">
        <f>IFERROR(INDEX(TableQBCalcPts[BYE],MATCH(TableQBRanks30[[#This Row],[Player]],TableQBCalcPts[PLAYER],0)),"")</f>
        <v>9</v>
      </c>
      <c r="E60" s="83">
        <f>IFERROR((VLOOKUP(TableQBRanks30[[#This Row],[Player]],QB!B:O,4,FALSE)),"")</f>
        <v>6.165900000000005</v>
      </c>
      <c r="F60" s="83">
        <f>IFERROR((VLOOKUP(TableQBRanks30[[#This Row],[Player]],QB!B:O,5,FALSE)),"")</f>
        <v>4.0633281000000032</v>
      </c>
      <c r="G60" s="83">
        <f>IFERROR((VLOOKUP(TableQBRanks30[[#This Row],[Player]],QB!B:O,6,FALSE)),"")</f>
        <v>42.86811145500004</v>
      </c>
      <c r="H60" s="83">
        <f>IFERROR((VLOOKUP(TableQBRanks30[[#This Row],[Player]],QB!B:O,7,FALSE)),"")</f>
        <v>0.24663600000000022</v>
      </c>
      <c r="I60" s="83">
        <f>IFERROR((VLOOKUP(TableQBRanks30[[#This Row],[Player]],QB!B:O,8,FALSE)),"")</f>
        <v>0.10158320250000008</v>
      </c>
      <c r="J60" s="83">
        <f>IFERROR((VLOOKUP(TableQBRanks30[[#This Row],[Player]],QB!B:O,9,FALSE)),"")</f>
        <v>0</v>
      </c>
      <c r="K60" s="83">
        <f>IFERROR((VLOOKUP(TableQBRanks30[[#This Row],[Player]],QB!B:O,10,FALSE)),"")</f>
        <v>0</v>
      </c>
      <c r="L60" s="83">
        <f>IFERROR((VLOOKUP(TableQBRanks30[[#This Row],[Player]],QB!B:O,11,FALSE)),"")</f>
        <v>0</v>
      </c>
      <c r="M60" s="57">
        <f>IFERROR(INDEX(TableQBCalcPts[Custom],MATCH(TableQBRanks30[[#This Row],[RK]],TableQBCalcPts[RK],0)),"")</f>
        <v>2.5996852557000025</v>
      </c>
      <c r="N6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0">
        <v>59</v>
      </c>
      <c r="Q60" t="str">
        <f>IFERROR(INDEX(TableRBCalcPts[PLAYER],MATCH(TableRBRanks31[[#This Row],[RK]],TableRBCalcPts[RK],0)),"")</f>
        <v>Khalil Herbert</v>
      </c>
      <c r="R60" t="str">
        <f>IFERROR(INDEX(TableRBCalcPts[TM],MATCH(TableRBRanks31[[#This Row],[Player]],TableRBCalcPts[PLAYER],0)),"")</f>
        <v>CHI</v>
      </c>
      <c r="S60">
        <f>IFERROR(INDEX(TableRBCalcPts[BYE],MATCH(TableRBRanks31[[#This Row],[Player]],TableRBCalcPts[PLAYER],0)),"")</f>
        <v>13</v>
      </c>
      <c r="T60" s="83">
        <f>IFERROR((VLOOKUP(TableRBRanks31[[#This Row],[Player]],RB!B:O,4,FALSE)),"")</f>
        <v>100.38853439999998</v>
      </c>
      <c r="U60" s="83">
        <f>IFERROR((VLOOKUP(TableRBRanks31[[#This Row],[Player]],RB!B:O,5,FALSE)),"")</f>
        <v>463.79502892799991</v>
      </c>
      <c r="V60" s="83">
        <f>IFERROR((VLOOKUP(TableRBRanks31[[#This Row],[Player]],RB!B:O,6,FALSE)),"")</f>
        <v>3.0116560319999994</v>
      </c>
      <c r="W60" s="83">
        <f>IFERROR((VLOOKUP(TableRBRanks31[[#This Row],[Player]],RB!B:O,7,FALSE)),"")</f>
        <v>11.336169599999996</v>
      </c>
      <c r="X60" s="83">
        <f>IFERROR((VLOOKUP(TableRBRanks31[[#This Row],[Player]],RB!B:O,8,FALSE)),"")</f>
        <v>7.9919995679999971</v>
      </c>
      <c r="Y60" s="83">
        <f>IFERROR((VLOOKUP(TableRBRanks31[[#This Row],[Player]],RB!B:O,9,FALSE)),"")</f>
        <v>56.743196932799975</v>
      </c>
      <c r="Z60" s="83">
        <f>IFERROR((VLOOKUP(TableRBRanks31[[#This Row],[Player]],RB!B:O,10,FALSE)),"")</f>
        <v>0.31967998271999987</v>
      </c>
      <c r="AA60" s="57">
        <f>IFERROR((IFERROR(INDEX(TableRBCalcPts[Custom],MATCH(TableRBRanks31[[#This Row],[RK]],TableRBCalcPts[RK],0)),"")),"")</f>
        <v>76.037838458399975</v>
      </c>
      <c r="AB6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0">
        <v>59</v>
      </c>
      <c r="AE60" t="str">
        <f>IFERROR(INDEX(TableWRCalcPts[PLAYER],MATCH(TableWRRanks32[[#This Row],[RK]],TableWRCalcPts[RK],0)),"")</f>
        <v>Darnell Mooney</v>
      </c>
      <c r="AF60" t="str">
        <f>IFERROR(INDEX(TableWRCalcPts[TM],MATCH(TableWRRanks32[[#This Row],[Player]],TableWRCalcPts[PLAYER],0)),"")</f>
        <v>ATL</v>
      </c>
      <c r="AG60">
        <f>IFERROR(INDEX(TableWRCalcPts[BYE],MATCH(TableWRRanks32[[#This Row],[Player]],TableWRCalcPts[PLAYER],0)),"")</f>
        <v>11</v>
      </c>
      <c r="AH60" s="83">
        <f>IFERROR((VLOOKUP(TableWRRanks32[[#This Row],[Player]],WR!B:O,4,FALSE)),"")</f>
        <v>0</v>
      </c>
      <c r="AI60" s="83">
        <f>IFERROR((VLOOKUP(TableWRRanks32[[#This Row],[Player]],WR!B:O,5,FALSE)),"")</f>
        <v>0</v>
      </c>
      <c r="AJ60" s="83">
        <f>IFERROR((VLOOKUP(TableWRRanks32[[#This Row],[Player]],WR!B:O,6,FALSE)),"")</f>
        <v>92.02152959999998</v>
      </c>
      <c r="AK60" s="83">
        <f>IFERROR((VLOOKUP(TableWRRanks32[[#This Row],[Player]],WR!B:O,7,FALSE)),"")</f>
        <v>55.581003878399983</v>
      </c>
      <c r="AL60" s="83">
        <f>IFERROR((VLOOKUP(TableWRRanks32[[#This Row],[Player]],WR!B:O,8,FALSE)),"")</f>
        <v>772.57595390975973</v>
      </c>
      <c r="AM60" s="83">
        <f>IFERROR((VLOOKUP(TableWRRanks32[[#This Row],[Player]],WR!B:O,9,FALSE)),"")</f>
        <v>5.5581003878399988</v>
      </c>
      <c r="AN60" s="57">
        <f>IFERROR((IFERROR(INDEX(TableWRCalcPts[Custom],MATCH(TableWRRanks32[[#This Row],[RK]],TableWRCalcPts[RK],0)),"")),"")</f>
        <v>138.39669965721598</v>
      </c>
      <c r="AO6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0">
        <v>59</v>
      </c>
      <c r="AR60" t="str">
        <f>IFERROR(INDEX(TableTECalcPts[PLAYER],MATCH(TableTERanks33[[#This Row],[RK]],TableTECalcPts[RK],0)),"")</f>
        <v>Ko Kieft</v>
      </c>
      <c r="AS60" t="str">
        <f>IFERROR(INDEX(TableTECalcPts[TM],MATCH(TableTERanks33[[#This Row],[Player]],TableTECalcPts[PLAYER],0)),"")</f>
        <v>TB</v>
      </c>
      <c r="AT60">
        <f>IFERROR(INDEX(TableTECalcPts[BYE],MATCH(TableTERanks33[[#This Row],[Player]],TableTECalcPts[PLAYER],0)),"")</f>
        <v>5</v>
      </c>
      <c r="AU60" s="83">
        <f>IFERROR((VLOOKUP(TableTERanks33[[#This Row],[Player]],TE!B:O,4,FALSE)),"")</f>
        <v>20.756782200000004</v>
      </c>
      <c r="AV60" s="83">
        <f>IFERROR((VLOOKUP(TableTERanks33[[#This Row],[Player]],TE!B:O,5,FALSE)),"")</f>
        <v>12.661637142000002</v>
      </c>
      <c r="AW60" s="83">
        <f>IFERROR((VLOOKUP(TableTERanks33[[#This Row],[Player]],TE!B:O,6,FALSE)),"")</f>
        <v>113.95473427800002</v>
      </c>
      <c r="AX60" s="83">
        <f>IFERROR((VLOOKUP(TableTERanks33[[#This Row],[Player]],TE!B:O,7,FALSE)),"")</f>
        <v>0.63308185710000009</v>
      </c>
      <c r="AY60" s="57">
        <f>IFERROR((IFERROR(INDEX(TableTECalcPts[Custom],MATCH(TableTERanks33[[#This Row],[RK]],TableTECalcPts[RK],0)),"")),"")</f>
        <v>21.524783141400004</v>
      </c>
      <c r="AZ6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1" spans="1:52" x14ac:dyDescent="0.2">
      <c r="A61">
        <v>60</v>
      </c>
      <c r="B61" t="str">
        <f>IFERROR(INDEX(TableQBCalcPts[PLAYER],MATCH(TableQBRanks30[[#This Row],[RK]],TableQBCalcPts[RK],0)),"")</f>
        <v>Carson Wentz</v>
      </c>
      <c r="C61" t="str">
        <f>IFERROR(INDEX(TableQBCalcPts[TM],MATCH(TableQBRanks30[[#This Row],[Player]],TableQBCalcPts[PLAYER],0)),"")</f>
        <v>KC</v>
      </c>
      <c r="D61">
        <f>IFERROR(INDEX(TableQBCalcPts[BYE],MATCH(TableQBRanks30[[#This Row],[Player]],TableQBCalcPts[PLAYER],0)),"")</f>
        <v>10</v>
      </c>
      <c r="E61" s="83">
        <f>IFERROR((VLOOKUP(TableQBRanks30[[#This Row],[Player]],QB!B:O,4,FALSE)),"")</f>
        <v>6.4320000000000048</v>
      </c>
      <c r="F61" s="83">
        <f>IFERROR((VLOOKUP(TableQBRanks30[[#This Row],[Player]],QB!B:O,5,FALSE)),"")</f>
        <v>3.9042240000000028</v>
      </c>
      <c r="G61" s="83">
        <f>IFERROR((VLOOKUP(TableQBRanks30[[#This Row],[Player]],QB!B:O,6,FALSE)),"")</f>
        <v>41.150520960000023</v>
      </c>
      <c r="H61" s="83">
        <f>IFERROR((VLOOKUP(TableQBRanks30[[#This Row],[Player]],QB!B:O,7,FALSE)),"")</f>
        <v>0.21868800000000019</v>
      </c>
      <c r="I61" s="83">
        <f>IFERROR((VLOOKUP(TableQBRanks30[[#This Row],[Player]],QB!B:O,8,FALSE)),"")</f>
        <v>7.8084480000000053E-2</v>
      </c>
      <c r="J61" s="83">
        <f>IFERROR((VLOOKUP(TableQBRanks30[[#This Row],[Player]],QB!B:O,9,FALSE)),"")</f>
        <v>0</v>
      </c>
      <c r="K61" s="83">
        <f>IFERROR((VLOOKUP(TableQBRanks30[[#This Row],[Player]],QB!B:O,10,FALSE)),"")</f>
        <v>0</v>
      </c>
      <c r="L61" s="83">
        <f>IFERROR((VLOOKUP(TableQBRanks30[[#This Row],[Player]],QB!B:O,11,FALSE)),"")</f>
        <v>0</v>
      </c>
      <c r="M61" s="57">
        <f>IFERROR(INDEX(TableQBCalcPts[Custom],MATCH(TableQBRanks30[[#This Row],[RK]],TableQBCalcPts[RK],0)),"")</f>
        <v>2.4426883584000016</v>
      </c>
      <c r="N6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1">
        <v>60</v>
      </c>
      <c r="Q61" t="str">
        <f>IFERROR(INDEX(TableRBCalcPts[PLAYER],MATCH(TableRBRanks31[[#This Row],[RK]],TableRBCalcPts[RK],0)),"")</f>
        <v>Alexander Mattison</v>
      </c>
      <c r="R61" t="str">
        <f>IFERROR(INDEX(TableRBCalcPts[TM],MATCH(TableRBRanks31[[#This Row],[Player]],TableRBCalcPts[PLAYER],0)),"")</f>
        <v>LV</v>
      </c>
      <c r="S61">
        <f>IFERROR(INDEX(TableRBCalcPts[BYE],MATCH(TableRBRanks31[[#This Row],[Player]],TableRBCalcPts[PLAYER],0)),"")</f>
        <v>13</v>
      </c>
      <c r="T61" s="83">
        <f>IFERROR((VLOOKUP(TableRBRanks31[[#This Row],[Player]],RB!B:O,4,FALSE)),"")</f>
        <v>80.159100000000009</v>
      </c>
      <c r="U61" s="83">
        <f>IFERROR((VLOOKUP(TableRBRanks31[[#This Row],[Player]],RB!B:O,5,FALSE)),"")</f>
        <v>315.82685400000003</v>
      </c>
      <c r="V61" s="83">
        <f>IFERROR((VLOOKUP(TableRBRanks31[[#This Row],[Player]],RB!B:O,6,FALSE)),"")</f>
        <v>2.2444548000000002</v>
      </c>
      <c r="W61" s="83">
        <f>IFERROR((VLOOKUP(TableRBRanks31[[#This Row],[Player]],RB!B:O,7,FALSE)),"")</f>
        <v>29.130499999999994</v>
      </c>
      <c r="X61" s="83">
        <f>IFERROR((VLOOKUP(TableRBRanks31[[#This Row],[Player]],RB!B:O,8,FALSE)),"")</f>
        <v>20.449610999999994</v>
      </c>
      <c r="Y61" s="83">
        <f>IFERROR((VLOOKUP(TableRBRanks31[[#This Row],[Player]],RB!B:O,9,FALSE)),"")</f>
        <v>145.19223809999994</v>
      </c>
      <c r="Z61" s="83">
        <f>IFERROR((VLOOKUP(TableRBRanks31[[#This Row],[Player]],RB!B:O,10,FALSE)),"")</f>
        <v>0.6134883299999998</v>
      </c>
      <c r="AA61" s="57">
        <f>IFERROR((IFERROR(INDEX(TableRBCalcPts[Custom],MATCH(TableRBRanks31[[#This Row],[RK]],TableRBCalcPts[RK],0)),"")),"")</f>
        <v>73.474373489999991</v>
      </c>
      <c r="AB6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1">
        <v>60</v>
      </c>
      <c r="AE61" t="str">
        <f>IFERROR(INDEX(TableWRCalcPts[PLAYER],MATCH(TableWRRanks32[[#This Row],[RK]],TableWRCalcPts[RK],0)),"")</f>
        <v>Khalil Shakir</v>
      </c>
      <c r="AF61" t="str">
        <f>IFERROR(INDEX(TableWRCalcPts[TM],MATCH(TableWRRanks32[[#This Row],[Player]],TableWRCalcPts[PLAYER],0)),"")</f>
        <v>BUF</v>
      </c>
      <c r="AG61">
        <f>IFERROR(INDEX(TableWRCalcPts[BYE],MATCH(TableWRRanks32[[#This Row],[Player]],TableWRCalcPts[PLAYER],0)),"")</f>
        <v>13</v>
      </c>
      <c r="AH61" s="83">
        <f>IFERROR((VLOOKUP(TableWRRanks32[[#This Row],[Player]],WR!B:O,4,FALSE)),"")</f>
        <v>0</v>
      </c>
      <c r="AI61" s="83">
        <f>IFERROR((VLOOKUP(TableWRRanks32[[#This Row],[Player]],WR!B:O,5,FALSE)),"")</f>
        <v>0</v>
      </c>
      <c r="AJ61" s="83">
        <f>IFERROR((VLOOKUP(TableWRRanks32[[#This Row],[Player]],WR!B:O,6,FALSE)),"")</f>
        <v>94.143974399999976</v>
      </c>
      <c r="AK61" s="83">
        <f>IFERROR((VLOOKUP(TableWRRanks32[[#This Row],[Player]],WR!B:O,7,FALSE)),"")</f>
        <v>61.85259118079999</v>
      </c>
      <c r="AL61" s="83">
        <f>IFERROR((VLOOKUP(TableWRRanks32[[#This Row],[Player]],WR!B:O,8,FALSE)),"")</f>
        <v>812.12452220390389</v>
      </c>
      <c r="AM61" s="83">
        <f>IFERROR((VLOOKUP(TableWRRanks32[[#This Row],[Player]],WR!B:O,9,FALSE)),"")</f>
        <v>4.3296813826560001</v>
      </c>
      <c r="AN61" s="57">
        <f>IFERROR((IFERROR(INDEX(TableWRCalcPts[Custom],MATCH(TableWRRanks32[[#This Row],[RK]],TableWRCalcPts[RK],0)),"")),"")</f>
        <v>138.1168361067264</v>
      </c>
      <c r="AO6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1">
        <v>60</v>
      </c>
      <c r="AR61" t="str">
        <f>IFERROR(INDEX(TableTECalcPts[PLAYER],MATCH(TableTERanks33[[#This Row],[RK]],TableTECalcPts[RK],0)),"")</f>
        <v>Darnell Washington</v>
      </c>
      <c r="AS61" t="str">
        <f>IFERROR(INDEX(TableTECalcPts[TM],MATCH(TableTERanks33[[#This Row],[Player]],TableTECalcPts[PLAYER],0)),"")</f>
        <v>PIT</v>
      </c>
      <c r="AT61">
        <f>IFERROR(INDEX(TableTECalcPts[BYE],MATCH(TableTERanks33[[#This Row],[Player]],TableTECalcPts[PLAYER],0)),"")</f>
        <v>6</v>
      </c>
      <c r="AU61" s="83">
        <f>IFERROR((VLOOKUP(TableTERanks33[[#This Row],[Player]],TE!B:O,4,FALSE)),"")</f>
        <v>16.515449999999998</v>
      </c>
      <c r="AV61" s="83">
        <f>IFERROR((VLOOKUP(TableTERanks33[[#This Row],[Player]],TE!B:O,5,FALSE)),"")</f>
        <v>11.147928749999998</v>
      </c>
      <c r="AW61" s="83">
        <f>IFERROR((VLOOKUP(TableTERanks33[[#This Row],[Player]],TE!B:O,6,FALSE)),"")</f>
        <v>106.68567813749999</v>
      </c>
      <c r="AX61" s="83">
        <f>IFERROR((VLOOKUP(TableTERanks33[[#This Row],[Player]],TE!B:O,7,FALSE)),"")</f>
        <v>0.78035501249999994</v>
      </c>
      <c r="AY61" s="57">
        <f>IFERROR((IFERROR(INDEX(TableTECalcPts[Custom],MATCH(TableTERanks33[[#This Row],[RK]],TableTECalcPts[RK],0)),"")),"")</f>
        <v>20.924662263749997</v>
      </c>
      <c r="AZ6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2" spans="1:52" x14ac:dyDescent="0.2">
      <c r="A62">
        <v>61</v>
      </c>
      <c r="B62" t="str">
        <f>IFERROR(INDEX(TableQBCalcPts[PLAYER],MATCH(TableQBRanks30[[#This Row],[RK]],TableQBCalcPts[RK],0)),"")</f>
        <v>Mitch Trubisky</v>
      </c>
      <c r="C62" t="str">
        <f>IFERROR(INDEX(TableQBCalcPts[TM],MATCH(TableQBRanks30[[#This Row],[Player]],TableQBCalcPts[PLAYER],0)),"")</f>
        <v>BUF</v>
      </c>
      <c r="D62">
        <f>IFERROR(INDEX(TableQBCalcPts[BYE],MATCH(TableQBRanks30[[#This Row],[Player]],TableQBCalcPts[PLAYER],0)),"")</f>
        <v>13</v>
      </c>
      <c r="E62" s="83">
        <f>IFERROR((VLOOKUP(TableQBRanks30[[#This Row],[Player]],QB!B:O,4,FALSE)),"")</f>
        <v>6.197760000000005</v>
      </c>
      <c r="F62" s="83">
        <f>IFERROR((VLOOKUP(TableQBRanks30[[#This Row],[Player]],QB!B:O,5,FALSE)),"")</f>
        <v>3.793029120000003</v>
      </c>
      <c r="G62" s="83">
        <f>IFERROR((VLOOKUP(TableQBRanks30[[#This Row],[Player]],QB!B:O,6,FALSE)),"")</f>
        <v>36.792382464000028</v>
      </c>
      <c r="H62" s="83">
        <f>IFERROR((VLOOKUP(TableQBRanks30[[#This Row],[Player]],QB!B:O,7,FALSE)),"")</f>
        <v>0.21072384000000019</v>
      </c>
      <c r="I62" s="83">
        <f>IFERROR((VLOOKUP(TableQBRanks30[[#This Row],[Player]],QB!B:O,8,FALSE)),"")</f>
        <v>7.5860582400000057E-2</v>
      </c>
      <c r="J62" s="83">
        <f>IFERROR((VLOOKUP(TableQBRanks30[[#This Row],[Player]],QB!B:O,9,FALSE)),"")</f>
        <v>0</v>
      </c>
      <c r="K62" s="83">
        <f>IFERROR((VLOOKUP(TableQBRanks30[[#This Row],[Player]],QB!B:O,10,FALSE)),"")</f>
        <v>0</v>
      </c>
      <c r="L62" s="83">
        <f>IFERROR((VLOOKUP(TableQBRanks30[[#This Row],[Player]],QB!B:O,11,FALSE)),"")</f>
        <v>0</v>
      </c>
      <c r="M62" s="57">
        <f>IFERROR(INDEX(TableQBCalcPts[Custom],MATCH(TableQBRanks30[[#This Row],[RK]],TableQBCalcPts[RK],0)),"")</f>
        <v>2.2387300761600017</v>
      </c>
      <c r="N6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2">
        <v>61</v>
      </c>
      <c r="Q62" t="str">
        <f>IFERROR(INDEX(TableRBCalcPts[PLAYER],MATCH(TableRBRanks31[[#This Row],[RK]],TableRBCalcPts[RK],0)),"")</f>
        <v>Braelon Allen</v>
      </c>
      <c r="R62" t="str">
        <f>IFERROR(INDEX(TableRBCalcPts[TM],MATCH(TableRBRanks31[[#This Row],[Player]],TableRBCalcPts[PLAYER],0)),"")</f>
        <v>NYJ</v>
      </c>
      <c r="S62">
        <f>IFERROR(INDEX(TableRBCalcPts[BYE],MATCH(TableRBRanks31[[#This Row],[Player]],TableRBCalcPts[PLAYER],0)),"")</f>
        <v>7</v>
      </c>
      <c r="T62" s="83">
        <f>IFERROR((VLOOKUP(TableRBRanks31[[#This Row],[Player]],RB!B:O,4,FALSE)),"")</f>
        <v>97.536577600000015</v>
      </c>
      <c r="U62" s="83">
        <f>IFERROR((VLOOKUP(TableRBRanks31[[#This Row],[Player]],RB!B:O,5,FALSE)),"")</f>
        <v>429.1609414400001</v>
      </c>
      <c r="V62" s="83">
        <f>IFERROR((VLOOKUP(TableRBRanks31[[#This Row],[Player]],RB!B:O,6,FALSE)),"")</f>
        <v>3.9014631040000007</v>
      </c>
      <c r="W62" s="83">
        <f>IFERROR((VLOOKUP(TableRBRanks31[[#This Row],[Player]],RB!B:O,7,FALSE)),"")</f>
        <v>5.9251191999999993</v>
      </c>
      <c r="X62" s="83">
        <f>IFERROR((VLOOKUP(TableRBRanks31[[#This Row],[Player]],RB!B:O,8,FALSE)),"")</f>
        <v>4.337187254399999</v>
      </c>
      <c r="Y62" s="83">
        <f>IFERROR((VLOOKUP(TableRBRanks31[[#This Row],[Player]],RB!B:O,9,FALSE)),"")</f>
        <v>31.227748231679993</v>
      </c>
      <c r="Z62" s="83">
        <f>IFERROR((VLOOKUP(TableRBRanks31[[#This Row],[Player]],RB!B:O,10,FALSE)),"")</f>
        <v>0.16481311566719994</v>
      </c>
      <c r="AA62" s="57">
        <f>IFERROR((IFERROR(INDEX(TableRBCalcPts[Custom],MATCH(TableRBRanks31[[#This Row],[RK]],TableRBCalcPts[RK],0)),"")),"")</f>
        <v>72.605119912371222</v>
      </c>
      <c r="AB6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2">
        <v>61</v>
      </c>
      <c r="AE62" t="str">
        <f>IFERROR(INDEX(TableWRCalcPts[PLAYER],MATCH(TableWRRanks32[[#This Row],[RK]],TableWRCalcPts[RK],0)),"")</f>
        <v>Rashid Shaheed</v>
      </c>
      <c r="AF62" t="str">
        <f>IFERROR(INDEX(TableWRCalcPts[TM],MATCH(TableWRRanks32[[#This Row],[Player]],TableWRCalcPts[PLAYER],0)),"")</f>
        <v>NO</v>
      </c>
      <c r="AG62">
        <f>IFERROR(INDEX(TableWRCalcPts[BYE],MATCH(TableWRRanks32[[#This Row],[Player]],TableWRCalcPts[PLAYER],0)),"")</f>
        <v>11</v>
      </c>
      <c r="AH62" s="83">
        <f>IFERROR((VLOOKUP(TableWRRanks32[[#This Row],[Player]],WR!B:O,4,FALSE)),"")</f>
        <v>0</v>
      </c>
      <c r="AI62" s="83">
        <f>IFERROR((VLOOKUP(TableWRRanks32[[#This Row],[Player]],WR!B:O,5,FALSE)),"")</f>
        <v>0</v>
      </c>
      <c r="AJ62" s="83">
        <f>IFERROR((VLOOKUP(TableWRRanks32[[#This Row],[Player]],WR!B:O,6,FALSE)),"")</f>
        <v>91.794936155999991</v>
      </c>
      <c r="AK62" s="83">
        <f>IFERROR((VLOOKUP(TableWRRanks32[[#This Row],[Player]],WR!B:O,7,FALSE)),"")</f>
        <v>56.729270544407996</v>
      </c>
      <c r="AL62" s="83">
        <f>IFERROR((VLOOKUP(TableWRRanks32[[#This Row],[Player]],WR!B:O,8,FALSE)),"")</f>
        <v>819.73795936669546</v>
      </c>
      <c r="AM62" s="83">
        <f>IFERROR((VLOOKUP(TableWRRanks32[[#This Row],[Player]],WR!B:O,9,FALSE)),"")</f>
        <v>4.5950709140970476</v>
      </c>
      <c r="AN62" s="57">
        <f>IFERROR((IFERROR(INDEX(TableWRCalcPts[Custom],MATCH(TableWRRanks32[[#This Row],[RK]],TableWRCalcPts[RK],0)),"")),"")</f>
        <v>137.90885669345585</v>
      </c>
      <c r="AO6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2">
        <v>61</v>
      </c>
      <c r="AR62" t="str">
        <f>IFERROR(INDEX(TableTECalcPts[PLAYER],MATCH(TableTERanks33[[#This Row],[RK]],TableTECalcPts[RK],0)),"")</f>
        <v>Johnny Mundt</v>
      </c>
      <c r="AS62" t="str">
        <f>IFERROR(INDEX(TableTECalcPts[TM],MATCH(TableTERanks33[[#This Row],[Player]],TableTECalcPts[PLAYER],0)),"")</f>
        <v>MIN</v>
      </c>
      <c r="AT62">
        <f>IFERROR(INDEX(TableTECalcPts[BYE],MATCH(TableTERanks33[[#This Row],[Player]],TableTECalcPts[PLAYER],0)),"")</f>
        <v>13</v>
      </c>
      <c r="AU62" s="83">
        <f>IFERROR((VLOOKUP(TableTERanks33[[#This Row],[Player]],TE!B:O,4,FALSE)),"")</f>
        <v>18.663119999999999</v>
      </c>
      <c r="AV62" s="83">
        <f>IFERROR((VLOOKUP(TableTERanks33[[#This Row],[Player]],TE!B:O,5,FALSE)),"")</f>
        <v>11.757765599999999</v>
      </c>
      <c r="AW62" s="83">
        <f>IFERROR((VLOOKUP(TableTERanks33[[#This Row],[Player]],TE!B:O,6,FALSE)),"")</f>
        <v>105.81989039999999</v>
      </c>
      <c r="AX62" s="83">
        <f>IFERROR((VLOOKUP(TableTERanks33[[#This Row],[Player]],TE!B:O,7,FALSE)),"")</f>
        <v>0.58788827999999993</v>
      </c>
      <c r="AY62" s="57">
        <f>IFERROR((IFERROR(INDEX(TableTECalcPts[Custom],MATCH(TableTERanks33[[#This Row],[RK]],TableTECalcPts[RK],0)),"")),"")</f>
        <v>19.988201519999997</v>
      </c>
      <c r="AZ6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3" spans="1:52" x14ac:dyDescent="0.2">
      <c r="A63">
        <v>62</v>
      </c>
      <c r="B63" t="str">
        <f>IFERROR(INDEX(TableQBCalcPts[PLAYER],MATCH(TableQBRanks30[[#This Row],[RK]],TableQBCalcPts[RK],0)),"")</f>
        <v>Sean Clifford</v>
      </c>
      <c r="C63" t="str">
        <f>IFERROR(INDEX(TableQBCalcPts[TM],MATCH(TableQBRanks30[[#This Row],[Player]],TableQBCalcPts[PLAYER],0)),"")</f>
        <v>GB</v>
      </c>
      <c r="D63">
        <f>IFERROR(INDEX(TableQBCalcPts[BYE],MATCH(TableQBRanks30[[#This Row],[Player]],TableQBCalcPts[PLAYER],0)),"")</f>
        <v>6</v>
      </c>
      <c r="E63" s="83">
        <f>IFERROR((VLOOKUP(TableQBRanks30[[#This Row],[Player]],QB!B:O,4,FALSE)),"")</f>
        <v>5.8184000000000058</v>
      </c>
      <c r="F63" s="83">
        <f>IFERROR((VLOOKUP(TableQBRanks30[[#This Row],[Player]],QB!B:O,5,FALSE)),"")</f>
        <v>3.4910400000000035</v>
      </c>
      <c r="G63" s="83">
        <f>IFERROR((VLOOKUP(TableQBRanks30[[#This Row],[Player]],QB!B:O,6,FALSE)),"")</f>
        <v>36.655920000000037</v>
      </c>
      <c r="H63" s="83">
        <f>IFERROR((VLOOKUP(TableQBRanks30[[#This Row],[Player]],QB!B:O,7,FALSE)),"")</f>
        <v>0.19782560000000021</v>
      </c>
      <c r="I63" s="83">
        <f>IFERROR((VLOOKUP(TableQBRanks30[[#This Row],[Player]],QB!B:O,8,FALSE)),"")</f>
        <v>8.3784960000000089E-2</v>
      </c>
      <c r="J63" s="83">
        <f>IFERROR((VLOOKUP(TableQBRanks30[[#This Row],[Player]],QB!B:O,9,FALSE)),"")</f>
        <v>0</v>
      </c>
      <c r="K63" s="83">
        <f>IFERROR((VLOOKUP(TableQBRanks30[[#This Row],[Player]],QB!B:O,10,FALSE)),"")</f>
        <v>0</v>
      </c>
      <c r="L63" s="83">
        <f>IFERROR((VLOOKUP(TableQBRanks30[[#This Row],[Player]],QB!B:O,11,FALSE)),"")</f>
        <v>0</v>
      </c>
      <c r="M63" s="57">
        <f>IFERROR(INDEX(TableQBCalcPts[Custom],MATCH(TableQBRanks30[[#This Row],[RK]],TableQBCalcPts[RK],0)),"")</f>
        <v>2.1737542400000023</v>
      </c>
      <c r="N6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3">
        <v>62</v>
      </c>
      <c r="Q63" t="str">
        <f>IFERROR(INDEX(TableRBCalcPts[PLAYER],MATCH(TableRBRanks31[[#This Row],[RK]],TableRBCalcPts[RK],0)),"")</f>
        <v>Kenneth Gainwell</v>
      </c>
      <c r="R63" t="str">
        <f>IFERROR(INDEX(TableRBCalcPts[TM],MATCH(TableRBRanks31[[#This Row],[Player]],TableRBCalcPts[PLAYER],0)),"")</f>
        <v>PHI</v>
      </c>
      <c r="S63">
        <f>IFERROR(INDEX(TableRBCalcPts[BYE],MATCH(TableRBRanks31[[#This Row],[Player]],TableRBCalcPts[PLAYER],0)),"")</f>
        <v>10</v>
      </c>
      <c r="T63" s="83">
        <f>IFERROR((VLOOKUP(TableRBRanks31[[#This Row],[Player]],RB!B:O,4,FALSE)),"")</f>
        <v>62.778643200000005</v>
      </c>
      <c r="U63" s="83">
        <f>IFERROR((VLOOKUP(TableRBRanks31[[#This Row],[Player]],RB!B:O,5,FALSE)),"")</f>
        <v>271.20373862400004</v>
      </c>
      <c r="V63" s="83">
        <f>IFERROR((VLOOKUP(TableRBRanks31[[#This Row],[Player]],RB!B:O,6,FALSE)),"")</f>
        <v>2.5111457280000002</v>
      </c>
      <c r="W63" s="83">
        <f>IFERROR((VLOOKUP(TableRBRanks31[[#This Row],[Player]],RB!B:O,7,FALSE)),"")</f>
        <v>27.892368000000005</v>
      </c>
      <c r="X63" s="83">
        <f>IFERROR((VLOOKUP(TableRBRanks31[[#This Row],[Player]],RB!B:O,8,FALSE)),"")</f>
        <v>20.751921792000005</v>
      </c>
      <c r="Y63" s="83">
        <f>IFERROR((VLOOKUP(TableRBRanks31[[#This Row],[Player]],RB!B:O,9,FALSE)),"")</f>
        <v>146.71608706944005</v>
      </c>
      <c r="Z63" s="83">
        <f>IFERROR((VLOOKUP(TableRBRanks31[[#This Row],[Player]],RB!B:O,10,FALSE)),"")</f>
        <v>0.62255765376000016</v>
      </c>
      <c r="AA63" s="57">
        <f>IFERROR((IFERROR(INDEX(TableRBCalcPts[Custom],MATCH(TableRBRanks31[[#This Row],[RK]],TableRBCalcPts[RK],0)),"")),"")</f>
        <v>70.970163755904011</v>
      </c>
      <c r="AB6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3">
        <v>62</v>
      </c>
      <c r="AE63" t="str">
        <f>IFERROR(INDEX(TableWRCalcPts[PLAYER],MATCH(TableWRRanks32[[#This Row],[RK]],TableWRCalcPts[RK],0)),"")</f>
        <v>Romeo Doubs</v>
      </c>
      <c r="AF63" t="str">
        <f>IFERROR(INDEX(TableWRCalcPts[TM],MATCH(TableWRRanks32[[#This Row],[Player]],TableWRCalcPts[PLAYER],0)),"")</f>
        <v>GB</v>
      </c>
      <c r="AG63">
        <f>IFERROR(INDEX(TableWRCalcPts[BYE],MATCH(TableWRRanks32[[#This Row],[Player]],TableWRCalcPts[PLAYER],0)),"")</f>
        <v>6</v>
      </c>
      <c r="AH63" s="83">
        <f>IFERROR((VLOOKUP(TableWRRanks32[[#This Row],[Player]],WR!B:O,4,FALSE)),"")</f>
        <v>0</v>
      </c>
      <c r="AI63" s="83">
        <f>IFERROR((VLOOKUP(TableWRRanks32[[#This Row],[Player]],WR!B:O,5,FALSE)),"")</f>
        <v>0</v>
      </c>
      <c r="AJ63" s="83">
        <f>IFERROR((VLOOKUP(TableWRRanks32[[#This Row],[Player]],WR!B:O,6,FALSE)),"")</f>
        <v>96.934544000000002</v>
      </c>
      <c r="AK63" s="83">
        <f>IFERROR((VLOOKUP(TableWRRanks32[[#This Row],[Player]],WR!B:O,7,FALSE)),"")</f>
        <v>60.777959088000003</v>
      </c>
      <c r="AL63" s="83">
        <f>IFERROR((VLOOKUP(TableWRRanks32[[#This Row],[Player]],WR!B:O,8,FALSE)),"")</f>
        <v>718.39547642016009</v>
      </c>
      <c r="AM63" s="83">
        <f>IFERROR((VLOOKUP(TableWRRanks32[[#This Row],[Player]],WR!B:O,9,FALSE)),"")</f>
        <v>5.7739061133600007</v>
      </c>
      <c r="AN63" s="57">
        <f>IFERROR((IFERROR(INDEX(TableWRCalcPts[Custom],MATCH(TableWRRanks32[[#This Row],[RK]],TableWRCalcPts[RK],0)),"")),"")</f>
        <v>136.87196386617603</v>
      </c>
      <c r="AO6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3">
        <v>62</v>
      </c>
      <c r="AR63" t="str">
        <f>IFERROR(INDEX(TableTECalcPts[PLAYER],MATCH(TableTERanks33[[#This Row],[RK]],TableTECalcPts[RK],0)),"")</f>
        <v>Jordan Akins</v>
      </c>
      <c r="AS63" t="str">
        <f>IFERROR(INDEX(TableTECalcPts[TM],MATCH(TableTERanks33[[#This Row],[Player]],TableTECalcPts[PLAYER],0)),"")</f>
        <v>CLE</v>
      </c>
      <c r="AT63">
        <f>IFERROR(INDEX(TableTECalcPts[BYE],MATCH(TableTERanks33[[#This Row],[Player]],TableTECalcPts[PLAYER],0)),"")</f>
        <v>5</v>
      </c>
      <c r="AU63" s="83">
        <f>IFERROR((VLOOKUP(TableTERanks33[[#This Row],[Player]],TE!B:O,4,FALSE)),"")</f>
        <v>16.129574999999999</v>
      </c>
      <c r="AV63" s="83">
        <f>IFERROR((VLOOKUP(TableTERanks33[[#This Row],[Player]],TE!B:O,5,FALSE)),"")</f>
        <v>10.887463125</v>
      </c>
      <c r="AW63" s="83">
        <f>IFERROR((VLOOKUP(TableTERanks33[[#This Row],[Player]],TE!B:O,6,FALSE)),"")</f>
        <v>103.97527284375001</v>
      </c>
      <c r="AX63" s="83">
        <f>IFERROR((VLOOKUP(TableTERanks33[[#This Row],[Player]],TE!B:O,7,FALSE)),"")</f>
        <v>0.65324778750000001</v>
      </c>
      <c r="AY63" s="57">
        <f>IFERROR((IFERROR(INDEX(TableTECalcPts[Custom],MATCH(TableTERanks33[[#This Row],[RK]],TableTECalcPts[RK],0)),"")),"")</f>
        <v>19.760745571875002</v>
      </c>
      <c r="AZ6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4" spans="1:52" x14ac:dyDescent="0.2">
      <c r="A64">
        <v>63</v>
      </c>
      <c r="B64" t="str">
        <f>IFERROR(INDEX(TableQBCalcPts[PLAYER],MATCH(TableQBRanks30[[#This Row],[RK]],TableQBCalcPts[RK],0)),"")</f>
        <v>Easton Stick</v>
      </c>
      <c r="C64" t="str">
        <f>IFERROR(INDEX(TableQBCalcPts[TM],MATCH(TableQBRanks30[[#This Row],[Player]],TableQBCalcPts[PLAYER],0)),"")</f>
        <v>LAC</v>
      </c>
      <c r="D64">
        <f>IFERROR(INDEX(TableQBCalcPts[BYE],MATCH(TableQBRanks30[[#This Row],[Player]],TableQBCalcPts[PLAYER],0)),"")</f>
        <v>5</v>
      </c>
      <c r="E64" s="83">
        <f>IFERROR((VLOOKUP(TableQBRanks30[[#This Row],[Player]],QB!B:O,4,FALSE)),"")</f>
        <v>5.697570000000006</v>
      </c>
      <c r="F64" s="83">
        <f>IFERROR((VLOOKUP(TableQBRanks30[[#This Row],[Player]],QB!B:O,5,FALSE)),"")</f>
        <v>3.4584249900000037</v>
      </c>
      <c r="G64" s="83">
        <f>IFERROR((VLOOKUP(TableQBRanks30[[#This Row],[Player]],QB!B:O,6,FALSE)),"")</f>
        <v>36.659304894000037</v>
      </c>
      <c r="H64" s="83">
        <f>IFERROR((VLOOKUP(TableQBRanks30[[#This Row],[Player]],QB!B:O,7,FALSE)),"")</f>
        <v>0.19371738000000022</v>
      </c>
      <c r="I64" s="83">
        <f>IFERROR((VLOOKUP(TableQBRanks30[[#This Row],[Player]],QB!B:O,8,FALSE)),"")</f>
        <v>6.9168499800000074E-2</v>
      </c>
      <c r="J64" s="83">
        <f>IFERROR((VLOOKUP(TableQBRanks30[[#This Row],[Player]],QB!B:O,9,FALSE)),"")</f>
        <v>0</v>
      </c>
      <c r="K64" s="83">
        <f>IFERROR((VLOOKUP(TableQBRanks30[[#This Row],[Player]],QB!B:O,10,FALSE)),"")</f>
        <v>0</v>
      </c>
      <c r="L64" s="83">
        <f>IFERROR((VLOOKUP(TableQBRanks30[[#This Row],[Player]],QB!B:O,11,FALSE)),"")</f>
        <v>0</v>
      </c>
      <c r="M64" s="57">
        <f>IFERROR(INDEX(TableQBCalcPts[Custom],MATCH(TableQBRanks30[[#This Row],[RK]],TableQBCalcPts[RK],0)),"")</f>
        <v>2.1720732159600025</v>
      </c>
      <c r="N6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4">
        <v>63</v>
      </c>
      <c r="Q64" t="str">
        <f>IFERROR(INDEX(TableRBCalcPts[PLAYER],MATCH(TableRBRanks31[[#This Row],[RK]],TableRBCalcPts[RK],0)),"")</f>
        <v>Clyde Edwards-Helaire</v>
      </c>
      <c r="R64" t="str">
        <f>IFERROR(INDEX(TableRBCalcPts[TM],MATCH(TableRBRanks31[[#This Row],[Player]],TableRBCalcPts[PLAYER],0)),"")</f>
        <v>KC</v>
      </c>
      <c r="S64">
        <f>IFERROR(INDEX(TableRBCalcPts[BYE],MATCH(TableRBRanks31[[#This Row],[Player]],TableRBCalcPts[PLAYER],0)),"")</f>
        <v>10</v>
      </c>
      <c r="T64" s="83">
        <f>IFERROR((VLOOKUP(TableRBRanks31[[#This Row],[Player]],RB!B:O,4,FALSE)),"")</f>
        <v>67.235839999999996</v>
      </c>
      <c r="U64" s="83">
        <f>IFERROR((VLOOKUP(TableRBRanks31[[#This Row],[Player]],RB!B:O,5,FALSE)),"")</f>
        <v>279.02873599999998</v>
      </c>
      <c r="V64" s="83">
        <f>IFERROR((VLOOKUP(TableRBRanks31[[#This Row],[Player]],RB!B:O,6,FALSE)),"")</f>
        <v>2.2187827200000001</v>
      </c>
      <c r="W64" s="83">
        <f>IFERROR((VLOOKUP(TableRBRanks31[[#This Row],[Player]],RB!B:O,7,FALSE)),"")</f>
        <v>25.213439999999991</v>
      </c>
      <c r="X64" s="83">
        <f>IFERROR((VLOOKUP(TableRBRanks31[[#This Row],[Player]],RB!B:O,8,FALSE)),"")</f>
        <v>18.733585919999992</v>
      </c>
      <c r="Y64" s="83">
        <f>IFERROR((VLOOKUP(TableRBRanks31[[#This Row],[Player]],RB!B:O,9,FALSE)),"")</f>
        <v>150.24335907839992</v>
      </c>
      <c r="Z64" s="83">
        <f>IFERROR((VLOOKUP(TableRBRanks31[[#This Row],[Player]],RB!B:O,10,FALSE)),"")</f>
        <v>0.74934343679999971</v>
      </c>
      <c r="AA64" s="57">
        <f>IFERROR((IFERROR(INDEX(TableRBCalcPts[Custom],MATCH(TableRBRanks31[[#This Row],[RK]],TableRBCalcPts[RK],0)),"")),"")</f>
        <v>70.102759408639983</v>
      </c>
      <c r="AB6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4">
        <v>63</v>
      </c>
      <c r="AE64" t="str">
        <f>IFERROR(INDEX(TableWRCalcPts[PLAYER],MATCH(TableWRRanks32[[#This Row],[RK]],TableWRCalcPts[RK],0)),"")</f>
        <v>Rome Odunze</v>
      </c>
      <c r="AF64" t="str">
        <f>IFERROR(INDEX(TableWRCalcPts[TM],MATCH(TableWRRanks32[[#This Row],[Player]],TableWRCalcPts[PLAYER],0)),"")</f>
        <v>CHI</v>
      </c>
      <c r="AG64">
        <f>IFERROR(INDEX(TableWRCalcPts[BYE],MATCH(TableWRRanks32[[#This Row],[Player]],TableWRCalcPts[PLAYER],0)),"")</f>
        <v>13</v>
      </c>
      <c r="AH64" s="83">
        <f>IFERROR((VLOOKUP(TableWRRanks32[[#This Row],[Player]],WR!B:O,4,FALSE)),"")</f>
        <v>0</v>
      </c>
      <c r="AI64" s="83">
        <f>IFERROR((VLOOKUP(TableWRRanks32[[#This Row],[Player]],WR!B:O,5,FALSE)),"")</f>
        <v>0</v>
      </c>
      <c r="AJ64" s="83">
        <f>IFERROR((VLOOKUP(TableWRRanks32[[#This Row],[Player]],WR!B:O,6,FALSE)),"")</f>
        <v>96.357441599999973</v>
      </c>
      <c r="AK64" s="83">
        <f>IFERROR((VLOOKUP(TableWRRanks32[[#This Row],[Player]],WR!B:O,7,FALSE)),"")</f>
        <v>58.778039375999981</v>
      </c>
      <c r="AL64" s="83">
        <f>IFERROR((VLOOKUP(TableWRRanks32[[#This Row],[Player]],WR!B:O,8,FALSE)),"")</f>
        <v>758.23670795039982</v>
      </c>
      <c r="AM64" s="83">
        <f>IFERROR((VLOOKUP(TableWRRanks32[[#This Row],[Player]],WR!B:O,9,FALSE)),"")</f>
        <v>4.9961333469599989</v>
      </c>
      <c r="AN64" s="57">
        <f>IFERROR((IFERROR(INDEX(TableWRCalcPts[Custom],MATCH(TableWRRanks32[[#This Row],[RK]],TableWRCalcPts[RK],0)),"")),"")</f>
        <v>135.18949056479997</v>
      </c>
      <c r="AO6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4">
        <v>63</v>
      </c>
      <c r="AR64" t="str">
        <f>IFERROR(INDEX(TableTECalcPts[PLAYER],MATCH(TableTERanks33[[#This Row],[RK]],TableTECalcPts[RK],0)),"")</f>
        <v>James Mitchell</v>
      </c>
      <c r="AS64" t="str">
        <f>IFERROR(INDEX(TableTECalcPts[TM],MATCH(TableTERanks33[[#This Row],[Player]],TableTECalcPts[PLAYER],0)),"")</f>
        <v>DET</v>
      </c>
      <c r="AT64">
        <f>IFERROR(INDEX(TableTECalcPts[BYE],MATCH(TableTERanks33[[#This Row],[Player]],TableTECalcPts[PLAYER],0)),"")</f>
        <v>9</v>
      </c>
      <c r="AU64" s="83">
        <f>IFERROR((VLOOKUP(TableTERanks33[[#This Row],[Player]],TE!B:O,4,FALSE)),"")</f>
        <v>14.816864999999996</v>
      </c>
      <c r="AV64" s="83">
        <f>IFERROR((VLOOKUP(TableTERanks33[[#This Row],[Player]],TE!B:O,5,FALSE)),"")</f>
        <v>9.7346803049999977</v>
      </c>
      <c r="AW64" s="83">
        <f>IFERROR((VLOOKUP(TableTERanks33[[#This Row],[Player]],TE!B:O,6,FALSE)),"")</f>
        <v>87.612122744999979</v>
      </c>
      <c r="AX64" s="83">
        <f>IFERROR((VLOOKUP(TableTERanks33[[#This Row],[Player]],TE!B:O,7,FALSE)),"")</f>
        <v>0.6814276213499999</v>
      </c>
      <c r="AY64" s="57">
        <f>IFERROR((IFERROR(INDEX(TableTECalcPts[Custom],MATCH(TableTERanks33[[#This Row],[RK]],TableTECalcPts[RK],0)),"")),"")</f>
        <v>17.717118155099996</v>
      </c>
      <c r="AZ6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5" spans="1:52" x14ac:dyDescent="0.2">
      <c r="A65">
        <v>64</v>
      </c>
      <c r="B65" t="str">
        <f>IFERROR(INDEX(TableQBCalcPts[PLAYER],MATCH(TableQBRanks30[[#This Row],[RK]],TableQBCalcPts[RK],0)),"")</f>
        <v>Case Keenum</v>
      </c>
      <c r="C65" t="str">
        <f>IFERROR(INDEX(TableQBCalcPts[TM],MATCH(TableQBRanks30[[#This Row],[Player]],TableQBCalcPts[PLAYER],0)),"")</f>
        <v>HOU</v>
      </c>
      <c r="D65">
        <f>IFERROR(INDEX(TableQBCalcPts[BYE],MATCH(TableQBRanks30[[#This Row],[Player]],TableQBCalcPts[PLAYER],0)),"")</f>
        <v>7</v>
      </c>
      <c r="E65" s="83">
        <f>IFERROR((VLOOKUP(TableQBRanks30[[#This Row],[Player]],QB!B:O,4,FALSE)),"")</f>
        <v>6.0735999999999999</v>
      </c>
      <c r="F65" s="83">
        <f>IFERROR((VLOOKUP(TableQBRanks30[[#This Row],[Player]],QB!B:O,5,FALSE)),"")</f>
        <v>3.826368</v>
      </c>
      <c r="G65" s="83">
        <f>IFERROR((VLOOKUP(TableQBRanks30[[#This Row],[Player]],QB!B:O,6,FALSE)),"")</f>
        <v>42.090048000000003</v>
      </c>
      <c r="H65" s="83">
        <f>IFERROR((VLOOKUP(TableQBRanks30[[#This Row],[Player]],QB!B:O,7,FALSE)),"")</f>
        <v>0.1153984</v>
      </c>
      <c r="I65" s="83">
        <f>IFERROR((VLOOKUP(TableQBRanks30[[#This Row],[Player]],QB!B:O,8,FALSE)),"")</f>
        <v>7.2700991999999992E-2</v>
      </c>
      <c r="J65" s="83">
        <f>IFERROR((VLOOKUP(TableQBRanks30[[#This Row],[Player]],QB!B:O,9,FALSE)),"")</f>
        <v>0</v>
      </c>
      <c r="K65" s="83">
        <f>IFERROR((VLOOKUP(TableQBRanks30[[#This Row],[Player]],QB!B:O,10,FALSE)),"")</f>
        <v>0</v>
      </c>
      <c r="L65" s="83">
        <f>IFERROR((VLOOKUP(TableQBRanks30[[#This Row],[Player]],QB!B:O,11,FALSE)),"")</f>
        <v>0</v>
      </c>
      <c r="M65" s="57">
        <f>IFERROR(INDEX(TableQBCalcPts[Custom],MATCH(TableQBRanks30[[#This Row],[RK]],TableQBCalcPts[RK],0)),"")</f>
        <v>2.072494528</v>
      </c>
      <c r="N6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5">
        <v>64</v>
      </c>
      <c r="Q65" t="str">
        <f>IFERROR(INDEX(TableRBCalcPts[PLAYER],MATCH(TableRBRanks31[[#This Row],[RK]],TableRBCalcPts[RK],0)),"")</f>
        <v>Elijah Mitchell</v>
      </c>
      <c r="R65" t="str">
        <f>IFERROR(INDEX(TableRBCalcPts[TM],MATCH(TableRBRanks31[[#This Row],[Player]],TableRBCalcPts[PLAYER],0)),"")</f>
        <v>SF</v>
      </c>
      <c r="S65">
        <f>IFERROR(INDEX(TableRBCalcPts[BYE],MATCH(TableRBRanks31[[#This Row],[Player]],TableRBCalcPts[PLAYER],0)),"")</f>
        <v>9</v>
      </c>
      <c r="T65" s="83">
        <f>IFERROR((VLOOKUP(TableRBRanks31[[#This Row],[Player]],RB!B:O,4,FALSE)),"")</f>
        <v>97.529207999999997</v>
      </c>
      <c r="U65" s="83">
        <f>IFERROR((VLOOKUP(TableRBRanks31[[#This Row],[Player]],RB!B:O,5,FALSE)),"")</f>
        <v>391.09212407999996</v>
      </c>
      <c r="V65" s="83">
        <f>IFERROR((VLOOKUP(TableRBRanks31[[#This Row],[Player]],RB!B:O,6,FALSE)),"")</f>
        <v>2.92587624</v>
      </c>
      <c r="W65" s="83">
        <f>IFERROR((VLOOKUP(TableRBRanks31[[#This Row],[Player]],RB!B:O,7,FALSE)),"")</f>
        <v>10.650679199999999</v>
      </c>
      <c r="X65" s="83">
        <f>IFERROR((VLOOKUP(TableRBRanks31[[#This Row],[Player]],RB!B:O,8,FALSE)),"")</f>
        <v>8.7442076231999994</v>
      </c>
      <c r="Y65" s="83">
        <f>IFERROR((VLOOKUP(TableRBRanks31[[#This Row],[Player]],RB!B:O,9,FALSE)),"")</f>
        <v>54.563855568767998</v>
      </c>
      <c r="Z65" s="83">
        <f>IFERROR((VLOOKUP(TableRBRanks31[[#This Row],[Player]],RB!B:O,10,FALSE)),"")</f>
        <v>0.28855885156560002</v>
      </c>
      <c r="AA65" s="57">
        <f>IFERROR((IFERROR(INDEX(TableRBCalcPts[Custom],MATCH(TableRBRanks31[[#This Row],[RK]],TableRBCalcPts[RK],0)),"")),"")</f>
        <v>68.224312325870386</v>
      </c>
      <c r="AB6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5">
        <v>64</v>
      </c>
      <c r="AE65" t="str">
        <f>IFERROR(INDEX(TableWRCalcPts[PLAYER],MATCH(TableWRRanks32[[#This Row],[RK]],TableWRCalcPts[RK],0)),"")</f>
        <v>Joshua Palmer</v>
      </c>
      <c r="AF65" t="str">
        <f>IFERROR(INDEX(TableWRCalcPts[TM],MATCH(TableWRRanks32[[#This Row],[Player]],TableWRCalcPts[PLAYER],0)),"")</f>
        <v>LAC</v>
      </c>
      <c r="AG65">
        <f>IFERROR(INDEX(TableWRCalcPts[BYE],MATCH(TableWRRanks32[[#This Row],[Player]],TableWRCalcPts[PLAYER],0)),"")</f>
        <v>5</v>
      </c>
      <c r="AH65" s="83">
        <f>IFERROR((VLOOKUP(TableWRRanks32[[#This Row],[Player]],WR!B:O,4,FALSE)),"")</f>
        <v>0</v>
      </c>
      <c r="AI65" s="83">
        <f>IFERROR((VLOOKUP(TableWRRanks32[[#This Row],[Player]],WR!B:O,5,FALSE)),"")</f>
        <v>0</v>
      </c>
      <c r="AJ65" s="83">
        <f>IFERROR((VLOOKUP(TableWRRanks32[[#This Row],[Player]],WR!B:O,6,FALSE)),"")</f>
        <v>94.921516199999999</v>
      </c>
      <c r="AK65" s="83">
        <f>IFERROR((VLOOKUP(TableWRRanks32[[#This Row],[Player]],WR!B:O,7,FALSE)),"")</f>
        <v>61.604064013799999</v>
      </c>
      <c r="AL65" s="83">
        <f>IFERROR((VLOOKUP(TableWRRanks32[[#This Row],[Player]],WR!B:O,8,FALSE)),"")</f>
        <v>747.87333712753207</v>
      </c>
      <c r="AM65" s="83">
        <f>IFERROR((VLOOKUP(TableWRRanks32[[#This Row],[Player]],WR!B:O,9,FALSE)),"")</f>
        <v>4.9283251211039998</v>
      </c>
      <c r="AN65" s="57">
        <f>IFERROR((IFERROR(INDEX(TableWRCalcPts[Custom],MATCH(TableWRRanks32[[#This Row],[RK]],TableWRCalcPts[RK],0)),"")),"")</f>
        <v>135.15931644627722</v>
      </c>
      <c r="AO6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5">
        <v>64</v>
      </c>
      <c r="AR65" t="str">
        <f>IFERROR(INDEX(TableTECalcPts[PLAYER],MATCH(TableTERanks33[[#This Row],[RK]],TableTECalcPts[RK],0)),"")</f>
        <v>Noah Gray</v>
      </c>
      <c r="AS65" t="str">
        <f>IFERROR(INDEX(TableTECalcPts[TM],MATCH(TableTERanks33[[#This Row],[Player]],TableTECalcPts[PLAYER],0)),"")</f>
        <v>KC</v>
      </c>
      <c r="AT65">
        <f>IFERROR(INDEX(TableTECalcPts[BYE],MATCH(TableTERanks33[[#This Row],[Player]],TableTECalcPts[PLAYER],0)),"")</f>
        <v>10</v>
      </c>
      <c r="AU65" s="83">
        <f>IFERROR((VLOOKUP(TableTERanks33[[#This Row],[Player]],TE!B:O,4,FALSE)),"")</f>
        <v>12.606719999999996</v>
      </c>
      <c r="AV65" s="83">
        <f>IFERROR((VLOOKUP(TableTERanks33[[#This Row],[Player]],TE!B:O,5,FALSE)),"")</f>
        <v>9.0138047999999973</v>
      </c>
      <c r="AW65" s="83">
        <f>IFERROR((VLOOKUP(TableTERanks33[[#This Row],[Player]],TE!B:O,6,FALSE)),"")</f>
        <v>94.644950399999971</v>
      </c>
      <c r="AX65" s="83">
        <f>IFERROR((VLOOKUP(TableTERanks33[[#This Row],[Player]],TE!B:O,7,FALSE)),"")</f>
        <v>0.61293872639999991</v>
      </c>
      <c r="AY65" s="57">
        <f>IFERROR((IFERROR(INDEX(TableTECalcPts[Custom],MATCH(TableTERanks33[[#This Row],[RK]],TableTECalcPts[RK],0)),"")),"")</f>
        <v>17.649029798399997</v>
      </c>
      <c r="AZ6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6" spans="1:52" x14ac:dyDescent="0.2">
      <c r="A66">
        <v>65</v>
      </c>
      <c r="B66" t="str">
        <f>IFERROR(INDEX(TableQBCalcPts[PLAYER],MATCH(TableQBRanks30[[#This Row],[RK]],TableQBCalcPts[RK],0)),"")</f>
        <v/>
      </c>
      <c r="C66" t="str">
        <f>IFERROR(INDEX(TableQBCalcPts[TM],MATCH(TableQBRanks30[[#This Row],[Player]],TableQBCalcPts[PLAYER],0)),"")</f>
        <v/>
      </c>
      <c r="D66" t="str">
        <f>IFERROR(INDEX(TableQBCalcPts[BYE],MATCH(TableQBRanks30[[#This Row],[Player]],TableQBCalcPts[PLAYER],0)),"")</f>
        <v/>
      </c>
      <c r="E66" s="83" t="str">
        <f>IFERROR((VLOOKUP(TableQBRanks30[[#This Row],[Player]],QB!B:O,4,FALSE)),"")</f>
        <v/>
      </c>
      <c r="F66" s="83" t="str">
        <f>IFERROR((VLOOKUP(TableQBRanks30[[#This Row],[Player]],QB!B:O,5,FALSE)),"")</f>
        <v/>
      </c>
      <c r="G66" s="83" t="str">
        <f>IFERROR((VLOOKUP(TableQBRanks30[[#This Row],[Player]],QB!B:O,6,FALSE)),"")</f>
        <v/>
      </c>
      <c r="H66" s="83" t="str">
        <f>IFERROR((VLOOKUP(TableQBRanks30[[#This Row],[Player]],QB!B:O,7,FALSE)),"")</f>
        <v/>
      </c>
      <c r="I66" s="83" t="str">
        <f>IFERROR((VLOOKUP(TableQBRanks30[[#This Row],[Player]],QB!B:O,8,FALSE)),"")</f>
        <v/>
      </c>
      <c r="J66" s="83" t="str">
        <f>IFERROR((VLOOKUP(TableQBRanks30[[#This Row],[Player]],QB!B:O,9,FALSE)),"")</f>
        <v/>
      </c>
      <c r="K66" s="83" t="str">
        <f>IFERROR((VLOOKUP(TableQBRanks30[[#This Row],[Player]],QB!B:O,10,FALSE)),"")</f>
        <v/>
      </c>
      <c r="L66" s="83" t="str">
        <f>IFERROR((VLOOKUP(TableQBRanks30[[#This Row],[Player]],QB!B:O,11,FALSE)),"")</f>
        <v/>
      </c>
      <c r="M66" s="57" t="str">
        <f>IFERROR(INDEX(TableQBCalcPts[Custom],MATCH(TableQBRanks30[[#This Row],[RK]],TableQBCalcPts[RK],0)),"")</f>
        <v/>
      </c>
      <c r="N66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6">
        <v>65</v>
      </c>
      <c r="Q66" t="str">
        <f>IFERROR(INDEX(TableRBCalcPts[PLAYER],MATCH(TableRBRanks31[[#This Row],[RK]],TableRBCalcPts[RK],0)),"")</f>
        <v>Jawhar Jordan</v>
      </c>
      <c r="R66" t="str">
        <f>IFERROR(INDEX(TableRBCalcPts[TM],MATCH(TableRBRanks31[[#This Row],[Player]],TableRBCalcPts[PLAYER],0)),"")</f>
        <v>HOU</v>
      </c>
      <c r="S66">
        <f>IFERROR(INDEX(TableRBCalcPts[BYE],MATCH(TableRBRanks31[[#This Row],[Player]],TableRBCalcPts[PLAYER],0)),"")</f>
        <v>7</v>
      </c>
      <c r="T66" s="83">
        <f>IFERROR((VLOOKUP(TableRBRanks31[[#This Row],[Player]],RB!B:O,4,FALSE)),"")</f>
        <v>43.26400000000001</v>
      </c>
      <c r="U66" s="83">
        <f>IFERROR((VLOOKUP(TableRBRanks31[[#This Row],[Player]],RB!B:O,5,FALSE)),"")</f>
        <v>178.24768000000006</v>
      </c>
      <c r="V66" s="83">
        <f>IFERROR((VLOOKUP(TableRBRanks31[[#This Row],[Player]],RB!B:O,6,FALSE)),"")</f>
        <v>1.2979200000000002</v>
      </c>
      <c r="W66" s="83">
        <f>IFERROR((VLOOKUP(TableRBRanks31[[#This Row],[Player]],RB!B:O,7,FALSE)),"")</f>
        <v>35.712767999999997</v>
      </c>
      <c r="X66" s="83">
        <f>IFERROR((VLOOKUP(TableRBRanks31[[#This Row],[Player]],RB!B:O,8,FALSE)),"")</f>
        <v>27.677395199999999</v>
      </c>
      <c r="Y66" s="83">
        <f>IFERROR((VLOOKUP(TableRBRanks31[[#This Row],[Player]],RB!B:O,9,FALSE)),"")</f>
        <v>200.66111519999998</v>
      </c>
      <c r="Z66" s="83">
        <f>IFERROR((VLOOKUP(TableRBRanks31[[#This Row],[Player]],RB!B:O,10,FALSE)),"")</f>
        <v>1.107095808</v>
      </c>
      <c r="AA66" s="57">
        <f>IFERROR((IFERROR(INDEX(TableRBCalcPts[Custom],MATCH(TableRBRanks31[[#This Row],[RK]],TableRBCalcPts[RK],0)),"")),"")</f>
        <v>66.159671968000012</v>
      </c>
      <c r="AB6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6">
        <v>65</v>
      </c>
      <c r="AE66" t="str">
        <f>IFERROR(INDEX(TableWRCalcPts[PLAYER],MATCH(TableWRRanks32[[#This Row],[RK]],TableWRCalcPts[RK],0)),"")</f>
        <v>Gabe Davis</v>
      </c>
      <c r="AF66" t="str">
        <f>IFERROR(INDEX(TableWRCalcPts[TM],MATCH(TableWRRanks32[[#This Row],[Player]],TableWRCalcPts[PLAYER],0)),"")</f>
        <v>JAX</v>
      </c>
      <c r="AG66">
        <f>IFERROR(INDEX(TableWRCalcPts[BYE],MATCH(TableWRRanks32[[#This Row],[Player]],TableWRCalcPts[PLAYER],0)),"")</f>
        <v>9</v>
      </c>
      <c r="AH66" s="83">
        <f>IFERROR((VLOOKUP(TableWRRanks32[[#This Row],[Player]],WR!B:O,4,FALSE)),"")</f>
        <v>0</v>
      </c>
      <c r="AI66" s="83">
        <f>IFERROR((VLOOKUP(TableWRRanks32[[#This Row],[Player]],WR!B:O,5,FALSE)),"")</f>
        <v>0</v>
      </c>
      <c r="AJ66" s="83">
        <f>IFERROR((VLOOKUP(TableWRRanks32[[#This Row],[Player]],WR!B:O,6,FALSE)),"")</f>
        <v>96.681311999999963</v>
      </c>
      <c r="AK66" s="83">
        <f>IFERROR((VLOOKUP(TableWRRanks32[[#This Row],[Player]],WR!B:O,7,FALSE)),"")</f>
        <v>56.075160959999977</v>
      </c>
      <c r="AL66" s="83">
        <f>IFERROR((VLOOKUP(TableWRRanks32[[#This Row],[Player]],WR!B:O,8,FALSE)),"")</f>
        <v>773.83722124799976</v>
      </c>
      <c r="AM66" s="83">
        <f>IFERROR((VLOOKUP(TableWRRanks32[[#This Row],[Player]],WR!B:O,9,FALSE)),"")</f>
        <v>4.7663886815999987</v>
      </c>
      <c r="AN66" s="57">
        <f>IFERROR((IFERROR(INDEX(TableWRCalcPts[Custom],MATCH(TableWRRanks32[[#This Row],[RK]],TableWRCalcPts[RK],0)),"")),"")</f>
        <v>134.01963469439997</v>
      </c>
      <c r="AO6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6">
        <v>65</v>
      </c>
      <c r="AR66" t="str">
        <f>IFERROR(INDEX(TableTECalcPts[PLAYER],MATCH(TableTERanks33[[#This Row],[RK]],TableTECalcPts[RK],0)),"")</f>
        <v>Tanner Hudson</v>
      </c>
      <c r="AS66" t="str">
        <f>IFERROR(INDEX(TableTECalcPts[TM],MATCH(TableTERanks33[[#This Row],[Player]],TableTECalcPts[PLAYER],0)),"")</f>
        <v>CIN</v>
      </c>
      <c r="AT66">
        <f>IFERROR(INDEX(TableTECalcPts[BYE],MATCH(TableTERanks33[[#This Row],[Player]],TableTECalcPts[PLAYER],0)),"")</f>
        <v>7</v>
      </c>
      <c r="AU66" s="83">
        <f>IFERROR((VLOOKUP(TableTERanks33[[#This Row],[Player]],TE!B:O,4,FALSE)),"")</f>
        <v>12.471362399999999</v>
      </c>
      <c r="AV66" s="83">
        <f>IFERROR((VLOOKUP(TableTERanks33[[#This Row],[Player]],TE!B:O,5,FALSE)),"")</f>
        <v>9.1664513639999985</v>
      </c>
      <c r="AW66" s="83">
        <f>IFERROR((VLOOKUP(TableTERanks33[[#This Row],[Player]],TE!B:O,6,FALSE)),"")</f>
        <v>82.956384844199988</v>
      </c>
      <c r="AX66" s="83">
        <f>IFERROR((VLOOKUP(TableTERanks33[[#This Row],[Player]],TE!B:O,7,FALSE)),"")</f>
        <v>0.59581933865999992</v>
      </c>
      <c r="AY66" s="57">
        <f>IFERROR((IFERROR(INDEX(TableTECalcPts[Custom],MATCH(TableTERanks33[[#This Row],[RK]],TableTECalcPts[RK],0)),"")),"")</f>
        <v>16.453780198379999</v>
      </c>
      <c r="AZ6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7" spans="1:52" x14ac:dyDescent="0.2">
      <c r="A67">
        <v>66</v>
      </c>
      <c r="B67" t="str">
        <f>IFERROR(INDEX(TableQBCalcPts[PLAYER],MATCH(TableQBRanks30[[#This Row],[RK]],TableQBCalcPts[RK],0)),"")</f>
        <v/>
      </c>
      <c r="C67" t="str">
        <f>IFERROR(INDEX(TableQBCalcPts[TM],MATCH(TableQBRanks30[[#This Row],[Player]],TableQBCalcPts[PLAYER],0)),"")</f>
        <v/>
      </c>
      <c r="D67" t="str">
        <f>IFERROR(INDEX(TableQBCalcPts[BYE],MATCH(TableQBRanks30[[#This Row],[Player]],TableQBCalcPts[PLAYER],0)),"")</f>
        <v/>
      </c>
      <c r="E67" s="83" t="str">
        <f>IFERROR((VLOOKUP(TableQBRanks30[[#This Row],[Player]],QB!B:O,4,FALSE)),"")</f>
        <v/>
      </c>
      <c r="F67" s="83" t="str">
        <f>IFERROR((VLOOKUP(TableQBRanks30[[#This Row],[Player]],QB!B:O,5,FALSE)),"")</f>
        <v/>
      </c>
      <c r="G67" s="83" t="str">
        <f>IFERROR((VLOOKUP(TableQBRanks30[[#This Row],[Player]],QB!B:O,6,FALSE)),"")</f>
        <v/>
      </c>
      <c r="H67" s="83" t="str">
        <f>IFERROR((VLOOKUP(TableQBRanks30[[#This Row],[Player]],QB!B:O,7,FALSE)),"")</f>
        <v/>
      </c>
      <c r="I67" s="83" t="str">
        <f>IFERROR((VLOOKUP(TableQBRanks30[[#This Row],[Player]],QB!B:O,8,FALSE)),"")</f>
        <v/>
      </c>
      <c r="J67" s="83" t="str">
        <f>IFERROR((VLOOKUP(TableQBRanks30[[#This Row],[Player]],QB!B:O,9,FALSE)),"")</f>
        <v/>
      </c>
      <c r="K67" s="83" t="str">
        <f>IFERROR((VLOOKUP(TableQBRanks30[[#This Row],[Player]],QB!B:O,10,FALSE)),"")</f>
        <v/>
      </c>
      <c r="L67" s="83" t="str">
        <f>IFERROR((VLOOKUP(TableQBRanks30[[#This Row],[Player]],QB!B:O,11,FALSE)),"")</f>
        <v/>
      </c>
      <c r="M67" s="57" t="str">
        <f>IFERROR(INDEX(TableQBCalcPts[Custom],MATCH(TableQBRanks30[[#This Row],[RK]],TableQBCalcPts[RK],0)),"")</f>
        <v/>
      </c>
      <c r="N67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7">
        <v>66</v>
      </c>
      <c r="Q67" t="str">
        <f>IFERROR(INDEX(TableRBCalcPts[PLAYER],MATCH(TableRBRanks31[[#This Row],[RK]],TableRBCalcPts[RK],0)),"")</f>
        <v>Isaac Guerendo</v>
      </c>
      <c r="R67" t="str">
        <f>IFERROR(INDEX(TableRBCalcPts[TM],MATCH(TableRBRanks31[[#This Row],[Player]],TableRBCalcPts[PLAYER],0)),"")</f>
        <v>SF</v>
      </c>
      <c r="S67">
        <f>IFERROR(INDEX(TableRBCalcPts[BYE],MATCH(TableRBRanks31[[#This Row],[Player]],TableRBCalcPts[PLAYER],0)),"")</f>
        <v>9</v>
      </c>
      <c r="T67" s="83">
        <f>IFERROR((VLOOKUP(TableRBRanks31[[#This Row],[Player]],RB!B:O,4,FALSE)),"")</f>
        <v>73.146905999999987</v>
      </c>
      <c r="U67" s="83">
        <f>IFERROR((VLOOKUP(TableRBRanks31[[#This Row],[Player]],RB!B:O,5,FALSE)),"")</f>
        <v>330.62401511999991</v>
      </c>
      <c r="V67" s="83">
        <f>IFERROR((VLOOKUP(TableRBRanks31[[#This Row],[Player]],RB!B:O,6,FALSE)),"")</f>
        <v>2.3407009919999995</v>
      </c>
      <c r="W67" s="83">
        <f>IFERROR((VLOOKUP(TableRBRanks31[[#This Row],[Player]],RB!B:O,7,FALSE)),"")</f>
        <v>15.976018799999997</v>
      </c>
      <c r="X67" s="83">
        <f>IFERROR((VLOOKUP(TableRBRanks31[[#This Row],[Player]],RB!B:O,8,FALSE)),"")</f>
        <v>12.109822250399997</v>
      </c>
      <c r="Y67" s="83">
        <f>IFERROR((VLOOKUP(TableRBRanks31[[#This Row],[Player]],RB!B:O,9,FALSE)),"")</f>
        <v>96.878578003199976</v>
      </c>
      <c r="Z67" s="83">
        <f>IFERROR((VLOOKUP(TableRBRanks31[[#This Row],[Player]],RB!B:O,10,FALSE)),"")</f>
        <v>0.5207223567671998</v>
      </c>
      <c r="AA67" s="57">
        <f>IFERROR((IFERROR(INDEX(TableRBCalcPts[Custom],MATCH(TableRBRanks31[[#This Row],[RK]],TableRBCalcPts[RK],0)),"")),"")</f>
        <v>65.973710530123185</v>
      </c>
      <c r="AB6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7">
        <v>66</v>
      </c>
      <c r="AE67" t="str">
        <f>IFERROR(INDEX(TableWRCalcPts[PLAYER],MATCH(TableWRRanks32[[#This Row],[RK]],TableWRCalcPts[RK],0)),"")</f>
        <v>Jerry Jeudy</v>
      </c>
      <c r="AF67" t="str">
        <f>IFERROR(INDEX(TableWRCalcPts[TM],MATCH(TableWRRanks32[[#This Row],[Player]],TableWRCalcPts[PLAYER],0)),"")</f>
        <v>CLE</v>
      </c>
      <c r="AG67">
        <f>IFERROR(INDEX(TableWRCalcPts[BYE],MATCH(TableWRRanks32[[#This Row],[Player]],TableWRCalcPts[PLAYER],0)),"")</f>
        <v>5</v>
      </c>
      <c r="AH67" s="83">
        <f>IFERROR((VLOOKUP(TableWRRanks32[[#This Row],[Player]],WR!B:O,4,FALSE)),"")</f>
        <v>0</v>
      </c>
      <c r="AI67" s="83">
        <f>IFERROR((VLOOKUP(TableWRRanks32[[#This Row],[Player]],WR!B:O,5,FALSE)),"")</f>
        <v>0</v>
      </c>
      <c r="AJ67" s="83">
        <f>IFERROR((VLOOKUP(TableWRRanks32[[#This Row],[Player]],WR!B:O,6,FALSE)),"")</f>
        <v>94.089187499999994</v>
      </c>
      <c r="AK67" s="83">
        <f>IFERROR((VLOOKUP(TableWRRanks32[[#This Row],[Player]],WR!B:O,7,FALSE)),"")</f>
        <v>59.7466340625</v>
      </c>
      <c r="AL67" s="83">
        <f>IFERROR((VLOOKUP(TableWRRanks32[[#This Row],[Player]],WR!B:O,8,FALSE)),"")</f>
        <v>734.88359896874999</v>
      </c>
      <c r="AM67" s="83">
        <f>IFERROR((VLOOKUP(TableWRRanks32[[#This Row],[Player]],WR!B:O,9,FALSE)),"")</f>
        <v>4.1822643843750003</v>
      </c>
      <c r="AN67" s="57">
        <f>IFERROR((IFERROR(INDEX(TableWRCalcPts[Custom],MATCH(TableWRRanks32[[#This Row],[RK]],TableWRCalcPts[RK],0)),"")),"")</f>
        <v>128.455263234375</v>
      </c>
      <c r="AO6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7">
        <v>66</v>
      </c>
      <c r="AR67" t="str">
        <f>IFERROR(INDEX(TableTECalcPts[PLAYER],MATCH(TableTERanks33[[#This Row],[RK]],TableTECalcPts[RK],0)),"")</f>
        <v>Luke Schoonmaker</v>
      </c>
      <c r="AS67" t="str">
        <f>IFERROR(INDEX(TableTECalcPts[TM],MATCH(TableTERanks33[[#This Row],[Player]],TableTECalcPts[PLAYER],0)),"")</f>
        <v>DAL</v>
      </c>
      <c r="AT67">
        <f>IFERROR(INDEX(TableTECalcPts[BYE],MATCH(TableTERanks33[[#This Row],[Player]],TableTECalcPts[PLAYER],0)),"")</f>
        <v>7</v>
      </c>
      <c r="AU67" s="83">
        <f>IFERROR((VLOOKUP(TableTERanks33[[#This Row],[Player]],TE!B:O,4,FALSE)),"")</f>
        <v>12.196648799999995</v>
      </c>
      <c r="AV67" s="83">
        <f>IFERROR((VLOOKUP(TableTERanks33[[#This Row],[Player]],TE!B:O,5,FALSE)),"")</f>
        <v>8.1351647495999977</v>
      </c>
      <c r="AW67" s="83">
        <f>IFERROR((VLOOKUP(TableTERanks33[[#This Row],[Player]],TE!B:O,6,FALSE)),"")</f>
        <v>80.700834316031973</v>
      </c>
      <c r="AX67" s="83">
        <f>IFERROR((VLOOKUP(TableTERanks33[[#This Row],[Player]],TE!B:O,7,FALSE)),"")</f>
        <v>0.67521867421679982</v>
      </c>
      <c r="AY67" s="57">
        <f>IFERROR((IFERROR(INDEX(TableTECalcPts[Custom],MATCH(TableTERanks33[[#This Row],[RK]],TableTECalcPts[RK],0)),"")),"")</f>
        <v>16.188977851703996</v>
      </c>
      <c r="AZ6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8" spans="1:52" x14ac:dyDescent="0.2">
      <c r="A68">
        <v>67</v>
      </c>
      <c r="B68" t="str">
        <f>IFERROR(INDEX(TableQBCalcPts[PLAYER],MATCH(TableQBRanks30[[#This Row],[RK]],TableQBCalcPts[RK],0)),"")</f>
        <v/>
      </c>
      <c r="C68" t="str">
        <f>IFERROR(INDEX(TableQBCalcPts[TM],MATCH(TableQBRanks30[[#This Row],[Player]],TableQBCalcPts[PLAYER],0)),"")</f>
        <v/>
      </c>
      <c r="D68" t="str">
        <f>IFERROR(INDEX(TableQBCalcPts[BYE],MATCH(TableQBRanks30[[#This Row],[Player]],TableQBCalcPts[PLAYER],0)),"")</f>
        <v/>
      </c>
      <c r="E68" s="83" t="str">
        <f>IFERROR((VLOOKUP(TableQBRanks30[[#This Row],[Player]],QB!B:O,4,FALSE)),"")</f>
        <v/>
      </c>
      <c r="F68" s="83" t="str">
        <f>IFERROR((VLOOKUP(TableQBRanks30[[#This Row],[Player]],QB!B:O,5,FALSE)),"")</f>
        <v/>
      </c>
      <c r="G68" s="83" t="str">
        <f>IFERROR((VLOOKUP(TableQBRanks30[[#This Row],[Player]],QB!B:O,6,FALSE)),"")</f>
        <v/>
      </c>
      <c r="H68" s="83" t="str">
        <f>IFERROR((VLOOKUP(TableQBRanks30[[#This Row],[Player]],QB!B:O,7,FALSE)),"")</f>
        <v/>
      </c>
      <c r="I68" s="83" t="str">
        <f>IFERROR((VLOOKUP(TableQBRanks30[[#This Row],[Player]],QB!B:O,8,FALSE)),"")</f>
        <v/>
      </c>
      <c r="J68" s="83" t="str">
        <f>IFERROR((VLOOKUP(TableQBRanks30[[#This Row],[Player]],QB!B:O,9,FALSE)),"")</f>
        <v/>
      </c>
      <c r="K68" s="83" t="str">
        <f>IFERROR((VLOOKUP(TableQBRanks30[[#This Row],[Player]],QB!B:O,10,FALSE)),"")</f>
        <v/>
      </c>
      <c r="L68" s="83" t="str">
        <f>IFERROR((VLOOKUP(TableQBRanks30[[#This Row],[Player]],QB!B:O,11,FALSE)),"")</f>
        <v/>
      </c>
      <c r="M68" s="57" t="str">
        <f>IFERROR(INDEX(TableQBCalcPts[Custom],MATCH(TableQBRanks30[[#This Row],[RK]],TableQBCalcPts[RK],0)),"")</f>
        <v/>
      </c>
      <c r="N68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8">
        <v>67</v>
      </c>
      <c r="Q68" t="str">
        <f>IFERROR(INDEX(TableRBCalcPts[PLAYER],MATCH(TableRBRanks31[[#This Row],[RK]],TableRBCalcPts[RK],0)),"")</f>
        <v>Dylan Laube</v>
      </c>
      <c r="R68" t="str">
        <f>IFERROR(INDEX(TableRBCalcPts[TM],MATCH(TableRBRanks31[[#This Row],[Player]],TableRBCalcPts[PLAYER],0)),"")</f>
        <v>LV</v>
      </c>
      <c r="S68">
        <f>IFERROR(INDEX(TableRBCalcPts[BYE],MATCH(TableRBRanks31[[#This Row],[Player]],TableRBCalcPts[PLAYER],0)),"")</f>
        <v>13</v>
      </c>
      <c r="T68" s="83">
        <f>IFERROR((VLOOKUP(TableRBRanks31[[#This Row],[Player]],RB!B:O,4,FALSE)),"")</f>
        <v>63.283500000000004</v>
      </c>
      <c r="U68" s="83">
        <f>IFERROR((VLOOKUP(TableRBRanks31[[#This Row],[Player]],RB!B:O,5,FALSE)),"")</f>
        <v>267.05637000000002</v>
      </c>
      <c r="V68" s="83">
        <f>IFERROR((VLOOKUP(TableRBRanks31[[#This Row],[Player]],RB!B:O,6,FALSE)),"")</f>
        <v>2.278206</v>
      </c>
      <c r="W68" s="83">
        <f>IFERROR((VLOOKUP(TableRBRanks31[[#This Row],[Player]],RB!B:O,7,FALSE)),"")</f>
        <v>23.304399999999994</v>
      </c>
      <c r="X68" s="83">
        <f>IFERROR((VLOOKUP(TableRBRanks31[[#This Row],[Player]],RB!B:O,8,FALSE)),"")</f>
        <v>17.105429599999994</v>
      </c>
      <c r="Y68" s="83">
        <f>IFERROR((VLOOKUP(TableRBRanks31[[#This Row],[Player]],RB!B:O,9,FALSE)),"")</f>
        <v>135.13289383999995</v>
      </c>
      <c r="Z68" s="83">
        <f>IFERROR((VLOOKUP(TableRBRanks31[[#This Row],[Player]],RB!B:O,10,FALSE)),"")</f>
        <v>0.56447917679999982</v>
      </c>
      <c r="AA68" s="57">
        <f>IFERROR((IFERROR(INDEX(TableRBCalcPts[Custom],MATCH(TableRBRanks31[[#This Row],[RK]],TableRBCalcPts[RK],0)),"")),"")</f>
        <v>65.827752244799996</v>
      </c>
      <c r="AB6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8">
        <v>67</v>
      </c>
      <c r="AE68" t="str">
        <f>IFERROR(INDEX(TableWRCalcPts[PLAYER],MATCH(TableWRRanks32[[#This Row],[RK]],TableWRCalcPts[RK],0)),"")</f>
        <v>Josh Downs</v>
      </c>
      <c r="AF68" t="str">
        <f>IFERROR(INDEX(TableWRCalcPts[TM],MATCH(TableWRRanks32[[#This Row],[Player]],TableWRCalcPts[PLAYER],0)),"")</f>
        <v>IND</v>
      </c>
      <c r="AG68">
        <f>IFERROR(INDEX(TableWRCalcPts[BYE],MATCH(TableWRRanks32[[#This Row],[Player]],TableWRCalcPts[PLAYER],0)),"")</f>
        <v>11</v>
      </c>
      <c r="AH68" s="83">
        <f>IFERROR((VLOOKUP(TableWRRanks32[[#This Row],[Player]],WR!B:O,4,FALSE)),"")</f>
        <v>0</v>
      </c>
      <c r="AI68" s="83">
        <f>IFERROR((VLOOKUP(TableWRRanks32[[#This Row],[Player]],WR!B:O,5,FALSE)),"")</f>
        <v>0</v>
      </c>
      <c r="AJ68" s="83">
        <f>IFERROR((VLOOKUP(TableWRRanks32[[#This Row],[Player]],WR!B:O,6,FALSE)),"")</f>
        <v>98.202997200000013</v>
      </c>
      <c r="AK68" s="83">
        <f>IFERROR((VLOOKUP(TableWRRanks32[[#This Row],[Player]],WR!B:O,7,FALSE)),"")</f>
        <v>62.849918208000012</v>
      </c>
      <c r="AL68" s="83">
        <f>IFERROR((VLOOKUP(TableWRRanks32[[#This Row],[Player]],WR!B:O,8,FALSE)),"")</f>
        <v>734.08704466944016</v>
      </c>
      <c r="AM68" s="83">
        <f>IFERROR((VLOOKUP(TableWRRanks32[[#This Row],[Player]],WR!B:O,9,FALSE)),"")</f>
        <v>3.7709950924800006</v>
      </c>
      <c r="AN68" s="57">
        <f>IFERROR((IFERROR(INDEX(TableWRCalcPts[Custom],MATCH(TableWRRanks32[[#This Row],[RK]],TableWRCalcPts[RK],0)),"")),"")</f>
        <v>127.45963412582404</v>
      </c>
      <c r="AO6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8">
        <v>67</v>
      </c>
      <c r="AR68" t="str">
        <f>IFERROR(INDEX(TableTECalcPts[PLAYER],MATCH(TableTERanks33[[#This Row],[RK]],TableTECalcPts[RK],0)),"")</f>
        <v>Erick All</v>
      </c>
      <c r="AS68" t="str">
        <f>IFERROR(INDEX(TableTECalcPts[TM],MATCH(TableTERanks33[[#This Row],[Player]],TableTECalcPts[PLAYER],0)),"")</f>
        <v>CIN</v>
      </c>
      <c r="AT68">
        <f>IFERROR(INDEX(TableTECalcPts[BYE],MATCH(TableTERanks33[[#This Row],[Player]],TableTECalcPts[PLAYER],0)),"")</f>
        <v>7</v>
      </c>
      <c r="AU68" s="83">
        <f>IFERROR((VLOOKUP(TableTERanks33[[#This Row],[Player]],TE!B:O,4,FALSE)),"")</f>
        <v>12.471362399999999</v>
      </c>
      <c r="AV68" s="83">
        <f>IFERROR((VLOOKUP(TableTERanks33[[#This Row],[Player]],TE!B:O,5,FALSE)),"")</f>
        <v>8.5179405191999997</v>
      </c>
      <c r="AW68" s="83">
        <f>IFERROR((VLOOKUP(TableTERanks33[[#This Row],[Player]],TE!B:O,6,FALSE)),"")</f>
        <v>82.62402303623999</v>
      </c>
      <c r="AX68" s="83">
        <f>IFERROR((VLOOKUP(TableTERanks33[[#This Row],[Player]],TE!B:O,7,FALSE)),"")</f>
        <v>0.59625583634400003</v>
      </c>
      <c r="AY68" s="57">
        <f>IFERROR((IFERROR(INDEX(TableTECalcPts[Custom],MATCH(TableTERanks33[[#This Row],[RK]],TableTECalcPts[RK],0)),"")),"")</f>
        <v>16.098907581288</v>
      </c>
      <c r="AZ6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9" spans="1:52" x14ac:dyDescent="0.2">
      <c r="A69">
        <v>68</v>
      </c>
      <c r="B69" t="str">
        <f>IFERROR(INDEX(TableQBCalcPts[PLAYER],MATCH(TableQBRanks30[[#This Row],[RK]],TableQBCalcPts[RK],0)),"")</f>
        <v/>
      </c>
      <c r="C69" t="str">
        <f>IFERROR(INDEX(TableQBCalcPts[TM],MATCH(TableQBRanks30[[#This Row],[Player]],TableQBCalcPts[PLAYER],0)),"")</f>
        <v/>
      </c>
      <c r="D69" t="str">
        <f>IFERROR(INDEX(TableQBCalcPts[BYE],MATCH(TableQBRanks30[[#This Row],[Player]],TableQBCalcPts[PLAYER],0)),"")</f>
        <v/>
      </c>
      <c r="E69" s="83" t="str">
        <f>IFERROR((VLOOKUP(TableQBRanks30[[#This Row],[Player]],QB!B:O,4,FALSE)),"")</f>
        <v/>
      </c>
      <c r="F69" s="83" t="str">
        <f>IFERROR((VLOOKUP(TableQBRanks30[[#This Row],[Player]],QB!B:O,5,FALSE)),"")</f>
        <v/>
      </c>
      <c r="G69" s="83" t="str">
        <f>IFERROR((VLOOKUP(TableQBRanks30[[#This Row],[Player]],QB!B:O,6,FALSE)),"")</f>
        <v/>
      </c>
      <c r="H69" s="83" t="str">
        <f>IFERROR((VLOOKUP(TableQBRanks30[[#This Row],[Player]],QB!B:O,7,FALSE)),"")</f>
        <v/>
      </c>
      <c r="I69" s="83" t="str">
        <f>IFERROR((VLOOKUP(TableQBRanks30[[#This Row],[Player]],QB!B:O,8,FALSE)),"")</f>
        <v/>
      </c>
      <c r="J69" s="83" t="str">
        <f>IFERROR((VLOOKUP(TableQBRanks30[[#This Row],[Player]],QB!B:O,9,FALSE)),"")</f>
        <v/>
      </c>
      <c r="K69" s="83" t="str">
        <f>IFERROR((VLOOKUP(TableQBRanks30[[#This Row],[Player]],QB!B:O,10,FALSE)),"")</f>
        <v/>
      </c>
      <c r="L69" s="83" t="str">
        <f>IFERROR((VLOOKUP(TableQBRanks30[[#This Row],[Player]],QB!B:O,11,FALSE)),"")</f>
        <v/>
      </c>
      <c r="M69" s="57" t="str">
        <f>IFERROR(INDEX(TableQBCalcPts[Custom],MATCH(TableQBRanks30[[#This Row],[RK]],TableQBCalcPts[RK],0)),"")</f>
        <v/>
      </c>
      <c r="N69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9">
        <v>68</v>
      </c>
      <c r="Q69" t="str">
        <f>IFERROR(INDEX(TableRBCalcPts[PLAYER],MATCH(TableRBRanks31[[#This Row],[RK]],TableRBCalcPts[RK],0)),"")</f>
        <v>Eric Gray</v>
      </c>
      <c r="R69" t="str">
        <f>IFERROR(INDEX(TableRBCalcPts[TM],MATCH(TableRBRanks31[[#This Row],[Player]],TableRBCalcPts[PLAYER],0)),"")</f>
        <v>NYG</v>
      </c>
      <c r="S69">
        <f>IFERROR(INDEX(TableRBCalcPts[BYE],MATCH(TableRBRanks31[[#This Row],[Player]],TableRBCalcPts[PLAYER],0)),"")</f>
        <v>13</v>
      </c>
      <c r="T69" s="83">
        <f>IFERROR((VLOOKUP(TableRBRanks31[[#This Row],[Player]],RB!B:O,4,FALSE)),"")</f>
        <v>70.16737280000001</v>
      </c>
      <c r="U69" s="83">
        <f>IFERROR((VLOOKUP(TableRBRanks31[[#This Row],[Player]],RB!B:O,5,FALSE)),"")</f>
        <v>289.08957593600007</v>
      </c>
      <c r="V69" s="83">
        <f>IFERROR((VLOOKUP(TableRBRanks31[[#This Row],[Player]],RB!B:O,6,FALSE)),"")</f>
        <v>2.4558580480000005</v>
      </c>
      <c r="W69" s="83">
        <f>IFERROR((VLOOKUP(TableRBRanks31[[#This Row],[Player]],RB!B:O,7,FALSE)),"")</f>
        <v>17.654817599999994</v>
      </c>
      <c r="X69" s="83">
        <f>IFERROR((VLOOKUP(TableRBRanks31[[#This Row],[Player]],RB!B:O,8,FALSE)),"")</f>
        <v>13.276422835199996</v>
      </c>
      <c r="Y69" s="83">
        <f>IFERROR((VLOOKUP(TableRBRanks31[[#This Row],[Player]],RB!B:O,9,FALSE)),"")</f>
        <v>95.988537098495982</v>
      </c>
      <c r="Z69" s="83">
        <f>IFERROR((VLOOKUP(TableRBRanks31[[#This Row],[Player]],RB!B:O,10,FALSE)),"")</f>
        <v>0.45139837639679992</v>
      </c>
      <c r="AA69" s="57">
        <f>IFERROR((IFERROR(INDEX(TableRBCalcPts[Custom],MATCH(TableRBRanks31[[#This Row],[RK]],TableRBCalcPts[RK],0)),"")),"")</f>
        <v>62.589561267430412</v>
      </c>
      <c r="AB6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9">
        <v>68</v>
      </c>
      <c r="AE69" t="str">
        <f>IFERROR(INDEX(TableWRCalcPts[PLAYER],MATCH(TableWRRanks32[[#This Row],[RK]],TableWRCalcPts[RK],0)),"")</f>
        <v>Quentin Johnston</v>
      </c>
      <c r="AF69" t="str">
        <f>IFERROR(INDEX(TableWRCalcPts[TM],MATCH(TableWRRanks32[[#This Row],[Player]],TableWRCalcPts[PLAYER],0)),"")</f>
        <v>LAC</v>
      </c>
      <c r="AG69">
        <f>IFERROR(INDEX(TableWRCalcPts[BYE],MATCH(TableWRRanks32[[#This Row],[Player]],TableWRCalcPts[PLAYER],0)),"")</f>
        <v>5</v>
      </c>
      <c r="AH69" s="83">
        <f>IFERROR((VLOOKUP(TableWRRanks32[[#This Row],[Player]],WR!B:O,4,FALSE)),"")</f>
        <v>0</v>
      </c>
      <c r="AI69" s="83">
        <f>IFERROR((VLOOKUP(TableWRRanks32[[#This Row],[Player]],WR!B:O,5,FALSE)),"")</f>
        <v>0</v>
      </c>
      <c r="AJ69" s="83">
        <f>IFERROR((VLOOKUP(TableWRRanks32[[#This Row],[Player]],WR!B:O,6,FALSE)),"")</f>
        <v>91.012983179999992</v>
      </c>
      <c r="AK69" s="83">
        <f>IFERROR((VLOOKUP(TableWRRanks32[[#This Row],[Player]],WR!B:O,7,FALSE)),"")</f>
        <v>54.425763941639993</v>
      </c>
      <c r="AL69" s="83">
        <f>IFERROR((VLOOKUP(TableWRRanks32[[#This Row],[Player]],WR!B:O,8,FALSE)),"")</f>
        <v>715.69879583256591</v>
      </c>
      <c r="AM69" s="83">
        <f>IFERROR((VLOOKUP(TableWRRanks32[[#This Row],[Player]],WR!B:O,9,FALSE)),"")</f>
        <v>4.6261899350393998</v>
      </c>
      <c r="AN69" s="57">
        <f>IFERROR((IFERROR(INDEX(TableWRCalcPts[Custom],MATCH(TableWRRanks32[[#This Row],[RK]],TableWRCalcPts[RK],0)),"")),"")</f>
        <v>126.53990116431299</v>
      </c>
      <c r="AO6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9">
        <v>68</v>
      </c>
      <c r="AR69" t="str">
        <f>IFERROR(INDEX(TableTECalcPts[PLAYER],MATCH(TableTERanks33[[#This Row],[RK]],TableTECalcPts[RK],0)),"")</f>
        <v>Brevin Jordan</v>
      </c>
      <c r="AS69" t="str">
        <f>IFERROR(INDEX(TableTECalcPts[TM],MATCH(TableTERanks33[[#This Row],[Player]],TableTECalcPts[PLAYER],0)),"")</f>
        <v>HOU</v>
      </c>
      <c r="AT69">
        <f>IFERROR(INDEX(TableTECalcPts[BYE],MATCH(TableTERanks33[[#This Row],[Player]],TableTECalcPts[PLAYER],0)),"")</f>
        <v>7</v>
      </c>
      <c r="AU69" s="83">
        <f>IFERROR((VLOOKUP(TableTERanks33[[#This Row],[Player]],TE!B:O,4,FALSE)),"")</f>
        <v>11.904256</v>
      </c>
      <c r="AV69" s="83">
        <f>IFERROR((VLOOKUP(TableTERanks33[[#This Row],[Player]],TE!B:O,5,FALSE)),"")</f>
        <v>8.1425111040000004</v>
      </c>
      <c r="AW69" s="83">
        <f>IFERROR((VLOOKUP(TableTERanks33[[#This Row],[Player]],TE!B:O,6,FALSE)),"")</f>
        <v>81.913661706240006</v>
      </c>
      <c r="AX69" s="83">
        <f>IFERROR((VLOOKUP(TableTERanks33[[#This Row],[Player]],TE!B:O,7,FALSE)),"")</f>
        <v>0.56997577728000004</v>
      </c>
      <c r="AY69" s="57">
        <f>IFERROR((IFERROR(INDEX(TableTECalcPts[Custom],MATCH(TableTERanks33[[#This Row],[RK]],TableTECalcPts[RK],0)),"")),"")</f>
        <v>15.682476386304002</v>
      </c>
      <c r="AZ6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0" spans="1:52" x14ac:dyDescent="0.2">
      <c r="A70">
        <v>69</v>
      </c>
      <c r="B70" t="str">
        <f>IFERROR(INDEX(TableQBCalcPts[PLAYER],MATCH(TableQBRanks30[[#This Row],[RK]],TableQBCalcPts[RK],0)),"")</f>
        <v/>
      </c>
      <c r="C70" t="str">
        <f>IFERROR(INDEX(TableQBCalcPts[TM],MATCH(TableQBRanks30[[#This Row],[Player]],TableQBCalcPts[PLAYER],0)),"")</f>
        <v/>
      </c>
      <c r="D70" t="str">
        <f>IFERROR(INDEX(TableQBCalcPts[BYE],MATCH(TableQBRanks30[[#This Row],[Player]],TableQBCalcPts[PLAYER],0)),"")</f>
        <v/>
      </c>
      <c r="E70" s="83" t="str">
        <f>IFERROR((VLOOKUP(TableQBRanks30[[#This Row],[Player]],QB!B:O,4,FALSE)),"")</f>
        <v/>
      </c>
      <c r="F70" s="83" t="str">
        <f>IFERROR((VLOOKUP(TableQBRanks30[[#This Row],[Player]],QB!B:O,5,FALSE)),"")</f>
        <v/>
      </c>
      <c r="G70" s="83" t="str">
        <f>IFERROR((VLOOKUP(TableQBRanks30[[#This Row],[Player]],QB!B:O,6,FALSE)),"")</f>
        <v/>
      </c>
      <c r="H70" s="83" t="str">
        <f>IFERROR((VLOOKUP(TableQBRanks30[[#This Row],[Player]],QB!B:O,7,FALSE)),"")</f>
        <v/>
      </c>
      <c r="I70" s="83" t="str">
        <f>IFERROR((VLOOKUP(TableQBRanks30[[#This Row],[Player]],QB!B:O,8,FALSE)),"")</f>
        <v/>
      </c>
      <c r="J70" s="83" t="str">
        <f>IFERROR((VLOOKUP(TableQBRanks30[[#This Row],[Player]],QB!B:O,9,FALSE)),"")</f>
        <v/>
      </c>
      <c r="K70" s="83" t="str">
        <f>IFERROR((VLOOKUP(TableQBRanks30[[#This Row],[Player]],QB!B:O,10,FALSE)),"")</f>
        <v/>
      </c>
      <c r="L70" s="83" t="str">
        <f>IFERROR((VLOOKUP(TableQBRanks30[[#This Row],[Player]],QB!B:O,11,FALSE)),"")</f>
        <v/>
      </c>
      <c r="M70" s="57" t="str">
        <f>IFERROR(INDEX(TableQBCalcPts[Custom],MATCH(TableQBRanks30[[#This Row],[RK]],TableQBCalcPts[RK],0)),"")</f>
        <v/>
      </c>
      <c r="N70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0">
        <v>69</v>
      </c>
      <c r="Q70" t="str">
        <f>IFERROR(INDEX(TableRBCalcPts[PLAYER],MATCH(TableRBRanks31[[#This Row],[RK]],TableRBCalcPts[RK],0)),"")</f>
        <v>Tyrone Tracy</v>
      </c>
      <c r="R70" t="str">
        <f>IFERROR(INDEX(TableRBCalcPts[TM],MATCH(TableRBRanks31[[#This Row],[Player]],TableRBCalcPts[PLAYER],0)),"")</f>
        <v>NYG</v>
      </c>
      <c r="S70">
        <f>IFERROR(INDEX(TableRBCalcPts[BYE],MATCH(TableRBRanks31[[#This Row],[Player]],TableRBCalcPts[PLAYER],0)),"")</f>
        <v>13</v>
      </c>
      <c r="T70" s="83">
        <f>IFERROR((VLOOKUP(TableRBRanks31[[#This Row],[Player]],RB!B:O,4,FALSE)),"")</f>
        <v>65.781912000000005</v>
      </c>
      <c r="U70" s="83">
        <f>IFERROR((VLOOKUP(TableRBRanks31[[#This Row],[Player]],RB!B:O,5,FALSE)),"")</f>
        <v>277.59966864</v>
      </c>
      <c r="V70" s="83">
        <f>IFERROR((VLOOKUP(TableRBRanks31[[#This Row],[Player]],RB!B:O,6,FALSE)),"")</f>
        <v>2.1050211840000004</v>
      </c>
      <c r="W70" s="83">
        <f>IFERROR((VLOOKUP(TableRBRanks31[[#This Row],[Player]],RB!B:O,7,FALSE)),"")</f>
        <v>17.654817599999994</v>
      </c>
      <c r="X70" s="83">
        <f>IFERROR((VLOOKUP(TableRBRanks31[[#This Row],[Player]],RB!B:O,8,FALSE)),"")</f>
        <v>13.364696923199995</v>
      </c>
      <c r="Y70" s="83">
        <f>IFERROR((VLOOKUP(TableRBRanks31[[#This Row],[Player]],RB!B:O,9,FALSE)),"")</f>
        <v>97.695934508591961</v>
      </c>
      <c r="Z70" s="83">
        <f>IFERROR((VLOOKUP(TableRBRanks31[[#This Row],[Player]],RB!B:O,10,FALSE)),"")</f>
        <v>0.46776439231199984</v>
      </c>
      <c r="AA70" s="57">
        <f>IFERROR((IFERROR(INDEX(TableRBCalcPts[Custom],MATCH(TableRBRanks31[[#This Row],[RK]],TableRBCalcPts[RK],0)),"")),"")</f>
        <v>59.648622234331199</v>
      </c>
      <c r="AB7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0">
        <v>69</v>
      </c>
      <c r="AE70" t="str">
        <f>IFERROR(INDEX(TableWRCalcPts[PLAYER],MATCH(TableWRRanks32[[#This Row],[RK]],TableWRCalcPts[RK],0)),"")</f>
        <v>Wan'Dale Robinson</v>
      </c>
      <c r="AF70" t="str">
        <f>IFERROR(INDEX(TableWRCalcPts[TM],MATCH(TableWRRanks32[[#This Row],[Player]],TableWRCalcPts[PLAYER],0)),"")</f>
        <v>NYG</v>
      </c>
      <c r="AG70">
        <f>IFERROR(INDEX(TableWRCalcPts[BYE],MATCH(TableWRRanks32[[#This Row],[Player]],TableWRCalcPts[PLAYER],0)),"")</f>
        <v>13</v>
      </c>
      <c r="AH70" s="83">
        <f>IFERROR((VLOOKUP(TableWRRanks32[[#This Row],[Player]],WR!B:O,4,FALSE)),"")</f>
        <v>52.713238816000008</v>
      </c>
      <c r="AI70" s="83">
        <f>IFERROR((VLOOKUP(TableWRRanks32[[#This Row],[Player]],WR!B:O,5,FALSE)),"")</f>
        <v>0.43854608000000006</v>
      </c>
      <c r="AJ70" s="83">
        <f>IFERROR((VLOOKUP(TableWRRanks32[[#This Row],[Player]],WR!B:O,6,FALSE)),"")</f>
        <v>94.159027199999969</v>
      </c>
      <c r="AK70" s="83">
        <f>IFERROR((VLOOKUP(TableWRRanks32[[#This Row],[Player]],WR!B:O,7,FALSE)),"")</f>
        <v>65.440523903999974</v>
      </c>
      <c r="AL70" s="83">
        <f>IFERROR((VLOOKUP(TableWRRanks32[[#This Row],[Player]],WR!B:O,8,FALSE)),"")</f>
        <v>647.20678141055976</v>
      </c>
      <c r="AM70" s="83">
        <f>IFERROR((VLOOKUP(TableWRRanks32[[#This Row],[Player]],WR!B:O,9,FALSE)),"")</f>
        <v>3.2720261951999987</v>
      </c>
      <c r="AN70" s="57">
        <f>IFERROR((IFERROR(INDEX(TableWRCalcPts[Custom],MATCH(TableWRRanks32[[#This Row],[RK]],TableWRCalcPts[RK],0)),"")),"")</f>
        <v>124.97569762585596</v>
      </c>
      <c r="AO7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0">
        <v>69</v>
      </c>
      <c r="AR70" t="str">
        <f>IFERROR(INDEX(TableTECalcPts[PLAYER],MATCH(TableTERanks33[[#This Row],[RK]],TableTECalcPts[RK],0)),"")</f>
        <v>Durham Smythe</v>
      </c>
      <c r="AS70" t="str">
        <f>IFERROR(INDEX(TableTECalcPts[TM],MATCH(TableTERanks33[[#This Row],[Player]],TableTECalcPts[PLAYER],0)),"")</f>
        <v>MIA</v>
      </c>
      <c r="AT70">
        <f>IFERROR(INDEX(TableTECalcPts[BYE],MATCH(TableTERanks33[[#This Row],[Player]],TableTECalcPts[PLAYER],0)),"")</f>
        <v>10</v>
      </c>
      <c r="AU70" s="83">
        <f>IFERROR((VLOOKUP(TableTERanks33[[#This Row],[Player]],TE!B:O,4,FALSE)),"")</f>
        <v>11.726601599999999</v>
      </c>
      <c r="AV70" s="83">
        <f>IFERROR((VLOOKUP(TableTERanks33[[#This Row],[Player]],TE!B:O,5,FALSE)),"")</f>
        <v>8.5604191679999992</v>
      </c>
      <c r="AW70" s="83">
        <f>IFERROR((VLOOKUP(TableTERanks33[[#This Row],[Player]],TE!B:O,6,FALSE)),"")</f>
        <v>80.467940179199999</v>
      </c>
      <c r="AX70" s="83">
        <f>IFERROR((VLOOKUP(TableTERanks33[[#This Row],[Player]],TE!B:O,7,FALSE)),"")</f>
        <v>0.42802095839999998</v>
      </c>
      <c r="AY70" s="57">
        <f>IFERROR((IFERROR(INDEX(TableTECalcPts[Custom],MATCH(TableTERanks33[[#This Row],[RK]],TableTECalcPts[RK],0)),"")),"")</f>
        <v>14.89512935232</v>
      </c>
      <c r="AZ7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1" spans="1:52" x14ac:dyDescent="0.2">
      <c r="A71">
        <v>70</v>
      </c>
      <c r="B71" t="str">
        <f>IFERROR(INDEX(TableQBCalcPts[PLAYER],MATCH(TableQBRanks30[[#This Row],[RK]],TableQBCalcPts[RK],0)),"")</f>
        <v/>
      </c>
      <c r="C71" t="str">
        <f>IFERROR(INDEX(TableQBCalcPts[TM],MATCH(TableQBRanks30[[#This Row],[Player]],TableQBCalcPts[PLAYER],0)),"")</f>
        <v/>
      </c>
      <c r="D71" t="str">
        <f>IFERROR(INDEX(TableQBCalcPts[BYE],MATCH(TableQBRanks30[[#This Row],[Player]],TableQBCalcPts[PLAYER],0)),"")</f>
        <v/>
      </c>
      <c r="E71" s="83" t="str">
        <f>IFERROR((VLOOKUP(TableQBRanks30[[#This Row],[Player]],QB!B:O,4,FALSE)),"")</f>
        <v/>
      </c>
      <c r="F71" s="83" t="str">
        <f>IFERROR((VLOOKUP(TableQBRanks30[[#This Row],[Player]],QB!B:O,5,FALSE)),"")</f>
        <v/>
      </c>
      <c r="G71" s="83" t="str">
        <f>IFERROR((VLOOKUP(TableQBRanks30[[#This Row],[Player]],QB!B:O,6,FALSE)),"")</f>
        <v/>
      </c>
      <c r="H71" s="83" t="str">
        <f>IFERROR((VLOOKUP(TableQBRanks30[[#This Row],[Player]],QB!B:O,7,FALSE)),"")</f>
        <v/>
      </c>
      <c r="I71" s="83" t="str">
        <f>IFERROR((VLOOKUP(TableQBRanks30[[#This Row],[Player]],QB!B:O,8,FALSE)),"")</f>
        <v/>
      </c>
      <c r="J71" s="83" t="str">
        <f>IFERROR((VLOOKUP(TableQBRanks30[[#This Row],[Player]],QB!B:O,9,FALSE)),"")</f>
        <v/>
      </c>
      <c r="K71" s="83" t="str">
        <f>IFERROR((VLOOKUP(TableQBRanks30[[#This Row],[Player]],QB!B:O,10,FALSE)),"")</f>
        <v/>
      </c>
      <c r="L71" s="83" t="str">
        <f>IFERROR((VLOOKUP(TableQBRanks30[[#This Row],[Player]],QB!B:O,11,FALSE)),"")</f>
        <v/>
      </c>
      <c r="M71" s="57" t="str">
        <f>IFERROR(INDEX(TableQBCalcPts[Custom],MATCH(TableQBRanks30[[#This Row],[RK]],TableQBCalcPts[RK],0)),"")</f>
        <v/>
      </c>
      <c r="N71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1">
        <v>70</v>
      </c>
      <c r="Q71" t="str">
        <f>IFERROR(INDEX(TableRBCalcPts[PLAYER],MATCH(TableRBRanks31[[#This Row],[RK]],TableRBCalcPts[RK],0)),"")</f>
        <v>Chase Edmonds</v>
      </c>
      <c r="R71" t="str">
        <f>IFERROR(INDEX(TableRBCalcPts[TM],MATCH(TableRBRanks31[[#This Row],[Player]],TableRBCalcPts[PLAYER],0)),"")</f>
        <v>TB</v>
      </c>
      <c r="S71">
        <f>IFERROR(INDEX(TableRBCalcPts[BYE],MATCH(TableRBRanks31[[#This Row],[Player]],TableRBCalcPts[PLAYER],0)),"")</f>
        <v>5</v>
      </c>
      <c r="T71" s="83">
        <f>IFERROR((VLOOKUP(TableRBRanks31[[#This Row],[Player]],RB!B:O,4,FALSE)),"")</f>
        <v>55.144580400000017</v>
      </c>
      <c r="U71" s="83">
        <f>IFERROR((VLOOKUP(TableRBRanks31[[#This Row],[Player]],RB!B:O,5,FALSE)),"")</f>
        <v>215.61530936400007</v>
      </c>
      <c r="V71" s="83">
        <f>IFERROR((VLOOKUP(TableRBRanks31[[#This Row],[Player]],RB!B:O,6,FALSE)),"")</f>
        <v>1.4889036708000005</v>
      </c>
      <c r="W71" s="83">
        <f>IFERROR((VLOOKUP(TableRBRanks31[[#This Row],[Player]],RB!B:O,7,FALSE)),"")</f>
        <v>26.687291399999999</v>
      </c>
      <c r="X71" s="83">
        <f>IFERROR((VLOOKUP(TableRBRanks31[[#This Row],[Player]],RB!B:O,8,FALSE)),"")</f>
        <v>19.348286264999999</v>
      </c>
      <c r="Y71" s="83">
        <f>IFERROR((VLOOKUP(TableRBRanks31[[#This Row],[Player]],RB!B:O,9,FALSE)),"")</f>
        <v>137.95328106944999</v>
      </c>
      <c r="Z71" s="83">
        <f>IFERROR((VLOOKUP(TableRBRanks31[[#This Row],[Player]],RB!B:O,10,FALSE)),"")</f>
        <v>0.77393145060000001</v>
      </c>
      <c r="AA71" s="57">
        <f>IFERROR((IFERROR(INDEX(TableRBCalcPts[Custom],MATCH(TableRBRanks31[[#This Row],[RK]],TableRBCalcPts[RK],0)),"")),"")</f>
        <v>58.608012904245008</v>
      </c>
      <c r="AB7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1">
        <v>70</v>
      </c>
      <c r="AE71" t="str">
        <f>IFERROR(INDEX(TableWRCalcPts[PLAYER],MATCH(TableWRRanks32[[#This Row],[RK]],TableWRCalcPts[RK],0)),"")</f>
        <v>Jermaine Burton</v>
      </c>
      <c r="AF71" t="str">
        <f>IFERROR(INDEX(TableWRCalcPts[TM],MATCH(TableWRRanks32[[#This Row],[Player]],TableWRCalcPts[PLAYER],0)),"")</f>
        <v>CIN</v>
      </c>
      <c r="AG71">
        <f>IFERROR(INDEX(TableWRCalcPts[BYE],MATCH(TableWRRanks32[[#This Row],[Player]],TableWRCalcPts[PLAYER],0)),"")</f>
        <v>7</v>
      </c>
      <c r="AH71" s="83">
        <f>IFERROR((VLOOKUP(TableWRRanks32[[#This Row],[Player]],WR!B:O,4,FALSE)),"")</f>
        <v>0</v>
      </c>
      <c r="AI71" s="83">
        <f>IFERROR((VLOOKUP(TableWRRanks32[[#This Row],[Player]],WR!B:O,5,FALSE)),"")</f>
        <v>0</v>
      </c>
      <c r="AJ71" s="83">
        <f>IFERROR((VLOOKUP(TableWRRanks32[[#This Row],[Player]],WR!B:O,6,FALSE)),"")</f>
        <v>81.063855600000011</v>
      </c>
      <c r="AK71" s="83">
        <f>IFERROR((VLOOKUP(TableWRRanks32[[#This Row],[Player]],WR!B:O,7,FALSE)),"")</f>
        <v>52.772569995600008</v>
      </c>
      <c r="AL71" s="83">
        <f>IFERROR((VLOOKUP(TableWRRanks32[[#This Row],[Player]],WR!B:O,8,FALSE)),"")</f>
        <v>654.37986794544008</v>
      </c>
      <c r="AM71" s="83">
        <f>IFERROR((VLOOKUP(TableWRRanks32[[#This Row],[Player]],WR!B:O,9,FALSE)),"")</f>
        <v>4.4856684496260009</v>
      </c>
      <c r="AN71" s="57">
        <f>IFERROR((IFERROR(INDEX(TableWRCalcPts[Custom],MATCH(TableWRRanks32[[#This Row],[RK]],TableWRCalcPts[RK],0)),"")),"")</f>
        <v>118.73828249010003</v>
      </c>
      <c r="AO7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1">
        <v>70</v>
      </c>
      <c r="AR71" t="str">
        <f>IFERROR(INDEX(TableTECalcPts[PLAYER],MATCH(TableTERanks33[[#This Row],[RK]],TableTECalcPts[RK],0)),"")</f>
        <v>Tip Reiman</v>
      </c>
      <c r="AS71" t="str">
        <f>IFERROR(INDEX(TableTECalcPts[TM],MATCH(TableTERanks33[[#This Row],[Player]],TableTECalcPts[PLAYER],0)),"")</f>
        <v>ARI</v>
      </c>
      <c r="AT71">
        <f>IFERROR(INDEX(TableTECalcPts[BYE],MATCH(TableTERanks33[[#This Row],[Player]],TableTECalcPts[PLAYER],0)),"")</f>
        <v>14</v>
      </c>
      <c r="AU71" s="83">
        <f>IFERROR((VLOOKUP(TableTERanks33[[#This Row],[Player]],TE!B:O,4,FALSE)),"")</f>
        <v>11.793810000000001</v>
      </c>
      <c r="AV71" s="83">
        <f>IFERROR((VLOOKUP(TableTERanks33[[#This Row],[Player]],TE!B:O,5,FALSE)),"")</f>
        <v>7.9372341300000011</v>
      </c>
      <c r="AW71" s="83">
        <f>IFERROR((VLOOKUP(TableTERanks33[[#This Row],[Player]],TE!B:O,6,FALSE)),"")</f>
        <v>79.213596617400015</v>
      </c>
      <c r="AX71" s="83">
        <f>IFERROR((VLOOKUP(TableTERanks33[[#This Row],[Player]],TE!B:O,7,FALSE)),"")</f>
        <v>0.47623404780000006</v>
      </c>
      <c r="AY71" s="57">
        <f>IFERROR((IFERROR(INDEX(TableTECalcPts[Custom],MATCH(TableTERanks33[[#This Row],[RK]],TableTECalcPts[RK],0)),"")),"")</f>
        <v>14.747381013540004</v>
      </c>
      <c r="AZ7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2" spans="1:52" x14ac:dyDescent="0.2">
      <c r="A72">
        <v>71</v>
      </c>
      <c r="B72" t="str">
        <f>IFERROR(INDEX(TableQBCalcPts[PLAYER],MATCH(TableQBRanks30[[#This Row],[RK]],TableQBCalcPts[RK],0)),"")</f>
        <v/>
      </c>
      <c r="C72" t="str">
        <f>IFERROR(INDEX(TableQBCalcPts[TM],MATCH(TableQBRanks30[[#This Row],[Player]],TableQBCalcPts[PLAYER],0)),"")</f>
        <v/>
      </c>
      <c r="D72" t="str">
        <f>IFERROR(INDEX(TableQBCalcPts[BYE],MATCH(TableQBRanks30[[#This Row],[Player]],TableQBCalcPts[PLAYER],0)),"")</f>
        <v/>
      </c>
      <c r="E72" s="83" t="str">
        <f>IFERROR((VLOOKUP(TableQBRanks30[[#This Row],[Player]],QB!B:O,4,FALSE)),"")</f>
        <v/>
      </c>
      <c r="F72" s="83" t="str">
        <f>IFERROR((VLOOKUP(TableQBRanks30[[#This Row],[Player]],QB!B:O,5,FALSE)),"")</f>
        <v/>
      </c>
      <c r="G72" s="83" t="str">
        <f>IFERROR((VLOOKUP(TableQBRanks30[[#This Row],[Player]],QB!B:O,6,FALSE)),"")</f>
        <v/>
      </c>
      <c r="H72" s="83" t="str">
        <f>IFERROR((VLOOKUP(TableQBRanks30[[#This Row],[Player]],QB!B:O,7,FALSE)),"")</f>
        <v/>
      </c>
      <c r="I72" s="83" t="str">
        <f>IFERROR((VLOOKUP(TableQBRanks30[[#This Row],[Player]],QB!B:O,8,FALSE)),"")</f>
        <v/>
      </c>
      <c r="J72" s="83" t="str">
        <f>IFERROR((VLOOKUP(TableQBRanks30[[#This Row],[Player]],QB!B:O,9,FALSE)),"")</f>
        <v/>
      </c>
      <c r="K72" s="83" t="str">
        <f>IFERROR((VLOOKUP(TableQBRanks30[[#This Row],[Player]],QB!B:O,10,FALSE)),"")</f>
        <v/>
      </c>
      <c r="L72" s="83" t="str">
        <f>IFERROR((VLOOKUP(TableQBRanks30[[#This Row],[Player]],QB!B:O,11,FALSE)),"")</f>
        <v/>
      </c>
      <c r="M72" s="57" t="str">
        <f>IFERROR(INDEX(TableQBCalcPts[Custom],MATCH(TableQBRanks30[[#This Row],[RK]],TableQBCalcPts[RK],0)),"")</f>
        <v/>
      </c>
      <c r="N72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2">
        <v>71</v>
      </c>
      <c r="Q72" t="str">
        <f>IFERROR(INDEX(TableRBCalcPts[PLAYER],MATCH(TableRBRanks31[[#This Row],[RK]],TableRBCalcPts[RK],0)),"")</f>
        <v>Kimani Vidal</v>
      </c>
      <c r="R72" t="str">
        <f>IFERROR(INDEX(TableRBCalcPts[TM],MATCH(TableRBRanks31[[#This Row],[Player]],TableRBCalcPts[PLAYER],0)),"")</f>
        <v>LAC</v>
      </c>
      <c r="S72">
        <f>IFERROR(INDEX(TableRBCalcPts[BYE],MATCH(TableRBRanks31[[#This Row],[Player]],TableRBCalcPts[PLAYER],0)),"")</f>
        <v>5</v>
      </c>
      <c r="T72" s="83">
        <f>IFERROR((VLOOKUP(TableRBRanks31[[#This Row],[Player]],RB!B:O,4,FALSE)),"")</f>
        <v>62.584358199999997</v>
      </c>
      <c r="U72" s="83">
        <f>IFERROR((VLOOKUP(TableRBRanks31[[#This Row],[Player]],RB!B:O,5,FALSE)),"")</f>
        <v>270.36442742399998</v>
      </c>
      <c r="V72" s="83">
        <f>IFERROR((VLOOKUP(TableRBRanks31[[#This Row],[Player]],RB!B:O,6,FALSE)),"")</f>
        <v>2.2530368951999997</v>
      </c>
      <c r="W72" s="83">
        <f>IFERROR((VLOOKUP(TableRBRanks31[[#This Row],[Player]],RB!B:O,7,FALSE)),"")</f>
        <v>16.750855799999997</v>
      </c>
      <c r="X72" s="83">
        <f>IFERROR((VLOOKUP(TableRBRanks31[[#This Row],[Player]],RB!B:O,8,FALSE)),"")</f>
        <v>12.261626445599997</v>
      </c>
      <c r="Y72" s="83">
        <f>IFERROR((VLOOKUP(TableRBRanks31[[#This Row],[Player]],RB!B:O,9,FALSE)),"")</f>
        <v>88.28371040831999</v>
      </c>
      <c r="Z72" s="83">
        <f>IFERROR((VLOOKUP(TableRBRanks31[[#This Row],[Player]],RB!B:O,10,FALSE)),"")</f>
        <v>0.36784879336799992</v>
      </c>
      <c r="AA72" s="57">
        <f>IFERROR((IFERROR(INDEX(TableRBCalcPts[Custom],MATCH(TableRBRanks31[[#This Row],[RK]],TableRBCalcPts[RK],0)),"")),"")</f>
        <v>57.720941137439993</v>
      </c>
      <c r="AB7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2">
        <v>71</v>
      </c>
      <c r="AE72" t="str">
        <f>IFERROR(INDEX(TableWRCalcPts[PLAYER],MATCH(TableWRRanks32[[#This Row],[RK]],TableWRCalcPts[RK],0)),"")</f>
        <v>Adam Thielen</v>
      </c>
      <c r="AF72" t="str">
        <f>IFERROR(INDEX(TableWRCalcPts[TM],MATCH(TableWRRanks32[[#This Row],[Player]],TableWRCalcPts[PLAYER],0)),"")</f>
        <v>CAR</v>
      </c>
      <c r="AG72">
        <f>IFERROR(INDEX(TableWRCalcPts[BYE],MATCH(TableWRRanks32[[#This Row],[Player]],TableWRCalcPts[PLAYER],0)),"")</f>
        <v>7</v>
      </c>
      <c r="AH72" s="83">
        <f>IFERROR((VLOOKUP(TableWRRanks32[[#This Row],[Player]],WR!B:O,4,FALSE)),"")</f>
        <v>0</v>
      </c>
      <c r="AI72" s="83">
        <f>IFERROR((VLOOKUP(TableWRRanks32[[#This Row],[Player]],WR!B:O,5,FALSE)),"")</f>
        <v>0</v>
      </c>
      <c r="AJ72" s="83">
        <f>IFERROR((VLOOKUP(TableWRRanks32[[#This Row],[Player]],WR!B:O,6,FALSE)),"")</f>
        <v>95.563082999999992</v>
      </c>
      <c r="AK72" s="83">
        <f>IFERROR((VLOOKUP(TableWRRanks32[[#This Row],[Player]],WR!B:O,7,FALSE)),"")</f>
        <v>62.211567032999994</v>
      </c>
      <c r="AL72" s="83">
        <f>IFERROR((VLOOKUP(TableWRRanks32[[#This Row],[Player]],WR!B:O,8,FALSE)),"")</f>
        <v>628.33682703329987</v>
      </c>
      <c r="AM72" s="83">
        <f>IFERROR((VLOOKUP(TableWRRanks32[[#This Row],[Player]],WR!B:O,9,FALSE)),"")</f>
        <v>3.9815402901119996</v>
      </c>
      <c r="AN72" s="57">
        <f>IFERROR((IFERROR(INDEX(TableWRCalcPts[Custom],MATCH(TableWRRanks32[[#This Row],[RK]],TableWRCalcPts[RK],0)),"")),"")</f>
        <v>117.82870796050199</v>
      </c>
      <c r="AO7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2">
        <v>71</v>
      </c>
      <c r="AR72" t="str">
        <f>IFERROR(INDEX(TableTECalcPts[PLAYER],MATCH(TableTERanks33[[#This Row],[RK]],TableTECalcPts[RK],0)),"")</f>
        <v>Luke Farrell</v>
      </c>
      <c r="AS72" t="str">
        <f>IFERROR(INDEX(TableTECalcPts[TM],MATCH(TableTERanks33[[#This Row],[Player]],TableTECalcPts[PLAYER],0)),"")</f>
        <v>JAX</v>
      </c>
      <c r="AT72">
        <f>IFERROR(INDEX(TableTECalcPts[BYE],MATCH(TableTERanks33[[#This Row],[Player]],TableTECalcPts[PLAYER],0)),"")</f>
        <v>9</v>
      </c>
      <c r="AU72" s="83">
        <f>IFERROR((VLOOKUP(TableTERanks33[[#This Row],[Player]],TE!B:O,4,FALSE)),"")</f>
        <v>12.085163999999995</v>
      </c>
      <c r="AV72" s="83">
        <f>IFERROR((VLOOKUP(TableTERanks33[[#This Row],[Player]],TE!B:O,5,FALSE)),"")</f>
        <v>8.2179115199999977</v>
      </c>
      <c r="AW72" s="83">
        <f>IFERROR((VLOOKUP(TableTERanks33[[#This Row],[Player]],TE!B:O,6,FALSE)),"")</f>
        <v>73.961203679999983</v>
      </c>
      <c r="AX72" s="83">
        <f>IFERROR((VLOOKUP(TableTERanks33[[#This Row],[Player]],TE!B:O,7,FALSE)),"")</f>
        <v>0.53416424879999991</v>
      </c>
      <c r="AY72" s="57">
        <f>IFERROR((IFERROR(INDEX(TableTECalcPts[Custom],MATCH(TableTERanks33[[#This Row],[RK]],TableTECalcPts[RK],0)),"")),"")</f>
        <v>14.710061620799998</v>
      </c>
      <c r="AZ7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3" spans="1:52" x14ac:dyDescent="0.2">
      <c r="A73">
        <v>72</v>
      </c>
      <c r="B73" t="str">
        <f>IFERROR(INDEX(TableQBCalcPts[PLAYER],MATCH(TableQBRanks30[[#This Row],[RK]],TableQBCalcPts[RK],0)),"")</f>
        <v/>
      </c>
      <c r="C73" t="str">
        <f>IFERROR(INDEX(TableQBCalcPts[TM],MATCH(TableQBRanks30[[#This Row],[Player]],TableQBCalcPts[PLAYER],0)),"")</f>
        <v/>
      </c>
      <c r="D73" t="str">
        <f>IFERROR(INDEX(TableQBCalcPts[BYE],MATCH(TableQBRanks30[[#This Row],[Player]],TableQBCalcPts[PLAYER],0)),"")</f>
        <v/>
      </c>
      <c r="E73" s="83" t="str">
        <f>IFERROR((VLOOKUP(TableQBRanks30[[#This Row],[Player]],QB!B:O,4,FALSE)),"")</f>
        <v/>
      </c>
      <c r="F73" s="83" t="str">
        <f>IFERROR((VLOOKUP(TableQBRanks30[[#This Row],[Player]],QB!B:O,5,FALSE)),"")</f>
        <v/>
      </c>
      <c r="G73" s="83" t="str">
        <f>IFERROR((VLOOKUP(TableQBRanks30[[#This Row],[Player]],QB!B:O,6,FALSE)),"")</f>
        <v/>
      </c>
      <c r="H73" s="83" t="str">
        <f>IFERROR((VLOOKUP(TableQBRanks30[[#This Row],[Player]],QB!B:O,7,FALSE)),"")</f>
        <v/>
      </c>
      <c r="I73" s="83" t="str">
        <f>IFERROR((VLOOKUP(TableQBRanks30[[#This Row],[Player]],QB!B:O,8,FALSE)),"")</f>
        <v/>
      </c>
      <c r="J73" s="83" t="str">
        <f>IFERROR((VLOOKUP(TableQBRanks30[[#This Row],[Player]],QB!B:O,9,FALSE)),"")</f>
        <v/>
      </c>
      <c r="K73" s="83" t="str">
        <f>IFERROR((VLOOKUP(TableQBRanks30[[#This Row],[Player]],QB!B:O,10,FALSE)),"")</f>
        <v/>
      </c>
      <c r="L73" s="83" t="str">
        <f>IFERROR((VLOOKUP(TableQBRanks30[[#This Row],[Player]],QB!B:O,11,FALSE)),"")</f>
        <v/>
      </c>
      <c r="M73" s="57" t="str">
        <f>IFERROR(INDEX(TableQBCalcPts[Custom],MATCH(TableQBRanks30[[#This Row],[RK]],TableQBCalcPts[RK],0)),"")</f>
        <v/>
      </c>
      <c r="N73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3">
        <v>72</v>
      </c>
      <c r="Q73" t="str">
        <f>IFERROR(INDEX(TableRBCalcPts[PLAYER],MATCH(TableRBRanks31[[#This Row],[RK]],TableRBCalcPts[RK],0)),"")</f>
        <v>Rasheen Ali</v>
      </c>
      <c r="R73" t="str">
        <f>IFERROR(INDEX(TableRBCalcPts[TM],MATCH(TableRBRanks31[[#This Row],[Player]],TableRBCalcPts[PLAYER],0)),"")</f>
        <v>BAL</v>
      </c>
      <c r="S73">
        <f>IFERROR(INDEX(TableRBCalcPts[BYE],MATCH(TableRBRanks31[[#This Row],[Player]],TableRBCalcPts[PLAYER],0)),"")</f>
        <v>13</v>
      </c>
      <c r="T73" s="83">
        <f>IFERROR((VLOOKUP(TableRBRanks31[[#This Row],[Player]],RB!B:O,4,FALSE)),"")</f>
        <v>63.015724799999994</v>
      </c>
      <c r="U73" s="83">
        <f>IFERROR((VLOOKUP(TableRBRanks31[[#This Row],[Player]],RB!B:O,5,FALSE)),"")</f>
        <v>283.57076159999997</v>
      </c>
      <c r="V73" s="83">
        <f>IFERROR((VLOOKUP(TableRBRanks31[[#This Row],[Player]],RB!B:O,6,FALSE)),"")</f>
        <v>2.5836447167999999</v>
      </c>
      <c r="W73" s="83">
        <f>IFERROR((VLOOKUP(TableRBRanks31[[#This Row],[Player]],RB!B:O,7,FALSE)),"")</f>
        <v>10.5869792</v>
      </c>
      <c r="X73" s="83">
        <f>IFERROR((VLOOKUP(TableRBRanks31[[#This Row],[Player]],RB!B:O,8,FALSE)),"")</f>
        <v>7.9402343999999996</v>
      </c>
      <c r="Y73" s="83">
        <f>IFERROR((VLOOKUP(TableRBRanks31[[#This Row],[Player]],RB!B:O,9,FALSE)),"")</f>
        <v>63.521875199999997</v>
      </c>
      <c r="Z73" s="83">
        <f>IFERROR((VLOOKUP(TableRBRanks31[[#This Row],[Player]],RB!B:O,10,FALSE)),"")</f>
        <v>0.317609376</v>
      </c>
      <c r="AA73" s="57">
        <f>IFERROR((IFERROR(INDEX(TableRBCalcPts[Custom],MATCH(TableRBRanks31[[#This Row],[RK]],TableRBCalcPts[RK],0)),"")),"")</f>
        <v>56.086905436799995</v>
      </c>
      <c r="AB7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3">
        <v>72</v>
      </c>
      <c r="AE73" t="str">
        <f>IFERROR(INDEX(TableWRCalcPts[PLAYER],MATCH(TableWRRanks32[[#This Row],[RK]],TableWRCalcPts[RK],0)),"")</f>
        <v>Malachi Corley</v>
      </c>
      <c r="AF73" t="str">
        <f>IFERROR(INDEX(TableWRCalcPts[TM],MATCH(TableWRRanks32[[#This Row],[Player]],TableWRCalcPts[PLAYER],0)),"")</f>
        <v>NYJ</v>
      </c>
      <c r="AG73">
        <f>IFERROR(INDEX(TableWRCalcPts[BYE],MATCH(TableWRRanks32[[#This Row],[Player]],TableWRCalcPts[PLAYER],0)),"")</f>
        <v>7</v>
      </c>
      <c r="AH73" s="83">
        <f>IFERROR((VLOOKUP(TableWRRanks32[[#This Row],[Player]],WR!B:O,4,FALSE)),"")</f>
        <v>24.960496904000003</v>
      </c>
      <c r="AI73" s="83">
        <f>IFERROR((VLOOKUP(TableWRRanks32[[#This Row],[Player]],WR!B:O,5,FALSE)),"")</f>
        <v>0.14630486640000004</v>
      </c>
      <c r="AJ73" s="83">
        <f>IFERROR((VLOOKUP(TableWRRanks32[[#This Row],[Player]],WR!B:O,6,FALSE)),"")</f>
        <v>79.989109199999987</v>
      </c>
      <c r="AK73" s="83">
        <f>IFERROR((VLOOKUP(TableWRRanks32[[#This Row],[Player]],WR!B:O,7,FALSE)),"")</f>
        <v>50.713095232799994</v>
      </c>
      <c r="AL73" s="83">
        <f>IFERROR((VLOOKUP(TableWRRanks32[[#This Row],[Player]],WR!B:O,8,FALSE)),"")</f>
        <v>611.59992850756794</v>
      </c>
      <c r="AM73" s="83">
        <f>IFERROR((VLOOKUP(TableWRRanks32[[#This Row],[Player]],WR!B:O,9,FALSE)),"")</f>
        <v>4.3106130947879997</v>
      </c>
      <c r="AN73" s="57">
        <f>IFERROR((IFERROR(INDEX(TableWRCalcPts[Custom],MATCH(TableWRRanks32[[#This Row],[RK]],TableWRCalcPts[RK],0)),"")),"")</f>
        <v>115.7540979246848</v>
      </c>
      <c r="AO7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3">
        <v>72</v>
      </c>
      <c r="AR73" t="str">
        <f>IFERROR(INDEX(TableTECalcPts[PLAYER],MATCH(TableTERanks33[[#This Row],[RK]],TableTECalcPts[RK],0)),"")</f>
        <v>Brock Wright</v>
      </c>
      <c r="AS73" t="str">
        <f>IFERROR(INDEX(TableTECalcPts[TM],MATCH(TableTERanks33[[#This Row],[Player]],TableTECalcPts[PLAYER],0)),"")</f>
        <v>DET</v>
      </c>
      <c r="AT73">
        <f>IFERROR(INDEX(TableTECalcPts[BYE],MATCH(TableTERanks33[[#This Row],[Player]],TableTECalcPts[PLAYER],0)),"")</f>
        <v>9</v>
      </c>
      <c r="AU73" s="83">
        <f>IFERROR((VLOOKUP(TableTERanks33[[#This Row],[Player]],TE!B:O,4,FALSE)),"")</f>
        <v>11.853491999999997</v>
      </c>
      <c r="AV73" s="83">
        <f>IFERROR((VLOOKUP(TableTERanks33[[#This Row],[Player]],TE!B:O,5,FALSE)),"")</f>
        <v>7.8470117039999989</v>
      </c>
      <c r="AW73" s="83">
        <f>IFERROR((VLOOKUP(TableTERanks33[[#This Row],[Player]],TE!B:O,6,FALSE)),"")</f>
        <v>71.643216857520002</v>
      </c>
      <c r="AX73" s="83">
        <f>IFERROR((VLOOKUP(TableTERanks33[[#This Row],[Player]],TE!B:O,7,FALSE)),"")</f>
        <v>0.54929081928000001</v>
      </c>
      <c r="AY73" s="57">
        <f>IFERROR((IFERROR(INDEX(TableTECalcPts[Custom],MATCH(TableTERanks33[[#This Row],[RK]],TableTECalcPts[RK],0)),"")),"")</f>
        <v>14.383572453432</v>
      </c>
      <c r="AZ7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4" spans="1:52" x14ac:dyDescent="0.2">
      <c r="A74">
        <v>73</v>
      </c>
      <c r="B74" t="str">
        <f>IFERROR(INDEX(TableQBCalcPts[PLAYER],MATCH(TableQBRanks30[[#This Row],[RK]],TableQBCalcPts[RK],0)),"")</f>
        <v/>
      </c>
      <c r="C74" t="str">
        <f>IFERROR(INDEX(TableQBCalcPts[TM],MATCH(TableQBRanks30[[#This Row],[Player]],TableQBCalcPts[PLAYER],0)),"")</f>
        <v/>
      </c>
      <c r="D74" t="str">
        <f>IFERROR(INDEX(TableQBCalcPts[BYE],MATCH(TableQBRanks30[[#This Row],[Player]],TableQBCalcPts[PLAYER],0)),"")</f>
        <v/>
      </c>
      <c r="E74" s="83" t="str">
        <f>IFERROR((VLOOKUP(TableQBRanks30[[#This Row],[Player]],QB!B:O,4,FALSE)),"")</f>
        <v/>
      </c>
      <c r="F74" s="83" t="str">
        <f>IFERROR((VLOOKUP(TableQBRanks30[[#This Row],[Player]],QB!B:O,5,FALSE)),"")</f>
        <v/>
      </c>
      <c r="G74" s="83" t="str">
        <f>IFERROR((VLOOKUP(TableQBRanks30[[#This Row],[Player]],QB!B:O,6,FALSE)),"")</f>
        <v/>
      </c>
      <c r="H74" s="83" t="str">
        <f>IFERROR((VLOOKUP(TableQBRanks30[[#This Row],[Player]],QB!B:O,7,FALSE)),"")</f>
        <v/>
      </c>
      <c r="I74" s="83" t="str">
        <f>IFERROR((VLOOKUP(TableQBRanks30[[#This Row],[Player]],QB!B:O,8,FALSE)),"")</f>
        <v/>
      </c>
      <c r="J74" s="83" t="str">
        <f>IFERROR((VLOOKUP(TableQBRanks30[[#This Row],[Player]],QB!B:O,9,FALSE)),"")</f>
        <v/>
      </c>
      <c r="K74" s="83" t="str">
        <f>IFERROR((VLOOKUP(TableQBRanks30[[#This Row],[Player]],QB!B:O,10,FALSE)),"")</f>
        <v/>
      </c>
      <c r="L74" s="83" t="str">
        <f>IFERROR((VLOOKUP(TableQBRanks30[[#This Row],[Player]],QB!B:O,11,FALSE)),"")</f>
        <v/>
      </c>
      <c r="M74" s="57" t="str">
        <f>IFERROR(INDEX(TableQBCalcPts[Custom],MATCH(TableQBRanks30[[#This Row],[RK]],TableQBCalcPts[RK],0)),"")</f>
        <v/>
      </c>
      <c r="N74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4">
        <v>73</v>
      </c>
      <c r="Q74" t="str">
        <f>IFERROR(INDEX(TableRBCalcPts[PLAYER],MATCH(TableRBRanks31[[#This Row],[RK]],TableRBCalcPts[RK],0)),"")</f>
        <v>D'Onta Foreman</v>
      </c>
      <c r="R74" t="str">
        <f>IFERROR(INDEX(TableRBCalcPts[TM],MATCH(TableRBRanks31[[#This Row],[Player]],TableRBCalcPts[PLAYER],0)),"")</f>
        <v>CLE</v>
      </c>
      <c r="S74">
        <f>IFERROR(INDEX(TableRBCalcPts[BYE],MATCH(TableRBRanks31[[#This Row],[Player]],TableRBCalcPts[PLAYER],0)),"")</f>
        <v>5</v>
      </c>
      <c r="T74" s="83">
        <f>IFERROR((VLOOKUP(TableRBRanks31[[#This Row],[Player]],RB!B:O,4,FALSE)),"")</f>
        <v>58.373699999999999</v>
      </c>
      <c r="U74" s="83">
        <f>IFERROR((VLOOKUP(TableRBRanks31[[#This Row],[Player]],RB!B:O,5,FALSE)),"")</f>
        <v>249.83943600000001</v>
      </c>
      <c r="V74" s="83">
        <f>IFERROR((VLOOKUP(TableRBRanks31[[#This Row],[Player]],RB!B:O,6,FALSE)),"")</f>
        <v>2.3349480000000002</v>
      </c>
      <c r="W74" s="83">
        <f>IFERROR((VLOOKUP(TableRBRanks31[[#This Row],[Player]],RB!B:O,7,FALSE)),"")</f>
        <v>10.75305</v>
      </c>
      <c r="X74" s="83">
        <f>IFERROR((VLOOKUP(TableRBRanks31[[#This Row],[Player]],RB!B:O,8,FALSE)),"")</f>
        <v>7.7421959999999999</v>
      </c>
      <c r="Y74" s="83">
        <f>IFERROR((VLOOKUP(TableRBRanks31[[#This Row],[Player]],RB!B:O,9,FALSE)),"")</f>
        <v>54.195371999999999</v>
      </c>
      <c r="Z74" s="83">
        <f>IFERROR((VLOOKUP(TableRBRanks31[[#This Row],[Player]],RB!B:O,10,FALSE)),"")</f>
        <v>0.23226587999999998</v>
      </c>
      <c r="AA74" s="57">
        <f>IFERROR((IFERROR(INDEX(TableRBCalcPts[Custom],MATCH(TableRBRanks31[[#This Row],[RK]],TableRBCalcPts[RK],0)),"")),"")</f>
        <v>49.677862080000004</v>
      </c>
      <c r="AB7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4">
        <v>73</v>
      </c>
      <c r="AE74" t="str">
        <f>IFERROR(INDEX(TableWRCalcPts[PLAYER],MATCH(TableWRRanks32[[#This Row],[RK]],TableWRCalcPts[RK],0)),"")</f>
        <v>Adonai Mitchell</v>
      </c>
      <c r="AF74" t="str">
        <f>IFERROR(INDEX(TableWRCalcPts[TM],MATCH(TableWRRanks32[[#This Row],[Player]],TableWRCalcPts[PLAYER],0)),"")</f>
        <v>IND</v>
      </c>
      <c r="AG74">
        <f>IFERROR(INDEX(TableWRCalcPts[BYE],MATCH(TableWRRanks32[[#This Row],[Player]],TableWRCalcPts[PLAYER],0)),"")</f>
        <v>11</v>
      </c>
      <c r="AH74" s="83">
        <f>IFERROR((VLOOKUP(TableWRRanks32[[#This Row],[Player]],WR!B:O,4,FALSE)),"")</f>
        <v>0</v>
      </c>
      <c r="AI74" s="83">
        <f>IFERROR((VLOOKUP(TableWRRanks32[[#This Row],[Player]],WR!B:O,5,FALSE)),"")</f>
        <v>0</v>
      </c>
      <c r="AJ74" s="83">
        <f>IFERROR((VLOOKUP(TableWRRanks32[[#This Row],[Player]],WR!B:O,6,FALSE)),"")</f>
        <v>85.860544000000004</v>
      </c>
      <c r="AK74" s="83">
        <f>IFERROR((VLOOKUP(TableWRRanks32[[#This Row],[Player]],WR!B:O,7,FALSE)),"")</f>
        <v>51.602186944000003</v>
      </c>
      <c r="AL74" s="83">
        <f>IFERROR((VLOOKUP(TableWRRanks32[[#This Row],[Player]],WR!B:O,8,FALSE)),"")</f>
        <v>665.6682115776</v>
      </c>
      <c r="AM74" s="83">
        <f>IFERROR((VLOOKUP(TableWRRanks32[[#This Row],[Player]],WR!B:O,9,FALSE)),"")</f>
        <v>3.6121530860800006</v>
      </c>
      <c r="AN74" s="57">
        <f>IFERROR((IFERROR(INDEX(TableWRCalcPts[Custom],MATCH(TableWRRanks32[[#This Row],[RK]],TableWRCalcPts[RK],0)),"")),"")</f>
        <v>114.04083314624</v>
      </c>
      <c r="AO7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4">
        <v>73</v>
      </c>
      <c r="AR74" t="str">
        <f>IFERROR(INDEX(TableTECalcPts[PLAYER],MATCH(TableTERanks33[[#This Row],[RK]],TableTECalcPts[RK],0)),"")</f>
        <v>Elijah Higgins</v>
      </c>
      <c r="AS74" t="str">
        <f>IFERROR(INDEX(TableTECalcPts[TM],MATCH(TableTERanks33[[#This Row],[Player]],TableTECalcPts[PLAYER],0)),"")</f>
        <v>ARI</v>
      </c>
      <c r="AT74">
        <f>IFERROR(INDEX(TableTECalcPts[BYE],MATCH(TableTERanks33[[#This Row],[Player]],TableTECalcPts[PLAYER],0)),"")</f>
        <v>14</v>
      </c>
      <c r="AU74" s="83">
        <f>IFERROR((VLOOKUP(TableTERanks33[[#This Row],[Player]],TE!B:O,4,FALSE)),"")</f>
        <v>11.793810000000001</v>
      </c>
      <c r="AV74" s="83">
        <f>IFERROR((VLOOKUP(TableTERanks33[[#This Row],[Player]],TE!B:O,5,FALSE)),"")</f>
        <v>7.901852700000001</v>
      </c>
      <c r="AW74" s="83">
        <f>IFERROR((VLOOKUP(TableTERanks33[[#This Row],[Player]],TE!B:O,6,FALSE)),"")</f>
        <v>77.201100879000009</v>
      </c>
      <c r="AX74" s="83">
        <f>IFERROR((VLOOKUP(TableTERanks33[[#This Row],[Player]],TE!B:O,7,FALSE)),"")</f>
        <v>0.39509263500000008</v>
      </c>
      <c r="AY74" s="57">
        <f>IFERROR((IFERROR(INDEX(TableTECalcPts[Custom],MATCH(TableTERanks33[[#This Row],[RK]],TableTECalcPts[RK],0)),"")),"")</f>
        <v>14.041592247900002</v>
      </c>
      <c r="AZ7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5" spans="1:52" x14ac:dyDescent="0.2">
      <c r="A75">
        <v>74</v>
      </c>
      <c r="B75" t="str">
        <f>IFERROR(INDEX(TableQBCalcPts[PLAYER],MATCH(TableQBRanks30[[#This Row],[RK]],TableQBCalcPts[RK],0)),"")</f>
        <v/>
      </c>
      <c r="C75" t="str">
        <f>IFERROR(INDEX(TableQBCalcPts[TM],MATCH(TableQBRanks30[[#This Row],[Player]],TableQBCalcPts[PLAYER],0)),"")</f>
        <v/>
      </c>
      <c r="D75" t="str">
        <f>IFERROR(INDEX(TableQBCalcPts[BYE],MATCH(TableQBRanks30[[#This Row],[Player]],TableQBCalcPts[PLAYER],0)),"")</f>
        <v/>
      </c>
      <c r="E75" s="83" t="str">
        <f>IFERROR((VLOOKUP(TableQBRanks30[[#This Row],[Player]],QB!B:O,4,FALSE)),"")</f>
        <v/>
      </c>
      <c r="F75" s="83" t="str">
        <f>IFERROR((VLOOKUP(TableQBRanks30[[#This Row],[Player]],QB!B:O,5,FALSE)),"")</f>
        <v/>
      </c>
      <c r="G75" s="83" t="str">
        <f>IFERROR((VLOOKUP(TableQBRanks30[[#This Row],[Player]],QB!B:O,6,FALSE)),"")</f>
        <v/>
      </c>
      <c r="H75" s="83" t="str">
        <f>IFERROR((VLOOKUP(TableQBRanks30[[#This Row],[Player]],QB!B:O,7,FALSE)),"")</f>
        <v/>
      </c>
      <c r="I75" s="83" t="str">
        <f>IFERROR((VLOOKUP(TableQBRanks30[[#This Row],[Player]],QB!B:O,8,FALSE)),"")</f>
        <v/>
      </c>
      <c r="J75" s="83" t="str">
        <f>IFERROR((VLOOKUP(TableQBRanks30[[#This Row],[Player]],QB!B:O,9,FALSE)),"")</f>
        <v/>
      </c>
      <c r="K75" s="83" t="str">
        <f>IFERROR((VLOOKUP(TableQBRanks30[[#This Row],[Player]],QB!B:O,10,FALSE)),"")</f>
        <v/>
      </c>
      <c r="L75" s="83" t="str">
        <f>IFERROR((VLOOKUP(TableQBRanks30[[#This Row],[Player]],QB!B:O,11,FALSE)),"")</f>
        <v/>
      </c>
      <c r="M75" s="57" t="str">
        <f>IFERROR(INDEX(TableQBCalcPts[Custom],MATCH(TableQBRanks30[[#This Row],[RK]],TableQBCalcPts[RK],0)),"")</f>
        <v/>
      </c>
      <c r="N75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5">
        <v>74</v>
      </c>
      <c r="Q75" t="str">
        <f>IFERROR(INDEX(TableRBCalcPts[PLAYER],MATCH(TableRBRanks31[[#This Row],[RK]],TableRBCalcPts[RK],0)),"")</f>
        <v>Jamaal Williams</v>
      </c>
      <c r="R75" t="str">
        <f>IFERROR(INDEX(TableRBCalcPts[TM],MATCH(TableRBRanks31[[#This Row],[Player]],TableRBCalcPts[PLAYER],0)),"")</f>
        <v>NO</v>
      </c>
      <c r="S75">
        <f>IFERROR(INDEX(TableRBCalcPts[BYE],MATCH(TableRBRanks31[[#This Row],[Player]],TableRBCalcPts[PLAYER],0)),"")</f>
        <v>11</v>
      </c>
      <c r="T75" s="83">
        <f>IFERROR((VLOOKUP(TableRBRanks31[[#This Row],[Player]],RB!B:O,4,FALSE)),"")</f>
        <v>65.967132000000007</v>
      </c>
      <c r="U75" s="83">
        <f>IFERROR((VLOOKUP(TableRBRanks31[[#This Row],[Player]],RB!B:O,5,FALSE)),"")</f>
        <v>247.37674500000003</v>
      </c>
      <c r="V75" s="83">
        <f>IFERROR((VLOOKUP(TableRBRanks31[[#This Row],[Player]],RB!B:O,6,FALSE)),"")</f>
        <v>1.8470796960000002</v>
      </c>
      <c r="W75" s="83">
        <f>IFERROR((VLOOKUP(TableRBRanks31[[#This Row],[Player]],RB!B:O,7,FALSE)),"")</f>
        <v>11.126658927999998</v>
      </c>
      <c r="X75" s="83">
        <f>IFERROR((VLOOKUP(TableRBRanks31[[#This Row],[Player]],RB!B:O,8,FALSE)),"")</f>
        <v>8.8234405299039977</v>
      </c>
      <c r="Y75" s="83">
        <f>IFERROR((VLOOKUP(TableRBRanks31[[#This Row],[Player]],RB!B:O,9,FALSE)),"")</f>
        <v>54.528862474806701</v>
      </c>
      <c r="Z75" s="83">
        <f>IFERROR((VLOOKUP(TableRBRanks31[[#This Row],[Player]],RB!B:O,10,FALSE)),"")</f>
        <v>0.22058601324759997</v>
      </c>
      <c r="AA75" s="57">
        <f>IFERROR((IFERROR(INDEX(TableRBCalcPts[Custom],MATCH(TableRBRanks31[[#This Row],[RK]],TableRBCalcPts[RK],0)),"")),"")</f>
        <v>47.008275267918272</v>
      </c>
      <c r="AB7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5">
        <v>74</v>
      </c>
      <c r="AE75" t="str">
        <f>IFERROR(INDEX(TableWRCalcPts[PLAYER],MATCH(TableWRRanks32[[#This Row],[RK]],TableWRCalcPts[RK],0)),"")</f>
        <v>Demario Douglas</v>
      </c>
      <c r="AF75" t="str">
        <f>IFERROR(INDEX(TableWRCalcPts[TM],MATCH(TableWRRanks32[[#This Row],[Player]],TableWRCalcPts[PLAYER],0)),"")</f>
        <v>NE</v>
      </c>
      <c r="AG75">
        <f>IFERROR(INDEX(TableWRCalcPts[BYE],MATCH(TableWRRanks32[[#This Row],[Player]],TableWRCalcPts[PLAYER],0)),"")</f>
        <v>11</v>
      </c>
      <c r="AH75" s="83">
        <f>IFERROR((VLOOKUP(TableWRRanks32[[#This Row],[Player]],WR!B:O,4,FALSE)),"")</f>
        <v>0</v>
      </c>
      <c r="AI75" s="83">
        <f>IFERROR((VLOOKUP(TableWRRanks32[[#This Row],[Player]],WR!B:O,5,FALSE)),"")</f>
        <v>0</v>
      </c>
      <c r="AJ75" s="83">
        <f>IFERROR((VLOOKUP(TableWRRanks32[[#This Row],[Player]],WR!B:O,6,FALSE)),"")</f>
        <v>85.032443999999984</v>
      </c>
      <c r="AK75" s="83">
        <f>IFERROR((VLOOKUP(TableWRRanks32[[#This Row],[Player]],WR!B:O,7,FALSE)),"")</f>
        <v>53.145277499999992</v>
      </c>
      <c r="AL75" s="83">
        <f>IFERROR((VLOOKUP(TableWRRanks32[[#This Row],[Player]],WR!B:O,8,FALSE)),"")</f>
        <v>618.61103009999988</v>
      </c>
      <c r="AM75" s="83">
        <f>IFERROR((VLOOKUP(TableWRRanks32[[#This Row],[Player]],WR!B:O,9,FALSE)),"")</f>
        <v>2.9761355399999996</v>
      </c>
      <c r="AN75" s="57">
        <f>IFERROR((IFERROR(INDEX(TableWRCalcPts[Custom],MATCH(TableWRRanks32[[#This Row],[RK]],TableWRCalcPts[RK],0)),"")),"")</f>
        <v>106.29055499999998</v>
      </c>
      <c r="AO7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5">
        <v>74</v>
      </c>
      <c r="AR75" t="str">
        <f>IFERROR(INDEX(TableTECalcPts[PLAYER],MATCH(TableTERanks33[[#This Row],[RK]],TableTECalcPts[RK],0)),"")</f>
        <v>Kylen Granson</v>
      </c>
      <c r="AS75" t="str">
        <f>IFERROR(INDEX(TableTECalcPts[TM],MATCH(TableTERanks33[[#This Row],[Player]],TableTECalcPts[PLAYER],0)),"")</f>
        <v>IND</v>
      </c>
      <c r="AT75">
        <f>IFERROR(INDEX(TableTECalcPts[BYE],MATCH(TableTERanks33[[#This Row],[Player]],TableTECalcPts[PLAYER],0)),"")</f>
        <v>11</v>
      </c>
      <c r="AU75" s="83">
        <f>IFERROR((VLOOKUP(TableTERanks33[[#This Row],[Player]],TE!B:O,4,FALSE)),"")</f>
        <v>10.732568000000001</v>
      </c>
      <c r="AV75" s="83">
        <f>IFERROR((VLOOKUP(TableTERanks33[[#This Row],[Player]],TE!B:O,5,FALSE)),"")</f>
        <v>6.6219944560000004</v>
      </c>
      <c r="AW75" s="83">
        <f>IFERROR((VLOOKUP(TableTERanks33[[#This Row],[Player]],TE!B:O,6,FALSE)),"")</f>
        <v>78.139534580800003</v>
      </c>
      <c r="AX75" s="83">
        <f>IFERROR((VLOOKUP(TableTERanks33[[#This Row],[Player]],TE!B:O,7,FALSE)),"")</f>
        <v>0.46353961192000009</v>
      </c>
      <c r="AY75" s="57">
        <f>IFERROR((IFERROR(INDEX(TableTECalcPts[Custom],MATCH(TableTERanks33[[#This Row],[RK]],TableTECalcPts[RK],0)),"")),"")</f>
        <v>13.906188357600001</v>
      </c>
      <c r="AZ7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6" spans="1:52" x14ac:dyDescent="0.2">
      <c r="A76">
        <v>75</v>
      </c>
      <c r="B76" t="str">
        <f>IFERROR(INDEX(TableQBCalcPts[PLAYER],MATCH(TableQBRanks30[[#This Row],[RK]],TableQBCalcPts[RK],0)),"")</f>
        <v/>
      </c>
      <c r="C76" t="str">
        <f>IFERROR(INDEX(TableQBCalcPts[TM],MATCH(TableQBRanks30[[#This Row],[Player]],TableQBCalcPts[PLAYER],0)),"")</f>
        <v/>
      </c>
      <c r="D76" t="str">
        <f>IFERROR(INDEX(TableQBCalcPts[BYE],MATCH(TableQBRanks30[[#This Row],[Player]],TableQBCalcPts[PLAYER],0)),"")</f>
        <v/>
      </c>
      <c r="E76" s="83" t="str">
        <f>IFERROR((VLOOKUP(TableQBRanks30[[#This Row],[Player]],QB!B:O,4,FALSE)),"")</f>
        <v/>
      </c>
      <c r="F76" s="83" t="str">
        <f>IFERROR((VLOOKUP(TableQBRanks30[[#This Row],[Player]],QB!B:O,5,FALSE)),"")</f>
        <v/>
      </c>
      <c r="G76" s="83" t="str">
        <f>IFERROR((VLOOKUP(TableQBRanks30[[#This Row],[Player]],QB!B:O,6,FALSE)),"")</f>
        <v/>
      </c>
      <c r="H76" s="83" t="str">
        <f>IFERROR((VLOOKUP(TableQBRanks30[[#This Row],[Player]],QB!B:O,7,FALSE)),"")</f>
        <v/>
      </c>
      <c r="I76" s="83" t="str">
        <f>IFERROR((VLOOKUP(TableQBRanks30[[#This Row],[Player]],QB!B:O,8,FALSE)),"")</f>
        <v/>
      </c>
      <c r="J76" s="83" t="str">
        <f>IFERROR((VLOOKUP(TableQBRanks30[[#This Row],[Player]],QB!B:O,9,FALSE)),"")</f>
        <v/>
      </c>
      <c r="K76" s="83" t="str">
        <f>IFERROR((VLOOKUP(TableQBRanks30[[#This Row],[Player]],QB!B:O,10,FALSE)),"")</f>
        <v/>
      </c>
      <c r="L76" s="83" t="str">
        <f>IFERROR((VLOOKUP(TableQBRanks30[[#This Row],[Player]],QB!B:O,11,FALSE)),"")</f>
        <v/>
      </c>
      <c r="M76" s="57" t="str">
        <f>IFERROR(INDEX(TableQBCalcPts[Custom],MATCH(TableQBRanks30[[#This Row],[RK]],TableQBCalcPts[RK],0)),"")</f>
        <v/>
      </c>
      <c r="N76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6">
        <v>75</v>
      </c>
      <c r="Q76" t="str">
        <f>IFERROR(INDEX(TableRBCalcPts[PLAYER],MATCH(TableRBRanks31[[#This Row],[RK]],TableRBCalcPts[RK],0)),"")</f>
        <v>AJ Dillon</v>
      </c>
      <c r="R76" t="str">
        <f>IFERROR(INDEX(TableRBCalcPts[TM],MATCH(TableRBRanks31[[#This Row],[Player]],TableRBCalcPts[PLAYER],0)),"")</f>
        <v>GB</v>
      </c>
      <c r="S76">
        <f>IFERROR(INDEX(TableRBCalcPts[BYE],MATCH(TableRBRanks31[[#This Row],[Player]],TableRBCalcPts[PLAYER],0)),"")</f>
        <v>6</v>
      </c>
      <c r="T76" s="83">
        <f>IFERROR((VLOOKUP(TableRBRanks31[[#This Row],[Player]],RB!B:O,4,FALSE)),"")</f>
        <v>58.242184000000002</v>
      </c>
      <c r="U76" s="83">
        <f>IFERROR((VLOOKUP(TableRBRanks31[[#This Row],[Player]],RB!B:O,5,FALSE)),"")</f>
        <v>235.88084520000001</v>
      </c>
      <c r="V76" s="83">
        <f>IFERROR((VLOOKUP(TableRBRanks31[[#This Row],[Player]],RB!B:O,6,FALSE)),"")</f>
        <v>1.74726552</v>
      </c>
      <c r="W76" s="83">
        <f>IFERROR((VLOOKUP(TableRBRanks31[[#This Row],[Player]],RB!B:O,7,FALSE)),"")</f>
        <v>11.404064</v>
      </c>
      <c r="X76" s="83">
        <f>IFERROR((VLOOKUP(TableRBRanks31[[#This Row],[Player]],RB!B:O,8,FALSE)),"")</f>
        <v>8.9179780480000002</v>
      </c>
      <c r="Y76" s="83">
        <f>IFERROR((VLOOKUP(TableRBRanks31[[#This Row],[Player]],RB!B:O,9,FALSE)),"")</f>
        <v>68.311711847680002</v>
      </c>
      <c r="Z76" s="83">
        <f>IFERROR((VLOOKUP(TableRBRanks31[[#This Row],[Player]],RB!B:O,10,FALSE)),"")</f>
        <v>0.22294945120000001</v>
      </c>
      <c r="AA76" s="57">
        <f>IFERROR((IFERROR(INDEX(TableRBCalcPts[Custom],MATCH(TableRBRanks31[[#This Row],[RK]],TableRBCalcPts[RK],0)),"")),"")</f>
        <v>46.699534555968008</v>
      </c>
      <c r="AB7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6">
        <v>75</v>
      </c>
      <c r="AE76" t="str">
        <f>IFERROR(INDEX(TableWRCalcPts[PLAYER],MATCH(TableWRRanks32[[#This Row],[RK]],TableWRCalcPts[RK],0)),"")</f>
        <v>Josh Reynolds</v>
      </c>
      <c r="AF76" t="str">
        <f>IFERROR(INDEX(TableWRCalcPts[TM],MATCH(TableWRRanks32[[#This Row],[Player]],TableWRCalcPts[PLAYER],0)),"")</f>
        <v>DEN</v>
      </c>
      <c r="AG76">
        <f>IFERROR(INDEX(TableWRCalcPts[BYE],MATCH(TableWRRanks32[[#This Row],[Player]],TableWRCalcPts[PLAYER],0)),"")</f>
        <v>9</v>
      </c>
      <c r="AH76" s="83">
        <f>IFERROR((VLOOKUP(TableWRRanks32[[#This Row],[Player]],WR!B:O,4,FALSE)),"")</f>
        <v>0</v>
      </c>
      <c r="AI76" s="83">
        <f>IFERROR((VLOOKUP(TableWRRanks32[[#This Row],[Player]],WR!B:O,5,FALSE)),"")</f>
        <v>0</v>
      </c>
      <c r="AJ76" s="83">
        <f>IFERROR((VLOOKUP(TableWRRanks32[[#This Row],[Player]],WR!B:O,6,FALSE)),"")</f>
        <v>85.629704999999987</v>
      </c>
      <c r="AK76" s="83">
        <f>IFERROR((VLOOKUP(TableWRRanks32[[#This Row],[Player]],WR!B:O,7,FALSE)),"")</f>
        <v>50.77841506499999</v>
      </c>
      <c r="AL76" s="83">
        <f>IFERROR((VLOOKUP(TableWRRanks32[[#This Row],[Player]],WR!B:O,8,FALSE)),"")</f>
        <v>601.21643436959982</v>
      </c>
      <c r="AM76" s="83">
        <f>IFERROR((VLOOKUP(TableWRRanks32[[#This Row],[Player]],WR!B:O,9,FALSE)),"")</f>
        <v>3.3005969792249994</v>
      </c>
      <c r="AN76" s="57">
        <f>IFERROR((IFERROR(INDEX(TableWRCalcPts[Custom],MATCH(TableWRRanks32[[#This Row],[RK]],TableWRCalcPts[RK],0)),"")),"")</f>
        <v>105.31443284480997</v>
      </c>
      <c r="AO7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6">
        <v>75</v>
      </c>
      <c r="AR76" t="str">
        <f>IFERROR(INDEX(TableTECalcPts[PLAYER],MATCH(TableTERanks33[[#This Row],[RK]],TableTECalcPts[RK],0)),"")</f>
        <v>C.J. Uzomah</v>
      </c>
      <c r="AS76" t="str">
        <f>IFERROR(INDEX(TableTECalcPts[TM],MATCH(TableTERanks33[[#This Row],[Player]],TableTECalcPts[PLAYER],0)),"")</f>
        <v>PHI</v>
      </c>
      <c r="AT76">
        <f>IFERROR(INDEX(TableTECalcPts[BYE],MATCH(TableTERanks33[[#This Row],[Player]],TableTECalcPts[PLAYER],0)),"")</f>
        <v>10</v>
      </c>
      <c r="AU76" s="83">
        <f>IFERROR((VLOOKUP(TableTERanks33[[#This Row],[Player]],TE!B:O,4,FALSE)),"")</f>
        <v>11.156947200000001</v>
      </c>
      <c r="AV76" s="83">
        <f>IFERROR((VLOOKUP(TableTERanks33[[#This Row],[Player]],TE!B:O,5,FALSE)),"")</f>
        <v>7.3635851520000015</v>
      </c>
      <c r="AW76" s="83">
        <f>IFERROR((VLOOKUP(TableTERanks33[[#This Row],[Player]],TE!B:O,6,FALSE)),"")</f>
        <v>69.95405894400001</v>
      </c>
      <c r="AX76" s="83">
        <f>IFERROR((VLOOKUP(TableTERanks33[[#This Row],[Player]],TE!B:O,7,FALSE)),"")</f>
        <v>0.44917869427200008</v>
      </c>
      <c r="AY76" s="57">
        <f>IFERROR((IFERROR(INDEX(TableTECalcPts[Custom],MATCH(TableTERanks33[[#This Row],[RK]],TableTECalcPts[RK],0)),"")),"")</f>
        <v>13.372270636032002</v>
      </c>
      <c r="AZ7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7" spans="1:52" x14ac:dyDescent="0.2">
      <c r="A77">
        <v>76</v>
      </c>
      <c r="B77" t="str">
        <f>IFERROR(INDEX(TableQBCalcPts[PLAYER],MATCH(TableQBRanks30[[#This Row],[RK]],TableQBCalcPts[RK],0)),"")</f>
        <v/>
      </c>
      <c r="C77" t="str">
        <f>IFERROR(INDEX(TableQBCalcPts[TM],MATCH(TableQBRanks30[[#This Row],[Player]],TableQBCalcPts[PLAYER],0)),"")</f>
        <v/>
      </c>
      <c r="D77" t="str">
        <f>IFERROR(INDEX(TableQBCalcPts[BYE],MATCH(TableQBRanks30[[#This Row],[Player]],TableQBCalcPts[PLAYER],0)),"")</f>
        <v/>
      </c>
      <c r="E77" s="83" t="str">
        <f>IFERROR((VLOOKUP(TableQBRanks30[[#This Row],[Player]],QB!B:O,4,FALSE)),"")</f>
        <v/>
      </c>
      <c r="F77" s="83" t="str">
        <f>IFERROR((VLOOKUP(TableQBRanks30[[#This Row],[Player]],QB!B:O,5,FALSE)),"")</f>
        <v/>
      </c>
      <c r="G77" s="83" t="str">
        <f>IFERROR((VLOOKUP(TableQBRanks30[[#This Row],[Player]],QB!B:O,6,FALSE)),"")</f>
        <v/>
      </c>
      <c r="H77" s="83" t="str">
        <f>IFERROR((VLOOKUP(TableQBRanks30[[#This Row],[Player]],QB!B:O,7,FALSE)),"")</f>
        <v/>
      </c>
      <c r="I77" s="83" t="str">
        <f>IFERROR((VLOOKUP(TableQBRanks30[[#This Row],[Player]],QB!B:O,8,FALSE)),"")</f>
        <v/>
      </c>
      <c r="J77" s="83" t="str">
        <f>IFERROR((VLOOKUP(TableQBRanks30[[#This Row],[Player]],QB!B:O,9,FALSE)),"")</f>
        <v/>
      </c>
      <c r="K77" s="83" t="str">
        <f>IFERROR((VLOOKUP(TableQBRanks30[[#This Row],[Player]],QB!B:O,10,FALSE)),"")</f>
        <v/>
      </c>
      <c r="L77" s="83" t="str">
        <f>IFERROR((VLOOKUP(TableQBRanks30[[#This Row],[Player]],QB!B:O,11,FALSE)),"")</f>
        <v/>
      </c>
      <c r="M77" s="57" t="str">
        <f>IFERROR(INDEX(TableQBCalcPts[Custom],MATCH(TableQBRanks30[[#This Row],[RK]],TableQBCalcPts[RK],0)),"")</f>
        <v/>
      </c>
      <c r="N77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7">
        <v>76</v>
      </c>
      <c r="Q77" t="str">
        <f>IFERROR(INDEX(TableRBCalcPts[PLAYER],MATCH(TableRBRanks31[[#This Row],[RK]],TableRBCalcPts[RK],0)),"")</f>
        <v>Isaiah Davis</v>
      </c>
      <c r="R77" t="str">
        <f>IFERROR(INDEX(TableRBCalcPts[TM],MATCH(TableRBRanks31[[#This Row],[Player]],TableRBCalcPts[PLAYER],0)),"")</f>
        <v>NYJ</v>
      </c>
      <c r="S77">
        <f>IFERROR(INDEX(TableRBCalcPts[BYE],MATCH(TableRBRanks31[[#This Row],[Player]],TableRBCalcPts[PLAYER],0)),"")</f>
        <v>7</v>
      </c>
      <c r="T77" s="83">
        <f>IFERROR((VLOOKUP(TableRBRanks31[[#This Row],[Player]],RB!B:O,4,FALSE)),"")</f>
        <v>35.467846400000006</v>
      </c>
      <c r="U77" s="83">
        <f>IFERROR((VLOOKUP(TableRBRanks31[[#This Row],[Player]],RB!B:O,5,FALSE)),"")</f>
        <v>150.02899027200004</v>
      </c>
      <c r="V77" s="83">
        <f>IFERROR((VLOOKUP(TableRBRanks31[[#This Row],[Player]],RB!B:O,6,FALSE)),"")</f>
        <v>1.1349710848000003</v>
      </c>
      <c r="W77" s="83">
        <f>IFERROR((VLOOKUP(TableRBRanks31[[#This Row],[Player]],RB!B:O,7,FALSE)),"")</f>
        <v>20.737917199999998</v>
      </c>
      <c r="X77" s="83">
        <f>IFERROR((VLOOKUP(TableRBRanks31[[#This Row],[Player]],RB!B:O,8,FALSE)),"")</f>
        <v>16.382954588</v>
      </c>
      <c r="Y77" s="83">
        <f>IFERROR((VLOOKUP(TableRBRanks31[[#This Row],[Player]],RB!B:O,9,FALSE)),"")</f>
        <v>123.19981850175999</v>
      </c>
      <c r="Z77" s="83">
        <f>IFERROR((VLOOKUP(TableRBRanks31[[#This Row],[Player]],RB!B:O,10,FALSE)),"")</f>
        <v>0.65531818352000004</v>
      </c>
      <c r="AA77" s="57">
        <f>IFERROR((IFERROR(INDEX(TableRBCalcPts[Custom],MATCH(TableRBRanks31[[#This Row],[RK]],TableRBCalcPts[RK],0)),"")),"")</f>
        <v>46.256093781296009</v>
      </c>
      <c r="AB7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7">
        <v>76</v>
      </c>
      <c r="AE77" t="str">
        <f>IFERROR(INDEX(TableWRCalcPts[PLAYER],MATCH(TableWRRanks32[[#This Row],[RK]],TableWRCalcPts[RK],0)),"")</f>
        <v>Marvin Mims</v>
      </c>
      <c r="AF77" t="str">
        <f>IFERROR(INDEX(TableWRCalcPts[TM],MATCH(TableWRRanks32[[#This Row],[Player]],TableWRCalcPts[PLAYER],0)),"")</f>
        <v>DEN</v>
      </c>
      <c r="AG77">
        <f>IFERROR(INDEX(TableWRCalcPts[BYE],MATCH(TableWRRanks32[[#This Row],[Player]],TableWRCalcPts[PLAYER],0)),"")</f>
        <v>9</v>
      </c>
      <c r="AH77" s="83">
        <f>IFERROR((VLOOKUP(TableWRRanks32[[#This Row],[Player]],WR!B:O,4,FALSE)),"")</f>
        <v>0</v>
      </c>
      <c r="AI77" s="83">
        <f>IFERROR((VLOOKUP(TableWRRanks32[[#This Row],[Player]],WR!B:O,5,FALSE)),"")</f>
        <v>0</v>
      </c>
      <c r="AJ77" s="83">
        <f>IFERROR((VLOOKUP(TableWRRanks32[[#This Row],[Player]],WR!B:O,6,FALSE)),"")</f>
        <v>79.921058000000002</v>
      </c>
      <c r="AK77" s="83">
        <f>IFERROR((VLOOKUP(TableWRRanks32[[#This Row],[Player]],WR!B:O,7,FALSE)),"")</f>
        <v>47.952634799999998</v>
      </c>
      <c r="AL77" s="83">
        <f>IFERROR((VLOOKUP(TableWRRanks32[[#This Row],[Player]],WR!B:O,8,FALSE)),"")</f>
        <v>616.67088352799999</v>
      </c>
      <c r="AM77" s="83">
        <f>IFERROR((VLOOKUP(TableWRRanks32[[#This Row],[Player]],WR!B:O,9,FALSE)),"")</f>
        <v>3.116921262</v>
      </c>
      <c r="AN77" s="57">
        <f>IFERROR((IFERROR(INDEX(TableWRCalcPts[Custom],MATCH(TableWRRanks32[[#This Row],[RK]],TableWRCalcPts[RK],0)),"")),"")</f>
        <v>104.3449333248</v>
      </c>
      <c r="AO7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7">
        <v>76</v>
      </c>
      <c r="AR77" t="str">
        <f>IFERROR(INDEX(TableTECalcPts[PLAYER],MATCH(TableTERanks33[[#This Row],[RK]],TableTECalcPts[RK],0)),"")</f>
        <v>Ian Thomas</v>
      </c>
      <c r="AS77" t="str">
        <f>IFERROR(INDEX(TableTECalcPts[TM],MATCH(TableTERanks33[[#This Row],[Player]],TableTECalcPts[PLAYER],0)),"")</f>
        <v>CAR</v>
      </c>
      <c r="AT77">
        <f>IFERROR(INDEX(TableTECalcPts[BYE],MATCH(TableTERanks33[[#This Row],[Player]],TableTECalcPts[PLAYER],0)),"")</f>
        <v>7</v>
      </c>
      <c r="AU77" s="83">
        <f>IFERROR((VLOOKUP(TableTERanks33[[#This Row],[Player]],TE!B:O,4,FALSE)),"")</f>
        <v>11.583403999999998</v>
      </c>
      <c r="AV77" s="83">
        <f>IFERROR((VLOOKUP(TableTERanks33[[#This Row],[Player]],TE!B:O,5,FALSE)),"")</f>
        <v>6.9847926119999988</v>
      </c>
      <c r="AW77" s="83">
        <f>IFERROR((VLOOKUP(TableTERanks33[[#This Row],[Player]],TE!B:O,6,FALSE)),"")</f>
        <v>70.197165750599993</v>
      </c>
      <c r="AX77" s="83">
        <f>IFERROR((VLOOKUP(TableTERanks33[[#This Row],[Player]],TE!B:O,7,FALSE)),"")</f>
        <v>0.41908755671999992</v>
      </c>
      <c r="AY77" s="57">
        <f>IFERROR((IFERROR(INDEX(TableTECalcPts[Custom],MATCH(TableTERanks33[[#This Row],[RK]],TableTECalcPts[RK],0)),"")),"")</f>
        <v>13.026638221379997</v>
      </c>
      <c r="AZ7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8" spans="1:52" x14ac:dyDescent="0.2">
      <c r="A78">
        <v>77</v>
      </c>
      <c r="B78" t="str">
        <f>IFERROR(INDEX(TableQBCalcPts[PLAYER],MATCH(TableQBRanks30[[#This Row],[RK]],TableQBCalcPts[RK],0)),"")</f>
        <v/>
      </c>
      <c r="C78" t="str">
        <f>IFERROR(INDEX(TableQBCalcPts[TM],MATCH(TableQBRanks30[[#This Row],[Player]],TableQBCalcPts[PLAYER],0)),"")</f>
        <v/>
      </c>
      <c r="D78" t="str">
        <f>IFERROR(INDEX(TableQBCalcPts[BYE],MATCH(TableQBRanks30[[#This Row],[Player]],TableQBCalcPts[PLAYER],0)),"")</f>
        <v/>
      </c>
      <c r="E78" s="83" t="str">
        <f>IFERROR((VLOOKUP(TableQBRanks30[[#This Row],[Player]],QB!B:O,4,FALSE)),"")</f>
        <v/>
      </c>
      <c r="F78" s="83" t="str">
        <f>IFERROR((VLOOKUP(TableQBRanks30[[#This Row],[Player]],QB!B:O,5,FALSE)),"")</f>
        <v/>
      </c>
      <c r="G78" s="83" t="str">
        <f>IFERROR((VLOOKUP(TableQBRanks30[[#This Row],[Player]],QB!B:O,6,FALSE)),"")</f>
        <v/>
      </c>
      <c r="H78" s="83" t="str">
        <f>IFERROR((VLOOKUP(TableQBRanks30[[#This Row],[Player]],QB!B:O,7,FALSE)),"")</f>
        <v/>
      </c>
      <c r="I78" s="83" t="str">
        <f>IFERROR((VLOOKUP(TableQBRanks30[[#This Row],[Player]],QB!B:O,8,FALSE)),"")</f>
        <v/>
      </c>
      <c r="J78" s="83" t="str">
        <f>IFERROR((VLOOKUP(TableQBRanks30[[#This Row],[Player]],QB!B:O,9,FALSE)),"")</f>
        <v/>
      </c>
      <c r="K78" s="83" t="str">
        <f>IFERROR((VLOOKUP(TableQBRanks30[[#This Row],[Player]],QB!B:O,10,FALSE)),"")</f>
        <v/>
      </c>
      <c r="L78" s="83" t="str">
        <f>IFERROR((VLOOKUP(TableQBRanks30[[#This Row],[Player]],QB!B:O,11,FALSE)),"")</f>
        <v/>
      </c>
      <c r="M78" s="57" t="str">
        <f>IFERROR(INDEX(TableQBCalcPts[Custom],MATCH(TableQBRanks30[[#This Row],[RK]],TableQBCalcPts[RK],0)),"")</f>
        <v/>
      </c>
      <c r="N78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8">
        <v>77</v>
      </c>
      <c r="Q78" t="str">
        <f>IFERROR(INDEX(TableRBCalcPts[PLAYER],MATCH(TableRBRanks31[[#This Row],[RK]],TableRBCalcPts[RK],0)),"")</f>
        <v>Will Shipley</v>
      </c>
      <c r="R78" t="str">
        <f>IFERROR(INDEX(TableRBCalcPts[TM],MATCH(TableRBRanks31[[#This Row],[Player]],TableRBCalcPts[PLAYER],0)),"")</f>
        <v>PHI</v>
      </c>
      <c r="S78">
        <f>IFERROR(INDEX(TableRBCalcPts[BYE],MATCH(TableRBRanks31[[#This Row],[Player]],TableRBCalcPts[PLAYER],0)),"")</f>
        <v>10</v>
      </c>
      <c r="T78" s="83">
        <f>IFERROR((VLOOKUP(TableRBRanks31[[#This Row],[Player]],RB!B:O,4,FALSE)),"")</f>
        <v>33.803884799999999</v>
      </c>
      <c r="U78" s="83">
        <f>IFERROR((VLOOKUP(TableRBRanks31[[#This Row],[Player]],RB!B:O,5,FALSE)),"")</f>
        <v>143.66651039999999</v>
      </c>
      <c r="V78" s="83">
        <f>IFERROR((VLOOKUP(TableRBRanks31[[#This Row],[Player]],RB!B:O,6,FALSE)),"")</f>
        <v>1.2169398527999999</v>
      </c>
      <c r="W78" s="83">
        <f>IFERROR((VLOOKUP(TableRBRanks31[[#This Row],[Player]],RB!B:O,7,FALSE)),"")</f>
        <v>22.313894400000002</v>
      </c>
      <c r="X78" s="83">
        <f>IFERROR((VLOOKUP(TableRBRanks31[[#This Row],[Player]],RB!B:O,8,FALSE)),"")</f>
        <v>16.958559744000002</v>
      </c>
      <c r="Y78" s="83">
        <f>IFERROR((VLOOKUP(TableRBRanks31[[#This Row],[Player]],RB!B:O,9,FALSE)),"")</f>
        <v>121.59287336448001</v>
      </c>
      <c r="Z78" s="83">
        <f>IFERROR((VLOOKUP(TableRBRanks31[[#This Row],[Player]],RB!B:O,10,FALSE)),"")</f>
        <v>0.62746671052800007</v>
      </c>
      <c r="AA78" s="57">
        <f>IFERROR((IFERROR(INDEX(TableRBCalcPts[Custom],MATCH(TableRBRanks31[[#This Row],[RK]],TableRBCalcPts[RK],0)),"")),"")</f>
        <v>46.071657628416006</v>
      </c>
      <c r="AB7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8">
        <v>77</v>
      </c>
      <c r="AE78" t="str">
        <f>IFERROR(INDEX(TableWRCalcPts[PLAYER],MATCH(TableWRRanks32[[#This Row],[RK]],TableWRCalcPts[RK],0)),"")</f>
        <v>Rashod Bateman</v>
      </c>
      <c r="AF78" t="str">
        <f>IFERROR(INDEX(TableWRCalcPts[TM],MATCH(TableWRRanks32[[#This Row],[Player]],TableWRCalcPts[PLAYER],0)),"")</f>
        <v>BAL</v>
      </c>
      <c r="AG78">
        <f>IFERROR(INDEX(TableWRCalcPts[BYE],MATCH(TableWRRanks32[[#This Row],[Player]],TableWRCalcPts[PLAYER],0)),"")</f>
        <v>13</v>
      </c>
      <c r="AH78" s="83">
        <f>IFERROR((VLOOKUP(TableWRRanks32[[#This Row],[Player]],WR!B:O,4,FALSE)),"")</f>
        <v>0</v>
      </c>
      <c r="AI78" s="83">
        <f>IFERROR((VLOOKUP(TableWRRanks32[[#This Row],[Player]],WR!B:O,5,FALSE)),"")</f>
        <v>0</v>
      </c>
      <c r="AJ78" s="83">
        <f>IFERROR((VLOOKUP(TableWRRanks32[[#This Row],[Player]],WR!B:O,6,FALSE)),"")</f>
        <v>79.402343999999999</v>
      </c>
      <c r="AK78" s="83">
        <f>IFERROR((VLOOKUP(TableWRRanks32[[#This Row],[Player]],WR!B:O,7,FALSE)),"")</f>
        <v>47.244394679999999</v>
      </c>
      <c r="AL78" s="83">
        <f>IFERROR((VLOOKUP(TableWRRanks32[[#This Row],[Player]],WR!B:O,8,FALSE)),"")</f>
        <v>607.56291558479995</v>
      </c>
      <c r="AM78" s="83">
        <f>IFERROR((VLOOKUP(TableWRRanks32[[#This Row],[Player]],WR!B:O,9,FALSE)),"")</f>
        <v>3.3071076276000002</v>
      </c>
      <c r="AN78" s="57">
        <f>IFERROR((IFERROR(INDEX(TableWRCalcPts[Custom],MATCH(TableWRRanks32[[#This Row],[RK]],TableWRCalcPts[RK],0)),"")),"")</f>
        <v>104.22113466408</v>
      </c>
      <c r="AO7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8">
        <v>77</v>
      </c>
      <c r="AR78" t="str">
        <f>IFERROR(INDEX(TableTECalcPts[PLAYER],MATCH(TableTERanks33[[#This Row],[RK]],TableTECalcPts[RK],0)),"")</f>
        <v>Cameron Latu</v>
      </c>
      <c r="AS78" t="str">
        <f>IFERROR(INDEX(TableTECalcPts[TM],MATCH(TableTERanks33[[#This Row],[Player]],TableTECalcPts[PLAYER],0)),"")</f>
        <v>SF</v>
      </c>
      <c r="AT78">
        <f>IFERROR(INDEX(TableTECalcPts[BYE],MATCH(TableTERanks33[[#This Row],[Player]],TableTECalcPts[PLAYER],0)),"")</f>
        <v>9</v>
      </c>
      <c r="AU78" s="83">
        <f>IFERROR((VLOOKUP(TableTERanks33[[#This Row],[Player]],TE!B:O,4,FALSE)),"")</f>
        <v>10.650679199999999</v>
      </c>
      <c r="AV78" s="83">
        <f>IFERROR((VLOOKUP(TableTERanks33[[#This Row],[Player]],TE!B:O,5,FALSE)),"")</f>
        <v>6.8164346879999993</v>
      </c>
      <c r="AW78" s="83">
        <f>IFERROR((VLOOKUP(TableTERanks33[[#This Row],[Player]],TE!B:O,6,FALSE)),"")</f>
        <v>61.347912191999995</v>
      </c>
      <c r="AX78" s="83">
        <f>IFERROR((VLOOKUP(TableTERanks33[[#This Row],[Player]],TE!B:O,7,FALSE)),"")</f>
        <v>0.47715042815999997</v>
      </c>
      <c r="AY78" s="57">
        <f>IFERROR((IFERROR(INDEX(TableTECalcPts[Custom],MATCH(TableTERanks33[[#This Row],[RK]],TableTECalcPts[RK],0)),"")),"")</f>
        <v>12.40591113216</v>
      </c>
      <c r="AZ7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9" spans="1:52" x14ac:dyDescent="0.2">
      <c r="A79">
        <v>78</v>
      </c>
      <c r="B79" t="str">
        <f>IFERROR(INDEX(TableQBCalcPts[PLAYER],MATCH(TableQBRanks30[[#This Row],[RK]],TableQBCalcPts[RK],0)),"")</f>
        <v/>
      </c>
      <c r="C79" t="str">
        <f>IFERROR(INDEX(TableQBCalcPts[TM],MATCH(TableQBRanks30[[#This Row],[Player]],TableQBCalcPts[PLAYER],0)),"")</f>
        <v/>
      </c>
      <c r="D79" t="str">
        <f>IFERROR(INDEX(TableQBCalcPts[BYE],MATCH(TableQBRanks30[[#This Row],[Player]],TableQBCalcPts[PLAYER],0)),"")</f>
        <v/>
      </c>
      <c r="E79" s="83" t="str">
        <f>IFERROR((VLOOKUP(TableQBRanks30[[#This Row],[Player]],QB!B:O,4,FALSE)),"")</f>
        <v/>
      </c>
      <c r="F79" s="83" t="str">
        <f>IFERROR((VLOOKUP(TableQBRanks30[[#This Row],[Player]],QB!B:O,5,FALSE)),"")</f>
        <v/>
      </c>
      <c r="G79" s="83" t="str">
        <f>IFERROR((VLOOKUP(TableQBRanks30[[#This Row],[Player]],QB!B:O,6,FALSE)),"")</f>
        <v/>
      </c>
      <c r="H79" s="83" t="str">
        <f>IFERROR((VLOOKUP(TableQBRanks30[[#This Row],[Player]],QB!B:O,7,FALSE)),"")</f>
        <v/>
      </c>
      <c r="I79" s="83" t="str">
        <f>IFERROR((VLOOKUP(TableQBRanks30[[#This Row],[Player]],QB!B:O,8,FALSE)),"")</f>
        <v/>
      </c>
      <c r="J79" s="83" t="str">
        <f>IFERROR((VLOOKUP(TableQBRanks30[[#This Row],[Player]],QB!B:O,9,FALSE)),"")</f>
        <v/>
      </c>
      <c r="K79" s="83" t="str">
        <f>IFERROR((VLOOKUP(TableQBRanks30[[#This Row],[Player]],QB!B:O,10,FALSE)),"")</f>
        <v/>
      </c>
      <c r="L79" s="83" t="str">
        <f>IFERROR((VLOOKUP(TableQBRanks30[[#This Row],[Player]],QB!B:O,11,FALSE)),"")</f>
        <v/>
      </c>
      <c r="M79" s="57" t="str">
        <f>IFERROR(INDEX(TableQBCalcPts[Custom],MATCH(TableQBRanks30[[#This Row],[RK]],TableQBCalcPts[RK],0)),"")</f>
        <v/>
      </c>
      <c r="N79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9">
        <v>78</v>
      </c>
      <c r="Q79" t="str">
        <f>IFERROR(INDEX(TableRBCalcPts[PLAYER],MATCH(TableRBRanks31[[#This Row],[RK]],TableRBCalcPts[RK],0)),"")</f>
        <v>Deuce Vaughn</v>
      </c>
      <c r="R79" t="str">
        <f>IFERROR(INDEX(TableRBCalcPts[TM],MATCH(TableRBRanks31[[#This Row],[Player]],TableRBCalcPts[PLAYER],0)),"")</f>
        <v>DAL</v>
      </c>
      <c r="S79">
        <f>IFERROR(INDEX(TableRBCalcPts[BYE],MATCH(TableRBRanks31[[#This Row],[Player]],TableRBCalcPts[PLAYER],0)),"")</f>
        <v>7</v>
      </c>
      <c r="T79" s="83">
        <f>IFERROR((VLOOKUP(TableRBRanks31[[#This Row],[Player]],RB!B:O,4,FALSE)),"")</f>
        <v>13.633426800000001</v>
      </c>
      <c r="U79" s="83">
        <f>IFERROR((VLOOKUP(TableRBRanks31[[#This Row],[Player]],RB!B:O,5,FALSE)),"")</f>
        <v>55.488047076000008</v>
      </c>
      <c r="V79" s="83">
        <f>IFERROR((VLOOKUP(TableRBRanks31[[#This Row],[Player]],RB!B:O,6,FALSE)),"")</f>
        <v>0.34083567000000003</v>
      </c>
      <c r="W79" s="83">
        <f>IFERROR((VLOOKUP(TableRBRanks31[[#This Row],[Player]],RB!B:O,7,FALSE)),"")</f>
        <v>30.491621999999989</v>
      </c>
      <c r="X79" s="83">
        <f>IFERROR((VLOOKUP(TableRBRanks31[[#This Row],[Player]],RB!B:O,8,FALSE)),"")</f>
        <v>25.12509652799999</v>
      </c>
      <c r="Y79" s="83">
        <f>IFERROR((VLOOKUP(TableRBRanks31[[#This Row],[Player]],RB!B:O,9,FALSE)),"")</f>
        <v>193.9657451961599</v>
      </c>
      <c r="Z79" s="83">
        <f>IFERROR((VLOOKUP(TableRBRanks31[[#This Row],[Player]],RB!B:O,10,FALSE)),"")</f>
        <v>1.0050038611199996</v>
      </c>
      <c r="AA79" s="57">
        <f>IFERROR((IFERROR(INDEX(TableRBCalcPts[Custom],MATCH(TableRBRanks31[[#This Row],[RK]],TableRBCalcPts[RK],0)),"")),"")</f>
        <v>45.58296467793599</v>
      </c>
      <c r="AB7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9">
        <v>78</v>
      </c>
      <c r="AE79" t="str">
        <f>IFERROR(INDEX(TableWRCalcPts[PLAYER],MATCH(TableWRRanks32[[#This Row],[RK]],TableWRCalcPts[RK],0)),"")</f>
        <v>Darius Slayton</v>
      </c>
      <c r="AF79" t="str">
        <f>IFERROR(INDEX(TableWRCalcPts[TM],MATCH(TableWRRanks32[[#This Row],[Player]],TableWRCalcPts[PLAYER],0)),"")</f>
        <v>NYG</v>
      </c>
      <c r="AG79">
        <f>IFERROR(INDEX(TableWRCalcPts[BYE],MATCH(TableWRRanks32[[#This Row],[Player]],TableWRCalcPts[PLAYER],0)),"")</f>
        <v>13</v>
      </c>
      <c r="AH79" s="83">
        <f>IFERROR((VLOOKUP(TableWRRanks32[[#This Row],[Player]],WR!B:O,4,FALSE)),"")</f>
        <v>0</v>
      </c>
      <c r="AI79" s="83">
        <f>IFERROR((VLOOKUP(TableWRRanks32[[#This Row],[Player]],WR!B:O,5,FALSE)),"")</f>
        <v>0</v>
      </c>
      <c r="AJ79" s="83">
        <f>IFERROR((VLOOKUP(TableWRRanks32[[#This Row],[Player]],WR!B:O,6,FALSE)),"")</f>
        <v>76.504209599999982</v>
      </c>
      <c r="AK79" s="83">
        <f>IFERROR((VLOOKUP(TableWRRanks32[[#This Row],[Player]],WR!B:O,7,FALSE)),"")</f>
        <v>45.74951734079999</v>
      </c>
      <c r="AL79" s="83">
        <f>IFERROR((VLOOKUP(TableWRRanks32[[#This Row],[Player]],WR!B:O,8,FALSE)),"")</f>
        <v>605.72360959219191</v>
      </c>
      <c r="AM79" s="83">
        <f>IFERROR((VLOOKUP(TableWRRanks32[[#This Row],[Player]],WR!B:O,9,FALSE)),"")</f>
        <v>2.7449710404479992</v>
      </c>
      <c r="AN79" s="57">
        <f>IFERROR((IFERROR(INDEX(TableWRCalcPts[Custom],MATCH(TableWRRanks32[[#This Row],[RK]],TableWRCalcPts[RK],0)),"")),"")</f>
        <v>99.916945872307195</v>
      </c>
      <c r="AO7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9">
        <v>78</v>
      </c>
      <c r="AR79" t="str">
        <f>IFERROR(INDEX(TableTECalcPts[PLAYER],MATCH(TableTERanks33[[#This Row],[RK]],TableTECalcPts[RK],0)),"")</f>
        <v>Foster Moreau</v>
      </c>
      <c r="AS79" t="str">
        <f>IFERROR(INDEX(TableTECalcPts[TM],MATCH(TableTERanks33[[#This Row],[Player]],TableTECalcPts[PLAYER],0)),"")</f>
        <v>NO</v>
      </c>
      <c r="AT79">
        <f>IFERROR(INDEX(TableTECalcPts[BYE],MATCH(TableTERanks33[[#This Row],[Player]],TableTECalcPts[PLAYER],0)),"")</f>
        <v>11</v>
      </c>
      <c r="AU79" s="83">
        <f>IFERROR((VLOOKUP(TableTERanks33[[#This Row],[Player]],TE!B:O,4,FALSE)),"")</f>
        <v>8.3449941959999983</v>
      </c>
      <c r="AV79" s="83">
        <f>IFERROR((VLOOKUP(TableTERanks33[[#This Row],[Player]],TE!B:O,5,FALSE)),"")</f>
        <v>5.9332908733559986</v>
      </c>
      <c r="AW79" s="83">
        <f>IFERROR((VLOOKUP(TableTERanks33[[#This Row],[Player]],TE!B:O,6,FALSE)),"")</f>
        <v>60.104236547096271</v>
      </c>
      <c r="AX79" s="83">
        <f>IFERROR((VLOOKUP(TableTERanks33[[#This Row],[Player]],TE!B:O,7,FALSE)),"")</f>
        <v>0.44499681550169989</v>
      </c>
      <c r="AY79" s="57">
        <f>IFERROR((IFERROR(INDEX(TableTECalcPts[Custom],MATCH(TableTERanks33[[#This Row],[RK]],TableTECalcPts[RK],0)),"")),"")</f>
        <v>11.647049984397826</v>
      </c>
      <c r="AZ7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0" spans="1:52" x14ac:dyDescent="0.2">
      <c r="A80">
        <v>79</v>
      </c>
      <c r="B80" t="str">
        <f>IFERROR(INDEX(TableQBCalcPts[PLAYER],MATCH(TableQBRanks30[[#This Row],[RK]],TableQBCalcPts[RK],0)),"")</f>
        <v/>
      </c>
      <c r="C80" t="str">
        <f>IFERROR(INDEX(TableQBCalcPts[TM],MATCH(TableQBRanks30[[#This Row],[Player]],TableQBCalcPts[PLAYER],0)),"")</f>
        <v/>
      </c>
      <c r="D80" t="str">
        <f>IFERROR(INDEX(TableQBCalcPts[BYE],MATCH(TableQBRanks30[[#This Row],[Player]],TableQBCalcPts[PLAYER],0)),"")</f>
        <v/>
      </c>
      <c r="E80" s="83" t="str">
        <f>IFERROR((VLOOKUP(TableQBRanks30[[#This Row],[Player]],QB!B:O,4,FALSE)),"")</f>
        <v/>
      </c>
      <c r="F80" s="83" t="str">
        <f>IFERROR((VLOOKUP(TableQBRanks30[[#This Row],[Player]],QB!B:O,5,FALSE)),"")</f>
        <v/>
      </c>
      <c r="G80" s="83" t="str">
        <f>IFERROR((VLOOKUP(TableQBRanks30[[#This Row],[Player]],QB!B:O,6,FALSE)),"")</f>
        <v/>
      </c>
      <c r="H80" s="83" t="str">
        <f>IFERROR((VLOOKUP(TableQBRanks30[[#This Row],[Player]],QB!B:O,7,FALSE)),"")</f>
        <v/>
      </c>
      <c r="I80" s="83" t="str">
        <f>IFERROR((VLOOKUP(TableQBRanks30[[#This Row],[Player]],QB!B:O,8,FALSE)),"")</f>
        <v/>
      </c>
      <c r="J80" s="83" t="str">
        <f>IFERROR((VLOOKUP(TableQBRanks30[[#This Row],[Player]],QB!B:O,9,FALSE)),"")</f>
        <v/>
      </c>
      <c r="K80" s="83" t="str">
        <f>IFERROR((VLOOKUP(TableQBRanks30[[#This Row],[Player]],QB!B:O,10,FALSE)),"")</f>
        <v/>
      </c>
      <c r="L80" s="83" t="str">
        <f>IFERROR((VLOOKUP(TableQBRanks30[[#This Row],[Player]],QB!B:O,11,FALSE)),"")</f>
        <v/>
      </c>
      <c r="M80" s="57" t="str">
        <f>IFERROR(INDEX(TableQBCalcPts[Custom],MATCH(TableQBRanks30[[#This Row],[RK]],TableQBCalcPts[RK],0)),"")</f>
        <v/>
      </c>
      <c r="N80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80">
        <v>79</v>
      </c>
      <c r="Q80" t="str">
        <f>IFERROR(INDEX(TableRBCalcPts[PLAYER],MATCH(TableRBRanks31[[#This Row],[RK]],TableRBCalcPts[RK],0)),"")</f>
        <v>Dameon Pierce</v>
      </c>
      <c r="R80" t="str">
        <f>IFERROR(INDEX(TableRBCalcPts[TM],MATCH(TableRBRanks31[[#This Row],[Player]],TableRBCalcPts[PLAYER],0)),"")</f>
        <v>HOU</v>
      </c>
      <c r="S80">
        <f>IFERROR(INDEX(TableRBCalcPts[BYE],MATCH(TableRBRanks31[[#This Row],[Player]],TableRBCalcPts[PLAYER],0)),"")</f>
        <v>7</v>
      </c>
      <c r="T80" s="83">
        <f>IFERROR((VLOOKUP(TableRBRanks31[[#This Row],[Player]],RB!B:O,4,FALSE)),"")</f>
        <v>64.896000000000001</v>
      </c>
      <c r="U80" s="83">
        <f>IFERROR((VLOOKUP(TableRBRanks31[[#This Row],[Player]],RB!B:O,5,FALSE)),"")</f>
        <v>255.69023999999999</v>
      </c>
      <c r="V80" s="83">
        <f>IFERROR((VLOOKUP(TableRBRanks31[[#This Row],[Player]],RB!B:O,6,FALSE)),"")</f>
        <v>1.6224000000000001</v>
      </c>
      <c r="W80" s="83">
        <f>IFERROR((VLOOKUP(TableRBRanks31[[#This Row],[Player]],RB!B:O,7,FALSE)),"")</f>
        <v>10.1186176</v>
      </c>
      <c r="X80" s="83">
        <f>IFERROR((VLOOKUP(TableRBRanks31[[#This Row],[Player]],RB!B:O,8,FALSE)),"")</f>
        <v>7.2044557311999995</v>
      </c>
      <c r="Y80" s="83">
        <f>IFERROR((VLOOKUP(TableRBRanks31[[#This Row],[Player]],RB!B:O,9,FALSE)),"")</f>
        <v>50.791412904959998</v>
      </c>
      <c r="Z80" s="83">
        <f>IFERROR((VLOOKUP(TableRBRanks31[[#This Row],[Player]],RB!B:O,10,FALSE)),"")</f>
        <v>0.25215595059200002</v>
      </c>
      <c r="AA80" s="57">
        <f>IFERROR((IFERROR(INDEX(TableRBCalcPts[Custom],MATCH(TableRBRanks31[[#This Row],[RK]],TableRBCalcPts[RK],0)),"")),"")</f>
        <v>45.497728859648007</v>
      </c>
      <c r="AB8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0">
        <v>79</v>
      </c>
      <c r="AE80" t="str">
        <f>IFERROR(INDEX(TableWRCalcPts[PLAYER],MATCH(TableWRRanks32[[#This Row],[RK]],TableWRCalcPts[RK],0)),"")</f>
        <v>Kendrick Bourne</v>
      </c>
      <c r="AF80" t="str">
        <f>IFERROR(INDEX(TableWRCalcPts[TM],MATCH(TableWRRanks32[[#This Row],[Player]],TableWRCalcPts[PLAYER],0)),"")</f>
        <v>NE</v>
      </c>
      <c r="AG80">
        <f>IFERROR(INDEX(TableWRCalcPts[BYE],MATCH(TableWRRanks32[[#This Row],[Player]],TableWRCalcPts[PLAYER],0)),"")</f>
        <v>11</v>
      </c>
      <c r="AH80" s="83">
        <f>IFERROR((VLOOKUP(TableWRRanks32[[#This Row],[Player]],WR!B:O,4,FALSE)),"")</f>
        <v>0</v>
      </c>
      <c r="AI80" s="83">
        <f>IFERROR((VLOOKUP(TableWRRanks32[[#This Row],[Player]],WR!B:O,5,FALSE)),"")</f>
        <v>0</v>
      </c>
      <c r="AJ80" s="83">
        <f>IFERROR((VLOOKUP(TableWRRanks32[[#This Row],[Player]],WR!B:O,6,FALSE)),"")</f>
        <v>79.363614399999989</v>
      </c>
      <c r="AK80" s="83">
        <f>IFERROR((VLOOKUP(TableWRRanks32[[#This Row],[Player]],WR!B:O,7,FALSE)),"")</f>
        <v>46.030896351999992</v>
      </c>
      <c r="AL80" s="83">
        <f>IFERROR((VLOOKUP(TableWRRanks32[[#This Row],[Player]],WR!B:O,8,FALSE)),"")</f>
        <v>612.21092148159994</v>
      </c>
      <c r="AM80" s="83">
        <f>IFERROR((VLOOKUP(TableWRRanks32[[#This Row],[Player]],WR!B:O,9,FALSE)),"")</f>
        <v>2.4396375066559997</v>
      </c>
      <c r="AN80" s="57">
        <f>IFERROR((IFERROR(INDEX(TableWRCalcPts[Custom],MATCH(TableWRRanks32[[#This Row],[RK]],TableWRCalcPts[RK],0)),"")),"")</f>
        <v>98.874365364095979</v>
      </c>
      <c r="AO8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0">
        <v>79</v>
      </c>
      <c r="AR80" t="str">
        <f>IFERROR(INDEX(TableTECalcPts[PLAYER],MATCH(TableTERanks33[[#This Row],[RK]],TableTECalcPts[RK],0)),"")</f>
        <v>Julian Hill</v>
      </c>
      <c r="AS80" t="str">
        <f>IFERROR(INDEX(TableTECalcPts[TM],MATCH(TableTERanks33[[#This Row],[Player]],TableTECalcPts[PLAYER],0)),"")</f>
        <v>MIA</v>
      </c>
      <c r="AT80">
        <f>IFERROR(INDEX(TableTECalcPts[BYE],MATCH(TableTERanks33[[#This Row],[Player]],TableTECalcPts[PLAYER],0)),"")</f>
        <v>10</v>
      </c>
      <c r="AU80" s="83">
        <f>IFERROR((VLOOKUP(TableTERanks33[[#This Row],[Player]],TE!B:O,4,FALSE)),"")</f>
        <v>8.7949511999999981</v>
      </c>
      <c r="AV80" s="83">
        <f>IFERROR((VLOOKUP(TableTERanks33[[#This Row],[Player]],TE!B:O,5,FALSE)),"")</f>
        <v>6.2092355471999987</v>
      </c>
      <c r="AW80" s="83">
        <f>IFERROR((VLOOKUP(TableTERanks33[[#This Row],[Player]],TE!B:O,6,FALSE)),"")</f>
        <v>54.64127281535999</v>
      </c>
      <c r="AX80" s="83">
        <f>IFERROR((VLOOKUP(TableTERanks33[[#This Row],[Player]],TE!B:O,7,FALSE)),"")</f>
        <v>0.3415079550959999</v>
      </c>
      <c r="AY80" s="57">
        <f>IFERROR((IFERROR(INDEX(TableTECalcPts[Custom],MATCH(TableTERanks33[[#This Row],[RK]],TableTECalcPts[RK],0)),"")),"")</f>
        <v>10.617792785711998</v>
      </c>
      <c r="AZ8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1" spans="16:52" x14ac:dyDescent="0.2">
      <c r="P81">
        <v>80</v>
      </c>
      <c r="Q81" t="str">
        <f>IFERROR(INDEX(TableRBCalcPts[PLAYER],MATCH(TableRBRanks31[[#This Row],[RK]],TableRBCalcPts[RK],0)),"")</f>
        <v>Jase McClellan</v>
      </c>
      <c r="R81" t="str">
        <f>IFERROR(INDEX(TableRBCalcPts[TM],MATCH(TableRBRanks31[[#This Row],[Player]],TableRBCalcPts[PLAYER],0)),"")</f>
        <v>ATL</v>
      </c>
      <c r="S81">
        <f>IFERROR(INDEX(TableRBCalcPts[BYE],MATCH(TableRBRanks31[[#This Row],[Player]],TableRBCalcPts[PLAYER],0)),"")</f>
        <v>11</v>
      </c>
      <c r="T81" s="83">
        <f>IFERROR((VLOOKUP(TableRBRanks31[[#This Row],[Player]],RB!B:O,4,FALSE)),"")</f>
        <v>23.668999200000002</v>
      </c>
      <c r="U81" s="83">
        <f>IFERROR((VLOOKUP(TableRBRanks31[[#This Row],[Player]],RB!B:O,5,FALSE)),"")</f>
        <v>98.22634668000002</v>
      </c>
      <c r="V81" s="83">
        <f>IFERROR((VLOOKUP(TableRBRanks31[[#This Row],[Player]],RB!B:O,6,FALSE)),"")</f>
        <v>0.75740797440000007</v>
      </c>
      <c r="W81" s="83">
        <f>IFERROR((VLOOKUP(TableRBRanks31[[#This Row],[Player]],RB!B:O,7,FALSE)),"")</f>
        <v>23.005382399999995</v>
      </c>
      <c r="X81" s="83">
        <f>IFERROR((VLOOKUP(TableRBRanks31[[#This Row],[Player]],RB!B:O,8,FALSE)),"")</f>
        <v>19.163483539199994</v>
      </c>
      <c r="Y81" s="83">
        <f>IFERROR((VLOOKUP(TableRBRanks31[[#This Row],[Player]],RB!B:O,9,FALSE)),"")</f>
        <v>141.42650851929596</v>
      </c>
      <c r="Z81" s="83">
        <f>IFERROR((VLOOKUP(TableRBRanks31[[#This Row],[Player]],RB!B:O,10,FALSE)),"")</f>
        <v>0.76653934156799974</v>
      </c>
      <c r="AA81" s="57">
        <f>IFERROR((IFERROR(INDEX(TableRBCalcPts[Custom],MATCH(TableRBRanks31[[#This Row],[RK]],TableRBCalcPts[RK],0)),"")),"")</f>
        <v>42.690711185337598</v>
      </c>
      <c r="AB8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1">
        <v>80</v>
      </c>
      <c r="AE81" t="str">
        <f>IFERROR(INDEX(TableWRCalcPts[PLAYER],MATCH(TableWRRanks32[[#This Row],[RK]],TableWRCalcPts[RK],0)),"")</f>
        <v>Ja'Lynn Polk</v>
      </c>
      <c r="AF81" t="str">
        <f>IFERROR(INDEX(TableWRCalcPts[TM],MATCH(TableWRRanks32[[#This Row],[Player]],TableWRCalcPts[PLAYER],0)),"")</f>
        <v>NE</v>
      </c>
      <c r="AG81">
        <f>IFERROR(INDEX(TableWRCalcPts[BYE],MATCH(TableWRRanks32[[#This Row],[Player]],TableWRCalcPts[PLAYER],0)),"")</f>
        <v>11</v>
      </c>
      <c r="AH81" s="83">
        <f>IFERROR((VLOOKUP(TableWRRanks32[[#This Row],[Player]],WR!B:O,4,FALSE)),"")</f>
        <v>0</v>
      </c>
      <c r="AI81" s="83">
        <f>IFERROR((VLOOKUP(TableWRRanks32[[#This Row],[Player]],WR!B:O,5,FALSE)),"")</f>
        <v>0</v>
      </c>
      <c r="AJ81" s="83">
        <f>IFERROR((VLOOKUP(TableWRRanks32[[#This Row],[Player]],WR!B:O,6,FALSE)),"")</f>
        <v>73.694784799999994</v>
      </c>
      <c r="AK81" s="83">
        <f>IFERROR((VLOOKUP(TableWRRanks32[[#This Row],[Player]],WR!B:O,7,FALSE)),"")</f>
        <v>44.732734373599996</v>
      </c>
      <c r="AL81" s="83">
        <f>IFERROR((VLOOKUP(TableWRRanks32[[#This Row],[Player]],WR!B:O,8,FALSE)),"")</f>
        <v>569.447708575928</v>
      </c>
      <c r="AM81" s="83">
        <f>IFERROR((VLOOKUP(TableWRRanks32[[#This Row],[Player]],WR!B:O,9,FALSE)),"")</f>
        <v>2.907627734284</v>
      </c>
      <c r="AN81" s="57">
        <f>IFERROR((IFERROR(INDEX(TableWRCalcPts[Custom],MATCH(TableWRRanks32[[#This Row],[RK]],TableWRCalcPts[RK],0)),"")),"")</f>
        <v>96.756904450096812</v>
      </c>
      <c r="AO8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1">
        <v>80</v>
      </c>
      <c r="AR81" t="str">
        <f>IFERROR(INDEX(TableTECalcPts[PLAYER],MATCH(TableTERanks33[[#This Row],[RK]],TableTECalcPts[RK],0)),"")</f>
        <v>Charlie Kolar</v>
      </c>
      <c r="AS81" t="str">
        <f>IFERROR(INDEX(TableTECalcPts[TM],MATCH(TableTERanks33[[#This Row],[Player]],TableTECalcPts[PLAYER],0)),"")</f>
        <v>BAL</v>
      </c>
      <c r="AT81">
        <f>IFERROR(INDEX(TableTECalcPts[BYE],MATCH(TableTERanks33[[#This Row],[Player]],TableTECalcPts[PLAYER],0)),"")</f>
        <v>13</v>
      </c>
      <c r="AU81" s="83">
        <f>IFERROR((VLOOKUP(TableTERanks33[[#This Row],[Player]],TE!B:O,4,FALSE)),"")</f>
        <v>5.2934896</v>
      </c>
      <c r="AV81" s="83">
        <f>IFERROR((VLOOKUP(TableTERanks33[[#This Row],[Player]],TE!B:O,5,FALSE)),"")</f>
        <v>3.4725291776000002</v>
      </c>
      <c r="AW81" s="83">
        <f>IFERROR((VLOOKUP(TableTERanks33[[#This Row],[Player]],TE!B:O,6,FALSE)),"")</f>
        <v>39.864634958848001</v>
      </c>
      <c r="AX81" s="83">
        <f>IFERROR((VLOOKUP(TableTERanks33[[#This Row],[Player]],TE!B:O,7,FALSE)),"")</f>
        <v>0.29516498009600006</v>
      </c>
      <c r="AY81" s="57">
        <f>IFERROR((IFERROR(INDEX(TableTECalcPts[Custom],MATCH(TableTERanks33[[#This Row],[RK]],TableTECalcPts[RK],0)),"")),"")</f>
        <v>7.4937179652608013</v>
      </c>
      <c r="AZ8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2" spans="16:52" x14ac:dyDescent="0.2">
      <c r="P82">
        <v>81</v>
      </c>
      <c r="Q82" t="str">
        <f>IFERROR(INDEX(TableRBCalcPts[PLAYER],MATCH(TableRBRanks31[[#This Row],[RK]],TableRBCalcPts[RK],0)),"")</f>
        <v>Keaton Mitchell</v>
      </c>
      <c r="R82" t="str">
        <f>IFERROR(INDEX(TableRBCalcPts[TM],MATCH(TableRBRanks31[[#This Row],[Player]],TableRBCalcPts[PLAYER],0)),"")</f>
        <v>BAL</v>
      </c>
      <c r="S82">
        <f>IFERROR(INDEX(TableRBCalcPts[BYE],MATCH(TableRBRanks31[[#This Row],[Player]],TableRBCalcPts[PLAYER],0)),"")</f>
        <v>13</v>
      </c>
      <c r="T82" s="83">
        <f>IFERROR((VLOOKUP(TableRBRanks31[[#This Row],[Player]],RB!B:O,4,FALSE)),"")</f>
        <v>49.887448799999994</v>
      </c>
      <c r="U82" s="83">
        <f>IFERROR((VLOOKUP(TableRBRanks31[[#This Row],[Player]],RB!B:O,5,FALSE)),"")</f>
        <v>240.45750321599999</v>
      </c>
      <c r="V82" s="83">
        <f>IFERROR((VLOOKUP(TableRBRanks31[[#This Row],[Player]],RB!B:O,6,FALSE)),"")</f>
        <v>1.8458356055999996</v>
      </c>
      <c r="W82" s="83">
        <f>IFERROR((VLOOKUP(TableRBRanks31[[#This Row],[Player]],RB!B:O,7,FALSE)),"")</f>
        <v>5.2934896</v>
      </c>
      <c r="X82" s="83">
        <f>IFERROR((VLOOKUP(TableRBRanks31[[#This Row],[Player]],RB!B:O,8,FALSE)),"")</f>
        <v>4.1130414192</v>
      </c>
      <c r="Y82" s="83">
        <f>IFERROR((VLOOKUP(TableRBRanks31[[#This Row],[Player]],RB!B:O,9,FALSE)),"")</f>
        <v>33.027722596175998</v>
      </c>
      <c r="Z82" s="83">
        <f>IFERROR((VLOOKUP(TableRBRanks31[[#This Row],[Player]],RB!B:O,10,FALSE)),"")</f>
        <v>0.185086863864</v>
      </c>
      <c r="AA82" s="57">
        <f>IFERROR((IFERROR(INDEX(TableRBCalcPts[Custom],MATCH(TableRBRanks31[[#This Row],[RK]],TableRBCalcPts[RK],0)),"")),"")</f>
        <v>41.590578107601594</v>
      </c>
      <c r="AB8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2">
        <v>81</v>
      </c>
      <c r="AE82" t="str">
        <f>IFERROR(INDEX(TableWRCalcPts[PLAYER],MATCH(TableWRRanks32[[#This Row],[RK]],TableWRCalcPts[RK],0)),"")</f>
        <v>Rondale Moore</v>
      </c>
      <c r="AF82" t="str">
        <f>IFERROR(INDEX(TableWRCalcPts[TM],MATCH(TableWRRanks32[[#This Row],[Player]],TableWRCalcPts[PLAYER],0)),"")</f>
        <v>ATL</v>
      </c>
      <c r="AG82">
        <f>IFERROR(INDEX(TableWRCalcPts[BYE],MATCH(TableWRRanks32[[#This Row],[Player]],TableWRCalcPts[PLAYER],0)),"")</f>
        <v>11</v>
      </c>
      <c r="AH82" s="83">
        <f>IFERROR((VLOOKUP(TableWRRanks32[[#This Row],[Player]],WR!B:O,4,FALSE)),"")</f>
        <v>0</v>
      </c>
      <c r="AI82" s="83">
        <f>IFERROR((VLOOKUP(TableWRRanks32[[#This Row],[Player]],WR!B:O,5,FALSE)),"")</f>
        <v>0</v>
      </c>
      <c r="AJ82" s="83">
        <f>IFERROR((VLOOKUP(TableWRRanks32[[#This Row],[Player]],WR!B:O,6,FALSE)),"")</f>
        <v>66.140474399999988</v>
      </c>
      <c r="AK82" s="83">
        <f>IFERROR((VLOOKUP(TableWRRanks32[[#This Row],[Player]],WR!B:O,7,FALSE)),"")</f>
        <v>47.687282042399993</v>
      </c>
      <c r="AL82" s="83">
        <f>IFERROR((VLOOKUP(TableWRRanks32[[#This Row],[Player]],WR!B:O,8,FALSE)),"")</f>
        <v>472.10409221975993</v>
      </c>
      <c r="AM82" s="83">
        <f>IFERROR((VLOOKUP(TableWRRanks32[[#This Row],[Player]],WR!B:O,9,FALSE)),"")</f>
        <v>3.1950478968407996</v>
      </c>
      <c r="AN82" s="57">
        <f>IFERROR((IFERROR(INDEX(TableWRCalcPts[Custom],MATCH(TableWRRanks32[[#This Row],[RK]],TableWRCalcPts[RK],0)),"")),"")</f>
        <v>90.224337624220794</v>
      </c>
      <c r="AO8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2">
        <v>81</v>
      </c>
      <c r="AR82" t="str">
        <f>IFERROR(INDEX(TableTECalcPts[PLAYER],MATCH(TableTERanks33[[#This Row],[RK]],TableTECalcPts[RK],0)),"")</f>
        <v>AJ Barner</v>
      </c>
      <c r="AS82" t="str">
        <f>IFERROR(INDEX(TableTECalcPts[TM],MATCH(TableTERanks33[[#This Row],[Player]],TableTECalcPts[PLAYER],0)),"")</f>
        <v>SEA</v>
      </c>
      <c r="AT82">
        <f>IFERROR(INDEX(TableTECalcPts[BYE],MATCH(TableTERanks33[[#This Row],[Player]],TableTECalcPts[PLAYER],0)),"")</f>
        <v>5</v>
      </c>
      <c r="AU82" s="83">
        <f>IFERROR((VLOOKUP(TableTERanks33[[#This Row],[Player]],TE!B:O,4,FALSE)),"")</f>
        <v>5.8048241999999997</v>
      </c>
      <c r="AV82" s="83">
        <f>IFERROR((VLOOKUP(TableTERanks33[[#This Row],[Player]],TE!B:O,5,FALSE)),"")</f>
        <v>3.8950370381999999</v>
      </c>
      <c r="AW82" s="83">
        <f>IFERROR((VLOOKUP(TableTERanks33[[#This Row],[Player]],TE!B:O,6,FALSE)),"")</f>
        <v>40.157831863841999</v>
      </c>
      <c r="AX82" s="83">
        <f>IFERROR((VLOOKUP(TableTERanks33[[#This Row],[Player]],TE!B:O,7,FALSE)),"")</f>
        <v>0.23370222229199999</v>
      </c>
      <c r="AY82" s="57">
        <f>IFERROR((IFERROR(INDEX(TableTECalcPts[Custom],MATCH(TableTERanks33[[#This Row],[RK]],TableTECalcPts[RK],0)),"")),"")</f>
        <v>7.3655150392362003</v>
      </c>
      <c r="AZ8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3" spans="16:52" x14ac:dyDescent="0.2">
      <c r="P83">
        <v>82</v>
      </c>
      <c r="Q83" t="str">
        <f>IFERROR(INDEX(TableRBCalcPts[PLAYER],MATCH(TableRBRanks31[[#This Row],[RK]],TableRBCalcPts[RK],0)),"")</f>
        <v>Trey Sermon</v>
      </c>
      <c r="R83" t="str">
        <f>IFERROR(INDEX(TableRBCalcPts[TM],MATCH(TableRBRanks31[[#This Row],[Player]],TableRBCalcPts[PLAYER],0)),"")</f>
        <v>IND</v>
      </c>
      <c r="S83">
        <f>IFERROR(INDEX(TableRBCalcPts[BYE],MATCH(TableRBRanks31[[#This Row],[Player]],TableRBCalcPts[PLAYER],0)),"")</f>
        <v>11</v>
      </c>
      <c r="T83" s="83">
        <f>IFERROR((VLOOKUP(TableRBRanks31[[#This Row],[Player]],RB!B:O,4,FALSE)),"")</f>
        <v>43.872443999999994</v>
      </c>
      <c r="U83" s="83">
        <f>IFERROR((VLOOKUP(TableRBRanks31[[#This Row],[Player]],RB!B:O,5,FALSE)),"")</f>
        <v>175.48977599999998</v>
      </c>
      <c r="V83" s="83">
        <f>IFERROR((VLOOKUP(TableRBRanks31[[#This Row],[Player]],RB!B:O,6,FALSE)),"")</f>
        <v>1.2723008759999999</v>
      </c>
      <c r="W83" s="83">
        <f>IFERROR((VLOOKUP(TableRBRanks31[[#This Row],[Player]],RB!B:O,7,FALSE)),"")</f>
        <v>16.098852000000001</v>
      </c>
      <c r="X83" s="83">
        <f>IFERROR((VLOOKUP(TableRBRanks31[[#This Row],[Player]],RB!B:O,8,FALSE)),"")</f>
        <v>11.2691964</v>
      </c>
      <c r="Y83" s="83">
        <f>IFERROR((VLOOKUP(TableRBRanks31[[#This Row],[Player]],RB!B:O,9,FALSE)),"")</f>
        <v>80.01129444</v>
      </c>
      <c r="Z83" s="83">
        <f>IFERROR((VLOOKUP(TableRBRanks31[[#This Row],[Player]],RB!B:O,10,FALSE)),"")</f>
        <v>0.22538392800000001</v>
      </c>
      <c r="AA83" s="57">
        <f>IFERROR((IFERROR(INDEX(TableRBCalcPts[Custom],MATCH(TableRBRanks31[[#This Row],[RK]],TableRBCalcPts[RK],0)),"")),"")</f>
        <v>40.170814067999999</v>
      </c>
      <c r="AB8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3">
        <v>82</v>
      </c>
      <c r="AE83" t="str">
        <f>IFERROR(INDEX(TableWRCalcPts[PLAYER],MATCH(TableWRRanks32[[#This Row],[RK]],TableWRCalcPts[RK],0)),"")</f>
        <v>Troy Franklin</v>
      </c>
      <c r="AF83" t="str">
        <f>IFERROR(INDEX(TableWRCalcPts[TM],MATCH(TableWRRanks32[[#This Row],[Player]],TableWRCalcPts[PLAYER],0)),"")</f>
        <v>DEN</v>
      </c>
      <c r="AG83">
        <f>IFERROR(INDEX(TableWRCalcPts[BYE],MATCH(TableWRRanks32[[#This Row],[Player]],TableWRCalcPts[PLAYER],0)),"")</f>
        <v>9</v>
      </c>
      <c r="AH83" s="83">
        <f>IFERROR((VLOOKUP(TableWRRanks32[[#This Row],[Player]],WR!B:O,4,FALSE)),"")</f>
        <v>0</v>
      </c>
      <c r="AI83" s="83">
        <f>IFERROR((VLOOKUP(TableWRRanks32[[#This Row],[Player]],WR!B:O,5,FALSE)),"")</f>
        <v>0</v>
      </c>
      <c r="AJ83" s="83">
        <f>IFERROR((VLOOKUP(TableWRRanks32[[#This Row],[Player]],WR!B:O,6,FALSE)),"")</f>
        <v>68.50376399999999</v>
      </c>
      <c r="AK83" s="83">
        <f>IFERROR((VLOOKUP(TableWRRanks32[[#This Row],[Player]],WR!B:O,7,FALSE)),"")</f>
        <v>40.759739579999994</v>
      </c>
      <c r="AL83" s="83">
        <f>IFERROR((VLOOKUP(TableWRRanks32[[#This Row],[Player]],WR!B:O,8,FALSE)),"")</f>
        <v>513.98031610379985</v>
      </c>
      <c r="AM83" s="83">
        <f>IFERROR((VLOOKUP(TableWRRanks32[[#This Row],[Player]],WR!B:O,9,FALSE)),"")</f>
        <v>3.0569804684999995</v>
      </c>
      <c r="AN83" s="57">
        <f>IFERROR((IFERROR(INDEX(TableWRCalcPts[Custom],MATCH(TableWRRanks32[[#This Row],[RK]],TableWRCalcPts[RK],0)),"")),"")</f>
        <v>90.119784211379994</v>
      </c>
      <c r="AO8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3">
        <v>82</v>
      </c>
      <c r="AR83" t="str">
        <f>IFERROR(INDEX(TableTECalcPts[PLAYER],MATCH(TableTERanks33[[#This Row],[RK]],TableTECalcPts[RK],0)),"")</f>
        <v>Albert Okwuegbunam</v>
      </c>
      <c r="AS83" t="str">
        <f>IFERROR(INDEX(TableTECalcPts[TM],MATCH(TableTERanks33[[#This Row],[Player]],TableTECalcPts[PLAYER],0)),"")</f>
        <v>PHI</v>
      </c>
      <c r="AT83">
        <f>IFERROR(INDEX(TableTECalcPts[BYE],MATCH(TableTERanks33[[#This Row],[Player]],TableTECalcPts[PLAYER],0)),"")</f>
        <v>10</v>
      </c>
      <c r="AU83" s="83">
        <f>IFERROR((VLOOKUP(TableTERanks33[[#This Row],[Player]],TE!B:O,4,FALSE)),"")</f>
        <v>5.5784736000000006</v>
      </c>
      <c r="AV83" s="83">
        <f>IFERROR((VLOOKUP(TableTERanks33[[#This Row],[Player]],TE!B:O,5,FALSE)),"")</f>
        <v>3.6650571552000004</v>
      </c>
      <c r="AW83" s="83">
        <f>IFERROR((VLOOKUP(TableTERanks33[[#This Row],[Player]],TE!B:O,6,FALSE)),"")</f>
        <v>42.148157284800007</v>
      </c>
      <c r="AX83" s="83">
        <f>IFERROR((VLOOKUP(TableTERanks33[[#This Row],[Player]],TE!B:O,7,FALSE)),"")</f>
        <v>0.18325285776000003</v>
      </c>
      <c r="AY83" s="57">
        <f>IFERROR((IFERROR(INDEX(TableTECalcPts[Custom],MATCH(TableTERanks33[[#This Row],[RK]],TableTECalcPts[RK],0)),"")),"")</f>
        <v>7.1468614526400014</v>
      </c>
      <c r="AZ8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4" spans="16:52" x14ac:dyDescent="0.2">
      <c r="P84">
        <v>83</v>
      </c>
      <c r="Q84" t="str">
        <f>IFERROR(INDEX(TableRBCalcPts[PLAYER],MATCH(TableRBRanks31[[#This Row],[RK]],TableRBCalcPts[RK],0)),"")</f>
        <v>Miles Sanders</v>
      </c>
      <c r="R84" t="str">
        <f>IFERROR(INDEX(TableRBCalcPts[TM],MATCH(TableRBRanks31[[#This Row],[Player]],TableRBCalcPts[PLAYER],0)),"")</f>
        <v>CAR</v>
      </c>
      <c r="S84">
        <f>IFERROR(INDEX(TableRBCalcPts[BYE],MATCH(TableRBRanks31[[#This Row],[Player]],TableRBCalcPts[PLAYER],0)),"")</f>
        <v>7</v>
      </c>
      <c r="T84" s="83">
        <f>IFERROR((VLOOKUP(TableRBRanks31[[#This Row],[Player]],RB!B:O,4,FALSE)),"")</f>
        <v>49.050077999999999</v>
      </c>
      <c r="U84" s="83">
        <f>IFERROR((VLOOKUP(TableRBRanks31[[#This Row],[Player]],RB!B:O,5,FALSE)),"")</f>
        <v>195.21931043999999</v>
      </c>
      <c r="V84" s="83">
        <f>IFERROR((VLOOKUP(TableRBRanks31[[#This Row],[Player]],RB!B:O,6,FALSE)),"")</f>
        <v>1.22625195</v>
      </c>
      <c r="W84" s="83">
        <f>IFERROR((VLOOKUP(TableRBRanks31[[#This Row],[Player]],RB!B:O,7,FALSE)),"")</f>
        <v>11.583403999999998</v>
      </c>
      <c r="X84" s="83">
        <f>IFERROR((VLOOKUP(TableRBRanks31[[#This Row],[Player]],RB!B:O,8,FALSE)),"")</f>
        <v>7.7840474879999988</v>
      </c>
      <c r="Y84" s="83">
        <f>IFERROR((VLOOKUP(TableRBRanks31[[#This Row],[Player]],RB!B:O,9,FALSE)),"")</f>
        <v>53.78776814207999</v>
      </c>
      <c r="Z84" s="83">
        <f>IFERROR((VLOOKUP(TableRBRanks31[[#This Row],[Player]],RB!B:O,10,FALSE)),"")</f>
        <v>0.15568094975999999</v>
      </c>
      <c r="AA84" s="57">
        <f>IFERROR((IFERROR(INDEX(TableRBCalcPts[Custom],MATCH(TableRBRanks31[[#This Row],[RK]],TableRBCalcPts[RK],0)),"")),"")</f>
        <v>37.084329000767994</v>
      </c>
      <c r="AB8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4">
        <v>83</v>
      </c>
      <c r="AE84" t="str">
        <f>IFERROR(INDEX(TableWRCalcPts[PLAYER],MATCH(TableWRRanks32[[#This Row],[RK]],TableWRCalcPts[RK],0)),"")</f>
        <v>Nelson Agholor</v>
      </c>
      <c r="AF84" t="str">
        <f>IFERROR(INDEX(TableWRCalcPts[TM],MATCH(TableWRRanks32[[#This Row],[Player]],TableWRCalcPts[PLAYER],0)),"")</f>
        <v>BAL</v>
      </c>
      <c r="AG84">
        <f>IFERROR(INDEX(TableWRCalcPts[BYE],MATCH(TableWRRanks32[[#This Row],[Player]],TableWRCalcPts[PLAYER],0)),"")</f>
        <v>13</v>
      </c>
      <c r="AH84" s="83">
        <f>IFERROR((VLOOKUP(TableWRRanks32[[#This Row],[Player]],WR!B:O,4,FALSE)),"")</f>
        <v>0</v>
      </c>
      <c r="AI84" s="83">
        <f>IFERROR((VLOOKUP(TableWRRanks32[[#This Row],[Player]],WR!B:O,5,FALSE)),"")</f>
        <v>0</v>
      </c>
      <c r="AJ84" s="83">
        <f>IFERROR((VLOOKUP(TableWRRanks32[[#This Row],[Player]],WR!B:O,6,FALSE)),"")</f>
        <v>63.521875200000004</v>
      </c>
      <c r="AK84" s="83">
        <f>IFERROR((VLOOKUP(TableWRRanks32[[#This Row],[Player]],WR!B:O,7,FALSE)),"")</f>
        <v>40.082303251200003</v>
      </c>
      <c r="AL84" s="83">
        <f>IFERROR((VLOOKUP(TableWRRanks32[[#This Row],[Player]],WR!B:O,8,FALSE)),"")</f>
        <v>462.95060255136008</v>
      </c>
      <c r="AM84" s="83">
        <f>IFERROR((VLOOKUP(TableWRRanks32[[#This Row],[Player]],WR!B:O,9,FALSE)),"")</f>
        <v>3.2065842600960002</v>
      </c>
      <c r="AN84" s="57">
        <f>IFERROR((IFERROR(INDEX(TableWRCalcPts[Custom],MATCH(TableWRRanks32[[#This Row],[RK]],TableWRCalcPts[RK],0)),"")),"")</f>
        <v>85.575717441312008</v>
      </c>
      <c r="AO8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4">
        <v>83</v>
      </c>
      <c r="AR84" t="str">
        <f>IFERROR(INDEX(TableTECalcPts[PLAYER],MATCH(TableTERanks33[[#This Row],[RK]],TableTECalcPts[RK],0)),"")</f>
        <v>Cole Turner</v>
      </c>
      <c r="AS84" t="str">
        <f>IFERROR(INDEX(TableTECalcPts[TM],MATCH(TableTERanks33[[#This Row],[Player]],TableTECalcPts[PLAYER],0)),"")</f>
        <v>WSH</v>
      </c>
      <c r="AT84">
        <f>IFERROR(INDEX(TableTECalcPts[BYE],MATCH(TableTERanks33[[#This Row],[Player]],TableTECalcPts[PLAYER],0)),"")</f>
        <v>14</v>
      </c>
      <c r="AU84" s="83">
        <f>IFERROR((VLOOKUP(TableTERanks33[[#This Row],[Player]],TE!B:O,4,FALSE)),"")</f>
        <v>5.696788999999999</v>
      </c>
      <c r="AV84" s="83">
        <f>IFERROR((VLOOKUP(TableTERanks33[[#This Row],[Player]],TE!B:O,5,FALSE)),"")</f>
        <v>3.6687321159999993</v>
      </c>
      <c r="AW84" s="83">
        <f>IFERROR((VLOOKUP(TableTERanks33[[#This Row],[Player]],TE!B:O,6,FALSE)),"")</f>
        <v>38.081439364079998</v>
      </c>
      <c r="AX84" s="83">
        <f>IFERROR((VLOOKUP(TableTERanks33[[#This Row],[Player]],TE!B:O,7,FALSE)),"")</f>
        <v>0.23846758753999997</v>
      </c>
      <c r="AY84" s="57">
        <f>IFERROR((IFERROR(INDEX(TableTECalcPts[Custom],MATCH(TableTERanks33[[#This Row],[RK]],TableTECalcPts[RK],0)),"")),"")</f>
        <v>7.0733155196480002</v>
      </c>
      <c r="AZ8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5" spans="16:52" x14ac:dyDescent="0.2">
      <c r="P85">
        <v>84</v>
      </c>
      <c r="Q85" t="str">
        <f>IFERROR(INDEX(TableRBCalcPts[PLAYER],MATCH(TableRBRanks31[[#This Row],[RK]],TableRBCalcPts[RK],0)),"")</f>
        <v>Israel Abanikanda</v>
      </c>
      <c r="R85" t="str">
        <f>IFERROR(INDEX(TableRBCalcPts[TM],MATCH(TableRBRanks31[[#This Row],[Player]],TableRBCalcPts[PLAYER],0)),"")</f>
        <v>NYJ</v>
      </c>
      <c r="S85">
        <f>IFERROR(INDEX(TableRBCalcPts[BYE],MATCH(TableRBRanks31[[#This Row],[Player]],TableRBCalcPts[PLAYER],0)),"")</f>
        <v>7</v>
      </c>
      <c r="T85" s="83">
        <f>IFERROR((VLOOKUP(TableRBRanks31[[#This Row],[Player]],RB!B:O,4,FALSE)),"")</f>
        <v>31.034365600000008</v>
      </c>
      <c r="U85" s="83">
        <f>IFERROR((VLOOKUP(TableRBRanks31[[#This Row],[Player]],RB!B:O,5,FALSE)),"")</f>
        <v>130.34433552000004</v>
      </c>
      <c r="V85" s="83">
        <f>IFERROR((VLOOKUP(TableRBRanks31[[#This Row],[Player]],RB!B:O,6,FALSE)),"")</f>
        <v>1.0241340648000004</v>
      </c>
      <c r="W85" s="83">
        <f>IFERROR((VLOOKUP(TableRBRanks31[[#This Row],[Player]],RB!B:O,7,FALSE)),"")</f>
        <v>11.850238399999999</v>
      </c>
      <c r="X85" s="83">
        <f>IFERROR((VLOOKUP(TableRBRanks31[[#This Row],[Player]],RB!B:O,8,FALSE)),"")</f>
        <v>9.5157414351999989</v>
      </c>
      <c r="Y85" s="83">
        <f>IFERROR((VLOOKUP(TableRBRanks31[[#This Row],[Player]],RB!B:O,9,FALSE)),"")</f>
        <v>69.750384720015987</v>
      </c>
      <c r="Z85" s="83">
        <f>IFERROR((VLOOKUP(TableRBRanks31[[#This Row],[Player]],RB!B:O,10,FALSE)),"")</f>
        <v>0.38062965740799998</v>
      </c>
      <c r="AA85" s="57">
        <f>IFERROR((IFERROR(INDEX(TableRBCalcPts[Custom],MATCH(TableRBRanks31[[#This Row],[RK]],TableRBCalcPts[RK],0)),"")),"")</f>
        <v>33.195925074849605</v>
      </c>
      <c r="AB8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5">
        <v>84</v>
      </c>
      <c r="AE85" t="str">
        <f>IFERROR(INDEX(TableWRCalcPts[PLAYER],MATCH(TableWRRanks32[[#This Row],[RK]],TableWRCalcPts[RK],0)),"")</f>
        <v>Greg Dortch</v>
      </c>
      <c r="AF85" t="str">
        <f>IFERROR(INDEX(TableWRCalcPts[TM],MATCH(TableWRRanks32[[#This Row],[Player]],TableWRCalcPts[PLAYER],0)),"")</f>
        <v>ARI</v>
      </c>
      <c r="AG85">
        <f>IFERROR(INDEX(TableWRCalcPts[BYE],MATCH(TableWRRanks32[[#This Row],[Player]],TableWRCalcPts[PLAYER],0)),"")</f>
        <v>14</v>
      </c>
      <c r="AH85" s="83">
        <f>IFERROR((VLOOKUP(TableWRRanks32[[#This Row],[Player]],WR!B:O,4,FALSE)),"")</f>
        <v>45.582553799999999</v>
      </c>
      <c r="AI85" s="83">
        <f>IFERROR((VLOOKUP(TableWRRanks32[[#This Row],[Player]],WR!B:O,5,FALSE)),"")</f>
        <v>0.18160380000000001</v>
      </c>
      <c r="AJ85" s="83">
        <f>IFERROR((VLOOKUP(TableWRRanks32[[#This Row],[Player]],WR!B:O,6,FALSE)),"")</f>
        <v>64.865955</v>
      </c>
      <c r="AK85" s="83">
        <f>IFERROR((VLOOKUP(TableWRRanks32[[#This Row],[Player]],WR!B:O,7,FALSE)),"")</f>
        <v>42.162870750000003</v>
      </c>
      <c r="AL85" s="83">
        <f>IFERROR((VLOOKUP(TableWRRanks32[[#This Row],[Player]],WR!B:O,8,FALSE)),"")</f>
        <v>448.19131607250006</v>
      </c>
      <c r="AM85" s="83">
        <f>IFERROR((VLOOKUP(TableWRRanks32[[#This Row],[Player]],WR!B:O,9,FALSE)),"")</f>
        <v>2.3189578912500002</v>
      </c>
      <c r="AN85" s="57">
        <f>IFERROR((IFERROR(INDEX(TableWRCalcPts[Custom],MATCH(TableWRRanks32[[#This Row],[RK]],TableWRCalcPts[RK],0)),"")),"")</f>
        <v>85.462192509750011</v>
      </c>
      <c r="AO8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5">
        <v>84</v>
      </c>
      <c r="AR85" t="str">
        <f>IFERROR(INDEX(TableTECalcPts[PLAYER],MATCH(TableTERanks33[[#This Row],[RK]],TableTECalcPts[RK],0)),"")</f>
        <v>Payne Durham</v>
      </c>
      <c r="AS85" t="str">
        <f>IFERROR(INDEX(TableTECalcPts[TM],MATCH(TableTERanks33[[#This Row],[Player]],TableTECalcPts[PLAYER],0)),"")</f>
        <v>TB</v>
      </c>
      <c r="AT85">
        <f>IFERROR(INDEX(TableTECalcPts[BYE],MATCH(TableTERanks33[[#This Row],[Player]],TableTECalcPts[PLAYER],0)),"")</f>
        <v>5</v>
      </c>
      <c r="AU85" s="83">
        <f>IFERROR((VLOOKUP(TableTERanks33[[#This Row],[Player]],TE!B:O,4,FALSE)),"")</f>
        <v>5.9305091999999995</v>
      </c>
      <c r="AV85" s="83">
        <f>IFERROR((VLOOKUP(TableTERanks33[[#This Row],[Player]],TE!B:O,5,FALSE)),"")</f>
        <v>3.6057495935999997</v>
      </c>
      <c r="AW85" s="83">
        <f>IFERROR((VLOOKUP(TableTERanks33[[#This Row],[Player]],TE!B:O,6,FALSE)),"")</f>
        <v>37.8603707328</v>
      </c>
      <c r="AX85" s="83">
        <f>IFERROR((VLOOKUP(TableTERanks33[[#This Row],[Player]],TE!B:O,7,FALSE)),"")</f>
        <v>0.18028747968</v>
      </c>
      <c r="AY85" s="57">
        <f>IFERROR((IFERROR(INDEX(TableTECalcPts[Custom],MATCH(TableTERanks33[[#This Row],[RK]],TableTECalcPts[RK],0)),"")),"")</f>
        <v>6.6706367481600006</v>
      </c>
      <c r="AZ8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6" spans="16:52" x14ac:dyDescent="0.2">
      <c r="P86">
        <v>85</v>
      </c>
      <c r="Q86" t="str">
        <f>IFERROR(INDEX(TableRBCalcPts[PLAYER],MATCH(TableRBRanks31[[#This Row],[RK]],TableRBCalcPts[RK],0)),"")</f>
        <v>D'Ernest Johnson</v>
      </c>
      <c r="R86" t="str">
        <f>IFERROR(INDEX(TableRBCalcPts[TM],MATCH(TableRBRanks31[[#This Row],[Player]],TableRBCalcPts[PLAYER],0)),"")</f>
        <v>JAX</v>
      </c>
      <c r="S86">
        <f>IFERROR(INDEX(TableRBCalcPts[BYE],MATCH(TableRBRanks31[[#This Row],[Player]],TableRBCalcPts[PLAYER],0)),"")</f>
        <v>9</v>
      </c>
      <c r="T86" s="83">
        <f>IFERROR((VLOOKUP(TableRBRanks31[[#This Row],[Player]],RB!B:O,4,FALSE)),"")</f>
        <v>38.579562000000003</v>
      </c>
      <c r="U86" s="83">
        <f>IFERROR((VLOOKUP(TableRBRanks31[[#This Row],[Player]],RB!B:O,5,FALSE)),"")</f>
        <v>155.47563486000001</v>
      </c>
      <c r="V86" s="83">
        <f>IFERROR((VLOOKUP(TableRBRanks31[[#This Row],[Player]],RB!B:O,6,FALSE)),"")</f>
        <v>1.2731255460000002</v>
      </c>
      <c r="W86" s="83">
        <f>IFERROR((VLOOKUP(TableRBRanks31[[#This Row],[Player]],RB!B:O,7,FALSE)),"")</f>
        <v>6.0425819999999977</v>
      </c>
      <c r="X86" s="83">
        <f>IFERROR((VLOOKUP(TableRBRanks31[[#This Row],[Player]],RB!B:O,8,FALSE)),"")</f>
        <v>4.616532647999998</v>
      </c>
      <c r="Y86" s="83">
        <f>IFERROR((VLOOKUP(TableRBRanks31[[#This Row],[Player]],RB!B:O,9,FALSE)),"")</f>
        <v>33.654523003919984</v>
      </c>
      <c r="Z86" s="83">
        <f>IFERROR((VLOOKUP(TableRBRanks31[[#This Row],[Player]],RB!B:O,10,FALSE)),"")</f>
        <v>0.13849597943999994</v>
      </c>
      <c r="AA86" s="57">
        <f>IFERROR((IFERROR(INDEX(TableRBCalcPts[Custom],MATCH(TableRBRanks31[[#This Row],[RK]],TableRBCalcPts[RK],0)),"")),"")</f>
        <v>29.691011263031999</v>
      </c>
      <c r="AB8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6">
        <v>85</v>
      </c>
      <c r="AE86" t="str">
        <f>IFERROR(INDEX(TableWRCalcPts[PLAYER],MATCH(TableWRRanks32[[#This Row],[RK]],TableWRCalcPts[RK],0)),"")</f>
        <v>Elijah Moore</v>
      </c>
      <c r="AF86" t="str">
        <f>IFERROR(INDEX(TableWRCalcPts[TM],MATCH(TableWRRanks32[[#This Row],[Player]],TableWRCalcPts[PLAYER],0)),"")</f>
        <v>CLE</v>
      </c>
      <c r="AG86">
        <f>IFERROR(INDEX(TableWRCalcPts[BYE],MATCH(TableWRRanks32[[#This Row],[Player]],TableWRCalcPts[PLAYER],0)),"")</f>
        <v>5</v>
      </c>
      <c r="AH86" s="83">
        <f>IFERROR((VLOOKUP(TableWRRanks32[[#This Row],[Player]],WR!B:O,4,FALSE)),"")</f>
        <v>0</v>
      </c>
      <c r="AI86" s="83">
        <f>IFERROR((VLOOKUP(TableWRRanks32[[#This Row],[Player]],WR!B:O,5,FALSE)),"")</f>
        <v>0</v>
      </c>
      <c r="AJ86" s="83">
        <f>IFERROR((VLOOKUP(TableWRRanks32[[#This Row],[Player]],WR!B:O,6,FALSE)),"")</f>
        <v>72.583087500000005</v>
      </c>
      <c r="AK86" s="83">
        <f>IFERROR((VLOOKUP(TableWRRanks32[[#This Row],[Player]],WR!B:O,7,FALSE)),"")</f>
        <v>43.404686325</v>
      </c>
      <c r="AL86" s="83">
        <f>IFERROR((VLOOKUP(TableWRRanks32[[#This Row],[Player]],WR!B:O,8,FALSE)),"")</f>
        <v>473.1110809425</v>
      </c>
      <c r="AM86" s="83">
        <f>IFERROR((VLOOKUP(TableWRRanks32[[#This Row],[Player]],WR!B:O,9,FALSE)),"")</f>
        <v>2.6042811795</v>
      </c>
      <c r="AN86" s="57">
        <f>IFERROR((IFERROR(INDEX(TableWRCalcPts[Custom],MATCH(TableWRRanks32[[#This Row],[RK]],TableWRCalcPts[RK],0)),"")),"")</f>
        <v>84.639138333749997</v>
      </c>
      <c r="AO8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6">
        <v>85</v>
      </c>
      <c r="AR86" t="str">
        <f>IFERROR(INDEX(TableTECalcPts[PLAYER],MATCH(TableTERanks33[[#This Row],[RK]],TableTECalcPts[RK],0)),"")</f>
        <v>Quintin Morris</v>
      </c>
      <c r="AS86" t="str">
        <f>IFERROR(INDEX(TableTECalcPts[TM],MATCH(TableTERanks33[[#This Row],[Player]],TableTECalcPts[PLAYER],0)),"")</f>
        <v>BUF</v>
      </c>
      <c r="AT86">
        <f>IFERROR(INDEX(TableTECalcPts[BYE],MATCH(TableTERanks33[[#This Row],[Player]],TableTECalcPts[PLAYER],0)),"")</f>
        <v>13</v>
      </c>
      <c r="AU86" s="83">
        <f>IFERROR((VLOOKUP(TableTERanks33[[#This Row],[Player]],TE!B:O,4,FALSE)),"")</f>
        <v>6.0738047999999987</v>
      </c>
      <c r="AV86" s="83">
        <f>IFERROR((VLOOKUP(TableTERanks33[[#This Row],[Player]],TE!B:O,5,FALSE)),"")</f>
        <v>3.7050209279999993</v>
      </c>
      <c r="AW86" s="83">
        <f>IFERROR((VLOOKUP(TableTERanks33[[#This Row],[Player]],TE!B:O,6,FALSE)),"")</f>
        <v>33.345188351999994</v>
      </c>
      <c r="AX86" s="83">
        <f>IFERROR((VLOOKUP(TableTERanks33[[#This Row],[Player]],TE!B:O,7,FALSE)),"")</f>
        <v>0.22230125567999995</v>
      </c>
      <c r="AY86" s="57">
        <f>IFERROR((IFERROR(INDEX(TableTECalcPts[Custom],MATCH(TableTERanks33[[#This Row],[RK]],TableTECalcPts[RK],0)),"")),"")</f>
        <v>6.5208368332799989</v>
      </c>
      <c r="AZ8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7" spans="16:52" x14ac:dyDescent="0.2">
      <c r="P87">
        <v>86</v>
      </c>
      <c r="Q87" t="str">
        <f>IFERROR(INDEX(TableRBCalcPts[PLAYER],MATCH(TableRBRanks31[[#This Row],[RK]],TableRBCalcPts[RK],0)),"")</f>
        <v>Kenny McIntosh</v>
      </c>
      <c r="R87" t="str">
        <f>IFERROR(INDEX(TableRBCalcPts[TM],MATCH(TableRBRanks31[[#This Row],[Player]],TableRBCalcPts[PLAYER],0)),"")</f>
        <v>SEA</v>
      </c>
      <c r="S87">
        <f>IFERROR(INDEX(TableRBCalcPts[BYE],MATCH(TableRBRanks31[[#This Row],[Player]],TableRBCalcPts[PLAYER],0)),"")</f>
        <v>5</v>
      </c>
      <c r="T87" s="83">
        <f>IFERROR((VLOOKUP(TableRBRanks31[[#This Row],[Player]],RB!B:O,4,FALSE)),"")</f>
        <v>21.984879000000003</v>
      </c>
      <c r="U87" s="83">
        <f>IFERROR((VLOOKUP(TableRBRanks31[[#This Row],[Player]],RB!B:O,5,FALSE)),"")</f>
        <v>91.896794220000004</v>
      </c>
      <c r="V87" s="83">
        <f>IFERROR((VLOOKUP(TableRBRanks31[[#This Row],[Player]],RB!B:O,6,FALSE)),"")</f>
        <v>0.65954637000000005</v>
      </c>
      <c r="W87" s="83">
        <f>IFERROR((VLOOKUP(TableRBRanks31[[#This Row],[Player]],RB!B:O,7,FALSE)),"")</f>
        <v>14.512060499999999</v>
      </c>
      <c r="X87" s="83">
        <f>IFERROR((VLOOKUP(TableRBRanks31[[#This Row],[Player]],RB!B:O,8,FALSE)),"")</f>
        <v>11.406479552999999</v>
      </c>
      <c r="Y87" s="83">
        <f>IFERROR((VLOOKUP(TableRBRanks31[[#This Row],[Player]],RB!B:O,9,FALSE)),"")</f>
        <v>82.696976759249992</v>
      </c>
      <c r="Z87" s="83">
        <f>IFERROR((VLOOKUP(TableRBRanks31[[#This Row],[Player]],RB!B:O,10,FALSE)),"")</f>
        <v>0.28516198882499999</v>
      </c>
      <c r="AA87" s="57">
        <f>IFERROR((IFERROR(INDEX(TableRBCalcPts[Custom],MATCH(TableRBRanks31[[#This Row],[RK]],TableRBCalcPts[RK],0)),"")),"")</f>
        <v>28.830867027374996</v>
      </c>
      <c r="AB8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7">
        <v>86</v>
      </c>
      <c r="AE87" t="str">
        <f>IFERROR(INDEX(TableWRCalcPts[PLAYER],MATCH(TableWRRanks32[[#This Row],[RK]],TableWRCalcPts[RK],0)),"")</f>
        <v>Jalen Tolbert</v>
      </c>
      <c r="AF87" t="str">
        <f>IFERROR(INDEX(TableWRCalcPts[TM],MATCH(TableWRRanks32[[#This Row],[Player]],TableWRCalcPts[PLAYER],0)),"")</f>
        <v>DAL</v>
      </c>
      <c r="AG87">
        <f>IFERROR(INDEX(TableWRCalcPts[BYE],MATCH(TableWRRanks32[[#This Row],[Player]],TableWRCalcPts[PLAYER],0)),"")</f>
        <v>7</v>
      </c>
      <c r="AH87" s="83">
        <f>IFERROR((VLOOKUP(TableWRRanks32[[#This Row],[Player]],WR!B:O,4,FALSE)),"")</f>
        <v>0</v>
      </c>
      <c r="AI87" s="83">
        <f>IFERROR((VLOOKUP(TableWRRanks32[[#This Row],[Player]],WR!B:O,5,FALSE)),"")</f>
        <v>0</v>
      </c>
      <c r="AJ87" s="83">
        <f>IFERROR((VLOOKUP(TableWRRanks32[[#This Row],[Player]],WR!B:O,6,FALSE)),"")</f>
        <v>60.983243999999978</v>
      </c>
      <c r="AK87" s="83">
        <f>IFERROR((VLOOKUP(TableWRRanks32[[#This Row],[Player]],WR!B:O,7,FALSE)),"")</f>
        <v>37.260762083999985</v>
      </c>
      <c r="AL87" s="83">
        <f>IFERROR((VLOOKUP(TableWRRanks32[[#This Row],[Player]],WR!B:O,8,FALSE)),"")</f>
        <v>486.99816043787985</v>
      </c>
      <c r="AM87" s="83">
        <f>IFERROR((VLOOKUP(TableWRRanks32[[#This Row],[Player]],WR!B:O,9,FALSE)),"")</f>
        <v>2.7945571562999989</v>
      </c>
      <c r="AN87" s="57">
        <f>IFERROR((IFERROR(INDEX(TableWRCalcPts[Custom],MATCH(TableWRRanks32[[#This Row],[RK]],TableWRCalcPts[RK],0)),"")),"")</f>
        <v>84.097540023587982</v>
      </c>
      <c r="AO8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7">
        <v>86</v>
      </c>
      <c r="AR87" t="str">
        <f>IFERROR(INDEX(TableTECalcPts[PLAYER],MATCH(TableTERanks33[[#This Row],[RK]],TableTECalcPts[RK],0)),"")</f>
        <v/>
      </c>
      <c r="AS87" t="str">
        <f>IFERROR(INDEX(TableTECalcPts[TM],MATCH(TableTERanks33[[#This Row],[Player]],TableTECalcPts[PLAYER],0)),"")</f>
        <v/>
      </c>
      <c r="AT87" t="str">
        <f>IFERROR(INDEX(TableTECalcPts[BYE],MATCH(TableTERanks33[[#This Row],[Player]],TableTECalcPts[PLAYER],0)),"")</f>
        <v/>
      </c>
      <c r="AU87" s="83" t="str">
        <f>IFERROR((VLOOKUP(TableTERanks33[[#This Row],[Player]],TE!B:O,4,FALSE)),"")</f>
        <v/>
      </c>
      <c r="AV87" s="83" t="str">
        <f>IFERROR((VLOOKUP(TableTERanks33[[#This Row],[Player]],TE!B:O,5,FALSE)),"")</f>
        <v/>
      </c>
      <c r="AW87" s="83" t="str">
        <f>IFERROR((VLOOKUP(TableTERanks33[[#This Row],[Player]],TE!B:O,6,FALSE)),"")</f>
        <v/>
      </c>
      <c r="AX87" s="83" t="str">
        <f>IFERROR((VLOOKUP(TableTERanks33[[#This Row],[Player]],TE!B:O,7,FALSE)),"")</f>
        <v/>
      </c>
      <c r="AY87" s="57" t="str">
        <f>IFERROR((IFERROR(INDEX(TableTECalcPts[Custom],MATCH(TableTERanks33[[#This Row],[RK]],TableTECalcPts[RK],0)),"")),"")</f>
        <v/>
      </c>
      <c r="AZ87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8" spans="16:52" x14ac:dyDescent="0.2">
      <c r="P88">
        <v>87</v>
      </c>
      <c r="Q88" t="str">
        <f>IFERROR(INDEX(TableRBCalcPts[PLAYER],MATCH(TableRBRanks31[[#This Row],[RK]],TableRBCalcPts[RK],0)),"")</f>
        <v>Michael Carter</v>
      </c>
      <c r="R88" t="str">
        <f>IFERROR(INDEX(TableRBCalcPts[TM],MATCH(TableRBRanks31[[#This Row],[Player]],TableRBCalcPts[PLAYER],0)),"")</f>
        <v>ARI</v>
      </c>
      <c r="S88">
        <f>IFERROR(INDEX(TableRBCalcPts[BYE],MATCH(TableRBRanks31[[#This Row],[Player]],TableRBCalcPts[PLAYER],0)),"")</f>
        <v>14</v>
      </c>
      <c r="T88" s="83">
        <f>IFERROR((VLOOKUP(TableRBRanks31[[#This Row],[Player]],RB!B:O,4,FALSE)),"")</f>
        <v>18.16038</v>
      </c>
      <c r="U88" s="83">
        <f>IFERROR((VLOOKUP(TableRBRanks31[[#This Row],[Player]],RB!B:O,5,FALSE)),"")</f>
        <v>75.183973199999997</v>
      </c>
      <c r="V88" s="83">
        <f>IFERROR((VLOOKUP(TableRBRanks31[[#This Row],[Player]],RB!B:O,6,FALSE)),"")</f>
        <v>0.49033026000000002</v>
      </c>
      <c r="W88" s="83">
        <f>IFERROR((VLOOKUP(TableRBRanks31[[#This Row],[Player]],RB!B:O,7,FALSE)),"")</f>
        <v>17.690715000000001</v>
      </c>
      <c r="X88" s="83">
        <f>IFERROR((VLOOKUP(TableRBRanks31[[#This Row],[Player]],RB!B:O,8,FALSE)),"")</f>
        <v>13.356489825000001</v>
      </c>
      <c r="Y88" s="83">
        <f>IFERROR((VLOOKUP(TableRBRanks31[[#This Row],[Player]],RB!B:O,9,FALSE)),"")</f>
        <v>91.091260606500015</v>
      </c>
      <c r="Z88" s="83">
        <f>IFERROR((VLOOKUP(TableRBRanks31[[#This Row],[Player]],RB!B:O,10,FALSE)),"")</f>
        <v>0.33391224562500005</v>
      </c>
      <c r="AA88" s="57">
        <f>IFERROR((IFERROR(INDEX(TableRBCalcPts[Custom],MATCH(TableRBRanks31[[#This Row],[RK]],TableRBCalcPts[RK],0)),"")),"")</f>
        <v>28.2512233269</v>
      </c>
      <c r="AB8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8">
        <v>87</v>
      </c>
      <c r="AE88" t="str">
        <f>IFERROR(INDEX(TableWRCalcPts[PLAYER],MATCH(TableWRRanks32[[#This Row],[RK]],TableWRCalcPts[RK],0)),"")</f>
        <v>Andrei Iosivas</v>
      </c>
      <c r="AF88" t="str">
        <f>IFERROR(INDEX(TableWRCalcPts[TM],MATCH(TableWRRanks32[[#This Row],[Player]],TableWRCalcPts[PLAYER],0)),"")</f>
        <v>CIN</v>
      </c>
      <c r="AG88">
        <f>IFERROR(INDEX(TableWRCalcPts[BYE],MATCH(TableWRRanks32[[#This Row],[Player]],TableWRCalcPts[PLAYER],0)),"")</f>
        <v>7</v>
      </c>
      <c r="AH88" s="83">
        <f>IFERROR((VLOOKUP(TableWRRanks32[[#This Row],[Player]],WR!B:O,4,FALSE)),"")</f>
        <v>0</v>
      </c>
      <c r="AI88" s="83">
        <f>IFERROR((VLOOKUP(TableWRRanks32[[#This Row],[Player]],WR!B:O,5,FALSE)),"")</f>
        <v>0</v>
      </c>
      <c r="AJ88" s="83">
        <f>IFERROR((VLOOKUP(TableWRRanks32[[#This Row],[Player]],WR!B:O,6,FALSE)),"")</f>
        <v>62.356811999999998</v>
      </c>
      <c r="AK88" s="83">
        <f>IFERROR((VLOOKUP(TableWRRanks32[[#This Row],[Player]],WR!B:O,7,FALSE)),"")</f>
        <v>39.347148371999999</v>
      </c>
      <c r="AL88" s="83">
        <f>IFERROR((VLOOKUP(TableWRRanks32[[#This Row],[Player]],WR!B:O,8,FALSE)),"")</f>
        <v>452.49220627799997</v>
      </c>
      <c r="AM88" s="83">
        <f>IFERROR((VLOOKUP(TableWRRanks32[[#This Row],[Player]],WR!B:O,9,FALSE)),"")</f>
        <v>3.1477718697600001</v>
      </c>
      <c r="AN88" s="57">
        <f>IFERROR((IFERROR(INDEX(TableWRCalcPts[Custom],MATCH(TableWRRanks32[[#This Row],[RK]],TableWRCalcPts[RK],0)),"")),"")</f>
        <v>83.809426032359994</v>
      </c>
      <c r="AO8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8">
        <v>87</v>
      </c>
      <c r="AR88" t="str">
        <f>IFERROR(INDEX(TableTECalcPts[PLAYER],MATCH(TableTERanks33[[#This Row],[RK]],TableTECalcPts[RK],0)),"")</f>
        <v/>
      </c>
      <c r="AS88" t="str">
        <f>IFERROR(INDEX(TableTECalcPts[TM],MATCH(TableTERanks33[[#This Row],[Player]],TableTECalcPts[PLAYER],0)),"")</f>
        <v/>
      </c>
      <c r="AT88" t="str">
        <f>IFERROR(INDEX(TableTECalcPts[BYE],MATCH(TableTERanks33[[#This Row],[Player]],TableTECalcPts[PLAYER],0)),"")</f>
        <v/>
      </c>
      <c r="AU88" s="83" t="str">
        <f>IFERROR((VLOOKUP(TableTERanks33[[#This Row],[Player]],TE!B:O,4,FALSE)),"")</f>
        <v/>
      </c>
      <c r="AV88" s="83" t="str">
        <f>IFERROR((VLOOKUP(TableTERanks33[[#This Row],[Player]],TE!B:O,5,FALSE)),"")</f>
        <v/>
      </c>
      <c r="AW88" s="83" t="str">
        <f>IFERROR((VLOOKUP(TableTERanks33[[#This Row],[Player]],TE!B:O,6,FALSE)),"")</f>
        <v/>
      </c>
      <c r="AX88" s="83" t="str">
        <f>IFERROR((VLOOKUP(TableTERanks33[[#This Row],[Player]],TE!B:O,7,FALSE)),"")</f>
        <v/>
      </c>
      <c r="AY88" s="57" t="str">
        <f>IFERROR((IFERROR(INDEX(TableTECalcPts[Custom],MATCH(TableTERanks33[[#This Row],[RK]],TableTECalcPts[RK],0)),"")),"")</f>
        <v/>
      </c>
      <c r="AZ88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9" spans="16:52" x14ac:dyDescent="0.2">
      <c r="P89">
        <v>88</v>
      </c>
      <c r="Q89" t="str">
        <f>IFERROR(INDEX(TableRBCalcPts[PLAYER],MATCH(TableRBRanks31[[#This Row],[RK]],TableRBCalcPts[RK],0)),"")</f>
        <v>Isaiah Spiller</v>
      </c>
      <c r="R89" t="str">
        <f>IFERROR(INDEX(TableRBCalcPts[TM],MATCH(TableRBRanks31[[#This Row],[Player]],TableRBCalcPts[PLAYER],0)),"")</f>
        <v>LAC</v>
      </c>
      <c r="S89">
        <f>IFERROR(INDEX(TableRBCalcPts[BYE],MATCH(TableRBRanks31[[#This Row],[Player]],TableRBCalcPts[PLAYER],0)),"")</f>
        <v>5</v>
      </c>
      <c r="T89" s="83">
        <f>IFERROR((VLOOKUP(TableRBRanks31[[#This Row],[Player]],RB!B:O,4,FALSE)),"")</f>
        <v>24.070906999999998</v>
      </c>
      <c r="U89" s="83">
        <f>IFERROR((VLOOKUP(TableRBRanks31[[#This Row],[Player]],RB!B:O,5,FALSE)),"")</f>
        <v>93.876537299999995</v>
      </c>
      <c r="V89" s="83">
        <f>IFERROR((VLOOKUP(TableRBRanks31[[#This Row],[Player]],RB!B:O,6,FALSE)),"")</f>
        <v>0.72212720999999991</v>
      </c>
      <c r="W89" s="83">
        <f>IFERROR((VLOOKUP(TableRBRanks31[[#This Row],[Player]],RB!B:O,7,FALSE)),"")</f>
        <v>11.167237199999999</v>
      </c>
      <c r="X89" s="83">
        <f>IFERROR((VLOOKUP(TableRBRanks31[[#This Row],[Player]],RB!B:O,8,FALSE)),"")</f>
        <v>7.9064039375999986</v>
      </c>
      <c r="Y89" s="83">
        <f>IFERROR((VLOOKUP(TableRBRanks31[[#This Row],[Player]],RB!B:O,9,FALSE)),"")</f>
        <v>47.754679783103995</v>
      </c>
      <c r="Z89" s="83">
        <f>IFERROR((VLOOKUP(TableRBRanks31[[#This Row],[Player]],RB!B:O,10,FALSE)),"")</f>
        <v>0.23719211812799995</v>
      </c>
      <c r="AA89" s="57">
        <f>IFERROR((IFERROR(INDEX(TableRBCalcPts[Custom],MATCH(TableRBRanks31[[#This Row],[RK]],TableRBCalcPts[RK],0)),"")),"")</f>
        <v>23.872239645878398</v>
      </c>
      <c r="AB8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9">
        <v>88</v>
      </c>
      <c r="AE89" t="str">
        <f>IFERROR(INDEX(TableWRCalcPts[PLAYER],MATCH(TableWRRanks32[[#This Row],[RK]],TableWRCalcPts[RK],0)),"")</f>
        <v>Luke McCaffrey</v>
      </c>
      <c r="AF89" t="str">
        <f>IFERROR(INDEX(TableWRCalcPts[TM],MATCH(TableWRRanks32[[#This Row],[Player]],TableWRCalcPts[PLAYER],0)),"")</f>
        <v>WSH</v>
      </c>
      <c r="AG89">
        <f>IFERROR(INDEX(TableWRCalcPts[BYE],MATCH(TableWRRanks32[[#This Row],[Player]],TableWRCalcPts[PLAYER],0)),"")</f>
        <v>14</v>
      </c>
      <c r="AH89" s="83">
        <f>IFERROR((VLOOKUP(TableWRRanks32[[#This Row],[Player]],WR!B:O,4,FALSE)),"")</f>
        <v>0</v>
      </c>
      <c r="AI89" s="83">
        <f>IFERROR((VLOOKUP(TableWRRanks32[[#This Row],[Player]],WR!B:O,5,FALSE)),"")</f>
        <v>0</v>
      </c>
      <c r="AJ89" s="83">
        <f>IFERROR((VLOOKUP(TableWRRanks32[[#This Row],[Player]],WR!B:O,6,FALSE)),"")</f>
        <v>63.234357899999992</v>
      </c>
      <c r="AK89" s="83">
        <f>IFERROR((VLOOKUP(TableWRRanks32[[#This Row],[Player]],WR!B:O,7,FALSE)),"")</f>
        <v>39.015598824299992</v>
      </c>
      <c r="AL89" s="83">
        <f>IFERROR((VLOOKUP(TableWRRanks32[[#This Row],[Player]],WR!B:O,8,FALSE)),"")</f>
        <v>465.84624996214188</v>
      </c>
      <c r="AM89" s="83">
        <f>IFERROR((VLOOKUP(TableWRRanks32[[#This Row],[Player]],WR!B:O,9,FALSE)),"")</f>
        <v>2.7701075165252993</v>
      </c>
      <c r="AN89" s="57">
        <f>IFERROR((IFERROR(INDEX(TableWRCalcPts[Custom],MATCH(TableWRRanks32[[#This Row],[RK]],TableWRCalcPts[RK],0)),"")),"")</f>
        <v>82.713069507515968</v>
      </c>
      <c r="AO8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9">
        <v>88</v>
      </c>
      <c r="AR89" t="str">
        <f>IFERROR(INDEX(TableTECalcPts[PLAYER],MATCH(TableTERanks33[[#This Row],[RK]],TableTECalcPts[RK],0)),"")</f>
        <v/>
      </c>
      <c r="AS89" t="str">
        <f>IFERROR(INDEX(TableTECalcPts[TM],MATCH(TableTERanks33[[#This Row],[Player]],TableTECalcPts[PLAYER],0)),"")</f>
        <v/>
      </c>
      <c r="AT89" t="str">
        <f>IFERROR(INDEX(TableTECalcPts[BYE],MATCH(TableTERanks33[[#This Row],[Player]],TableTECalcPts[PLAYER],0)),"")</f>
        <v/>
      </c>
      <c r="AU89" s="83" t="str">
        <f>IFERROR((VLOOKUP(TableTERanks33[[#This Row],[Player]],TE!B:O,4,FALSE)),"")</f>
        <v/>
      </c>
      <c r="AV89" s="83" t="str">
        <f>IFERROR((VLOOKUP(TableTERanks33[[#This Row],[Player]],TE!B:O,5,FALSE)),"")</f>
        <v/>
      </c>
      <c r="AW89" s="83" t="str">
        <f>IFERROR((VLOOKUP(TableTERanks33[[#This Row],[Player]],TE!B:O,6,FALSE)),"")</f>
        <v/>
      </c>
      <c r="AX89" s="83" t="str">
        <f>IFERROR((VLOOKUP(TableTERanks33[[#This Row],[Player]],TE!B:O,7,FALSE)),"")</f>
        <v/>
      </c>
      <c r="AY89" s="57" t="str">
        <f>IFERROR((IFERROR(INDEX(TableTECalcPts[Custom],MATCH(TableTERanks33[[#This Row],[RK]],TableTECalcPts[RK],0)),"")),"")</f>
        <v/>
      </c>
      <c r="AZ89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0" spans="16:52" x14ac:dyDescent="0.2">
      <c r="P90">
        <v>89</v>
      </c>
      <c r="Q90" t="str">
        <f>IFERROR(INDEX(TableRBCalcPts[PLAYER],MATCH(TableRBRanks31[[#This Row],[RK]],TableRBCalcPts[RK],0)),"")</f>
        <v>Kevin Harris</v>
      </c>
      <c r="R90" t="str">
        <f>IFERROR(INDEX(TableRBCalcPts[TM],MATCH(TableRBRanks31[[#This Row],[Player]],TableRBCalcPts[PLAYER],0)),"")</f>
        <v>NE</v>
      </c>
      <c r="S90">
        <f>IFERROR(INDEX(TableRBCalcPts[BYE],MATCH(TableRBRanks31[[#This Row],[Player]],TableRBCalcPts[PLAYER],0)),"")</f>
        <v>11</v>
      </c>
      <c r="T90" s="83">
        <f>IFERROR((VLOOKUP(TableRBRanks31[[#This Row],[Player]],RB!B:O,4,FALSE)),"")</f>
        <v>30.427392800000007</v>
      </c>
      <c r="U90" s="83">
        <f>IFERROR((VLOOKUP(TableRBRanks31[[#This Row],[Player]],RB!B:O,5,FALSE)),"")</f>
        <v>125.66513226400002</v>
      </c>
      <c r="V90" s="83">
        <f>IFERROR((VLOOKUP(TableRBRanks31[[#This Row],[Player]],RB!B:O,6,FALSE)),"")</f>
        <v>0.88239439120000029</v>
      </c>
      <c r="W90" s="83">
        <f>IFERROR((VLOOKUP(TableRBRanks31[[#This Row],[Player]],RB!B:O,7,FALSE)),"")</f>
        <v>5.6688295999999987</v>
      </c>
      <c r="X90" s="83">
        <f>IFERROR((VLOOKUP(TableRBRanks31[[#This Row],[Player]],RB!B:O,8,FALSE)),"")</f>
        <v>3.8377976391999993</v>
      </c>
      <c r="Y90" s="83">
        <f>IFERROR((VLOOKUP(TableRBRanks31[[#This Row],[Player]],RB!B:O,9,FALSE)),"")</f>
        <v>30.894270995559996</v>
      </c>
      <c r="Z90" s="83">
        <f>IFERROR((VLOOKUP(TableRBRanks31[[#This Row],[Player]],RB!B:O,10,FALSE)),"")</f>
        <v>0.134322917372</v>
      </c>
      <c r="AA90" s="57">
        <f>IFERROR((IFERROR(INDEX(TableRBCalcPts[Custom],MATCH(TableRBRanks31[[#This Row],[RK]],TableRBCalcPts[RK],0)),"")),"")</f>
        <v>23.675142996988001</v>
      </c>
      <c r="AB9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0">
        <v>89</v>
      </c>
      <c r="AE90" t="str">
        <f>IFERROR(INDEX(TableWRCalcPts[PLAYER],MATCH(TableWRRanks32[[#This Row],[RK]],TableWRCalcPts[RK],0)),"")</f>
        <v>Van Jefferson</v>
      </c>
      <c r="AF90" t="str">
        <f>IFERROR(INDEX(TableWRCalcPts[TM],MATCH(TableWRRanks32[[#This Row],[Player]],TableWRCalcPts[PLAYER],0)),"")</f>
        <v>PIT</v>
      </c>
      <c r="AG90">
        <f>IFERROR(INDEX(TableWRCalcPts[BYE],MATCH(TableWRRanks32[[#This Row],[Player]],TableWRCalcPts[PLAYER],0)),"")</f>
        <v>6</v>
      </c>
      <c r="AH90" s="83">
        <f>IFERROR((VLOOKUP(TableWRRanks32[[#This Row],[Player]],WR!B:O,4,FALSE)),"")</f>
        <v>0</v>
      </c>
      <c r="AI90" s="83">
        <f>IFERROR((VLOOKUP(TableWRRanks32[[#This Row],[Player]],WR!B:O,5,FALSE)),"")</f>
        <v>0</v>
      </c>
      <c r="AJ90" s="83">
        <f>IFERROR((VLOOKUP(TableWRRanks32[[#This Row],[Player]],WR!B:O,6,FALSE)),"")</f>
        <v>63.859740000000002</v>
      </c>
      <c r="AK90" s="83">
        <f>IFERROR((VLOOKUP(TableWRRanks32[[#This Row],[Player]],WR!B:O,7,FALSE)),"")</f>
        <v>35.250576480000007</v>
      </c>
      <c r="AL90" s="83">
        <f>IFERROR((VLOOKUP(TableWRRanks32[[#This Row],[Player]],WR!B:O,8,FALSE)),"")</f>
        <v>482.22788624640009</v>
      </c>
      <c r="AM90" s="83">
        <f>IFERROR((VLOOKUP(TableWRRanks32[[#This Row],[Player]],WR!B:O,9,FALSE)),"")</f>
        <v>2.7847955419200003</v>
      </c>
      <c r="AN90" s="57">
        <f>IFERROR((IFERROR(INDEX(TableWRCalcPts[Custom],MATCH(TableWRRanks32[[#This Row],[RK]],TableWRCalcPts[RK],0)),"")),"")</f>
        <v>82.556850116160007</v>
      </c>
      <c r="AO9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0">
        <v>89</v>
      </c>
      <c r="AR90" t="str">
        <f>IFERROR(INDEX(TableTECalcPts[PLAYER],MATCH(TableTERanks33[[#This Row],[RK]],TableTECalcPts[RK],0)),"")</f>
        <v/>
      </c>
      <c r="AS90" t="str">
        <f>IFERROR(INDEX(TableTECalcPts[TM],MATCH(TableTERanks33[[#This Row],[Player]],TableTECalcPts[PLAYER],0)),"")</f>
        <v/>
      </c>
      <c r="AT90" t="str">
        <f>IFERROR(INDEX(TableTECalcPts[BYE],MATCH(TableTERanks33[[#This Row],[Player]],TableTECalcPts[PLAYER],0)),"")</f>
        <v/>
      </c>
      <c r="AU90" s="83" t="str">
        <f>IFERROR((VLOOKUP(TableTERanks33[[#This Row],[Player]],TE!B:O,4,FALSE)),"")</f>
        <v/>
      </c>
      <c r="AV90" s="83" t="str">
        <f>IFERROR((VLOOKUP(TableTERanks33[[#This Row],[Player]],TE!B:O,5,FALSE)),"")</f>
        <v/>
      </c>
      <c r="AW90" s="83" t="str">
        <f>IFERROR((VLOOKUP(TableTERanks33[[#This Row],[Player]],TE!B:O,6,FALSE)),"")</f>
        <v/>
      </c>
      <c r="AX90" s="83" t="str">
        <f>IFERROR((VLOOKUP(TableTERanks33[[#This Row],[Player]],TE!B:O,7,FALSE)),"")</f>
        <v/>
      </c>
      <c r="AY90" s="57" t="str">
        <f>IFERROR((IFERROR(INDEX(TableTECalcPts[Custom],MATCH(TableTERanks33[[#This Row],[RK]],TableTECalcPts[RK],0)),"")),"")</f>
        <v/>
      </c>
      <c r="AZ90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1" spans="16:52" x14ac:dyDescent="0.2">
      <c r="P91">
        <v>90</v>
      </c>
      <c r="Q91" t="str">
        <f>IFERROR(INDEX(TableRBCalcPts[PLAYER],MATCH(TableRBRanks31[[#This Row],[RK]],TableRBCalcPts[RK],0)),"")</f>
        <v>Hassan Haskins</v>
      </c>
      <c r="R91" t="str">
        <f>IFERROR(INDEX(TableRBCalcPts[TM],MATCH(TableRBRanks31[[#This Row],[Player]],TableRBCalcPts[PLAYER],0)),"")</f>
        <v>TEN</v>
      </c>
      <c r="S91">
        <f>IFERROR(INDEX(TableRBCalcPts[BYE],MATCH(TableRBRanks31[[#This Row],[Player]],TableRBCalcPts[PLAYER],0)),"")</f>
        <v>7</v>
      </c>
      <c r="T91" s="83">
        <f>IFERROR((VLOOKUP(TableRBRanks31[[#This Row],[Player]],RB!B:O,4,FALSE)),"")</f>
        <v>20.802705000000003</v>
      </c>
      <c r="U91" s="83">
        <f>IFERROR((VLOOKUP(TableRBRanks31[[#This Row],[Player]],RB!B:O,5,FALSE)),"")</f>
        <v>83.834901150000022</v>
      </c>
      <c r="V91" s="83">
        <f>IFERROR((VLOOKUP(TableRBRanks31[[#This Row],[Player]],RB!B:O,6,FALSE)),"")</f>
        <v>0.72809467500000014</v>
      </c>
      <c r="W91" s="83">
        <f>IFERROR((VLOOKUP(TableRBRanks31[[#This Row],[Player]],RB!B:O,7,FALSE)),"")</f>
        <v>11.729717999999997</v>
      </c>
      <c r="X91" s="83">
        <f>IFERROR((VLOOKUP(TableRBRanks31[[#This Row],[Player]],RB!B:O,8,FALSE)),"")</f>
        <v>7.9175596499999985</v>
      </c>
      <c r="Y91" s="83">
        <f>IFERROR((VLOOKUP(TableRBRanks31[[#This Row],[Player]],RB!B:O,9,FALSE)),"")</f>
        <v>56.214673514999987</v>
      </c>
      <c r="Z91" s="83">
        <f>IFERROR((VLOOKUP(TableRBRanks31[[#This Row],[Player]],RB!B:O,10,FALSE)),"")</f>
        <v>0.19793899124999997</v>
      </c>
      <c r="AA91" s="57">
        <f>IFERROR((IFERROR(INDEX(TableRBCalcPts[Custom],MATCH(TableRBRanks31[[#This Row],[RK]],TableRBCalcPts[RK],0)),"")),"")</f>
        <v>23.519939289</v>
      </c>
      <c r="AB9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1">
        <v>90</v>
      </c>
      <c r="AE91" t="str">
        <f>IFERROR(INDEX(TableWRCalcPts[PLAYER],MATCH(TableWRRanks32[[#This Row],[RK]],TableWRCalcPts[RK],0)),"")</f>
        <v>Trey Palmer</v>
      </c>
      <c r="AF91" t="str">
        <f>IFERROR(INDEX(TableWRCalcPts[TM],MATCH(TableWRRanks32[[#This Row],[Player]],TableWRCalcPts[PLAYER],0)),"")</f>
        <v>TB</v>
      </c>
      <c r="AG91">
        <f>IFERROR(INDEX(TableWRCalcPts[BYE],MATCH(TableWRRanks32[[#This Row],[Player]],TableWRCalcPts[PLAYER],0)),"")</f>
        <v>5</v>
      </c>
      <c r="AH91" s="83">
        <f>IFERROR((VLOOKUP(TableWRRanks32[[#This Row],[Player]],WR!B:O,4,FALSE)),"")</f>
        <v>24.730223364</v>
      </c>
      <c r="AI91" s="83">
        <f>IFERROR((VLOOKUP(TableWRRanks32[[#This Row],[Player]],WR!B:O,5,FALSE)),"")</f>
        <v>0.1866431952</v>
      </c>
      <c r="AJ91" s="83">
        <f>IFERROR((VLOOKUP(TableWRRanks32[[#This Row],[Player]],WR!B:O,6,FALSE)),"")</f>
        <v>56.3398374</v>
      </c>
      <c r="AK91" s="83">
        <f>IFERROR((VLOOKUP(TableWRRanks32[[#This Row],[Player]],WR!B:O,7,FALSE)),"")</f>
        <v>33.184164228599997</v>
      </c>
      <c r="AL91" s="83">
        <f>IFERROR((VLOOKUP(TableWRRanks32[[#This Row],[Player]],WR!B:O,8,FALSE)),"")</f>
        <v>426.08466869522397</v>
      </c>
      <c r="AM91" s="83">
        <f>IFERROR((VLOOKUP(TableWRRanks32[[#This Row],[Player]],WR!B:O,9,FALSE)),"")</f>
        <v>2.3228914960020002</v>
      </c>
      <c r="AN91" s="57">
        <f>IFERROR((IFERROR(INDEX(TableWRCalcPts[Custom],MATCH(TableWRRanks32[[#This Row],[RK]],TableWRCalcPts[RK],0)),"")),"")</f>
        <v>76.730779467434402</v>
      </c>
      <c r="AO9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1">
        <v>90</v>
      </c>
      <c r="AR91" t="str">
        <f>IFERROR(INDEX(TableTECalcPts[PLAYER],MATCH(TableTERanks33[[#This Row],[RK]],TableTECalcPts[RK],0)),"")</f>
        <v/>
      </c>
      <c r="AS91" t="str">
        <f>IFERROR(INDEX(TableTECalcPts[TM],MATCH(TableTERanks33[[#This Row],[Player]],TableTECalcPts[PLAYER],0)),"")</f>
        <v/>
      </c>
      <c r="AT91" t="str">
        <f>IFERROR(INDEX(TableTECalcPts[BYE],MATCH(TableTERanks33[[#This Row],[Player]],TableTECalcPts[PLAYER],0)),"")</f>
        <v/>
      </c>
      <c r="AU91" s="83" t="str">
        <f>IFERROR((VLOOKUP(TableTERanks33[[#This Row],[Player]],TE!B:O,4,FALSE)),"")</f>
        <v/>
      </c>
      <c r="AV91" s="83" t="str">
        <f>IFERROR((VLOOKUP(TableTERanks33[[#This Row],[Player]],TE!B:O,5,FALSE)),"")</f>
        <v/>
      </c>
      <c r="AW91" s="83" t="str">
        <f>IFERROR((VLOOKUP(TableTERanks33[[#This Row],[Player]],TE!B:O,6,FALSE)),"")</f>
        <v/>
      </c>
      <c r="AX91" s="83" t="str">
        <f>IFERROR((VLOOKUP(TableTERanks33[[#This Row],[Player]],TE!B:O,7,FALSE)),"")</f>
        <v/>
      </c>
      <c r="AY91" s="57" t="str">
        <f>IFERROR((IFERROR(INDEX(TableTECalcPts[Custom],MATCH(TableTERanks33[[#This Row],[RK]],TableTECalcPts[RK],0)),"")),"")</f>
        <v/>
      </c>
      <c r="AZ91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2" spans="16:52" x14ac:dyDescent="0.2">
      <c r="P92">
        <v>91</v>
      </c>
      <c r="Q92" t="str">
        <f>IFERROR(INDEX(TableRBCalcPts[PLAYER],MATCH(TableRBRanks31[[#This Row],[RK]],TableRBCalcPts[RK],0)),"")</f>
        <v>Keaontay Ingram</v>
      </c>
      <c r="R92" t="str">
        <f>IFERROR(INDEX(TableRBCalcPts[TM],MATCH(TableRBRanks31[[#This Row],[Player]],TableRBCalcPts[PLAYER],0)),"")</f>
        <v>KC</v>
      </c>
      <c r="S92">
        <f>IFERROR(INDEX(TableRBCalcPts[BYE],MATCH(TableRBRanks31[[#This Row],[Player]],TableRBCalcPts[PLAYER],0)),"")</f>
        <v>10</v>
      </c>
      <c r="T92" s="83">
        <f>IFERROR((VLOOKUP(TableRBRanks31[[#This Row],[Player]],RB!B:O,4,FALSE)),"")</f>
        <v>29.415680000000005</v>
      </c>
      <c r="U92" s="83">
        <f>IFERROR((VLOOKUP(TableRBRanks31[[#This Row],[Player]],RB!B:O,5,FALSE)),"")</f>
        <v>120.60428800000001</v>
      </c>
      <c r="V92" s="83">
        <f>IFERROR((VLOOKUP(TableRBRanks31[[#This Row],[Player]],RB!B:O,6,FALSE)),"")</f>
        <v>0.8824704000000001</v>
      </c>
      <c r="W92" s="83">
        <f>IFERROR((VLOOKUP(TableRBRanks31[[#This Row],[Player]],RB!B:O,7,FALSE)),"")</f>
        <v>6.3033599999999979</v>
      </c>
      <c r="X92" s="83">
        <f>IFERROR((VLOOKUP(TableRBRanks31[[#This Row],[Player]],RB!B:O,8,FALSE)),"")</f>
        <v>4.4123519999999985</v>
      </c>
      <c r="Y92" s="83">
        <f>IFERROR((VLOOKUP(TableRBRanks31[[#This Row],[Player]],RB!B:O,9,FALSE)),"")</f>
        <v>30.886463999999989</v>
      </c>
      <c r="Z92" s="83">
        <f>IFERROR((VLOOKUP(TableRBRanks31[[#This Row],[Player]],RB!B:O,10,FALSE)),"")</f>
        <v>0.13237055999999994</v>
      </c>
      <c r="AA92" s="57">
        <f>IFERROR((IFERROR(INDEX(TableRBCalcPts[Custom],MATCH(TableRBRanks31[[#This Row],[RK]],TableRBCalcPts[RK],0)),"")),"")</f>
        <v>23.444296960000003</v>
      </c>
      <c r="AB9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2">
        <v>91</v>
      </c>
      <c r="AE92" t="str">
        <f>IFERROR(INDEX(TableWRCalcPts[PLAYER],MATCH(TableWRRanks32[[#This Row],[RK]],TableWRCalcPts[RK],0)),"")</f>
        <v>Tyler Boyd</v>
      </c>
      <c r="AF92" t="str">
        <f>IFERROR(INDEX(TableWRCalcPts[TM],MATCH(TableWRRanks32[[#This Row],[Player]],TableWRCalcPts[PLAYER],0)),"")</f>
        <v>TEN</v>
      </c>
      <c r="AG92">
        <f>IFERROR(INDEX(TableWRCalcPts[BYE],MATCH(TableWRRanks32[[#This Row],[Player]],TableWRCalcPts[PLAYER],0)),"")</f>
        <v>7</v>
      </c>
      <c r="AH92" s="83">
        <f>IFERROR((VLOOKUP(TableWRRanks32[[#This Row],[Player]],WR!B:O,4,FALSE)),"")</f>
        <v>0</v>
      </c>
      <c r="AI92" s="83">
        <f>IFERROR((VLOOKUP(TableWRRanks32[[#This Row],[Player]],WR!B:O,5,FALSE)),"")</f>
        <v>0</v>
      </c>
      <c r="AJ92" s="83">
        <f>IFERROR((VLOOKUP(TableWRRanks32[[#This Row],[Player]],WR!B:O,6,FALSE)),"")</f>
        <v>55.716160499999987</v>
      </c>
      <c r="AK92" s="83">
        <f>IFERROR((VLOOKUP(TableWRRanks32[[#This Row],[Player]],WR!B:O,7,FALSE)),"")</f>
        <v>34.822600312499993</v>
      </c>
      <c r="AL92" s="83">
        <f>IFERROR((VLOOKUP(TableWRRanks32[[#This Row],[Player]],WR!B:O,8,FALSE)),"")</f>
        <v>402.89748561562493</v>
      </c>
      <c r="AM92" s="83">
        <f>IFERROR((VLOOKUP(TableWRRanks32[[#This Row],[Player]],WR!B:O,9,FALSE)),"")</f>
        <v>2.1590012193749994</v>
      </c>
      <c r="AN92" s="57">
        <f>IFERROR((IFERROR(INDEX(TableWRCalcPts[Custom],MATCH(TableWRRanks32[[#This Row],[RK]],TableWRCalcPts[RK],0)),"")),"")</f>
        <v>70.655056034062497</v>
      </c>
      <c r="AO9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2">
        <v>91</v>
      </c>
      <c r="AR92" t="str">
        <f>IFERROR(INDEX(TableTECalcPts[PLAYER],MATCH(TableTERanks33[[#This Row],[RK]],TableTECalcPts[RK],0)),"")</f>
        <v/>
      </c>
      <c r="AS92" t="str">
        <f>IFERROR(INDEX(TableTECalcPts[TM],MATCH(TableTERanks33[[#This Row],[Player]],TableTECalcPts[PLAYER],0)),"")</f>
        <v/>
      </c>
      <c r="AT92" t="str">
        <f>IFERROR(INDEX(TableTECalcPts[BYE],MATCH(TableTERanks33[[#This Row],[Player]],TableTECalcPts[PLAYER],0)),"")</f>
        <v/>
      </c>
      <c r="AU92" s="83" t="str">
        <f>IFERROR((VLOOKUP(TableTERanks33[[#This Row],[Player]],TE!B:O,4,FALSE)),"")</f>
        <v/>
      </c>
      <c r="AV92" s="83" t="str">
        <f>IFERROR((VLOOKUP(TableTERanks33[[#This Row],[Player]],TE!B:O,5,FALSE)),"")</f>
        <v/>
      </c>
      <c r="AW92" s="83" t="str">
        <f>IFERROR((VLOOKUP(TableTERanks33[[#This Row],[Player]],TE!B:O,6,FALSE)),"")</f>
        <v/>
      </c>
      <c r="AX92" s="83" t="str">
        <f>IFERROR((VLOOKUP(TableTERanks33[[#This Row],[Player]],TE!B:O,7,FALSE)),"")</f>
        <v/>
      </c>
      <c r="AY92" s="57" t="str">
        <f>IFERROR((IFERROR(INDEX(TableTECalcPts[Custom],MATCH(TableTERanks33[[#This Row],[RK]],TableTECalcPts[RK],0)),"")),"")</f>
        <v/>
      </c>
      <c r="AZ92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3" spans="16:52" x14ac:dyDescent="0.2">
      <c r="P93">
        <v>92</v>
      </c>
      <c r="Q93" t="str">
        <f>IFERROR(INDEX(TableRBCalcPts[PLAYER],MATCH(TableRBRanks31[[#This Row],[RK]],TableRBCalcPts[RK],0)),"")</f>
        <v>Evan Hull</v>
      </c>
      <c r="R93" t="str">
        <f>IFERROR(INDEX(TableRBCalcPts[TM],MATCH(TableRBRanks31[[#This Row],[Player]],TableRBCalcPts[PLAYER],0)),"")</f>
        <v>IND</v>
      </c>
      <c r="S93">
        <f>IFERROR(INDEX(TableRBCalcPts[BYE],MATCH(TableRBRanks31[[#This Row],[Player]],TableRBCalcPts[PLAYER],0)),"")</f>
        <v>11</v>
      </c>
      <c r="T93" s="83">
        <f>IFERROR((VLOOKUP(TableRBRanks31[[#This Row],[Player]],RB!B:O,4,FALSE)),"")</f>
        <v>19.498863999999998</v>
      </c>
      <c r="U93" s="83">
        <f>IFERROR((VLOOKUP(TableRBRanks31[[#This Row],[Player]],RB!B:O,5,FALSE)),"")</f>
        <v>83.65012655999999</v>
      </c>
      <c r="V93" s="83">
        <f>IFERROR((VLOOKUP(TableRBRanks31[[#This Row],[Player]],RB!B:O,6,FALSE)),"")</f>
        <v>0.56546705599999991</v>
      </c>
      <c r="W93" s="83">
        <f>IFERROR((VLOOKUP(TableRBRanks31[[#This Row],[Player]],RB!B:O,7,FALSE)),"")</f>
        <v>10.732568000000001</v>
      </c>
      <c r="X93" s="83">
        <f>IFERROR((VLOOKUP(TableRBRanks31[[#This Row],[Player]],RB!B:O,8,FALSE)),"")</f>
        <v>7.6523209840000002</v>
      </c>
      <c r="Y93" s="83">
        <f>IFERROR((VLOOKUP(TableRBRanks31[[#This Row],[Player]],RB!B:O,9,FALSE)),"")</f>
        <v>60.30028935392</v>
      </c>
      <c r="Z93" s="83">
        <f>IFERROR((VLOOKUP(TableRBRanks31[[#This Row],[Player]],RB!B:O,10,FALSE)),"")</f>
        <v>0.22956962951999998</v>
      </c>
      <c r="AA93" s="57">
        <f>IFERROR((IFERROR(INDEX(TableRBCalcPts[Custom],MATCH(TableRBRanks31[[#This Row],[RK]],TableRBCalcPts[RK],0)),"")),"")</f>
        <v>22.991422196511998</v>
      </c>
      <c r="AB9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3">
        <v>92</v>
      </c>
      <c r="AE93" t="str">
        <f>IFERROR(INDEX(TableWRCalcPts[PLAYER],MATCH(TableWRRanks32[[#This Row],[RK]],TableWRCalcPts[RK],0)),"")</f>
        <v>Cedrick Wilson</v>
      </c>
      <c r="AF93" t="str">
        <f>IFERROR(INDEX(TableWRCalcPts[TM],MATCH(TableWRRanks32[[#This Row],[Player]],TableWRCalcPts[PLAYER],0)),"")</f>
        <v>NO</v>
      </c>
      <c r="AG93">
        <f>IFERROR(INDEX(TableWRCalcPts[BYE],MATCH(TableWRRanks32[[#This Row],[Player]],TableWRCalcPts[PLAYER],0)),"")</f>
        <v>11</v>
      </c>
      <c r="AH93" s="83">
        <f>IFERROR((VLOOKUP(TableWRRanks32[[#This Row],[Player]],WR!B:O,4,FALSE)),"")</f>
        <v>0</v>
      </c>
      <c r="AI93" s="83">
        <f>IFERROR((VLOOKUP(TableWRRanks32[[#This Row],[Player]],WR!B:O,5,FALSE)),"")</f>
        <v>0</v>
      </c>
      <c r="AJ93" s="83">
        <f>IFERROR((VLOOKUP(TableWRRanks32[[#This Row],[Player]],WR!B:O,6,FALSE)),"")</f>
        <v>61.196624103999987</v>
      </c>
      <c r="AK93" s="83">
        <f>IFERROR((VLOOKUP(TableWRRanks32[[#This Row],[Player]],WR!B:O,7,FALSE)),"")</f>
        <v>36.717974462399994</v>
      </c>
      <c r="AL93" s="83">
        <f>IFERROR((VLOOKUP(TableWRRanks32[[#This Row],[Player]],WR!B:O,8,FALSE)),"")</f>
        <v>396.55412419391996</v>
      </c>
      <c r="AM93" s="83">
        <f>IFERROR((VLOOKUP(TableWRRanks32[[#This Row],[Player]],WR!B:O,9,FALSE)),"")</f>
        <v>1.9827706209695997</v>
      </c>
      <c r="AN93" s="57">
        <f>IFERROR((IFERROR(INDEX(TableWRCalcPts[Custom],MATCH(TableWRRanks32[[#This Row],[RK]],TableWRCalcPts[RK],0)),"")),"")</f>
        <v>69.911023376409588</v>
      </c>
      <c r="AO9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3">
        <v>92</v>
      </c>
      <c r="AR93" t="str">
        <f>IFERROR(INDEX(TableTECalcPts[PLAYER],MATCH(TableTERanks33[[#This Row],[RK]],TableTECalcPts[RK],0)),"")</f>
        <v/>
      </c>
      <c r="AS93" t="str">
        <f>IFERROR(INDEX(TableTECalcPts[TM],MATCH(TableTERanks33[[#This Row],[Player]],TableTECalcPts[PLAYER],0)),"")</f>
        <v/>
      </c>
      <c r="AT93" t="str">
        <f>IFERROR(INDEX(TableTECalcPts[BYE],MATCH(TableTERanks33[[#This Row],[Player]],TableTECalcPts[PLAYER],0)),"")</f>
        <v/>
      </c>
      <c r="AU93" s="83" t="str">
        <f>IFERROR((VLOOKUP(TableTERanks33[[#This Row],[Player]],TE!B:O,4,FALSE)),"")</f>
        <v/>
      </c>
      <c r="AV93" s="83" t="str">
        <f>IFERROR((VLOOKUP(TableTERanks33[[#This Row],[Player]],TE!B:O,5,FALSE)),"")</f>
        <v/>
      </c>
      <c r="AW93" s="83" t="str">
        <f>IFERROR((VLOOKUP(TableTERanks33[[#This Row],[Player]],TE!B:O,6,FALSE)),"")</f>
        <v/>
      </c>
      <c r="AX93" s="83" t="str">
        <f>IFERROR((VLOOKUP(TableTERanks33[[#This Row],[Player]],TE!B:O,7,FALSE)),"")</f>
        <v/>
      </c>
      <c r="AY93" s="57" t="str">
        <f>IFERROR((IFERROR(INDEX(TableTECalcPts[Custom],MATCH(TableTERanks33[[#This Row],[RK]],TableTECalcPts[RK],0)),"")),"")</f>
        <v/>
      </c>
      <c r="AZ93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4" spans="16:52" x14ac:dyDescent="0.2">
      <c r="P94">
        <v>93</v>
      </c>
      <c r="Q94" t="str">
        <f>IFERROR(INDEX(TableRBCalcPts[PLAYER],MATCH(TableRBRanks31[[#This Row],[RK]],TableRBCalcPts[RK],0)),"")</f>
        <v>Jaleel McLaughlin</v>
      </c>
      <c r="R94" t="str">
        <f>IFERROR(INDEX(TableRBCalcPts[TM],MATCH(TableRBRanks31[[#This Row],[Player]],TableRBCalcPts[PLAYER],0)),"")</f>
        <v>DEN</v>
      </c>
      <c r="S94">
        <f>IFERROR(INDEX(TableRBCalcPts[BYE],MATCH(TableRBRanks31[[#This Row],[Player]],TableRBCalcPts[PLAYER],0)),"")</f>
        <v>9</v>
      </c>
      <c r="T94" s="83">
        <f>IFERROR((VLOOKUP(TableRBRanks31[[#This Row],[Player]],RB!B:O,4,FALSE)),"")</f>
        <v>17.580612000000002</v>
      </c>
      <c r="U94" s="83">
        <f>IFERROR((VLOOKUP(TableRBRanks31[[#This Row],[Player]],RB!B:O,5,FALSE)),"")</f>
        <v>81.574039679999998</v>
      </c>
      <c r="V94" s="83">
        <f>IFERROR((VLOOKUP(TableRBRanks31[[#This Row],[Player]],RB!B:O,6,FALSE)),"")</f>
        <v>0.4922571360000001</v>
      </c>
      <c r="W94" s="83">
        <f>IFERROR((VLOOKUP(TableRBRanks31[[#This Row],[Player]],RB!B:O,7,FALSE)),"")</f>
        <v>11.417294</v>
      </c>
      <c r="X94" s="83">
        <f>IFERROR((VLOOKUP(TableRBRanks31[[#This Row],[Player]],RB!B:O,8,FALSE)),"")</f>
        <v>8.7913163799999996</v>
      </c>
      <c r="Y94" s="83">
        <f>IFERROR((VLOOKUP(TableRBRanks31[[#This Row],[Player]],RB!B:O,9,FALSE)),"")</f>
        <v>55.473206357799995</v>
      </c>
      <c r="Z94" s="83">
        <f>IFERROR((VLOOKUP(TableRBRanks31[[#This Row],[Player]],RB!B:O,10,FALSE)),"")</f>
        <v>0.21978290950000001</v>
      </c>
      <c r="AA94" s="57">
        <f>IFERROR((IFERROR(INDEX(TableRBCalcPts[Custom],MATCH(TableRBRanks31[[#This Row],[RK]],TableRBCalcPts[RK],0)),"")),"")</f>
        <v>22.372623066780001</v>
      </c>
      <c r="AB9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4">
        <v>93</v>
      </c>
      <c r="AE94" t="str">
        <f>IFERROR(INDEX(TableWRCalcPts[PLAYER],MATCH(TableWRRanks32[[#This Row],[RK]],TableWRCalcPts[RK],0)),"")</f>
        <v>Jalen McMillan</v>
      </c>
      <c r="AF94" t="str">
        <f>IFERROR(INDEX(TableWRCalcPts[TM],MATCH(TableWRRanks32[[#This Row],[Player]],TableWRCalcPts[PLAYER],0)),"")</f>
        <v>TB</v>
      </c>
      <c r="AG94">
        <f>IFERROR(INDEX(TableWRCalcPts[BYE],MATCH(TableWRRanks32[[#This Row],[Player]],TableWRCalcPts[PLAYER],0)),"")</f>
        <v>5</v>
      </c>
      <c r="AH94" s="83">
        <f>IFERROR((VLOOKUP(TableWRRanks32[[#This Row],[Player]],WR!B:O,4,FALSE)),"")</f>
        <v>0</v>
      </c>
      <c r="AI94" s="83">
        <f>IFERROR((VLOOKUP(TableWRRanks32[[#This Row],[Player]],WR!B:O,5,FALSE)),"")</f>
        <v>0</v>
      </c>
      <c r="AJ94" s="83">
        <f>IFERROR((VLOOKUP(TableWRRanks32[[#This Row],[Player]],WR!B:O,6,FALSE)),"")</f>
        <v>53.374582799999999</v>
      </c>
      <c r="AK94" s="83">
        <f>IFERROR((VLOOKUP(TableWRRanks32[[#This Row],[Player]],WR!B:O,7,FALSE)),"")</f>
        <v>32.558495508</v>
      </c>
      <c r="AL94" s="83">
        <f>IFERROR((VLOOKUP(TableWRRanks32[[#This Row],[Player]],WR!B:O,8,FALSE)),"")</f>
        <v>383.53907708423998</v>
      </c>
      <c r="AM94" s="83">
        <f>IFERROR((VLOOKUP(TableWRRanks32[[#This Row],[Player]],WR!B:O,9,FALSE)),"")</f>
        <v>2.2790946855600001</v>
      </c>
      <c r="AN94" s="57">
        <f>IFERROR((IFERROR(INDEX(TableWRCalcPts[Custom],MATCH(TableWRRanks32[[#This Row],[RK]],TableWRCalcPts[RK],0)),"")),"")</f>
        <v>68.307723575783996</v>
      </c>
      <c r="AO9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4">
        <v>93</v>
      </c>
      <c r="AR94" t="str">
        <f>IFERROR(INDEX(TableTECalcPts[PLAYER],MATCH(TableTERanks33[[#This Row],[RK]],TableTECalcPts[RK],0)),"")</f>
        <v/>
      </c>
      <c r="AS94" t="str">
        <f>IFERROR(INDEX(TableTECalcPts[TM],MATCH(TableTERanks33[[#This Row],[Player]],TableTECalcPts[PLAYER],0)),"")</f>
        <v/>
      </c>
      <c r="AT94" t="str">
        <f>IFERROR(INDEX(TableTECalcPts[BYE],MATCH(TableTERanks33[[#This Row],[Player]],TableTECalcPts[PLAYER],0)),"")</f>
        <v/>
      </c>
      <c r="AU94" s="83" t="str">
        <f>IFERROR((VLOOKUP(TableTERanks33[[#This Row],[Player]],TE!B:O,4,FALSE)),"")</f>
        <v/>
      </c>
      <c r="AV94" s="83" t="str">
        <f>IFERROR((VLOOKUP(TableTERanks33[[#This Row],[Player]],TE!B:O,5,FALSE)),"")</f>
        <v/>
      </c>
      <c r="AW94" s="83" t="str">
        <f>IFERROR((VLOOKUP(TableTERanks33[[#This Row],[Player]],TE!B:O,6,FALSE)),"")</f>
        <v/>
      </c>
      <c r="AX94" s="83" t="str">
        <f>IFERROR((VLOOKUP(TableTERanks33[[#This Row],[Player]],TE!B:O,7,FALSE)),"")</f>
        <v/>
      </c>
      <c r="AY94" s="57" t="str">
        <f>IFERROR((IFERROR(INDEX(TableTECalcPts[Custom],MATCH(TableTERanks33[[#This Row],[RK]],TableTECalcPts[RK],0)),"")),"")</f>
        <v/>
      </c>
      <c r="AZ94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5" spans="16:52" x14ac:dyDescent="0.2">
      <c r="P95">
        <v>94</v>
      </c>
      <c r="Q95" t="str">
        <f>IFERROR(INDEX(TableRBCalcPts[PLAYER],MATCH(TableRBRanks31[[#This Row],[RK]],TableRBCalcPts[RK],0)),"")</f>
        <v>Royce Freeman</v>
      </c>
      <c r="R95" t="str">
        <f>IFERROR(INDEX(TableRBCalcPts[TM],MATCH(TableRBRanks31[[#This Row],[Player]],TableRBCalcPts[PLAYER],0)),"")</f>
        <v>DAL</v>
      </c>
      <c r="S95">
        <f>IFERROR(INDEX(TableRBCalcPts[BYE],MATCH(TableRBRanks31[[#This Row],[Player]],TableRBCalcPts[PLAYER],0)),"")</f>
        <v>7</v>
      </c>
      <c r="T95" s="83">
        <f>IFERROR((VLOOKUP(TableRBRanks31[[#This Row],[Player]],RB!B:O,4,FALSE)),"")</f>
        <v>24.994615800000002</v>
      </c>
      <c r="U95" s="83">
        <f>IFERROR((VLOOKUP(TableRBRanks31[[#This Row],[Player]],RB!B:O,5,FALSE)),"")</f>
        <v>104.22754788600001</v>
      </c>
      <c r="V95" s="83">
        <f>IFERROR((VLOOKUP(TableRBRanks31[[#This Row],[Player]],RB!B:O,6,FALSE)),"")</f>
        <v>0.87481155300000013</v>
      </c>
      <c r="W95" s="83">
        <f>IFERROR((VLOOKUP(TableRBRanks31[[#This Row],[Player]],RB!B:O,7,FALSE)),"")</f>
        <v>6.0983243999999974</v>
      </c>
      <c r="X95" s="83">
        <f>IFERROR((VLOOKUP(TableRBRanks31[[#This Row],[Player]],RB!B:O,8,FALSE)),"")</f>
        <v>4.5737432999999985</v>
      </c>
      <c r="Y95" s="83">
        <f>IFERROR((VLOOKUP(TableRBRanks31[[#This Row],[Player]],RB!B:O,9,FALSE)),"")</f>
        <v>32.382102563999993</v>
      </c>
      <c r="Z95" s="83">
        <f>IFERROR((VLOOKUP(TableRBRanks31[[#This Row],[Player]],RB!B:O,10,FALSE)),"")</f>
        <v>0.13721229899999995</v>
      </c>
      <c r="AA95" s="57">
        <f>IFERROR((IFERROR(INDEX(TableRBCalcPts[Custom],MATCH(TableRBRanks31[[#This Row],[RK]],TableRBCalcPts[RK],0)),"")),"")</f>
        <v>22.019979806999999</v>
      </c>
      <c r="AB9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5">
        <v>94</v>
      </c>
      <c r="AE95" t="str">
        <f>IFERROR(INDEX(TableWRCalcPts[PLAYER],MATCH(TableWRRanks32[[#This Row],[RK]],TableWRCalcPts[RK],0)),"")</f>
        <v>JuJu Smith-Schuster</v>
      </c>
      <c r="AF95" t="str">
        <f>IFERROR(INDEX(TableWRCalcPts[TM],MATCH(TableWRRanks32[[#This Row],[Player]],TableWRCalcPts[PLAYER],0)),"")</f>
        <v>NE</v>
      </c>
      <c r="AG95">
        <f>IFERROR(INDEX(TableWRCalcPts[BYE],MATCH(TableWRRanks32[[#This Row],[Player]],TableWRCalcPts[PLAYER],0)),"")</f>
        <v>11</v>
      </c>
      <c r="AH95" s="83">
        <f>IFERROR((VLOOKUP(TableWRRanks32[[#This Row],[Player]],WR!B:O,4,FALSE)),"")</f>
        <v>0</v>
      </c>
      <c r="AI95" s="83">
        <f>IFERROR((VLOOKUP(TableWRRanks32[[#This Row],[Player]],WR!B:O,5,FALSE)),"")</f>
        <v>0</v>
      </c>
      <c r="AJ95" s="83">
        <f>IFERROR((VLOOKUP(TableWRRanks32[[#This Row],[Player]],WR!B:O,6,FALSE)),"")</f>
        <v>56.688295999999987</v>
      </c>
      <c r="AK95" s="83">
        <f>IFERROR((VLOOKUP(TableWRRanks32[[#This Row],[Player]],WR!B:O,7,FALSE)),"")</f>
        <v>35.37349670399999</v>
      </c>
      <c r="AL95" s="83">
        <f>IFERROR((VLOOKUP(TableWRRanks32[[#This Row],[Player]],WR!B:O,8,FALSE)),"")</f>
        <v>345.5990627980799</v>
      </c>
      <c r="AM95" s="83">
        <f>IFERROR((VLOOKUP(TableWRRanks32[[#This Row],[Player]],WR!B:O,9,FALSE)),"")</f>
        <v>2.0516628088319995</v>
      </c>
      <c r="AN95" s="57">
        <f>IFERROR((IFERROR(INDEX(TableWRCalcPts[Custom],MATCH(TableWRRanks32[[#This Row],[RK]],TableWRCalcPts[RK],0)),"")),"")</f>
        <v>64.556631484799979</v>
      </c>
      <c r="AO9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5">
        <v>94</v>
      </c>
      <c r="AR95" t="str">
        <f>IFERROR(INDEX(TableTECalcPts[PLAYER],MATCH(TableTERanks33[[#This Row],[RK]],TableTECalcPts[RK],0)),"")</f>
        <v/>
      </c>
      <c r="AS95" t="str">
        <f>IFERROR(INDEX(TableTECalcPts[TM],MATCH(TableTERanks33[[#This Row],[Player]],TableTECalcPts[PLAYER],0)),"")</f>
        <v/>
      </c>
      <c r="AT95" t="str">
        <f>IFERROR(INDEX(TableTECalcPts[BYE],MATCH(TableTERanks33[[#This Row],[Player]],TableTECalcPts[PLAYER],0)),"")</f>
        <v/>
      </c>
      <c r="AU95" s="83" t="str">
        <f>IFERROR((VLOOKUP(TableTERanks33[[#This Row],[Player]],TE!B:O,4,FALSE)),"")</f>
        <v/>
      </c>
      <c r="AV95" s="83" t="str">
        <f>IFERROR((VLOOKUP(TableTERanks33[[#This Row],[Player]],TE!B:O,5,FALSE)),"")</f>
        <v/>
      </c>
      <c r="AW95" s="83" t="str">
        <f>IFERROR((VLOOKUP(TableTERanks33[[#This Row],[Player]],TE!B:O,6,FALSE)),"")</f>
        <v/>
      </c>
      <c r="AX95" s="83" t="str">
        <f>IFERROR((VLOOKUP(TableTERanks33[[#This Row],[Player]],TE!B:O,7,FALSE)),"")</f>
        <v/>
      </c>
      <c r="AY95" s="57" t="str">
        <f>IFERROR((IFERROR(INDEX(TableTECalcPts[Custom],MATCH(TableTERanks33[[#This Row],[RK]],TableTECalcPts[RK],0)),"")),"")</f>
        <v/>
      </c>
      <c r="AZ95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6" spans="16:52" x14ac:dyDescent="0.2">
      <c r="P96">
        <v>95</v>
      </c>
      <c r="Q96" t="str">
        <f>IFERROR(INDEX(TableRBCalcPts[PLAYER],MATCH(TableRBRanks31[[#This Row],[RK]],TableRBCalcPts[RK],0)),"")</f>
        <v>Chris Evans</v>
      </c>
      <c r="R96" t="str">
        <f>IFERROR(INDEX(TableRBCalcPts[TM],MATCH(TableRBRanks31[[#This Row],[Player]],TableRBCalcPts[PLAYER],0)),"")</f>
        <v>CIN</v>
      </c>
      <c r="S96">
        <f>IFERROR(INDEX(TableRBCalcPts[BYE],MATCH(TableRBRanks31[[#This Row],[Player]],TableRBCalcPts[PLAYER],0)),"")</f>
        <v>7</v>
      </c>
      <c r="T96" s="83">
        <f>IFERROR((VLOOKUP(TableRBRanks31[[#This Row],[Player]],RB!B:O,4,FALSE)),"")</f>
        <v>11.810156399999997</v>
      </c>
      <c r="U96" s="83">
        <f>IFERROR((VLOOKUP(TableRBRanks31[[#This Row],[Player]],RB!B:O,5,FALSE)),"")</f>
        <v>49.720758443999983</v>
      </c>
      <c r="V96" s="83">
        <f>IFERROR((VLOOKUP(TableRBRanks31[[#This Row],[Player]],RB!B:O,6,FALSE)),"")</f>
        <v>0.37792500479999991</v>
      </c>
      <c r="W96" s="83">
        <f>IFERROR((VLOOKUP(TableRBRanks31[[#This Row],[Player]],RB!B:O,7,FALSE)),"")</f>
        <v>12.471362399999999</v>
      </c>
      <c r="X96" s="83">
        <f>IFERROR((VLOOKUP(TableRBRanks31[[#This Row],[Player]],RB!B:O,8,FALSE)),"")</f>
        <v>10.0519180944</v>
      </c>
      <c r="Y96" s="83">
        <f>IFERROR((VLOOKUP(TableRBRanks31[[#This Row],[Player]],RB!B:O,9,FALSE)),"")</f>
        <v>68.353043041919989</v>
      </c>
      <c r="Z96" s="83">
        <f>IFERROR((VLOOKUP(TableRBRanks31[[#This Row],[Player]],RB!B:O,10,FALSE)),"")</f>
        <v>0.351817133304</v>
      </c>
      <c r="AA96" s="57">
        <f>IFERROR((IFERROR(INDEX(TableRBCalcPts[Custom],MATCH(TableRBRanks31[[#This Row],[RK]],TableRBCalcPts[RK],0)),"")),"")</f>
        <v>21.211792024415999</v>
      </c>
      <c r="AB9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6">
        <v>95</v>
      </c>
      <c r="AE96" t="str">
        <f>IFERROR(INDEX(TableWRCalcPts[PLAYER],MATCH(TableWRRanks32[[#This Row],[RK]],TableWRCalcPts[RK],0)),"")</f>
        <v>Ricky Pearsall</v>
      </c>
      <c r="AF96" t="str">
        <f>IFERROR(INDEX(TableWRCalcPts[TM],MATCH(TableWRRanks32[[#This Row],[Player]],TableWRCalcPts[PLAYER],0)),"")</f>
        <v>SF</v>
      </c>
      <c r="AG96">
        <f>IFERROR(INDEX(TableWRCalcPts[BYE],MATCH(TableWRRanks32[[#This Row],[Player]],TableWRCalcPts[PLAYER],0)),"")</f>
        <v>9</v>
      </c>
      <c r="AH96" s="83">
        <f>IFERROR((VLOOKUP(TableWRRanks32[[#This Row],[Player]],WR!B:O,4,FALSE)),"")</f>
        <v>0</v>
      </c>
      <c r="AI96" s="83">
        <f>IFERROR((VLOOKUP(TableWRRanks32[[#This Row],[Player]],WR!B:O,5,FALSE)),"")</f>
        <v>0</v>
      </c>
      <c r="AJ96" s="83">
        <f>IFERROR((VLOOKUP(TableWRRanks32[[#This Row],[Player]],WR!B:O,6,FALSE)),"")</f>
        <v>42.602716799999996</v>
      </c>
      <c r="AK96" s="83">
        <f>IFERROR((VLOOKUP(TableWRRanks32[[#This Row],[Player]],WR!B:O,7,FALSE)),"")</f>
        <v>27.521355052799997</v>
      </c>
      <c r="AL96" s="83">
        <f>IFERROR((VLOOKUP(TableWRRanks32[[#This Row],[Player]],WR!B:O,8,FALSE)),"")</f>
        <v>356.12633438323195</v>
      </c>
      <c r="AM96" s="83">
        <f>IFERROR((VLOOKUP(TableWRRanks32[[#This Row],[Player]],WR!B:O,9,FALSE)),"")</f>
        <v>2.3393151794880001</v>
      </c>
      <c r="AN96" s="57">
        <f>IFERROR((IFERROR(INDEX(TableWRCalcPts[Custom],MATCH(TableWRRanks32[[#This Row],[RK]],TableWRCalcPts[RK],0)),"")),"")</f>
        <v>63.409202041651184</v>
      </c>
      <c r="AO9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6">
        <v>95</v>
      </c>
      <c r="AR96" t="str">
        <f>IFERROR(INDEX(TableTECalcPts[PLAYER],MATCH(TableTERanks33[[#This Row],[RK]],TableTECalcPts[RK],0)),"")</f>
        <v/>
      </c>
      <c r="AS96" t="str">
        <f>IFERROR(INDEX(TableTECalcPts[TM],MATCH(TableTERanks33[[#This Row],[Player]],TableTECalcPts[PLAYER],0)),"")</f>
        <v/>
      </c>
      <c r="AT96" t="str">
        <f>IFERROR(INDEX(TableTECalcPts[BYE],MATCH(TableTERanks33[[#This Row],[Player]],TableTECalcPts[PLAYER],0)),"")</f>
        <v/>
      </c>
      <c r="AU96" s="83" t="str">
        <f>IFERROR((VLOOKUP(TableTERanks33[[#This Row],[Player]],TE!B:O,4,FALSE)),"")</f>
        <v/>
      </c>
      <c r="AV96" s="83" t="str">
        <f>IFERROR((VLOOKUP(TableTERanks33[[#This Row],[Player]],TE!B:O,5,FALSE)),"")</f>
        <v/>
      </c>
      <c r="AW96" s="83" t="str">
        <f>IFERROR((VLOOKUP(TableTERanks33[[#This Row],[Player]],TE!B:O,6,FALSE)),"")</f>
        <v/>
      </c>
      <c r="AX96" s="83" t="str">
        <f>IFERROR((VLOOKUP(TableTERanks33[[#This Row],[Player]],TE!B:O,7,FALSE)),"")</f>
        <v/>
      </c>
      <c r="AY96" s="57" t="str">
        <f>IFERROR((IFERROR(INDEX(TableTECalcPts[Custom],MATCH(TableTERanks33[[#This Row],[RK]],TableTECalcPts[RK],0)),"")),"")</f>
        <v/>
      </c>
      <c r="AZ96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7" spans="16:52" x14ac:dyDescent="0.2">
      <c r="P97">
        <v>96</v>
      </c>
      <c r="Q97" t="str">
        <f>IFERROR(INDEX(TableRBCalcPts[PLAYER],MATCH(TableRBRanks31[[#This Row],[RK]],TableRBCalcPts[RK],0)),"")</f>
        <v>Justice Hill</v>
      </c>
      <c r="R97" t="str">
        <f>IFERROR(INDEX(TableRBCalcPts[TM],MATCH(TableRBRanks31[[#This Row],[Player]],TableRBCalcPts[PLAYER],0)),"")</f>
        <v>BAL</v>
      </c>
      <c r="S97">
        <f>IFERROR(INDEX(TableRBCalcPts[BYE],MATCH(TableRBRanks31[[#This Row],[Player]],TableRBCalcPts[PLAYER],0)),"")</f>
        <v>13</v>
      </c>
      <c r="T97" s="83">
        <f>IFERROR((VLOOKUP(TableRBRanks31[[#This Row],[Player]],RB!B:O,4,FALSE)),"")</f>
        <v>7.8769655999999992</v>
      </c>
      <c r="U97" s="83">
        <f>IFERROR((VLOOKUP(TableRBRanks31[[#This Row],[Player]],RB!B:O,5,FALSE)),"")</f>
        <v>36.234041759999997</v>
      </c>
      <c r="V97" s="83">
        <f>IFERROR((VLOOKUP(TableRBRanks31[[#This Row],[Player]],RB!B:O,6,FALSE)),"")</f>
        <v>0.27569379599999999</v>
      </c>
      <c r="W97" s="83">
        <f>IFERROR((VLOOKUP(TableRBRanks31[[#This Row],[Player]],RB!B:O,7,FALSE)),"")</f>
        <v>13.233724000000002</v>
      </c>
      <c r="X97" s="83">
        <f>IFERROR((VLOOKUP(TableRBRanks31[[#This Row],[Player]],RB!B:O,8,FALSE)),"")</f>
        <v>10.176733756000003</v>
      </c>
      <c r="Y97" s="83">
        <f>IFERROR((VLOOKUP(TableRBRanks31[[#This Row],[Player]],RB!B:O,9,FALSE)),"")</f>
        <v>70.219462916400019</v>
      </c>
      <c r="Z97" s="83">
        <f>IFERROR((VLOOKUP(TableRBRanks31[[#This Row],[Player]],RB!B:O,10,FALSE)),"")</f>
        <v>0.45795301902000007</v>
      </c>
      <c r="AA97" s="57">
        <f>IFERROR((IFERROR(INDEX(TableRBCalcPts[Custom],MATCH(TableRBRanks31[[#This Row],[RK]],TableRBCalcPts[RK],0)),"")),"")</f>
        <v>20.135598235760003</v>
      </c>
      <c r="AB9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7">
        <v>96</v>
      </c>
      <c r="AE97" t="str">
        <f>IFERROR(INDEX(TableWRCalcPts[PLAYER],MATCH(TableWRRanks32[[#This Row],[RK]],TableWRCalcPts[RK],0)),"")</f>
        <v>Brandon Powell</v>
      </c>
      <c r="AF97" t="str">
        <f>IFERROR(INDEX(TableWRCalcPts[TM],MATCH(TableWRRanks32[[#This Row],[Player]],TableWRCalcPts[PLAYER],0)),"")</f>
        <v>MIN</v>
      </c>
      <c r="AG97">
        <f>IFERROR(INDEX(TableWRCalcPts[BYE],MATCH(TableWRRanks32[[#This Row],[Player]],TableWRCalcPts[PLAYER],0)),"")</f>
        <v>13</v>
      </c>
      <c r="AH97" s="83">
        <f>IFERROR((VLOOKUP(TableWRRanks32[[#This Row],[Player]],WR!B:O,4,FALSE)),"")</f>
        <v>0</v>
      </c>
      <c r="AI97" s="83">
        <f>IFERROR((VLOOKUP(TableWRRanks32[[#This Row],[Player]],WR!B:O,5,FALSE)),"")</f>
        <v>0</v>
      </c>
      <c r="AJ97" s="83">
        <f>IFERROR((VLOOKUP(TableWRRanks32[[#This Row],[Player]],WR!B:O,6,FALSE)),"")</f>
        <v>55.989359999999998</v>
      </c>
      <c r="AK97" s="83">
        <f>IFERROR((VLOOKUP(TableWRRanks32[[#This Row],[Player]],WR!B:O,7,FALSE)),"")</f>
        <v>33.593615999999997</v>
      </c>
      <c r="AL97" s="83">
        <f>IFERROR((VLOOKUP(TableWRRanks32[[#This Row],[Player]],WR!B:O,8,FALSE)),"")</f>
        <v>340.63926623999998</v>
      </c>
      <c r="AM97" s="83">
        <f>IFERROR((VLOOKUP(TableWRRanks32[[#This Row],[Player]],WR!B:O,9,FALSE)),"")</f>
        <v>1.6796807999999999</v>
      </c>
      <c r="AN97" s="57">
        <f>IFERROR((IFERROR(INDEX(TableWRCalcPts[Custom],MATCH(TableWRRanks32[[#This Row],[RK]],TableWRCalcPts[RK],0)),"")),"")</f>
        <v>60.938819423999995</v>
      </c>
      <c r="AO9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7">
        <v>96</v>
      </c>
      <c r="AR97" t="str">
        <f>IFERROR(INDEX(TableTECalcPts[PLAYER],MATCH(TableTERanks33[[#This Row],[RK]],TableTECalcPts[RK],0)),"")</f>
        <v/>
      </c>
      <c r="AS97" t="str">
        <f>IFERROR(INDEX(TableTECalcPts[TM],MATCH(TableTERanks33[[#This Row],[Player]],TableTECalcPts[PLAYER],0)),"")</f>
        <v/>
      </c>
      <c r="AT97" t="str">
        <f>IFERROR(INDEX(TableTECalcPts[BYE],MATCH(TableTERanks33[[#This Row],[Player]],TableTECalcPts[PLAYER],0)),"")</f>
        <v/>
      </c>
      <c r="AU97" s="83" t="str">
        <f>IFERROR((VLOOKUP(TableTERanks33[[#This Row],[Player]],TE!B:O,4,FALSE)),"")</f>
        <v/>
      </c>
      <c r="AV97" s="83" t="str">
        <f>IFERROR((VLOOKUP(TableTERanks33[[#This Row],[Player]],TE!B:O,5,FALSE)),"")</f>
        <v/>
      </c>
      <c r="AW97" s="83" t="str">
        <f>IFERROR((VLOOKUP(TableTERanks33[[#This Row],[Player]],TE!B:O,6,FALSE)),"")</f>
        <v/>
      </c>
      <c r="AX97" s="83" t="str">
        <f>IFERROR((VLOOKUP(TableTERanks33[[#This Row],[Player]],TE!B:O,7,FALSE)),"")</f>
        <v/>
      </c>
      <c r="AY97" s="57" t="str">
        <f>IFERROR((IFERROR(INDEX(TableTECalcPts[Custom],MATCH(TableTERanks33[[#This Row],[RK]],TableTECalcPts[RK],0)),"")),"")</f>
        <v/>
      </c>
      <c r="AZ97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8" spans="16:52" x14ac:dyDescent="0.2">
      <c r="P98">
        <v>97</v>
      </c>
      <c r="Q98" t="str">
        <f>IFERROR(INDEX(TableRBCalcPts[PLAYER],MATCH(TableRBRanks31[[#This Row],[RK]],TableRBCalcPts[RK],0)),"")</f>
        <v>Craig Reynolds</v>
      </c>
      <c r="R98" t="str">
        <f>IFERROR(INDEX(TableRBCalcPts[TM],MATCH(TableRBRanks31[[#This Row],[Player]],TableRBCalcPts[PLAYER],0)),"")</f>
        <v>DET</v>
      </c>
      <c r="S98">
        <f>IFERROR(INDEX(TableRBCalcPts[BYE],MATCH(TableRBRanks31[[#This Row],[Player]],TableRBCalcPts[PLAYER],0)),"")</f>
        <v>9</v>
      </c>
      <c r="T98" s="83">
        <f>IFERROR((VLOOKUP(TableRBRanks31[[#This Row],[Player]],RB!B:O,4,FALSE)),"")</f>
        <v>22.355270000000004</v>
      </c>
      <c r="U98" s="83">
        <f>IFERROR((VLOOKUP(TableRBRanks31[[#This Row],[Player]],RB!B:O,5,FALSE)),"")</f>
        <v>89.421080000000018</v>
      </c>
      <c r="V98" s="83">
        <f>IFERROR((VLOOKUP(TableRBRanks31[[#This Row],[Player]],RB!B:O,6,FALSE)),"")</f>
        <v>0.80478972000000015</v>
      </c>
      <c r="W98" s="83">
        <f>IFERROR((VLOOKUP(TableRBRanks31[[#This Row],[Player]],RB!B:O,7,FALSE)),"")</f>
        <v>5.9267459999999987</v>
      </c>
      <c r="X98" s="83">
        <f>IFERROR((VLOOKUP(TableRBRanks31[[#This Row],[Player]],RB!B:O,8,FALSE)),"")</f>
        <v>4.148722199999999</v>
      </c>
      <c r="Y98" s="83">
        <f>IFERROR((VLOOKUP(TableRBRanks31[[#This Row],[Player]],RB!B:O,9,FALSE)),"")</f>
        <v>29.041055399999994</v>
      </c>
      <c r="Z98" s="83">
        <f>IFERROR((VLOOKUP(TableRBRanks31[[#This Row],[Player]],RB!B:O,10,FALSE)),"")</f>
        <v>8.2974443999999981E-2</v>
      </c>
      <c r="AA98" s="57">
        <f>IFERROR((IFERROR(INDEX(TableRBCalcPts[Custom],MATCH(TableRBRanks31[[#This Row],[RK]],TableRBCalcPts[RK],0)),"")),"")</f>
        <v>19.247159624000005</v>
      </c>
      <c r="AB9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8">
        <v>97</v>
      </c>
      <c r="AE98" t="str">
        <f>IFERROR(INDEX(TableWRCalcPts[PLAYER],MATCH(TableWRRanks32[[#This Row],[RK]],TableWRCalcPts[RK],0)),"")</f>
        <v>Kalif Raymond</v>
      </c>
      <c r="AF98" t="str">
        <f>IFERROR(INDEX(TableWRCalcPts[TM],MATCH(TableWRRanks32[[#This Row],[Player]],TableWRCalcPts[PLAYER],0)),"")</f>
        <v>DET</v>
      </c>
      <c r="AG98">
        <f>IFERROR(INDEX(TableWRCalcPts[BYE],MATCH(TableWRRanks32[[#This Row],[Player]],TableWRCalcPts[PLAYER],0)),"")</f>
        <v>9</v>
      </c>
      <c r="AH98" s="83">
        <f>IFERROR((VLOOKUP(TableWRRanks32[[#This Row],[Player]],WR!B:O,4,FALSE)),"")</f>
        <v>0</v>
      </c>
      <c r="AI98" s="83">
        <f>IFERROR((VLOOKUP(TableWRRanks32[[#This Row],[Player]],WR!B:O,5,FALSE)),"")</f>
        <v>0</v>
      </c>
      <c r="AJ98" s="83">
        <f>IFERROR((VLOOKUP(TableWRRanks32[[#This Row],[Player]],WR!B:O,6,FALSE)),"")</f>
        <v>41.487221999999996</v>
      </c>
      <c r="AK98" s="83">
        <f>IFERROR((VLOOKUP(TableWRRanks32[[#This Row],[Player]],WR!B:O,7,FALSE)),"")</f>
        <v>29.207004287999997</v>
      </c>
      <c r="AL98" s="83">
        <f>IFERROR((VLOOKUP(TableWRRanks32[[#This Row],[Player]],WR!B:O,8,FALSE)),"")</f>
        <v>351.36026158463994</v>
      </c>
      <c r="AM98" s="83">
        <f>IFERROR((VLOOKUP(TableWRRanks32[[#This Row],[Player]],WR!B:O,9,FALSE)),"")</f>
        <v>1.7524202572799998</v>
      </c>
      <c r="AN98" s="57">
        <f>IFERROR((IFERROR(INDEX(TableWRCalcPts[Custom],MATCH(TableWRRanks32[[#This Row],[RK]],TableWRCalcPts[RK],0)),"")),"")</f>
        <v>60.254049846143992</v>
      </c>
      <c r="AO9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8">
        <v>97</v>
      </c>
      <c r="AR98" t="str">
        <f>IFERROR(INDEX(TableTECalcPts[PLAYER],MATCH(TableTERanks33[[#This Row],[RK]],TableTECalcPts[RK],0)),"")</f>
        <v/>
      </c>
      <c r="AS98" t="str">
        <f>IFERROR(INDEX(TableTECalcPts[TM],MATCH(TableTERanks33[[#This Row],[Player]],TableTECalcPts[PLAYER],0)),"")</f>
        <v/>
      </c>
      <c r="AT98" t="str">
        <f>IFERROR(INDEX(TableTECalcPts[BYE],MATCH(TableTERanks33[[#This Row],[Player]],TableTECalcPts[PLAYER],0)),"")</f>
        <v/>
      </c>
      <c r="AU98" s="83" t="str">
        <f>IFERROR((VLOOKUP(TableTERanks33[[#This Row],[Player]],TE!B:O,4,FALSE)),"")</f>
        <v/>
      </c>
      <c r="AV98" s="83" t="str">
        <f>IFERROR((VLOOKUP(TableTERanks33[[#This Row],[Player]],TE!B:O,5,FALSE)),"")</f>
        <v/>
      </c>
      <c r="AW98" s="83" t="str">
        <f>IFERROR((VLOOKUP(TableTERanks33[[#This Row],[Player]],TE!B:O,6,FALSE)),"")</f>
        <v/>
      </c>
      <c r="AX98" s="83" t="str">
        <f>IFERROR((VLOOKUP(TableTERanks33[[#This Row],[Player]],TE!B:O,7,FALSE)),"")</f>
        <v/>
      </c>
      <c r="AY98" s="57" t="str">
        <f>IFERROR((IFERROR(INDEX(TableTECalcPts[Custom],MATCH(TableTERanks33[[#This Row],[RK]],TableTECalcPts[RK],0)),"")),"")</f>
        <v/>
      </c>
      <c r="AZ98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9" spans="16:52" x14ac:dyDescent="0.2">
      <c r="P99">
        <v>98</v>
      </c>
      <c r="Q99" t="str">
        <f>IFERROR(INDEX(TableRBCalcPts[PLAYER],MATCH(TableRBRanks31[[#This Row],[RK]],TableRBCalcPts[RK],0)),"")</f>
        <v>Deon Jackson</v>
      </c>
      <c r="R99" t="str">
        <f>IFERROR(INDEX(TableRBCalcPts[TM],MATCH(TableRBRanks31[[#This Row],[Player]],TableRBCalcPts[PLAYER],0)),"")</f>
        <v>NYG</v>
      </c>
      <c r="S99">
        <f>IFERROR(INDEX(TableRBCalcPts[BYE],MATCH(TableRBRanks31[[#This Row],[Player]],TableRBCalcPts[PLAYER],0)),"")</f>
        <v>13</v>
      </c>
      <c r="T99" s="83">
        <f>IFERROR((VLOOKUP(TableRBRanks31[[#This Row],[Player]],RB!B:O,4,FALSE)),"")</f>
        <v>21.927304000000003</v>
      </c>
      <c r="U99" s="83">
        <f>IFERROR((VLOOKUP(TableRBRanks31[[#This Row],[Player]],RB!B:O,5,FALSE)),"")</f>
        <v>86.612850800000018</v>
      </c>
      <c r="V99" s="83">
        <f>IFERROR((VLOOKUP(TableRBRanks31[[#This Row],[Player]],RB!B:O,6,FALSE)),"")</f>
        <v>0.74552833600000012</v>
      </c>
      <c r="W99" s="83">
        <f>IFERROR((VLOOKUP(TableRBRanks31[[#This Row],[Player]],RB!B:O,7,FALSE)),"")</f>
        <v>5.884939199999998</v>
      </c>
      <c r="X99" s="83">
        <f>IFERROR((VLOOKUP(TableRBRanks31[[#This Row],[Player]],RB!B:O,8,FALSE)),"")</f>
        <v>4.1959616495999983</v>
      </c>
      <c r="Y99" s="83">
        <f>IFERROR((VLOOKUP(TableRBRanks31[[#This Row],[Player]],RB!B:O,9,FALSE)),"")</f>
        <v>31.469712371999986</v>
      </c>
      <c r="Z99" s="83">
        <f>IFERROR((VLOOKUP(TableRBRanks31[[#This Row],[Player]],RB!B:O,10,FALSE)),"")</f>
        <v>0.12587884948799993</v>
      </c>
      <c r="AA99" s="57">
        <f>IFERROR((IFERROR(INDEX(TableRBCalcPts[Custom],MATCH(TableRBRanks31[[#This Row],[RK]],TableRBCalcPts[RK],0)),"")),"")</f>
        <v>19.134680254928</v>
      </c>
      <c r="AB9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9">
        <v>98</v>
      </c>
      <c r="AE99" t="str">
        <f>IFERROR(INDEX(TableWRCalcPts[PLAYER],MATCH(TableWRRanks32[[#This Row],[RK]],TableWRCalcPts[RK],0)),"")</f>
        <v>Dontayvion Wicks</v>
      </c>
      <c r="AF99" t="str">
        <f>IFERROR(INDEX(TableWRCalcPts[TM],MATCH(TableWRRanks32[[#This Row],[Player]],TableWRCalcPts[PLAYER],0)),"")</f>
        <v>GB</v>
      </c>
      <c r="AG99">
        <f>IFERROR(INDEX(TableWRCalcPts[BYE],MATCH(TableWRRanks32[[#This Row],[Player]],TableWRCalcPts[PLAYER],0)),"")</f>
        <v>6</v>
      </c>
      <c r="AH99" s="83">
        <f>IFERROR((VLOOKUP(TableWRRanks32[[#This Row],[Player]],WR!B:O,4,FALSE)),"")</f>
        <v>0</v>
      </c>
      <c r="AI99" s="83">
        <f>IFERROR((VLOOKUP(TableWRRanks32[[#This Row],[Player]],WR!B:O,5,FALSE)),"")</f>
        <v>0</v>
      </c>
      <c r="AJ99" s="83">
        <f>IFERROR((VLOOKUP(TableWRRanks32[[#This Row],[Player]],WR!B:O,6,FALSE)),"")</f>
        <v>39.914224000000004</v>
      </c>
      <c r="AK99" s="83">
        <f>IFERROR((VLOOKUP(TableWRRanks32[[#This Row],[Player]],WR!B:O,7,FALSE)),"")</f>
        <v>25.385446464000005</v>
      </c>
      <c r="AL99" s="83">
        <f>IFERROR((VLOOKUP(TableWRRanks32[[#This Row],[Player]],WR!B:O,8,FALSE)),"")</f>
        <v>325.44142366848007</v>
      </c>
      <c r="AM99" s="83">
        <f>IFERROR((VLOOKUP(TableWRRanks32[[#This Row],[Player]],WR!B:O,9,FALSE)),"")</f>
        <v>2.4116174140800006</v>
      </c>
      <c r="AN99" s="57">
        <f>IFERROR((IFERROR(INDEX(TableWRCalcPts[Custom],MATCH(TableWRRanks32[[#This Row],[RK]],TableWRCalcPts[RK],0)),"")),"")</f>
        <v>59.706570083328018</v>
      </c>
      <c r="AO9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9">
        <v>98</v>
      </c>
      <c r="AR99" t="str">
        <f>IFERROR(INDEX(TableTECalcPts[PLAYER],MATCH(TableTERanks33[[#This Row],[RK]],TableTECalcPts[RK],0)),"")</f>
        <v/>
      </c>
      <c r="AS99" t="str">
        <f>IFERROR(INDEX(TableTECalcPts[TM],MATCH(TableTERanks33[[#This Row],[Player]],TableTECalcPts[PLAYER],0)),"")</f>
        <v/>
      </c>
      <c r="AT99" t="str">
        <f>IFERROR(INDEX(TableTECalcPts[BYE],MATCH(TableTERanks33[[#This Row],[Player]],TableTECalcPts[PLAYER],0)),"")</f>
        <v/>
      </c>
      <c r="AU99" s="83" t="str">
        <f>IFERROR((VLOOKUP(TableTERanks33[[#This Row],[Player]],TE!B:O,4,FALSE)),"")</f>
        <v/>
      </c>
      <c r="AV99" s="83" t="str">
        <f>IFERROR((VLOOKUP(TableTERanks33[[#This Row],[Player]],TE!B:O,5,FALSE)),"")</f>
        <v/>
      </c>
      <c r="AW99" s="83" t="str">
        <f>IFERROR((VLOOKUP(TableTERanks33[[#This Row],[Player]],TE!B:O,6,FALSE)),"")</f>
        <v/>
      </c>
      <c r="AX99" s="83" t="str">
        <f>IFERROR((VLOOKUP(TableTERanks33[[#This Row],[Player]],TE!B:O,7,FALSE)),"")</f>
        <v/>
      </c>
      <c r="AY99" s="57" t="str">
        <f>IFERROR((IFERROR(INDEX(TableTECalcPts[Custom],MATCH(TableTERanks33[[#This Row],[RK]],TableTECalcPts[RK],0)),"")),"")</f>
        <v/>
      </c>
      <c r="AZ99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0" spans="16:52" x14ac:dyDescent="0.2">
      <c r="P100">
        <v>99</v>
      </c>
      <c r="Q100" t="str">
        <f>IFERROR(INDEX(TableRBCalcPts[PLAYER],MATCH(TableRBRanks31[[#This Row],[RK]],TableRBCalcPts[RK],0)),"")</f>
        <v>Raheem Blackshear</v>
      </c>
      <c r="R100" t="str">
        <f>IFERROR(INDEX(TableRBCalcPts[TM],MATCH(TableRBRanks31[[#This Row],[Player]],TableRBCalcPts[PLAYER],0)),"")</f>
        <v>CAR</v>
      </c>
      <c r="S100">
        <f>IFERROR(INDEX(TableRBCalcPts[BYE],MATCH(TableRBRanks31[[#This Row],[Player]],TableRBCalcPts[PLAYER],0)),"")</f>
        <v>7</v>
      </c>
      <c r="T100" s="83">
        <f>IFERROR((VLOOKUP(TableRBRanks31[[#This Row],[Player]],RB!B:O,4,FALSE)),"")</f>
        <v>22.295490000000004</v>
      </c>
      <c r="U100" s="83">
        <f>IFERROR((VLOOKUP(TableRBRanks31[[#This Row],[Player]],RB!B:O,5,FALSE)),"")</f>
        <v>87.621275700000027</v>
      </c>
      <c r="V100" s="83">
        <f>IFERROR((VLOOKUP(TableRBRanks31[[#This Row],[Player]],RB!B:O,6,FALSE)),"")</f>
        <v>0.55738725000000011</v>
      </c>
      <c r="W100" s="83">
        <f>IFERROR((VLOOKUP(TableRBRanks31[[#This Row],[Player]],RB!B:O,7,FALSE)),"")</f>
        <v>5.791701999999999</v>
      </c>
      <c r="X100" s="83">
        <f>IFERROR((VLOOKUP(TableRBRanks31[[#This Row],[Player]],RB!B:O,8,FALSE)),"")</f>
        <v>4.1005250159999989</v>
      </c>
      <c r="Y100" s="83">
        <f>IFERROR((VLOOKUP(TableRBRanks31[[#This Row],[Player]],RB!B:O,9,FALSE)),"")</f>
        <v>31.656053123519989</v>
      </c>
      <c r="Z100" s="83">
        <f>IFERROR((VLOOKUP(TableRBRanks31[[#This Row],[Player]],RB!B:O,10,FALSE)),"")</f>
        <v>0.10251312539999997</v>
      </c>
      <c r="AA100" s="57">
        <f>IFERROR((IFERROR(INDEX(TableRBCalcPts[Custom],MATCH(TableRBRanks31[[#This Row],[RK]],TableRBCalcPts[RK],0)),"")),"")</f>
        <v>17.937397642752</v>
      </c>
      <c r="AB10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0">
        <v>99</v>
      </c>
      <c r="AE100" t="str">
        <f>IFERROR(INDEX(TableWRCalcPts[PLAYER],MATCH(TableWRRanks32[[#This Row],[RK]],TableWRCalcPts[RK],0)),"")</f>
        <v>Odell Beckham</v>
      </c>
      <c r="AF100" t="str">
        <f>IFERROR(INDEX(TableWRCalcPts[TM],MATCH(TableWRRanks32[[#This Row],[Player]],TableWRCalcPts[PLAYER],0)),"")</f>
        <v>MIA</v>
      </c>
      <c r="AG100">
        <f>IFERROR(INDEX(TableWRCalcPts[BYE],MATCH(TableWRRanks32[[#This Row],[Player]],TableWRCalcPts[PLAYER],0)),"")</f>
        <v>10</v>
      </c>
      <c r="AH100" s="83">
        <f>IFERROR((VLOOKUP(TableWRRanks32[[#This Row],[Player]],WR!B:O,4,FALSE)),"")</f>
        <v>0</v>
      </c>
      <c r="AI100" s="83">
        <f>IFERROR((VLOOKUP(TableWRRanks32[[#This Row],[Player]],WR!B:O,5,FALSE)),"")</f>
        <v>0</v>
      </c>
      <c r="AJ100" s="83">
        <f>IFERROR((VLOOKUP(TableWRRanks32[[#This Row],[Player]],WR!B:O,6,FALSE)),"")</f>
        <v>41.043105599999997</v>
      </c>
      <c r="AK100" s="83">
        <f>IFERROR((VLOOKUP(TableWRRanks32[[#This Row],[Player]],WR!B:O,7,FALSE)),"")</f>
        <v>23.887087459199996</v>
      </c>
      <c r="AL100" s="83">
        <f>IFERROR((VLOOKUP(TableWRRanks32[[#This Row],[Player]],WR!B:O,8,FALSE)),"")</f>
        <v>338.00228754767994</v>
      </c>
      <c r="AM100" s="83">
        <f>IFERROR((VLOOKUP(TableWRRanks32[[#This Row],[Player]],WR!B:O,9,FALSE)),"")</f>
        <v>1.9587411716543999</v>
      </c>
      <c r="AN100" s="57">
        <f>IFERROR((IFERROR(INDEX(TableWRCalcPts[Custom],MATCH(TableWRRanks32[[#This Row],[RK]],TableWRCalcPts[RK],0)),"")),"")</f>
        <v>57.496219514294395</v>
      </c>
      <c r="AO10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100">
        <v>99</v>
      </c>
      <c r="AR100" t="str">
        <f>IFERROR(INDEX(TableTECalcPts[PLAYER],MATCH(TableTERanks33[[#This Row],[RK]],TableTECalcPts[RK],0)),"")</f>
        <v/>
      </c>
      <c r="AS100" t="str">
        <f>IFERROR(INDEX(TableTECalcPts[TM],MATCH(TableTERanks33[[#This Row],[Player]],TableTECalcPts[PLAYER],0)),"")</f>
        <v/>
      </c>
      <c r="AT100" t="str">
        <f>IFERROR(INDEX(TableTECalcPts[BYE],MATCH(TableTERanks33[[#This Row],[Player]],TableTECalcPts[PLAYER],0)),"")</f>
        <v/>
      </c>
      <c r="AU100" s="83" t="str">
        <f>IFERROR((VLOOKUP(TableTERanks33[[#This Row],[Player]],TE!B:O,4,FALSE)),"")</f>
        <v/>
      </c>
      <c r="AV100" s="83" t="str">
        <f>IFERROR((VLOOKUP(TableTERanks33[[#This Row],[Player]],TE!B:O,5,FALSE)),"")</f>
        <v/>
      </c>
      <c r="AW100" s="83" t="str">
        <f>IFERROR((VLOOKUP(TableTERanks33[[#This Row],[Player]],TE!B:O,6,FALSE)),"")</f>
        <v/>
      </c>
      <c r="AX100" s="83" t="str">
        <f>IFERROR((VLOOKUP(TableTERanks33[[#This Row],[Player]],TE!B:O,7,FALSE)),"")</f>
        <v/>
      </c>
      <c r="AY100" s="57" t="str">
        <f>IFERROR((IFERROR(INDEX(TableTECalcPts[Custom],MATCH(TableTERanks33[[#This Row],[RK]],TableTECalcPts[RK],0)),"")),"")</f>
        <v/>
      </c>
      <c r="AZ100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1" spans="16:52" x14ac:dyDescent="0.2">
      <c r="P101">
        <v>100</v>
      </c>
      <c r="Q101" t="str">
        <f>IFERROR(INDEX(TableRBCalcPts[PLAYER],MATCH(TableRBRanks31[[#This Row],[RK]],TableRBCalcPts[RK],0)),"")</f>
        <v>Chris Rodriguez</v>
      </c>
      <c r="R101" t="str">
        <f>IFERROR(INDEX(TableRBCalcPts[TM],MATCH(TableRBRanks31[[#This Row],[Player]],TableRBCalcPts[PLAYER],0)),"")</f>
        <v>WSH</v>
      </c>
      <c r="S101">
        <f>IFERROR(INDEX(TableRBCalcPts[BYE],MATCH(TableRBRanks31[[#This Row],[Player]],TableRBCalcPts[PLAYER],0)),"")</f>
        <v>14</v>
      </c>
      <c r="T101" s="83">
        <f>IFERROR((VLOOKUP(TableRBRanks31[[#This Row],[Player]],RB!B:O,4,FALSE)),"")</f>
        <v>16.247738500000001</v>
      </c>
      <c r="U101" s="83">
        <f>IFERROR((VLOOKUP(TableRBRanks31[[#This Row],[Player]],RB!B:O,5,FALSE)),"")</f>
        <v>68.24050170000001</v>
      </c>
      <c r="V101" s="83">
        <f>IFERROR((VLOOKUP(TableRBRanks31[[#This Row],[Player]],RB!B:O,6,FALSE)),"")</f>
        <v>0.40619346250000005</v>
      </c>
      <c r="W101" s="83">
        <f>IFERROR((VLOOKUP(TableRBRanks31[[#This Row],[Player]],RB!B:O,7,FALSE)),"")</f>
        <v>8.5451834999999985</v>
      </c>
      <c r="X101" s="83">
        <f>IFERROR((VLOOKUP(TableRBRanks31[[#This Row],[Player]],RB!B:O,8,FALSE)),"")</f>
        <v>6.1781676704999988</v>
      </c>
      <c r="Y101" s="83">
        <f>IFERROR((VLOOKUP(TableRBRanks31[[#This Row],[Player]],RB!B:O,9,FALSE)),"")</f>
        <v>43.123610340089996</v>
      </c>
      <c r="Z101" s="83">
        <f>IFERROR((VLOOKUP(TableRBRanks31[[#This Row],[Player]],RB!B:O,10,FALSE)),"")</f>
        <v>0.15445419176249997</v>
      </c>
      <c r="AA101" s="57">
        <f>IFERROR((IFERROR(INDEX(TableRBCalcPts[Custom],MATCH(TableRBRanks31[[#This Row],[RK]],TableRBCalcPts[RK],0)),"")),"")</f>
        <v>17.589380964834</v>
      </c>
      <c r="AB10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1">
        <v>100</v>
      </c>
      <c r="AE101" t="str">
        <f>IFERROR(INDEX(TableWRCalcPts[PLAYER],MATCH(TableWRRanks32[[#This Row],[RK]],TableWRCalcPts[RK],0)),"")</f>
        <v>DeVante Parker</v>
      </c>
      <c r="AF101" t="str">
        <f>IFERROR(INDEX(TableWRCalcPts[TM],MATCH(TableWRRanks32[[#This Row],[Player]],TableWRCalcPts[PLAYER],0)),"")</f>
        <v>PHI</v>
      </c>
      <c r="AG101">
        <f>IFERROR(INDEX(TableWRCalcPts[BYE],MATCH(TableWRRanks32[[#This Row],[Player]],TableWRCalcPts[PLAYER],0)),"")</f>
        <v>10</v>
      </c>
      <c r="AH101" s="83">
        <f>IFERROR((VLOOKUP(TableWRRanks32[[#This Row],[Player]],WR!B:O,4,FALSE)),"")</f>
        <v>0</v>
      </c>
      <c r="AI101" s="83">
        <f>IFERROR((VLOOKUP(TableWRRanks32[[#This Row],[Player]],WR!B:O,5,FALSE)),"")</f>
        <v>0</v>
      </c>
      <c r="AJ101" s="83">
        <f>IFERROR((VLOOKUP(TableWRRanks32[[#This Row],[Player]],WR!B:O,6,FALSE)),"")</f>
        <v>41.838552000000007</v>
      </c>
      <c r="AK101" s="83">
        <f>IFERROR((VLOOKUP(TableWRRanks32[[#This Row],[Player]],WR!B:O,7,FALSE)),"")</f>
        <v>25.186808304000003</v>
      </c>
      <c r="AL101" s="83">
        <f>IFERROR((VLOOKUP(TableWRRanks32[[#This Row],[Player]],WR!B:O,8,FALSE)),"")</f>
        <v>321.13180587600004</v>
      </c>
      <c r="AM101" s="83">
        <f>IFERROR((VLOOKUP(TableWRRanks32[[#This Row],[Player]],WR!B:O,9,FALSE)),"")</f>
        <v>1.8890106228000001</v>
      </c>
      <c r="AN101" s="57">
        <f>IFERROR((IFERROR(INDEX(TableWRCalcPts[Custom],MATCH(TableWRRanks32[[#This Row],[RK]],TableWRCalcPts[RK],0)),"")),"")</f>
        <v>56.040648476400008</v>
      </c>
      <c r="AO10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101">
        <v>100</v>
      </c>
      <c r="AR101" t="str">
        <f>IFERROR(INDEX(TableTECalcPts[PLAYER],MATCH(TableTERanks33[[#This Row],[RK]],TableTECalcPts[RK],0)),"")</f>
        <v/>
      </c>
      <c r="AS101" t="str">
        <f>IFERROR(INDEX(TableTECalcPts[TM],MATCH(TableTERanks33[[#This Row],[Player]],TableTECalcPts[PLAYER],0)),"")</f>
        <v/>
      </c>
      <c r="AT101" t="str">
        <f>IFERROR(INDEX(TableTECalcPts[BYE],MATCH(TableTERanks33[[#This Row],[Player]],TableTECalcPts[PLAYER],0)),"")</f>
        <v/>
      </c>
      <c r="AU101" s="83" t="str">
        <f>IFERROR((VLOOKUP(TableTERanks33[[#This Row],[Player]],TE!B:O,4,FALSE)),"")</f>
        <v/>
      </c>
      <c r="AV101" s="83" t="str">
        <f>IFERROR((VLOOKUP(TableTERanks33[[#This Row],[Player]],TE!B:O,5,FALSE)),"")</f>
        <v/>
      </c>
      <c r="AW101" s="83" t="str">
        <f>IFERROR((VLOOKUP(TableTERanks33[[#This Row],[Player]],TE!B:O,6,FALSE)),"")</f>
        <v/>
      </c>
      <c r="AX101" s="83" t="str">
        <f>IFERROR((VLOOKUP(TableTERanks33[[#This Row],[Player]],TE!B:O,7,FALSE)),"")</f>
        <v/>
      </c>
      <c r="AY101" s="57" t="str">
        <f>IFERROR((IFERROR(INDEX(TableTECalcPts[Custom],MATCH(TableTERanks33[[#This Row],[RK]],TableTECalcPts[RK],0)),"")),"")</f>
        <v/>
      </c>
      <c r="AZ101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2" spans="16:52" x14ac:dyDescent="0.2">
      <c r="P102">
        <v>101</v>
      </c>
      <c r="Q102" t="str">
        <f>IFERROR(INDEX(TableRBCalcPts[PLAYER],MATCH(TableRBRanks31[[#This Row],[RK]],TableRBCalcPts[RK],0)),"")</f>
        <v>Zach Evans</v>
      </c>
      <c r="R102" t="str">
        <f>IFERROR(INDEX(TableRBCalcPts[TM],MATCH(TableRBRanks31[[#This Row],[Player]],TableRBCalcPts[PLAYER],0)),"")</f>
        <v>LAR</v>
      </c>
      <c r="S102">
        <f>IFERROR(INDEX(TableRBCalcPts[BYE],MATCH(TableRBRanks31[[#This Row],[Player]],TableRBCalcPts[PLAYER],0)),"")</f>
        <v>10</v>
      </c>
      <c r="T102" s="83">
        <f>IFERROR((VLOOKUP(TableRBRanks31[[#This Row],[Player]],RB!B:O,4,FALSE)),"")</f>
        <v>8.4261575999999998</v>
      </c>
      <c r="U102" s="83">
        <f>IFERROR((VLOOKUP(TableRBRanks31[[#This Row],[Player]],RB!B:O,5,FALSE)),"")</f>
        <v>34.800030887999995</v>
      </c>
      <c r="V102" s="83">
        <f>IFERROR((VLOOKUP(TableRBRanks31[[#This Row],[Player]],RB!B:O,6,FALSE)),"")</f>
        <v>0.29491551600000004</v>
      </c>
      <c r="W102" s="83">
        <f>IFERROR((VLOOKUP(TableRBRanks31[[#This Row],[Player]],RB!B:O,7,FALSE)),"")</f>
        <v>12.075442399999996</v>
      </c>
      <c r="X102" s="83">
        <f>IFERROR((VLOOKUP(TableRBRanks31[[#This Row],[Player]],RB!B:O,8,FALSE)),"")</f>
        <v>8.5252623343999971</v>
      </c>
      <c r="Y102" s="83">
        <f>IFERROR((VLOOKUP(TableRBRanks31[[#This Row],[Player]],RB!B:O,9,FALSE)),"")</f>
        <v>55.840468290319983</v>
      </c>
      <c r="Z102" s="83">
        <f>IFERROR((VLOOKUP(TableRBRanks31[[#This Row],[Player]],RB!B:O,10,FALSE)),"")</f>
        <v>0.2557578700319999</v>
      </c>
      <c r="AA102" s="57">
        <f>IFERROR((IFERROR(INDEX(TableRBCalcPts[Custom],MATCH(TableRBRanks31[[#This Row],[RK]],TableRBCalcPts[RK],0)),"")),"")</f>
        <v>16.630721401223997</v>
      </c>
      <c r="AB10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2">
        <v>101</v>
      </c>
      <c r="AE102" t="str">
        <f>IFERROR(INDEX(TableWRCalcPts[PLAYER],MATCH(TableWRRanks32[[#This Row],[RK]],TableWRCalcPts[RK],0)),"")</f>
        <v>Kadarius Toney</v>
      </c>
      <c r="AF102" t="str">
        <f>IFERROR(INDEX(TableWRCalcPts[TM],MATCH(TableWRRanks32[[#This Row],[Player]],TableWRCalcPts[PLAYER],0)),"")</f>
        <v>KC</v>
      </c>
      <c r="AG102">
        <f>IFERROR(INDEX(TableWRCalcPts[BYE],MATCH(TableWRRanks32[[#This Row],[Player]],TableWRCalcPts[PLAYER],0)),"")</f>
        <v>10</v>
      </c>
      <c r="AH102" s="83">
        <f>IFERROR((VLOOKUP(TableWRRanks32[[#This Row],[Player]],WR!B:O,4,FALSE)),"")</f>
        <v>0</v>
      </c>
      <c r="AI102" s="83">
        <f>IFERROR((VLOOKUP(TableWRRanks32[[#This Row],[Player]],WR!B:O,5,FALSE)),"")</f>
        <v>0</v>
      </c>
      <c r="AJ102" s="83">
        <f>IFERROR((VLOOKUP(TableWRRanks32[[#This Row],[Player]],WR!B:O,6,FALSE)),"")</f>
        <v>37.820159999999987</v>
      </c>
      <c r="AK102" s="83">
        <f>IFERROR((VLOOKUP(TableWRRanks32[[#This Row],[Player]],WR!B:O,7,FALSE)),"")</f>
        <v>27.19269503999999</v>
      </c>
      <c r="AL102" s="83">
        <f>IFERROR((VLOOKUP(TableWRRanks32[[#This Row],[Player]],WR!B:O,8,FALSE)),"")</f>
        <v>268.39190004479985</v>
      </c>
      <c r="AM102" s="83">
        <f>IFERROR((VLOOKUP(TableWRRanks32[[#This Row],[Player]],WR!B:O,9,FALSE)),"")</f>
        <v>2.3113790783999995</v>
      </c>
      <c r="AN102" s="57">
        <f>IFERROR((IFERROR(INDEX(TableWRCalcPts[Custom],MATCH(TableWRRanks32[[#This Row],[RK]],TableWRCalcPts[RK],0)),"")),"")</f>
        <v>54.303811994879979</v>
      </c>
      <c r="AO10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3" spans="16:52" x14ac:dyDescent="0.2">
      <c r="P103">
        <v>102</v>
      </c>
      <c r="Q103" t="str">
        <f>IFERROR(INDEX(TableRBCalcPts[PLAYER],MATCH(TableRBRanks31[[#This Row],[RK]],TableRBCalcPts[RK],0)),"")</f>
        <v>Sean Tucker</v>
      </c>
      <c r="R103" t="str">
        <f>IFERROR(INDEX(TableRBCalcPts[TM],MATCH(TableRBRanks31[[#This Row],[Player]],TableRBCalcPts[PLAYER],0)),"")</f>
        <v>TB</v>
      </c>
      <c r="S103">
        <f>IFERROR(INDEX(TableRBCalcPts[BYE],MATCH(TableRBRanks31[[#This Row],[Player]],TableRBCalcPts[PLAYER],0)),"")</f>
        <v>5</v>
      </c>
      <c r="T103" s="83">
        <f>IFERROR((VLOOKUP(TableRBRanks31[[#This Row],[Player]],RB!B:O,4,FALSE)),"")</f>
        <v>12.725672400000001</v>
      </c>
      <c r="U103" s="83">
        <f>IFERROR((VLOOKUP(TableRBRanks31[[#This Row],[Player]],RB!B:O,5,FALSE)),"")</f>
        <v>51.284459772000005</v>
      </c>
      <c r="V103" s="83">
        <f>IFERROR((VLOOKUP(TableRBRanks31[[#This Row],[Player]],RB!B:O,6,FALSE)),"")</f>
        <v>0.38177017200000002</v>
      </c>
      <c r="W103" s="83">
        <f>IFERROR((VLOOKUP(TableRBRanks31[[#This Row],[Player]],RB!B:O,7,FALSE)),"")</f>
        <v>8.8957637999999992</v>
      </c>
      <c r="X103" s="83">
        <f>IFERROR((VLOOKUP(TableRBRanks31[[#This Row],[Player]],RB!B:O,8,FALSE)),"")</f>
        <v>6.3960541721999995</v>
      </c>
      <c r="Y103" s="83">
        <f>IFERROR((VLOOKUP(TableRBRanks31[[#This Row],[Player]],RB!B:O,9,FALSE)),"")</f>
        <v>43.621089454404</v>
      </c>
      <c r="Z103" s="83">
        <f>IFERROR((VLOOKUP(TableRBRanks31[[#This Row],[Player]],RB!B:O,10,FALSE)),"")</f>
        <v>0.15990135430499999</v>
      </c>
      <c r="AA103" s="57">
        <f>IFERROR((IFERROR(INDEX(TableRBCalcPts[Custom],MATCH(TableRBRanks31[[#This Row],[RK]],TableRBCalcPts[RK],0)),"")),"")</f>
        <v>15.938611166570402</v>
      </c>
      <c r="AB10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3">
        <v>102</v>
      </c>
      <c r="AE103" t="str">
        <f>IFERROR(INDEX(TableWRCalcPts[PLAYER],MATCH(TableWRRanks32[[#This Row],[RK]],TableWRCalcPts[RK],0)),"")</f>
        <v>Michael Gallup</v>
      </c>
      <c r="AF103" t="str">
        <f>IFERROR(INDEX(TableWRCalcPts[TM],MATCH(TableWRRanks32[[#This Row],[Player]],TableWRCalcPts[PLAYER],0)),"")</f>
        <v>LV</v>
      </c>
      <c r="AG103">
        <f>IFERROR(INDEX(TableWRCalcPts[BYE],MATCH(TableWRRanks32[[#This Row],[Player]],TableWRCalcPts[PLAYER],0)),"")</f>
        <v>13</v>
      </c>
      <c r="AH103" s="83">
        <f>IFERROR((VLOOKUP(TableWRRanks32[[#This Row],[Player]],WR!B:O,4,FALSE)),"")</f>
        <v>0</v>
      </c>
      <c r="AI103" s="83">
        <f>IFERROR((VLOOKUP(TableWRRanks32[[#This Row],[Player]],WR!B:O,5,FALSE)),"")</f>
        <v>0</v>
      </c>
      <c r="AJ103" s="83">
        <f>IFERROR((VLOOKUP(TableWRRanks32[[#This Row],[Player]],WR!B:O,6,FALSE)),"")</f>
        <v>39.617479999999993</v>
      </c>
      <c r="AK103" s="83">
        <f>IFERROR((VLOOKUP(TableWRRanks32[[#This Row],[Player]],WR!B:O,7,FALSE)),"")</f>
        <v>22.819668479999994</v>
      </c>
      <c r="AL103" s="83">
        <f>IFERROR((VLOOKUP(TableWRRanks32[[#This Row],[Player]],WR!B:O,8,FALSE)),"")</f>
        <v>282.96388915199992</v>
      </c>
      <c r="AM103" s="83">
        <f>IFERROR((VLOOKUP(TableWRRanks32[[#This Row],[Player]],WR!B:O,9,FALSE)),"")</f>
        <v>1.4148194457599996</v>
      </c>
      <c r="AN103" s="57">
        <f>IFERROR((IFERROR(INDEX(TableWRCalcPts[Custom],MATCH(TableWRRanks32[[#This Row],[RK]],TableWRCalcPts[RK],0)),"")),"")</f>
        <v>48.195139829759995</v>
      </c>
      <c r="AO10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4" spans="16:52" x14ac:dyDescent="0.2">
      <c r="P104">
        <v>103</v>
      </c>
      <c r="Q104" t="str">
        <f>IFERROR(INDEX(TableRBCalcPts[PLAYER],MATCH(TableRBRanks31[[#This Row],[RK]],TableRBCalcPts[RK],0)),"")</f>
        <v>Ty Johnson</v>
      </c>
      <c r="R104" t="str">
        <f>IFERROR(INDEX(TableRBCalcPts[TM],MATCH(TableRBRanks31[[#This Row],[Player]],TableRBCalcPts[PLAYER],0)),"")</f>
        <v>BUF</v>
      </c>
      <c r="S104">
        <f>IFERROR(INDEX(TableRBCalcPts[BYE],MATCH(TableRBRanks31[[#This Row],[Player]],TableRBCalcPts[PLAYER],0)),"")</f>
        <v>13</v>
      </c>
      <c r="T104" s="83">
        <f>IFERROR((VLOOKUP(TableRBRanks31[[#This Row],[Player]],RB!B:O,4,FALSE)),"")</f>
        <v>13.412985600000001</v>
      </c>
      <c r="U104" s="83">
        <f>IFERROR((VLOOKUP(TableRBRanks31[[#This Row],[Player]],RB!B:O,5,FALSE)),"")</f>
        <v>57.675838079999998</v>
      </c>
      <c r="V104" s="83">
        <f>IFERROR((VLOOKUP(TableRBRanks31[[#This Row],[Player]],RB!B:O,6,FALSE)),"")</f>
        <v>0.40238956800000003</v>
      </c>
      <c r="W104" s="83">
        <f>IFERROR((VLOOKUP(TableRBRanks31[[#This Row],[Player]],RB!B:O,7,FALSE)),"")</f>
        <v>6.0738047999999987</v>
      </c>
      <c r="X104" s="83">
        <f>IFERROR((VLOOKUP(TableRBRanks31[[#This Row],[Player]],RB!B:O,8,FALSE)),"")</f>
        <v>4.2516633599999984</v>
      </c>
      <c r="Y104" s="83">
        <f>IFERROR((VLOOKUP(TableRBRanks31[[#This Row],[Player]],RB!B:O,9,FALSE)),"")</f>
        <v>39.072786278399981</v>
      </c>
      <c r="Z104" s="83">
        <f>IFERROR((VLOOKUP(TableRBRanks31[[#This Row],[Player]],RB!B:O,10,FALSE)),"")</f>
        <v>0.17006653439999994</v>
      </c>
      <c r="AA104" s="57">
        <f>IFERROR((IFERROR(INDEX(TableRBCalcPts[Custom],MATCH(TableRBRanks31[[#This Row],[RK]],TableRBCalcPts[RK],0)),"")),"")</f>
        <v>15.235430730239997</v>
      </c>
      <c r="AB10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4">
        <v>103</v>
      </c>
      <c r="AE104" t="str">
        <f>IFERROR(INDEX(TableWRCalcPts[PLAYER],MATCH(TableWRRanks32[[#This Row],[RK]],TableWRCalcPts[RK],0)),"")</f>
        <v>Jamison Crowder</v>
      </c>
      <c r="AF104" t="str">
        <f>IFERROR(INDEX(TableWRCalcPts[TM],MATCH(TableWRRanks32[[#This Row],[Player]],TableWRCalcPts[PLAYER],0)),"")</f>
        <v>WSH</v>
      </c>
      <c r="AG104">
        <f>IFERROR(INDEX(TableWRCalcPts[BYE],MATCH(TableWRRanks32[[#This Row],[Player]],TableWRCalcPts[PLAYER],0)),"")</f>
        <v>14</v>
      </c>
      <c r="AH104" s="83">
        <f>IFERROR((VLOOKUP(TableWRRanks32[[#This Row],[Player]],WR!B:O,4,FALSE)),"")</f>
        <v>0</v>
      </c>
      <c r="AI104" s="83">
        <f>IFERROR((VLOOKUP(TableWRRanks32[[#This Row],[Player]],WR!B:O,5,FALSE)),"")</f>
        <v>0</v>
      </c>
      <c r="AJ104" s="83">
        <f>IFERROR((VLOOKUP(TableWRRanks32[[#This Row],[Player]],WR!B:O,6,FALSE)),"")</f>
        <v>39.877523000000004</v>
      </c>
      <c r="AK104" s="83">
        <f>IFERROR((VLOOKUP(TableWRRanks32[[#This Row],[Player]],WR!B:O,7,FALSE)),"")</f>
        <v>25.122839490000004</v>
      </c>
      <c r="AL104" s="83">
        <f>IFERROR((VLOOKUP(TableWRRanks32[[#This Row],[Player]],WR!B:O,8,FALSE)),"")</f>
        <v>251.22839490000004</v>
      </c>
      <c r="AM104" s="83">
        <f>IFERROR((VLOOKUP(TableWRRanks32[[#This Row],[Player]],WR!B:O,9,FALSE)),"")</f>
        <v>1.3817561719500002</v>
      </c>
      <c r="AN104" s="57">
        <f>IFERROR((IFERROR(INDEX(TableWRCalcPts[Custom],MATCH(TableWRRanks32[[#This Row],[RK]],TableWRCalcPts[RK],0)),"")),"")</f>
        <v>45.974796266700011</v>
      </c>
      <c r="AO10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5" spans="16:52" x14ac:dyDescent="0.2">
      <c r="P105">
        <v>104</v>
      </c>
      <c r="Q105" t="str">
        <f>IFERROR(INDEX(TableRBCalcPts[PLAYER],MATCH(TableRBRanks31[[#This Row],[RK]],TableRBCalcPts[RK],0)),"")</f>
        <v>Jordan Mason</v>
      </c>
      <c r="R105" t="str">
        <f>IFERROR(INDEX(TableRBCalcPts[TM],MATCH(TableRBRanks31[[#This Row],[Player]],TableRBCalcPts[PLAYER],0)),"")</f>
        <v>SF</v>
      </c>
      <c r="S105">
        <f>IFERROR(INDEX(TableRBCalcPts[BYE],MATCH(TableRBRanks31[[#This Row],[Player]],TableRBCalcPts[PLAYER],0)),"")</f>
        <v>9</v>
      </c>
      <c r="T105" s="83">
        <f>IFERROR((VLOOKUP(TableRBRanks31[[#This Row],[Player]],RB!B:O,4,FALSE)),"")</f>
        <v>14.629381199999997</v>
      </c>
      <c r="U105" s="83">
        <f>IFERROR((VLOOKUP(TableRBRanks31[[#This Row],[Player]],RB!B:O,5,FALSE)),"")</f>
        <v>63.637808219999982</v>
      </c>
      <c r="V105" s="83">
        <f>IFERROR((VLOOKUP(TableRBRanks31[[#This Row],[Player]],RB!B:O,6,FALSE)),"")</f>
        <v>0.36573452999999995</v>
      </c>
      <c r="W105" s="83">
        <f>IFERROR((VLOOKUP(TableRBRanks31[[#This Row],[Player]],RB!B:O,7,FALSE)),"")</f>
        <v>5.3253395999999995</v>
      </c>
      <c r="X105" s="83">
        <f>IFERROR((VLOOKUP(TableRBRanks31[[#This Row],[Player]],RB!B:O,8,FALSE)),"")</f>
        <v>3.7277377199999995</v>
      </c>
      <c r="Y105" s="83">
        <f>IFERROR((VLOOKUP(TableRBRanks31[[#This Row],[Player]],RB!B:O,9,FALSE)),"")</f>
        <v>30.530171926799994</v>
      </c>
      <c r="Z105" s="83">
        <f>IFERROR((VLOOKUP(TableRBRanks31[[#This Row],[Player]],RB!B:O,10,FALSE)),"")</f>
        <v>0.14165403335999999</v>
      </c>
      <c r="AA105" s="57">
        <f>IFERROR((IFERROR(INDEX(TableRBCalcPts[Custom],MATCH(TableRBRanks31[[#This Row],[RK]],TableRBCalcPts[RK],0)),"")),"")</f>
        <v>14.324998254839997</v>
      </c>
      <c r="AB10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5">
        <v>104</v>
      </c>
      <c r="AE105" t="str">
        <f>IFERROR(INDEX(TableWRCalcPts[PLAYER],MATCH(TableWRRanks32[[#This Row],[RK]],TableWRCalcPts[RK],0)),"")</f>
        <v>A.T. Perry</v>
      </c>
      <c r="AF105" t="str">
        <f>IFERROR(INDEX(TableWRCalcPts[TM],MATCH(TableWRRanks32[[#This Row],[Player]],TableWRCalcPts[PLAYER],0)),"")</f>
        <v>NO</v>
      </c>
      <c r="AG105">
        <f>IFERROR(INDEX(TableWRCalcPts[BYE],MATCH(TableWRRanks32[[#This Row],[Player]],TableWRCalcPts[PLAYER],0)),"")</f>
        <v>11</v>
      </c>
      <c r="AH105" s="83">
        <f>IFERROR((VLOOKUP(TableWRRanks32[[#This Row],[Player]],WR!B:O,4,FALSE)),"")</f>
        <v>0</v>
      </c>
      <c r="AI105" s="83">
        <f>IFERROR((VLOOKUP(TableWRRanks32[[#This Row],[Player]],WR!B:O,5,FALSE)),"")</f>
        <v>0</v>
      </c>
      <c r="AJ105" s="83">
        <f>IFERROR((VLOOKUP(TableWRRanks32[[#This Row],[Player]],WR!B:O,6,FALSE)),"")</f>
        <v>33.379976783999993</v>
      </c>
      <c r="AK105" s="83">
        <f>IFERROR((VLOOKUP(TableWRRanks32[[#This Row],[Player]],WR!B:O,7,FALSE)),"")</f>
        <v>19.894466163263996</v>
      </c>
      <c r="AL105" s="83">
        <f>IFERROR((VLOOKUP(TableWRRanks32[[#This Row],[Player]],WR!B:O,8,FALSE)),"")</f>
        <v>257.23544749100347</v>
      </c>
      <c r="AM105" s="83">
        <f>IFERROR((VLOOKUP(TableWRRanks32[[#This Row],[Player]],WR!B:O,9,FALSE)),"")</f>
        <v>1.6910296238774398</v>
      </c>
      <c r="AN105" s="57">
        <f>IFERROR((IFERROR(INDEX(TableWRCalcPts[Custom],MATCH(TableWRRanks32[[#This Row],[RK]],TableWRCalcPts[RK],0)),"")),"")</f>
        <v>45.816955573996985</v>
      </c>
      <c r="AO10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6" spans="16:52" x14ac:dyDescent="0.2">
      <c r="P106">
        <v>105</v>
      </c>
      <c r="Q106" t="str">
        <f>IFERROR(INDEX(TableRBCalcPts[PLAYER],MATCH(TableRBRanks31[[#This Row],[RK]],TableRBCalcPts[RK],0)),"")</f>
        <v>Trayveon Williams</v>
      </c>
      <c r="R106" t="str">
        <f>IFERROR(INDEX(TableRBCalcPts[TM],MATCH(TableRBRanks31[[#This Row],[Player]],TableRBCalcPts[PLAYER],0)),"")</f>
        <v>CIN</v>
      </c>
      <c r="S106">
        <f>IFERROR(INDEX(TableRBCalcPts[BYE],MATCH(TableRBRanks31[[#This Row],[Player]],TableRBCalcPts[PLAYER],0)),"")</f>
        <v>7</v>
      </c>
      <c r="T106" s="83">
        <f>IFERROR((VLOOKUP(TableRBRanks31[[#This Row],[Player]],RB!B:O,4,FALSE)),"")</f>
        <v>15.746875199999998</v>
      </c>
      <c r="U106" s="83">
        <f>IFERROR((VLOOKUP(TableRBRanks31[[#This Row],[Player]],RB!B:O,5,FALSE)),"")</f>
        <v>62.987500799999992</v>
      </c>
      <c r="V106" s="83">
        <f>IFERROR((VLOOKUP(TableRBRanks31[[#This Row],[Player]],RB!B:O,6,FALSE)),"")</f>
        <v>0.39367187999999997</v>
      </c>
      <c r="W106" s="83">
        <f>IFERROR((VLOOKUP(TableRBRanks31[[#This Row],[Player]],RB!B:O,7,FALSE)),"")</f>
        <v>6.2356811999999993</v>
      </c>
      <c r="X106" s="83">
        <f>IFERROR((VLOOKUP(TableRBRanks31[[#This Row],[Player]],RB!B:O,8,FALSE)),"")</f>
        <v>4.3649768399999989</v>
      </c>
      <c r="Y106" s="83">
        <f>IFERROR((VLOOKUP(TableRBRanks31[[#This Row],[Player]],RB!B:O,9,FALSE)),"")</f>
        <v>27.062856407999995</v>
      </c>
      <c r="Z106" s="83">
        <f>IFERROR((VLOOKUP(TableRBRanks31[[#This Row],[Player]],RB!B:O,10,FALSE)),"")</f>
        <v>8.729953679999998E-2</v>
      </c>
      <c r="AA106" s="57">
        <f>IFERROR((IFERROR(INDEX(TableRBCalcPts[Custom],MATCH(TableRBRanks31[[#This Row],[RK]],TableRBCalcPts[RK],0)),"")),"")</f>
        <v>14.0733526416</v>
      </c>
      <c r="AB10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6">
        <v>105</v>
      </c>
      <c r="AE106" t="str">
        <f>IFERROR(INDEX(TableWRCalcPts[PLAYER],MATCH(TableWRRanks32[[#This Row],[RK]],TableWRCalcPts[RK],0)),"")</f>
        <v>Devontez Walker</v>
      </c>
      <c r="AF106" t="str">
        <f>IFERROR(INDEX(TableWRCalcPts[TM],MATCH(TableWRRanks32[[#This Row],[Player]],TableWRCalcPts[PLAYER],0)),"")</f>
        <v>BAL</v>
      </c>
      <c r="AG106">
        <f>IFERROR(INDEX(TableWRCalcPts[BYE],MATCH(TableWRRanks32[[#This Row],[Player]],TableWRCalcPts[PLAYER],0)),"")</f>
        <v>13</v>
      </c>
      <c r="AH106" s="83">
        <f>IFERROR((VLOOKUP(TableWRRanks32[[#This Row],[Player]],WR!B:O,4,FALSE)),"")</f>
        <v>0</v>
      </c>
      <c r="AI106" s="83">
        <f>IFERROR((VLOOKUP(TableWRRanks32[[#This Row],[Player]],WR!B:O,5,FALSE)),"")</f>
        <v>0</v>
      </c>
      <c r="AJ106" s="83">
        <f>IFERROR((VLOOKUP(TableWRRanks32[[#This Row],[Player]],WR!B:O,6,FALSE)),"")</f>
        <v>31.760937600000002</v>
      </c>
      <c r="AK106" s="83">
        <f>IFERROR((VLOOKUP(TableWRRanks32[[#This Row],[Player]],WR!B:O,7,FALSE)),"")</f>
        <v>18.707192246400002</v>
      </c>
      <c r="AL106" s="83">
        <f>IFERROR((VLOOKUP(TableWRRanks32[[#This Row],[Player]],WR!B:O,8,FALSE)),"")</f>
        <v>246.37372188508803</v>
      </c>
      <c r="AM106" s="83">
        <f>IFERROR((VLOOKUP(TableWRRanks32[[#This Row],[Player]],WR!B:O,9,FALSE)),"")</f>
        <v>1.3095034572480002</v>
      </c>
      <c r="AN106" s="57">
        <f>IFERROR((IFERROR(INDEX(TableWRCalcPts[Custom],MATCH(TableWRRanks32[[#This Row],[RK]],TableWRCalcPts[RK],0)),"")),"")</f>
        <v>41.847989055196805</v>
      </c>
      <c r="AO10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7" spans="16:52" x14ac:dyDescent="0.2">
      <c r="P107">
        <v>106</v>
      </c>
      <c r="Q107" t="str">
        <f>IFERROR(INDEX(TableRBCalcPts[PLAYER],MATCH(TableRBRanks31[[#This Row],[RK]],TableRBCalcPts[RK],0)),"")</f>
        <v>Kene Nwangwu</v>
      </c>
      <c r="R107" t="str">
        <f>IFERROR(INDEX(TableRBCalcPts[TM],MATCH(TableRBRanks31[[#This Row],[Player]],TableRBCalcPts[PLAYER],0)),"")</f>
        <v>MIN</v>
      </c>
      <c r="S107">
        <f>IFERROR(INDEX(TableRBCalcPts[BYE],MATCH(TableRBRanks31[[#This Row],[Player]],TableRBCalcPts[PLAYER],0)),"")</f>
        <v>13</v>
      </c>
      <c r="T107" s="83">
        <f>IFERROR((VLOOKUP(TableRBRanks31[[#This Row],[Player]],RB!B:O,4,FALSE)),"")</f>
        <v>12.442080000000001</v>
      </c>
      <c r="U107" s="83">
        <f>IFERROR((VLOOKUP(TableRBRanks31[[#This Row],[Player]],RB!B:O,5,FALSE)),"")</f>
        <v>52.256736000000004</v>
      </c>
      <c r="V107" s="83">
        <f>IFERROR((VLOOKUP(TableRBRanks31[[#This Row],[Player]],RB!B:O,6,FALSE)),"")</f>
        <v>0.31105200000000005</v>
      </c>
      <c r="W107" s="83">
        <f>IFERROR((VLOOKUP(TableRBRanks31[[#This Row],[Player]],RB!B:O,7,FALSE)),"")</f>
        <v>6.2210399999999995</v>
      </c>
      <c r="X107" s="83">
        <f>IFERROR((VLOOKUP(TableRBRanks31[[#This Row],[Player]],RB!B:O,8,FALSE)),"")</f>
        <v>4.1992019999999997</v>
      </c>
      <c r="Y107" s="83">
        <f>IFERROR((VLOOKUP(TableRBRanks31[[#This Row],[Player]],RB!B:O,9,FALSE)),"")</f>
        <v>31.913935199999997</v>
      </c>
      <c r="Z107" s="83">
        <f>IFERROR((VLOOKUP(TableRBRanks31[[#This Row],[Player]],RB!B:O,10,FALSE)),"")</f>
        <v>0.10078084799999999</v>
      </c>
      <c r="AA107" s="57">
        <f>IFERROR((IFERROR(INDEX(TableRBCalcPts[Custom],MATCH(TableRBRanks31[[#This Row],[RK]],TableRBCalcPts[RK],0)),"")),"")</f>
        <v>12.987665208000001</v>
      </c>
      <c r="AB10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7">
        <v>106</v>
      </c>
      <c r="AE107" t="str">
        <f>IFERROR(INDEX(TableWRCalcPts[PLAYER],MATCH(TableWRRanks32[[#This Row],[RK]],TableWRCalcPts[RK],0)),"")</f>
        <v>Allen Lazard</v>
      </c>
      <c r="AF107" t="str">
        <f>IFERROR(INDEX(TableWRCalcPts[TM],MATCH(TableWRRanks32[[#This Row],[Player]],TableWRCalcPts[PLAYER],0)),"")</f>
        <v>NYJ</v>
      </c>
      <c r="AG107">
        <f>IFERROR(INDEX(TableWRCalcPts[BYE],MATCH(TableWRRanks32[[#This Row],[Player]],TableWRCalcPts[PLAYER],0)),"")</f>
        <v>7</v>
      </c>
      <c r="AH107" s="83">
        <f>IFERROR((VLOOKUP(TableWRRanks32[[#This Row],[Player]],WR!B:O,4,FALSE)),"")</f>
        <v>0</v>
      </c>
      <c r="AI107" s="83">
        <f>IFERROR((VLOOKUP(TableWRRanks32[[#This Row],[Player]],WR!B:O,5,FALSE)),"")</f>
        <v>0</v>
      </c>
      <c r="AJ107" s="83">
        <f>IFERROR((VLOOKUP(TableWRRanks32[[#This Row],[Player]],WR!B:O,6,FALSE)),"")</f>
        <v>29.625595999999998</v>
      </c>
      <c r="AK107" s="83">
        <f>IFERROR((VLOOKUP(TableWRRanks32[[#This Row],[Player]],WR!B:O,7,FALSE)),"")</f>
        <v>17.834608791999997</v>
      </c>
      <c r="AL107" s="83">
        <f>IFERROR((VLOOKUP(TableWRRanks32[[#This Row],[Player]],WR!B:O,8,FALSE)),"")</f>
        <v>232.91999082351998</v>
      </c>
      <c r="AM107" s="83">
        <f>IFERROR((VLOOKUP(TableWRRanks32[[#This Row],[Player]],WR!B:O,9,FALSE)),"")</f>
        <v>1.6051147912799997</v>
      </c>
      <c r="AN107" s="57">
        <f>IFERROR((IFERROR(INDEX(TableWRCalcPts[Custom],MATCH(TableWRRanks32[[#This Row],[RK]],TableWRCalcPts[RK],0)),"")),"")</f>
        <v>41.839992226031995</v>
      </c>
      <c r="AO10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8" spans="16:52" x14ac:dyDescent="0.2">
      <c r="P108">
        <v>107</v>
      </c>
      <c r="Q108" t="str">
        <f>IFERROR(INDEX(TableRBCalcPts[PLAYER],MATCH(TableRBRanks31[[#This Row],[RK]],TableRBCalcPts[RK],0)),"")</f>
        <v>Jeff Wilson</v>
      </c>
      <c r="R108" t="str">
        <f>IFERROR(INDEX(TableRBCalcPts[TM],MATCH(TableRBRanks31[[#This Row],[Player]],TableRBCalcPts[PLAYER],0)),"")</f>
        <v>MIA</v>
      </c>
      <c r="S108">
        <f>IFERROR(INDEX(TableRBCalcPts[BYE],MATCH(TableRBRanks31[[#This Row],[Player]],TableRBCalcPts[PLAYER],0)),"")</f>
        <v>10</v>
      </c>
      <c r="T108" s="83">
        <f>IFERROR((VLOOKUP(TableRBRanks31[[#This Row],[Player]],RB!B:O,4,FALSE)),"")</f>
        <v>8.422198400000001</v>
      </c>
      <c r="U108" s="83">
        <f>IFERROR((VLOOKUP(TableRBRanks31[[#This Row],[Player]],RB!B:O,5,FALSE)),"")</f>
        <v>37.057672960000005</v>
      </c>
      <c r="V108" s="83">
        <f>IFERROR((VLOOKUP(TableRBRanks31[[#This Row],[Player]],RB!B:O,6,FALSE)),"")</f>
        <v>0.37057672960000004</v>
      </c>
      <c r="W108" s="83">
        <f>IFERROR((VLOOKUP(TableRBRanks31[[#This Row],[Player]],RB!B:O,7,FALSE)),"")</f>
        <v>5.8633007999999993</v>
      </c>
      <c r="X108" s="83">
        <f>IFERROR((VLOOKUP(TableRBRanks31[[#This Row],[Player]],RB!B:O,8,FALSE)),"")</f>
        <v>4.1043105599999992</v>
      </c>
      <c r="Y108" s="83">
        <f>IFERROR((VLOOKUP(TableRBRanks31[[#This Row],[Player]],RB!B:O,9,FALSE)),"")</f>
        <v>28.730173919999995</v>
      </c>
      <c r="Z108" s="83">
        <f>IFERROR((VLOOKUP(TableRBRanks31[[#This Row],[Player]],RB!B:O,10,FALSE)),"")</f>
        <v>0.20521552799999998</v>
      </c>
      <c r="AA108" s="57">
        <f>IFERROR((IFERROR(INDEX(TableRBCalcPts[Custom],MATCH(TableRBRanks31[[#This Row],[RK]],TableRBCalcPts[RK],0)),"")),"")</f>
        <v>12.085693513600001</v>
      </c>
      <c r="AB10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8">
        <v>107</v>
      </c>
      <c r="AE108" t="str">
        <f>IFERROR(INDEX(TableWRCalcPts[PLAYER],MATCH(TableWRRanks32[[#This Row],[RK]],TableWRCalcPts[RK],0)),"")</f>
        <v>Cedric Tillman</v>
      </c>
      <c r="AF108" t="str">
        <f>IFERROR(INDEX(TableWRCalcPts[TM],MATCH(TableWRRanks32[[#This Row],[Player]],TableWRCalcPts[PLAYER],0)),"")</f>
        <v>CLE</v>
      </c>
      <c r="AG108">
        <f>IFERROR(INDEX(TableWRCalcPts[BYE],MATCH(TableWRRanks32[[#This Row],[Player]],TableWRCalcPts[PLAYER],0)),"")</f>
        <v>5</v>
      </c>
      <c r="AH108" s="83">
        <f>IFERROR((VLOOKUP(TableWRRanks32[[#This Row],[Player]],WR!B:O,4,FALSE)),"")</f>
        <v>0</v>
      </c>
      <c r="AI108" s="83">
        <f>IFERROR((VLOOKUP(TableWRRanks32[[#This Row],[Player]],WR!B:O,5,FALSE)),"")</f>
        <v>0</v>
      </c>
      <c r="AJ108" s="83">
        <f>IFERROR((VLOOKUP(TableWRRanks32[[#This Row],[Player]],WR!B:O,6,FALSE)),"")</f>
        <v>32.259149999999998</v>
      </c>
      <c r="AK108" s="83">
        <f>IFERROR((VLOOKUP(TableWRRanks32[[#This Row],[Player]],WR!B:O,7,FALSE)),"")</f>
        <v>18.065124000000001</v>
      </c>
      <c r="AL108" s="83">
        <f>IFERROR((VLOOKUP(TableWRRanks32[[#This Row],[Player]],WR!B:O,8,FALSE)),"")</f>
        <v>224.00753760000001</v>
      </c>
      <c r="AM108" s="83">
        <f>IFERROR((VLOOKUP(TableWRRanks32[[#This Row],[Player]],WR!B:O,9,FALSE)),"")</f>
        <v>1.4452099200000001</v>
      </c>
      <c r="AN108" s="57">
        <f>IFERROR((IFERROR(INDEX(TableWRCalcPts[Custom],MATCH(TableWRRanks32[[#This Row],[RK]],TableWRCalcPts[RK],0)),"")),"")</f>
        <v>40.104575279999999</v>
      </c>
      <c r="AO10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9" spans="16:52" x14ac:dyDescent="0.2">
      <c r="P109">
        <v>108</v>
      </c>
      <c r="Q109" t="str">
        <f>IFERROR(INDEX(TableRBCalcPts[PLAYER],MATCH(TableRBRanks31[[#This Row],[RK]],TableRBCalcPts[RK],0)),"")</f>
        <v>DeeJay Dallas</v>
      </c>
      <c r="R109" t="str">
        <f>IFERROR(INDEX(TableRBCalcPts[TM],MATCH(TableRBRanks31[[#This Row],[Player]],TableRBCalcPts[PLAYER],0)),"")</f>
        <v>ARI</v>
      </c>
      <c r="S109">
        <f>IFERROR(INDEX(TableRBCalcPts[BYE],MATCH(TableRBRanks31[[#This Row],[Player]],TableRBCalcPts[PLAYER],0)),"")</f>
        <v>14</v>
      </c>
      <c r="T109" s="83">
        <f>IFERROR((VLOOKUP(TableRBRanks31[[#This Row],[Player]],RB!B:O,4,FALSE)),"")</f>
        <v>9.08019</v>
      </c>
      <c r="U109" s="83">
        <f>IFERROR((VLOOKUP(TableRBRanks31[[#This Row],[Player]],RB!B:O,5,FALSE)),"")</f>
        <v>37.228778999999996</v>
      </c>
      <c r="V109" s="83">
        <f>IFERROR((VLOOKUP(TableRBRanks31[[#This Row],[Player]],RB!B:O,6,FALSE)),"")</f>
        <v>0.23608493999999999</v>
      </c>
      <c r="W109" s="83">
        <f>IFERROR((VLOOKUP(TableRBRanks31[[#This Row],[Player]],RB!B:O,7,FALSE)),"")</f>
        <v>5.8969050000000003</v>
      </c>
      <c r="X109" s="83">
        <f>IFERROR((VLOOKUP(TableRBRanks31[[#This Row],[Player]],RB!B:O,8,FALSE)),"")</f>
        <v>4.4226787500000002</v>
      </c>
      <c r="Y109" s="83">
        <f>IFERROR((VLOOKUP(TableRBRanks31[[#This Row],[Player]],RB!B:O,9,FALSE)),"")</f>
        <v>29.941535137500001</v>
      </c>
      <c r="Z109" s="83">
        <f>IFERROR((VLOOKUP(TableRBRanks31[[#This Row],[Player]],RB!B:O,10,FALSE)),"")</f>
        <v>8.8453575000000007E-2</v>
      </c>
      <c r="AA109" s="57">
        <f>IFERROR((IFERROR(INDEX(TableRBCalcPts[Custom],MATCH(TableRBRanks31[[#This Row],[RK]],TableRBCalcPts[RK],0)),"")),"")</f>
        <v>10.875601878749999</v>
      </c>
      <c r="AB10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9">
        <v>108</v>
      </c>
      <c r="AE109" t="str">
        <f>IFERROR(INDEX(TableWRCalcPts[PLAYER],MATCH(TableWRRanks32[[#This Row],[RK]],TableWRCalcPts[RK],0)),"")</f>
        <v>Tre Tucker</v>
      </c>
      <c r="AF109" t="str">
        <f>IFERROR(INDEX(TableWRCalcPts[TM],MATCH(TableWRRanks32[[#This Row],[Player]],TableWRCalcPts[PLAYER],0)),"")</f>
        <v>LV</v>
      </c>
      <c r="AG109">
        <f>IFERROR(INDEX(TableWRCalcPts[BYE],MATCH(TableWRRanks32[[#This Row],[Player]],TableWRCalcPts[PLAYER],0)),"")</f>
        <v>13</v>
      </c>
      <c r="AH109" s="83">
        <f>IFERROR((VLOOKUP(TableWRRanks32[[#This Row],[Player]],WR!B:O,4,FALSE)),"")</f>
        <v>0</v>
      </c>
      <c r="AI109" s="83">
        <f>IFERROR((VLOOKUP(TableWRRanks32[[#This Row],[Player]],WR!B:O,5,FALSE)),"")</f>
        <v>0</v>
      </c>
      <c r="AJ109" s="83">
        <f>IFERROR((VLOOKUP(TableWRRanks32[[#This Row],[Player]],WR!B:O,6,FALSE)),"")</f>
        <v>30.295719999999992</v>
      </c>
      <c r="AK109" s="83">
        <f>IFERROR((VLOOKUP(TableWRRanks32[[#This Row],[Player]],WR!B:O,7,FALSE)),"")</f>
        <v>17.177673239999994</v>
      </c>
      <c r="AL109" s="83">
        <f>IFERROR((VLOOKUP(TableWRRanks32[[#This Row],[Player]],WR!B:O,8,FALSE)),"")</f>
        <v>241.17453228959991</v>
      </c>
      <c r="AM109" s="83">
        <f>IFERROR((VLOOKUP(TableWRRanks32[[#This Row],[Player]],WR!B:O,9,FALSE)),"")</f>
        <v>0.94477202819999961</v>
      </c>
      <c r="AN109" s="57">
        <f>IFERROR((IFERROR(INDEX(TableWRCalcPts[Custom],MATCH(TableWRRanks32[[#This Row],[RK]],TableWRCalcPts[RK],0)),"")),"")</f>
        <v>38.374922018159985</v>
      </c>
      <c r="AO10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0" spans="16:52" x14ac:dyDescent="0.2">
      <c r="P110">
        <v>109</v>
      </c>
      <c r="Q110" t="str">
        <f>IFERROR(INDEX(TableRBCalcPts[PLAYER],MATCH(TableRBRanks31[[#This Row],[RK]],TableRBCalcPts[RK],0)),"")</f>
        <v>Kellan Robinson</v>
      </c>
      <c r="R110" t="str">
        <f>IFERROR(INDEX(TableRBCalcPts[TM],MATCH(TableRBRanks31[[#This Row],[Player]],TableRBCalcPts[PLAYER],0)),"")</f>
        <v>JAX</v>
      </c>
      <c r="S110">
        <f>IFERROR(INDEX(TableRBCalcPts[BYE],MATCH(TableRBRanks31[[#This Row],[Player]],TableRBCalcPts[PLAYER],0)),"")</f>
        <v>9</v>
      </c>
      <c r="T110" s="83">
        <f>IFERROR((VLOOKUP(TableRBRanks31[[#This Row],[Player]],RB!B:O,4,FALSE)),"")</f>
        <v>8.5732359999999996</v>
      </c>
      <c r="U110" s="83">
        <f>IFERROR((VLOOKUP(TableRBRanks31[[#This Row],[Player]],RB!B:O,5,FALSE)),"")</f>
        <v>34.035746920000001</v>
      </c>
      <c r="V110" s="83">
        <f>IFERROR((VLOOKUP(TableRBRanks31[[#This Row],[Player]],RB!B:O,6,FALSE)),"")</f>
        <v>0.25719707999999997</v>
      </c>
      <c r="W110" s="83">
        <f>IFERROR((VLOOKUP(TableRBRanks31[[#This Row],[Player]],RB!B:O,7,FALSE)),"")</f>
        <v>12.085163999999995</v>
      </c>
      <c r="X110" s="83">
        <f>IFERROR((VLOOKUP(TableRBRanks31[[#This Row],[Player]],RB!B:O,8,FALSE)),"")</f>
        <v>0</v>
      </c>
      <c r="Y110" s="83">
        <f>IFERROR((VLOOKUP(TableRBRanks31[[#This Row],[Player]],RB!B:O,9,FALSE)),"")</f>
        <v>0</v>
      </c>
      <c r="Z110" s="83">
        <f>IFERROR((VLOOKUP(TableRBRanks31[[#This Row],[Player]],RB!B:O,10,FALSE)),"")</f>
        <v>0</v>
      </c>
      <c r="AA110" s="57">
        <f>IFERROR((IFERROR(INDEX(TableRBCalcPts[Custom],MATCH(TableRBRanks31[[#This Row],[RK]],TableRBCalcPts[RK],0)),"")),"")</f>
        <v>4.9467571719999999</v>
      </c>
      <c r="AB11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10">
        <v>109</v>
      </c>
      <c r="AE110" t="str">
        <f>IFERROR(INDEX(TableWRCalcPts[PLAYER],MATCH(TableWRRanks32[[#This Row],[RK]],TableWRCalcPts[RK],0)),"")</f>
        <v>Jake Bobo</v>
      </c>
      <c r="AF110" t="str">
        <f>IFERROR(INDEX(TableWRCalcPts[TM],MATCH(TableWRRanks32[[#This Row],[Player]],TableWRCalcPts[PLAYER],0)),"")</f>
        <v>SEA</v>
      </c>
      <c r="AG110">
        <f>IFERROR(INDEX(TableWRCalcPts[BYE],MATCH(TableWRRanks32[[#This Row],[Player]],TableWRCalcPts[PLAYER],0)),"")</f>
        <v>5</v>
      </c>
      <c r="AH110" s="83">
        <f>IFERROR((VLOOKUP(TableWRRanks32[[#This Row],[Player]],WR!B:O,4,FALSE)),"")</f>
        <v>0</v>
      </c>
      <c r="AI110" s="83">
        <f>IFERROR((VLOOKUP(TableWRRanks32[[#This Row],[Player]],WR!B:O,5,FALSE)),"")</f>
        <v>0</v>
      </c>
      <c r="AJ110" s="83">
        <f>IFERROR((VLOOKUP(TableWRRanks32[[#This Row],[Player]],WR!B:O,6,FALSE)),"")</f>
        <v>29.024120999999997</v>
      </c>
      <c r="AK110" s="83">
        <f>IFERROR((VLOOKUP(TableWRRanks32[[#This Row],[Player]],WR!B:O,7,FALSE)),"")</f>
        <v>19.097871617999999</v>
      </c>
      <c r="AL110" s="83">
        <f>IFERROR((VLOOKUP(TableWRRanks32[[#This Row],[Player]],WR!B:O,8,FALSE)),"")</f>
        <v>207.02092833911999</v>
      </c>
      <c r="AM110" s="83">
        <f>IFERROR((VLOOKUP(TableWRRanks32[[#This Row],[Player]],WR!B:O,9,FALSE)),"")</f>
        <v>1.33685101326</v>
      </c>
      <c r="AN110" s="57">
        <f>IFERROR((IFERROR(INDEX(TableWRCalcPts[Custom],MATCH(TableWRRanks32[[#This Row],[RK]],TableWRCalcPts[RK],0)),"")),"")</f>
        <v>38.272134722472003</v>
      </c>
      <c r="AO11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1" spans="16:52" x14ac:dyDescent="0.2">
      <c r="P111">
        <v>110</v>
      </c>
      <c r="Q111" t="str">
        <f>IFERROR(INDEX(TableRBCalcPts[PLAYER],MATCH(TableRBRanks31[[#This Row],[RK]],TableRBCalcPts[RK],0)),"")</f>
        <v/>
      </c>
      <c r="R111" t="str">
        <f>IFERROR(INDEX(TableRBCalcPts[TM],MATCH(TableRBRanks31[[#This Row],[Player]],TableRBCalcPts[PLAYER],0)),"")</f>
        <v/>
      </c>
      <c r="S111" t="str">
        <f>IFERROR(INDEX(TableRBCalcPts[BYE],MATCH(TableRBRanks31[[#This Row],[Player]],TableRBCalcPts[PLAYER],0)),"")</f>
        <v/>
      </c>
      <c r="T111" s="83" t="str">
        <f>IFERROR((VLOOKUP(TableRBRanks31[[#This Row],[Player]],RB!B:O,4,FALSE)),"")</f>
        <v/>
      </c>
      <c r="U111" s="83" t="str">
        <f>IFERROR((VLOOKUP(TableRBRanks31[[#This Row],[Player]],RB!B:O,5,FALSE)),"")</f>
        <v/>
      </c>
      <c r="V111" s="83" t="str">
        <f>IFERROR((VLOOKUP(TableRBRanks31[[#This Row],[Player]],RB!B:O,6,FALSE)),"")</f>
        <v/>
      </c>
      <c r="W111" s="83" t="str">
        <f>IFERROR((VLOOKUP(TableRBRanks31[[#This Row],[Player]],RB!B:O,7,FALSE)),"")</f>
        <v/>
      </c>
      <c r="X111" s="83" t="str">
        <f>IFERROR((VLOOKUP(TableRBRanks31[[#This Row],[Player]],RB!B:O,8,FALSE)),"")</f>
        <v/>
      </c>
      <c r="Y111" s="83" t="str">
        <f>IFERROR((VLOOKUP(TableRBRanks31[[#This Row],[Player]],RB!B:O,9,FALSE)),"")</f>
        <v/>
      </c>
      <c r="Z111" s="83" t="str">
        <f>IFERROR((VLOOKUP(TableRBRanks31[[#This Row],[Player]],RB!B:O,10,FALSE)),"")</f>
        <v/>
      </c>
      <c r="AA111" s="57" t="str">
        <f>IFERROR((IFERROR(INDEX(TableRBCalcPts[Custom],MATCH(TableRBRanks31[[#This Row],[RK]],TableRBCalcPts[RK],0)),"")),"")</f>
        <v/>
      </c>
      <c r="AB11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1">
        <v>110</v>
      </c>
      <c r="AE111" t="str">
        <f>IFERROR(INDEX(TableWRCalcPts[PLAYER],MATCH(TableWRRanks32[[#This Row],[RK]],TableWRCalcPts[RK],0)),"")</f>
        <v>Justin Watson</v>
      </c>
      <c r="AF111" t="str">
        <f>IFERROR(INDEX(TableWRCalcPts[TM],MATCH(TableWRRanks32[[#This Row],[Player]],TableWRCalcPts[PLAYER],0)),"")</f>
        <v>KC</v>
      </c>
      <c r="AG111">
        <f>IFERROR(INDEX(TableWRCalcPts[BYE],MATCH(TableWRRanks32[[#This Row],[Player]],TableWRCalcPts[PLAYER],0)),"")</f>
        <v>10</v>
      </c>
      <c r="AH111" s="83">
        <f>IFERROR((VLOOKUP(TableWRRanks32[[#This Row],[Player]],WR!B:O,4,FALSE)),"")</f>
        <v>0</v>
      </c>
      <c r="AI111" s="83">
        <f>IFERROR((VLOOKUP(TableWRRanks32[[#This Row],[Player]],WR!B:O,5,FALSE)),"")</f>
        <v>0</v>
      </c>
      <c r="AJ111" s="83">
        <f>IFERROR((VLOOKUP(TableWRRanks32[[#This Row],[Player]],WR!B:O,6,FALSE)),"")</f>
        <v>28.365119999999994</v>
      </c>
      <c r="AK111" s="83">
        <f>IFERROR((VLOOKUP(TableWRRanks32[[#This Row],[Player]],WR!B:O,7,FALSE)),"")</f>
        <v>14.352750719999998</v>
      </c>
      <c r="AL111" s="83">
        <f>IFERROR((VLOOKUP(TableWRRanks32[[#This Row],[Player]],WR!B:O,8,FALSE)),"")</f>
        <v>220.88883358079997</v>
      </c>
      <c r="AM111" s="83">
        <f>IFERROR((VLOOKUP(TableWRRanks32[[#This Row],[Player]],WR!B:O,9,FALSE)),"")</f>
        <v>1.3635113183999998</v>
      </c>
      <c r="AN111" s="57">
        <f>IFERROR((IFERROR(INDEX(TableWRCalcPts[Custom],MATCH(TableWRRanks32[[#This Row],[RK]],TableWRCalcPts[RK],0)),"")),"")</f>
        <v>37.446326628479994</v>
      </c>
      <c r="AO11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2" spans="16:52" x14ac:dyDescent="0.2">
      <c r="P112">
        <v>111</v>
      </c>
      <c r="Q112" t="str">
        <f>IFERROR(INDEX(TableRBCalcPts[PLAYER],MATCH(TableRBRanks31[[#This Row],[RK]],TableRBCalcPts[RK],0)),"")</f>
        <v/>
      </c>
      <c r="R112" t="str">
        <f>IFERROR(INDEX(TableRBCalcPts[TM],MATCH(TableRBRanks31[[#This Row],[Player]],TableRBCalcPts[PLAYER],0)),"")</f>
        <v/>
      </c>
      <c r="S112" t="str">
        <f>IFERROR(INDEX(TableRBCalcPts[BYE],MATCH(TableRBRanks31[[#This Row],[Player]],TableRBCalcPts[PLAYER],0)),"")</f>
        <v/>
      </c>
      <c r="T112" s="83" t="str">
        <f>IFERROR((VLOOKUP(TableRBRanks31[[#This Row],[Player]],RB!B:O,4,FALSE)),"")</f>
        <v/>
      </c>
      <c r="U112" s="83" t="str">
        <f>IFERROR((VLOOKUP(TableRBRanks31[[#This Row],[Player]],RB!B:O,5,FALSE)),"")</f>
        <v/>
      </c>
      <c r="V112" s="83" t="str">
        <f>IFERROR((VLOOKUP(TableRBRanks31[[#This Row],[Player]],RB!B:O,6,FALSE)),"")</f>
        <v/>
      </c>
      <c r="W112" s="83" t="str">
        <f>IFERROR((VLOOKUP(TableRBRanks31[[#This Row],[Player]],RB!B:O,7,FALSE)),"")</f>
        <v/>
      </c>
      <c r="X112" s="83" t="str">
        <f>IFERROR((VLOOKUP(TableRBRanks31[[#This Row],[Player]],RB!B:O,8,FALSE)),"")</f>
        <v/>
      </c>
      <c r="Y112" s="83" t="str">
        <f>IFERROR((VLOOKUP(TableRBRanks31[[#This Row],[Player]],RB!B:O,9,FALSE)),"")</f>
        <v/>
      </c>
      <c r="Z112" s="83" t="str">
        <f>IFERROR((VLOOKUP(TableRBRanks31[[#This Row],[Player]],RB!B:O,10,FALSE)),"")</f>
        <v/>
      </c>
      <c r="AA112" s="57" t="str">
        <f>IFERROR((IFERROR(INDEX(TableRBCalcPts[Custom],MATCH(TableRBRanks31[[#This Row],[RK]],TableRBCalcPts[RK],0)),"")),"")</f>
        <v/>
      </c>
      <c r="AB11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2">
        <v>111</v>
      </c>
      <c r="AE112" t="str">
        <f>IFERROR(INDEX(TableWRCalcPts[PLAYER],MATCH(TableWRRanks32[[#This Row],[RK]],TableWRCalcPts[RK],0)),"")</f>
        <v>Derius Davis</v>
      </c>
      <c r="AF112" t="str">
        <f>IFERROR(INDEX(TableWRCalcPts[TM],MATCH(TableWRRanks32[[#This Row],[Player]],TableWRCalcPts[PLAYER],0)),"")</f>
        <v>LAC</v>
      </c>
      <c r="AG112">
        <f>IFERROR(INDEX(TableWRCalcPts[BYE],MATCH(TableWRRanks32[[#This Row],[Player]],TableWRCalcPts[PLAYER],0)),"")</f>
        <v>5</v>
      </c>
      <c r="AH112" s="83">
        <f>IFERROR((VLOOKUP(TableWRRanks32[[#This Row],[Player]],WR!B:O,4,FALSE)),"")</f>
        <v>0</v>
      </c>
      <c r="AI112" s="83">
        <f>IFERROR((VLOOKUP(TableWRRanks32[[#This Row],[Player]],WR!B:O,5,FALSE)),"")</f>
        <v>0</v>
      </c>
      <c r="AJ112" s="83">
        <f>IFERROR((VLOOKUP(TableWRRanks32[[#This Row],[Player]],WR!B:O,6,FALSE)),"")</f>
        <v>27.918092999999995</v>
      </c>
      <c r="AK112" s="83">
        <f>IFERROR((VLOOKUP(TableWRRanks32[[#This Row],[Player]],WR!B:O,7,FALSE)),"")</f>
        <v>19.626419378999994</v>
      </c>
      <c r="AL112" s="83">
        <f>IFERROR((VLOOKUP(TableWRRanks32[[#This Row],[Player]],WR!B:O,8,FALSE)),"")</f>
        <v>201.56332702232993</v>
      </c>
      <c r="AM112" s="83">
        <f>IFERROR((VLOOKUP(TableWRRanks32[[#This Row],[Player]],WR!B:O,9,FALSE)),"")</f>
        <v>1.1775851627399996</v>
      </c>
      <c r="AN112" s="57">
        <f>IFERROR((IFERROR(INDEX(TableWRCalcPts[Custom],MATCH(TableWRRanks32[[#This Row],[RK]],TableWRCalcPts[RK],0)),"")),"")</f>
        <v>37.035053368172989</v>
      </c>
      <c r="AO11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3" spans="16:41" x14ac:dyDescent="0.2">
      <c r="P113">
        <v>112</v>
      </c>
      <c r="Q113" t="str">
        <f>IFERROR(INDEX(TableRBCalcPts[PLAYER],MATCH(TableRBRanks31[[#This Row],[RK]],TableRBCalcPts[RK],0)),"")</f>
        <v/>
      </c>
      <c r="R113" t="str">
        <f>IFERROR(INDEX(TableRBCalcPts[TM],MATCH(TableRBRanks31[[#This Row],[Player]],TableRBCalcPts[PLAYER],0)),"")</f>
        <v/>
      </c>
      <c r="S113" t="str">
        <f>IFERROR(INDEX(TableRBCalcPts[BYE],MATCH(TableRBRanks31[[#This Row],[Player]],TableRBCalcPts[PLAYER],0)),"")</f>
        <v/>
      </c>
      <c r="T113" s="83" t="str">
        <f>IFERROR((VLOOKUP(TableRBRanks31[[#This Row],[Player]],RB!B:O,4,FALSE)),"")</f>
        <v/>
      </c>
      <c r="U113" s="83" t="str">
        <f>IFERROR((VLOOKUP(TableRBRanks31[[#This Row],[Player]],RB!B:O,5,FALSE)),"")</f>
        <v/>
      </c>
      <c r="V113" s="83" t="str">
        <f>IFERROR((VLOOKUP(TableRBRanks31[[#This Row],[Player]],RB!B:O,6,FALSE)),"")</f>
        <v/>
      </c>
      <c r="W113" s="83" t="str">
        <f>IFERROR((VLOOKUP(TableRBRanks31[[#This Row],[Player]],RB!B:O,7,FALSE)),"")</f>
        <v/>
      </c>
      <c r="X113" s="83" t="str">
        <f>IFERROR((VLOOKUP(TableRBRanks31[[#This Row],[Player]],RB!B:O,8,FALSE)),"")</f>
        <v/>
      </c>
      <c r="Y113" s="83" t="str">
        <f>IFERROR((VLOOKUP(TableRBRanks31[[#This Row],[Player]],RB!B:O,9,FALSE)),"")</f>
        <v/>
      </c>
      <c r="Z113" s="83" t="str">
        <f>IFERROR((VLOOKUP(TableRBRanks31[[#This Row],[Player]],RB!B:O,10,FALSE)),"")</f>
        <v/>
      </c>
      <c r="AA113" s="57" t="str">
        <f>IFERROR((IFERROR(INDEX(TableRBCalcPts[Custom],MATCH(TableRBRanks31[[#This Row],[RK]],TableRBCalcPts[RK],0)),"")),"")</f>
        <v/>
      </c>
      <c r="AB11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3">
        <v>112</v>
      </c>
      <c r="AE113" t="str">
        <f>IFERROR(INDEX(TableWRCalcPts[PLAYER],MATCH(TableWRRanks32[[#This Row],[RK]],TableWRCalcPts[RK],0)),"")</f>
        <v>Jalin Hyatt</v>
      </c>
      <c r="AF113" t="str">
        <f>IFERROR(INDEX(TableWRCalcPts[TM],MATCH(TableWRRanks32[[#This Row],[Player]],TableWRCalcPts[PLAYER],0)),"")</f>
        <v>NYG</v>
      </c>
      <c r="AG113">
        <f>IFERROR(INDEX(TableWRCalcPts[BYE],MATCH(TableWRRanks32[[#This Row],[Player]],TableWRCalcPts[PLAYER],0)),"")</f>
        <v>13</v>
      </c>
      <c r="AH113" s="83">
        <f>IFERROR((VLOOKUP(TableWRRanks32[[#This Row],[Player]],WR!B:O,4,FALSE)),"")</f>
        <v>0</v>
      </c>
      <c r="AI113" s="83">
        <f>IFERROR((VLOOKUP(TableWRRanks32[[#This Row],[Player]],WR!B:O,5,FALSE)),"")</f>
        <v>0</v>
      </c>
      <c r="AJ113" s="83">
        <f>IFERROR((VLOOKUP(TableWRRanks32[[#This Row],[Player]],WR!B:O,6,FALSE)),"")</f>
        <v>29.424695999999987</v>
      </c>
      <c r="AK113" s="83">
        <f>IFERROR((VLOOKUP(TableWRRanks32[[#This Row],[Player]],WR!B:O,7,FALSE)),"")</f>
        <v>16.507254455999995</v>
      </c>
      <c r="AL113" s="83">
        <f>IFERROR((VLOOKUP(TableWRRanks32[[#This Row],[Player]],WR!B:O,8,FALSE)),"")</f>
        <v>232.75228782959991</v>
      </c>
      <c r="AM113" s="83">
        <f>IFERROR((VLOOKUP(TableWRRanks32[[#This Row],[Player]],WR!B:O,9,FALSE)),"")</f>
        <v>0.90789899507999972</v>
      </c>
      <c r="AN113" s="57">
        <f>IFERROR((IFERROR(INDEX(TableWRCalcPts[Custom],MATCH(TableWRRanks32[[#This Row],[RK]],TableWRCalcPts[RK],0)),"")),"")</f>
        <v>36.976249981439992</v>
      </c>
      <c r="AO11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4" spans="16:41" x14ac:dyDescent="0.2">
      <c r="P114">
        <v>113</v>
      </c>
      <c r="Q114" t="str">
        <f>IFERROR(INDEX(TableRBCalcPts[PLAYER],MATCH(TableRBRanks31[[#This Row],[RK]],TableRBCalcPts[RK],0)),"")</f>
        <v/>
      </c>
      <c r="R114" t="str">
        <f>IFERROR(INDEX(TableRBCalcPts[TM],MATCH(TableRBRanks31[[#This Row],[Player]],TableRBCalcPts[PLAYER],0)),"")</f>
        <v/>
      </c>
      <c r="S114" t="str">
        <f>IFERROR(INDEX(TableRBCalcPts[BYE],MATCH(TableRBRanks31[[#This Row],[Player]],TableRBCalcPts[PLAYER],0)),"")</f>
        <v/>
      </c>
      <c r="T114" s="83" t="str">
        <f>IFERROR((VLOOKUP(TableRBRanks31[[#This Row],[Player]],RB!B:O,4,FALSE)),"")</f>
        <v/>
      </c>
      <c r="U114" s="83" t="str">
        <f>IFERROR((VLOOKUP(TableRBRanks31[[#This Row],[Player]],RB!B:O,5,FALSE)),"")</f>
        <v/>
      </c>
      <c r="V114" s="83" t="str">
        <f>IFERROR((VLOOKUP(TableRBRanks31[[#This Row],[Player]],RB!B:O,6,FALSE)),"")</f>
        <v/>
      </c>
      <c r="W114" s="83" t="str">
        <f>IFERROR((VLOOKUP(TableRBRanks31[[#This Row],[Player]],RB!B:O,7,FALSE)),"")</f>
        <v/>
      </c>
      <c r="X114" s="83" t="str">
        <f>IFERROR((VLOOKUP(TableRBRanks31[[#This Row],[Player]],RB!B:O,8,FALSE)),"")</f>
        <v/>
      </c>
      <c r="Y114" s="83" t="str">
        <f>IFERROR((VLOOKUP(TableRBRanks31[[#This Row],[Player]],RB!B:O,9,FALSE)),"")</f>
        <v/>
      </c>
      <c r="Z114" s="83" t="str">
        <f>IFERROR((VLOOKUP(TableRBRanks31[[#This Row],[Player]],RB!B:O,10,FALSE)),"")</f>
        <v/>
      </c>
      <c r="AA114" s="57" t="str">
        <f>IFERROR((IFERROR(INDEX(TableRBCalcPts[Custom],MATCH(TableRBRanks31[[#This Row],[RK]],TableRBCalcPts[RK],0)),"")),"")</f>
        <v/>
      </c>
      <c r="AB11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4">
        <v>113</v>
      </c>
      <c r="AE114" t="str">
        <f>IFERROR(INDEX(TableWRCalcPts[PLAYER],MATCH(TableWRRanks32[[#This Row],[RK]],TableWRCalcPts[RK],0)),"")</f>
        <v>Cornelius Johnson</v>
      </c>
      <c r="AF114" t="str">
        <f>IFERROR(INDEX(TableWRCalcPts[TM],MATCH(TableWRRanks32[[#This Row],[Player]],TableWRCalcPts[PLAYER],0)),"")</f>
        <v>LAC</v>
      </c>
      <c r="AG114">
        <f>IFERROR(INDEX(TableWRCalcPts[BYE],MATCH(TableWRRanks32[[#This Row],[Player]],TableWRCalcPts[PLAYER],0)),"")</f>
        <v>5</v>
      </c>
      <c r="AH114" s="83">
        <f>IFERROR((VLOOKUP(TableWRRanks32[[#This Row],[Player]],WR!B:O,4,FALSE)),"")</f>
        <v>0</v>
      </c>
      <c r="AI114" s="83">
        <f>IFERROR((VLOOKUP(TableWRRanks32[[#This Row],[Player]],WR!B:O,5,FALSE)),"")</f>
        <v>0</v>
      </c>
      <c r="AJ114" s="83">
        <f>IFERROR((VLOOKUP(TableWRRanks32[[#This Row],[Player]],WR!B:O,6,FALSE)),"")</f>
        <v>27.918092999999995</v>
      </c>
      <c r="AK114" s="83">
        <f>IFERROR((VLOOKUP(TableWRRanks32[[#This Row],[Player]],WR!B:O,7,FALSE)),"")</f>
        <v>16.639183427999996</v>
      </c>
      <c r="AL114" s="83">
        <f>IFERROR((VLOOKUP(TableWRRanks32[[#This Row],[Player]],WR!B:O,8,FALSE)),"")</f>
        <v>211.81680503843995</v>
      </c>
      <c r="AM114" s="83">
        <f>IFERROR((VLOOKUP(TableWRRanks32[[#This Row],[Player]],WR!B:O,9,FALSE)),"")</f>
        <v>1.1980212068159997</v>
      </c>
      <c r="AN114" s="57">
        <f>IFERROR((IFERROR(INDEX(TableWRCalcPts[Custom],MATCH(TableWRRanks32[[#This Row],[RK]],TableWRCalcPts[RK],0)),"")),"")</f>
        <v>36.689399458739992</v>
      </c>
      <c r="AO11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5" spans="16:41" x14ac:dyDescent="0.2">
      <c r="P115">
        <v>114</v>
      </c>
      <c r="Q115" t="str">
        <f>IFERROR(INDEX(TableRBCalcPts[PLAYER],MATCH(TableRBRanks31[[#This Row],[RK]],TableRBCalcPts[RK],0)),"")</f>
        <v/>
      </c>
      <c r="R115" t="str">
        <f>IFERROR(INDEX(TableRBCalcPts[TM],MATCH(TableRBRanks31[[#This Row],[Player]],TableRBCalcPts[PLAYER],0)),"")</f>
        <v/>
      </c>
      <c r="S115" t="str">
        <f>IFERROR(INDEX(TableRBCalcPts[BYE],MATCH(TableRBRanks31[[#This Row],[Player]],TableRBCalcPts[PLAYER],0)),"")</f>
        <v/>
      </c>
      <c r="T115" s="83" t="str">
        <f>IFERROR((VLOOKUP(TableRBRanks31[[#This Row],[Player]],RB!B:O,4,FALSE)),"")</f>
        <v/>
      </c>
      <c r="U115" s="83" t="str">
        <f>IFERROR((VLOOKUP(TableRBRanks31[[#This Row],[Player]],RB!B:O,5,FALSE)),"")</f>
        <v/>
      </c>
      <c r="V115" s="83" t="str">
        <f>IFERROR((VLOOKUP(TableRBRanks31[[#This Row],[Player]],RB!B:O,6,FALSE)),"")</f>
        <v/>
      </c>
      <c r="W115" s="83" t="str">
        <f>IFERROR((VLOOKUP(TableRBRanks31[[#This Row],[Player]],RB!B:O,7,FALSE)),"")</f>
        <v/>
      </c>
      <c r="X115" s="83" t="str">
        <f>IFERROR((VLOOKUP(TableRBRanks31[[#This Row],[Player]],RB!B:O,8,FALSE)),"")</f>
        <v/>
      </c>
      <c r="Y115" s="83" t="str">
        <f>IFERROR((VLOOKUP(TableRBRanks31[[#This Row],[Player]],RB!B:O,9,FALSE)),"")</f>
        <v/>
      </c>
      <c r="Z115" s="83" t="str">
        <f>IFERROR((VLOOKUP(TableRBRanks31[[#This Row],[Player]],RB!B:O,10,FALSE)),"")</f>
        <v/>
      </c>
      <c r="AA115" s="57" t="str">
        <f>IFERROR((IFERROR(INDEX(TableRBCalcPts[Custom],MATCH(TableRBRanks31[[#This Row],[RK]],TableRBCalcPts[RK],0)),"")),"")</f>
        <v/>
      </c>
      <c r="AB11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5">
        <v>114</v>
      </c>
      <c r="AE115" t="str">
        <f>IFERROR(INDEX(TableWRCalcPts[PLAYER],MATCH(TableWRRanks32[[#This Row],[RK]],TableWRCalcPts[RK],0)),"")</f>
        <v>Javon Baker</v>
      </c>
      <c r="AF115" t="str">
        <f>IFERROR(INDEX(TableWRCalcPts[TM],MATCH(TableWRRanks32[[#This Row],[Player]],TableWRCalcPts[PLAYER],0)),"")</f>
        <v>NE</v>
      </c>
      <c r="AG115">
        <f>IFERROR(INDEX(TableWRCalcPts[BYE],MATCH(TableWRRanks32[[#This Row],[Player]],TableWRCalcPts[PLAYER],0)),"")</f>
        <v>11</v>
      </c>
      <c r="AH115" s="83">
        <f>IFERROR((VLOOKUP(TableWRRanks32[[#This Row],[Player]],WR!B:O,4,FALSE)),"")</f>
        <v>0</v>
      </c>
      <c r="AI115" s="83">
        <f>IFERROR((VLOOKUP(TableWRRanks32[[#This Row],[Player]],WR!B:O,5,FALSE)),"")</f>
        <v>0</v>
      </c>
      <c r="AJ115" s="83">
        <f>IFERROR((VLOOKUP(TableWRRanks32[[#This Row],[Player]],WR!B:O,6,FALSE)),"")</f>
        <v>28.344147999999993</v>
      </c>
      <c r="AK115" s="83">
        <f>IFERROR((VLOOKUP(TableWRRanks32[[#This Row],[Player]],WR!B:O,7,FALSE)),"")</f>
        <v>16.751391467999994</v>
      </c>
      <c r="AL115" s="83">
        <f>IFERROR((VLOOKUP(TableWRRanks32[[#This Row],[Player]],WR!B:O,8,FALSE)),"")</f>
        <v>215.75792210783993</v>
      </c>
      <c r="AM115" s="83">
        <f>IFERROR((VLOOKUP(TableWRRanks32[[#This Row],[Player]],WR!B:O,9,FALSE)),"")</f>
        <v>1.1055918368879998</v>
      </c>
      <c r="AN115" s="57">
        <f>IFERROR((IFERROR(INDEX(TableWRCalcPts[Custom],MATCH(TableWRRanks32[[#This Row],[RK]],TableWRCalcPts[RK],0)),"")),"")</f>
        <v>36.585038966111988</v>
      </c>
      <c r="AO11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6" spans="16:41" x14ac:dyDescent="0.2">
      <c r="P116">
        <v>115</v>
      </c>
      <c r="Q116" t="str">
        <f>IFERROR(INDEX(TableRBCalcPts[PLAYER],MATCH(TableRBRanks31[[#This Row],[RK]],TableRBCalcPts[RK],0)),"")</f>
        <v/>
      </c>
      <c r="R116" t="str">
        <f>IFERROR(INDEX(TableRBCalcPts[TM],MATCH(TableRBRanks31[[#This Row],[Player]],TableRBCalcPts[PLAYER],0)),"")</f>
        <v/>
      </c>
      <c r="S116" t="str">
        <f>IFERROR(INDEX(TableRBCalcPts[BYE],MATCH(TableRBRanks31[[#This Row],[Player]],TableRBCalcPts[PLAYER],0)),"")</f>
        <v/>
      </c>
      <c r="T116" s="83" t="str">
        <f>IFERROR((VLOOKUP(TableRBRanks31[[#This Row],[Player]],RB!B:O,4,FALSE)),"")</f>
        <v/>
      </c>
      <c r="U116" s="83" t="str">
        <f>IFERROR((VLOOKUP(TableRBRanks31[[#This Row],[Player]],RB!B:O,5,FALSE)),"")</f>
        <v/>
      </c>
      <c r="V116" s="83" t="str">
        <f>IFERROR((VLOOKUP(TableRBRanks31[[#This Row],[Player]],RB!B:O,6,FALSE)),"")</f>
        <v/>
      </c>
      <c r="W116" s="83" t="str">
        <f>IFERROR((VLOOKUP(TableRBRanks31[[#This Row],[Player]],RB!B:O,7,FALSE)),"")</f>
        <v/>
      </c>
      <c r="X116" s="83" t="str">
        <f>IFERROR((VLOOKUP(TableRBRanks31[[#This Row],[Player]],RB!B:O,8,FALSE)),"")</f>
        <v/>
      </c>
      <c r="Y116" s="83" t="str">
        <f>IFERROR((VLOOKUP(TableRBRanks31[[#This Row],[Player]],RB!B:O,9,FALSE)),"")</f>
        <v/>
      </c>
      <c r="Z116" s="83" t="str">
        <f>IFERROR((VLOOKUP(TableRBRanks31[[#This Row],[Player]],RB!B:O,10,FALSE)),"")</f>
        <v/>
      </c>
      <c r="AA116" s="57" t="str">
        <f>IFERROR((IFERROR(INDEX(TableRBCalcPts[Custom],MATCH(TableRBRanks31[[#This Row],[RK]],TableRBCalcPts[RK],0)),"")),"")</f>
        <v/>
      </c>
      <c r="AB11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6">
        <v>115</v>
      </c>
      <c r="AE116" t="str">
        <f>IFERROR(INDEX(TableWRCalcPts[PLAYER],MATCH(TableWRRanks32[[#This Row],[RK]],TableWRCalcPts[RK],0)),"")</f>
        <v>Mack Hollins</v>
      </c>
      <c r="AF116" t="str">
        <f>IFERROR(INDEX(TableWRCalcPts[TM],MATCH(TableWRRanks32[[#This Row],[Player]],TableWRCalcPts[PLAYER],0)),"")</f>
        <v>BUF</v>
      </c>
      <c r="AG116">
        <f>IFERROR(INDEX(TableWRCalcPts[BYE],MATCH(TableWRRanks32[[#This Row],[Player]],TableWRCalcPts[PLAYER],0)),"")</f>
        <v>13</v>
      </c>
      <c r="AH116" s="83">
        <f>IFERROR((VLOOKUP(TableWRRanks32[[#This Row],[Player]],WR!B:O,4,FALSE)),"")</f>
        <v>22.444395903999997</v>
      </c>
      <c r="AI116" s="83">
        <f>IFERROR((VLOOKUP(TableWRRanks32[[#This Row],[Player]],WR!B:O,5,FALSE)),"")</f>
        <v>6.7064927999999996E-2</v>
      </c>
      <c r="AJ116" s="83">
        <f>IFERROR((VLOOKUP(TableWRRanks32[[#This Row],[Player]],WR!B:O,6,FALSE)),"")</f>
        <v>24.295219199999995</v>
      </c>
      <c r="AK116" s="83">
        <f>IFERROR((VLOOKUP(TableWRRanks32[[#This Row],[Player]],WR!B:O,7,FALSE)),"")</f>
        <v>14.528541081599997</v>
      </c>
      <c r="AL116" s="83">
        <f>IFERROR((VLOOKUP(TableWRRanks32[[#This Row],[Player]],WR!B:O,8,FALSE)),"")</f>
        <v>187.41817995263997</v>
      </c>
      <c r="AM116" s="83">
        <f>IFERROR((VLOOKUP(TableWRRanks32[[#This Row],[Player]],WR!B:O,9,FALSE)),"")</f>
        <v>1.0896405811199996</v>
      </c>
      <c r="AN116" s="57">
        <f>IFERROR((IFERROR(INDEX(TableWRCalcPts[Custom],MATCH(TableWRRanks32[[#This Row],[RK]],TableWRCalcPts[RK],0)),"")),"")</f>
        <v>35.190761181183994</v>
      </c>
      <c r="AO11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7" spans="16:41" x14ac:dyDescent="0.2">
      <c r="P117">
        <v>116</v>
      </c>
      <c r="Q117" t="str">
        <f>IFERROR(INDEX(TableRBCalcPts[PLAYER],MATCH(TableRBRanks31[[#This Row],[RK]],TableRBCalcPts[RK],0)),"")</f>
        <v/>
      </c>
      <c r="R117" t="str">
        <f>IFERROR(INDEX(TableRBCalcPts[TM],MATCH(TableRBRanks31[[#This Row],[Player]],TableRBCalcPts[PLAYER],0)),"")</f>
        <v/>
      </c>
      <c r="S117" t="str">
        <f>IFERROR(INDEX(TableRBCalcPts[BYE],MATCH(TableRBRanks31[[#This Row],[Player]],TableRBCalcPts[PLAYER],0)),"")</f>
        <v/>
      </c>
      <c r="T117" s="83" t="str">
        <f>IFERROR((VLOOKUP(TableRBRanks31[[#This Row],[Player]],RB!B:O,4,FALSE)),"")</f>
        <v/>
      </c>
      <c r="U117" s="83" t="str">
        <f>IFERROR((VLOOKUP(TableRBRanks31[[#This Row],[Player]],RB!B:O,5,FALSE)),"")</f>
        <v/>
      </c>
      <c r="V117" s="83" t="str">
        <f>IFERROR((VLOOKUP(TableRBRanks31[[#This Row],[Player]],RB!B:O,6,FALSE)),"")</f>
        <v/>
      </c>
      <c r="W117" s="83" t="str">
        <f>IFERROR((VLOOKUP(TableRBRanks31[[#This Row],[Player]],RB!B:O,7,FALSE)),"")</f>
        <v/>
      </c>
      <c r="X117" s="83" t="str">
        <f>IFERROR((VLOOKUP(TableRBRanks31[[#This Row],[Player]],RB!B:O,8,FALSE)),"")</f>
        <v/>
      </c>
      <c r="Y117" s="83" t="str">
        <f>IFERROR((VLOOKUP(TableRBRanks31[[#This Row],[Player]],RB!B:O,9,FALSE)),"")</f>
        <v/>
      </c>
      <c r="Z117" s="83" t="str">
        <f>IFERROR((VLOOKUP(TableRBRanks31[[#This Row],[Player]],RB!B:O,10,FALSE)),"")</f>
        <v/>
      </c>
      <c r="AA117" s="57" t="str">
        <f>IFERROR((IFERROR(INDEX(TableRBCalcPts[Custom],MATCH(TableRBRanks31[[#This Row],[RK]],TableRBCalcPts[RK],0)),"")),"")</f>
        <v/>
      </c>
      <c r="AB11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7">
        <v>116</v>
      </c>
      <c r="AE117" t="str">
        <f>IFERROR(INDEX(TableWRCalcPts[PLAYER],MATCH(TableWRRanks32[[#This Row],[RK]],TableWRCalcPts[RK],0)),"")</f>
        <v>K.J. Osborn</v>
      </c>
      <c r="AF117" t="str">
        <f>IFERROR(INDEX(TableWRCalcPts[TM],MATCH(TableWRRanks32[[#This Row],[Player]],TableWRCalcPts[PLAYER],0)),"")</f>
        <v>NE</v>
      </c>
      <c r="AG117">
        <f>IFERROR(INDEX(TableWRCalcPts[BYE],MATCH(TableWRRanks32[[#This Row],[Player]],TableWRCalcPts[PLAYER],0)),"")</f>
        <v>11</v>
      </c>
      <c r="AH117" s="83">
        <f>IFERROR((VLOOKUP(TableWRRanks32[[#This Row],[Player]],WR!B:O,4,FALSE)),"")</f>
        <v>0</v>
      </c>
      <c r="AI117" s="83">
        <f>IFERROR((VLOOKUP(TableWRRanks32[[#This Row],[Player]],WR!B:O,5,FALSE)),"")</f>
        <v>0</v>
      </c>
      <c r="AJ117" s="83">
        <f>IFERROR((VLOOKUP(TableWRRanks32[[#This Row],[Player]],WR!B:O,6,FALSE)),"")</f>
        <v>28.344147999999993</v>
      </c>
      <c r="AK117" s="83">
        <f>IFERROR((VLOOKUP(TableWRRanks32[[#This Row],[Player]],WR!B:O,7,FALSE)),"")</f>
        <v>17.063177095999997</v>
      </c>
      <c r="AL117" s="83">
        <f>IFERROR((VLOOKUP(TableWRRanks32[[#This Row],[Player]],WR!B:O,8,FALSE)),"")</f>
        <v>194.17895535247999</v>
      </c>
      <c r="AM117" s="83">
        <f>IFERROR((VLOOKUP(TableWRRanks32[[#This Row],[Player]],WR!B:O,9,FALSE)),"")</f>
        <v>1.1091065112399998</v>
      </c>
      <c r="AN117" s="57">
        <f>IFERROR((IFERROR(INDEX(TableWRCalcPts[Custom],MATCH(TableWRRanks32[[#This Row],[RK]],TableWRCalcPts[RK],0)),"")),"")</f>
        <v>34.604123150687997</v>
      </c>
      <c r="AO11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8" spans="16:41" x14ac:dyDescent="0.2">
      <c r="P118">
        <v>117</v>
      </c>
      <c r="Q118" t="str">
        <f>IFERROR(INDEX(TableRBCalcPts[PLAYER],MATCH(TableRBRanks31[[#This Row],[RK]],TableRBCalcPts[RK],0)),"")</f>
        <v/>
      </c>
      <c r="R118" t="str">
        <f>IFERROR(INDEX(TableRBCalcPts[TM],MATCH(TableRBRanks31[[#This Row],[Player]],TableRBCalcPts[PLAYER],0)),"")</f>
        <v/>
      </c>
      <c r="S118" t="str">
        <f>IFERROR(INDEX(TableRBCalcPts[BYE],MATCH(TableRBRanks31[[#This Row],[Player]],TableRBCalcPts[PLAYER],0)),"")</f>
        <v/>
      </c>
      <c r="T118" s="83" t="str">
        <f>IFERROR((VLOOKUP(TableRBRanks31[[#This Row],[Player]],RB!B:O,4,FALSE)),"")</f>
        <v/>
      </c>
      <c r="U118" s="83" t="str">
        <f>IFERROR((VLOOKUP(TableRBRanks31[[#This Row],[Player]],RB!B:O,5,FALSE)),"")</f>
        <v/>
      </c>
      <c r="V118" s="83" t="str">
        <f>IFERROR((VLOOKUP(TableRBRanks31[[#This Row],[Player]],RB!B:O,6,FALSE)),"")</f>
        <v/>
      </c>
      <c r="W118" s="83" t="str">
        <f>IFERROR((VLOOKUP(TableRBRanks31[[#This Row],[Player]],RB!B:O,7,FALSE)),"")</f>
        <v/>
      </c>
      <c r="X118" s="83" t="str">
        <f>IFERROR((VLOOKUP(TableRBRanks31[[#This Row],[Player]],RB!B:O,8,FALSE)),"")</f>
        <v/>
      </c>
      <c r="Y118" s="83" t="str">
        <f>IFERROR((VLOOKUP(TableRBRanks31[[#This Row],[Player]],RB!B:O,9,FALSE)),"")</f>
        <v/>
      </c>
      <c r="Z118" s="83" t="str">
        <f>IFERROR((VLOOKUP(TableRBRanks31[[#This Row],[Player]],RB!B:O,10,FALSE)),"")</f>
        <v/>
      </c>
      <c r="AA118" s="57" t="str">
        <f>IFERROR((IFERROR(INDEX(TableRBCalcPts[Custom],MATCH(TableRBRanks31[[#This Row],[RK]],TableRBCalcPts[RK],0)),"")),"")</f>
        <v/>
      </c>
      <c r="AB11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8">
        <v>117</v>
      </c>
      <c r="AE118" t="str">
        <f>IFERROR(INDEX(TableWRCalcPts[PLAYER],MATCH(TableWRRanks32[[#This Row],[RK]],TableWRCalcPts[RK],0)),"")</f>
        <v>Brenden Rice</v>
      </c>
      <c r="AF118" t="str">
        <f>IFERROR(INDEX(TableWRCalcPts[TM],MATCH(TableWRRanks32[[#This Row],[Player]],TableWRCalcPts[PLAYER],0)),"")</f>
        <v>LAC</v>
      </c>
      <c r="AG118">
        <f>IFERROR(INDEX(TableWRCalcPts[BYE],MATCH(TableWRRanks32[[#This Row],[Player]],TableWRCalcPts[PLAYER],0)),"")</f>
        <v>5</v>
      </c>
      <c r="AH118" s="83">
        <f>IFERROR((VLOOKUP(TableWRRanks32[[#This Row],[Player]],WR!B:O,4,FALSE)),"")</f>
        <v>0</v>
      </c>
      <c r="AI118" s="83">
        <f>IFERROR((VLOOKUP(TableWRRanks32[[#This Row],[Player]],WR!B:O,5,FALSE)),"")</f>
        <v>0</v>
      </c>
      <c r="AJ118" s="83">
        <f>IFERROR((VLOOKUP(TableWRRanks32[[#This Row],[Player]],WR!B:O,6,FALSE)),"")</f>
        <v>27.918092999999995</v>
      </c>
      <c r="AK118" s="83">
        <f>IFERROR((VLOOKUP(TableWRRanks32[[#This Row],[Player]],WR!B:O,7,FALSE)),"")</f>
        <v>16.136657753999994</v>
      </c>
      <c r="AL118" s="83">
        <f>IFERROR((VLOOKUP(TableWRRanks32[[#This Row],[Player]],WR!B:O,8,FALSE)),"")</f>
        <v>191.86486069505995</v>
      </c>
      <c r="AM118" s="83">
        <f>IFERROR((VLOOKUP(TableWRRanks32[[#This Row],[Player]],WR!B:O,9,FALSE)),"")</f>
        <v>1.0972927272719997</v>
      </c>
      <c r="AN118" s="57">
        <f>IFERROR((IFERROR(INDEX(TableWRCalcPts[Custom],MATCH(TableWRRanks32[[#This Row],[RK]],TableWRCalcPts[RK],0)),"")),"")</f>
        <v>33.838571310137993</v>
      </c>
      <c r="AO11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9" spans="16:41" x14ac:dyDescent="0.2">
      <c r="P119">
        <v>118</v>
      </c>
      <c r="Q119" t="str">
        <f>IFERROR(INDEX(TableRBCalcPts[PLAYER],MATCH(TableRBRanks31[[#This Row],[RK]],TableRBCalcPts[RK],0)),"")</f>
        <v/>
      </c>
      <c r="R119" t="str">
        <f>IFERROR(INDEX(TableRBCalcPts[TM],MATCH(TableRBRanks31[[#This Row],[Player]],TableRBCalcPts[PLAYER],0)),"")</f>
        <v/>
      </c>
      <c r="S119" t="str">
        <f>IFERROR(INDEX(TableRBCalcPts[BYE],MATCH(TableRBRanks31[[#This Row],[Player]],TableRBCalcPts[PLAYER],0)),"")</f>
        <v/>
      </c>
      <c r="T119" s="83" t="str">
        <f>IFERROR((VLOOKUP(TableRBRanks31[[#This Row],[Player]],RB!B:O,4,FALSE)),"")</f>
        <v/>
      </c>
      <c r="U119" s="83" t="str">
        <f>IFERROR((VLOOKUP(TableRBRanks31[[#This Row],[Player]],RB!B:O,5,FALSE)),"")</f>
        <v/>
      </c>
      <c r="V119" s="83" t="str">
        <f>IFERROR((VLOOKUP(TableRBRanks31[[#This Row],[Player]],RB!B:O,6,FALSE)),"")</f>
        <v/>
      </c>
      <c r="W119" s="83" t="str">
        <f>IFERROR((VLOOKUP(TableRBRanks31[[#This Row],[Player]],RB!B:O,7,FALSE)),"")</f>
        <v/>
      </c>
      <c r="X119" s="83" t="str">
        <f>IFERROR((VLOOKUP(TableRBRanks31[[#This Row],[Player]],RB!B:O,8,FALSE)),"")</f>
        <v/>
      </c>
      <c r="Y119" s="83" t="str">
        <f>IFERROR((VLOOKUP(TableRBRanks31[[#This Row],[Player]],RB!B:O,9,FALSE)),"")</f>
        <v/>
      </c>
      <c r="Z119" s="83" t="str">
        <f>IFERROR((VLOOKUP(TableRBRanks31[[#This Row],[Player]],RB!B:O,10,FALSE)),"")</f>
        <v/>
      </c>
      <c r="AA119" s="57" t="str">
        <f>IFERROR((IFERROR(INDEX(TableRBCalcPts[Custom],MATCH(TableRBRanks31[[#This Row],[RK]],TableRBCalcPts[RK],0)),"")),"")</f>
        <v/>
      </c>
      <c r="AB11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9">
        <v>118</v>
      </c>
      <c r="AE119" t="str">
        <f>IFERROR(INDEX(TableWRCalcPts[PLAYER],MATCH(TableWRRanks32[[#This Row],[RK]],TableWRCalcPts[RK],0)),"")</f>
        <v>KaVontae Turpin</v>
      </c>
      <c r="AF119" t="str">
        <f>IFERROR(INDEX(TableWRCalcPts[TM],MATCH(TableWRRanks32[[#This Row],[Player]],TableWRCalcPts[PLAYER],0)),"")</f>
        <v>DAL</v>
      </c>
      <c r="AG119">
        <f>IFERROR(INDEX(TableWRCalcPts[BYE],MATCH(TableWRRanks32[[#This Row],[Player]],TableWRCalcPts[PLAYER],0)),"")</f>
        <v>7</v>
      </c>
      <c r="AH119" s="83">
        <f>IFERROR((VLOOKUP(TableWRRanks32[[#This Row],[Player]],WR!B:O,4,FALSE)),"")</f>
        <v>0</v>
      </c>
      <c r="AI119" s="83">
        <f>IFERROR((VLOOKUP(TableWRRanks32[[#This Row],[Player]],WR!B:O,5,FALSE)),"")</f>
        <v>0</v>
      </c>
      <c r="AJ119" s="83">
        <f>IFERROR((VLOOKUP(TableWRRanks32[[#This Row],[Player]],WR!B:O,6,FALSE)),"")</f>
        <v>24.39329759999999</v>
      </c>
      <c r="AK119" s="83">
        <f>IFERROR((VLOOKUP(TableWRRanks32[[#This Row],[Player]],WR!B:O,7,FALSE)),"")</f>
        <v>15.294597595199994</v>
      </c>
      <c r="AL119" s="83">
        <f>IFERROR((VLOOKUP(TableWRRanks32[[#This Row],[Player]],WR!B:O,8,FALSE)),"")</f>
        <v>177.57027808027192</v>
      </c>
      <c r="AM119" s="83">
        <f>IFERROR((VLOOKUP(TableWRRanks32[[#This Row],[Player]],WR!B:O,9,FALSE)),"")</f>
        <v>1.3765137835679995</v>
      </c>
      <c r="AN119" s="57">
        <f>IFERROR((IFERROR(INDEX(TableWRCalcPts[Custom],MATCH(TableWRRanks32[[#This Row],[RK]],TableWRCalcPts[RK],0)),"")),"")</f>
        <v>33.663409307035188</v>
      </c>
      <c r="AO11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0" spans="16:41" x14ac:dyDescent="0.2">
      <c r="P120">
        <v>119</v>
      </c>
      <c r="Q120" t="str">
        <f>IFERROR(INDEX(TableRBCalcPts[PLAYER],MATCH(TableRBRanks31[[#This Row],[RK]],TableRBCalcPts[RK],0)),"")</f>
        <v/>
      </c>
      <c r="R120" t="str">
        <f>IFERROR(INDEX(TableRBCalcPts[TM],MATCH(TableRBRanks31[[#This Row],[Player]],TableRBCalcPts[PLAYER],0)),"")</f>
        <v/>
      </c>
      <c r="S120" t="str">
        <f>IFERROR(INDEX(TableRBCalcPts[BYE],MATCH(TableRBRanks31[[#This Row],[Player]],TableRBCalcPts[PLAYER],0)),"")</f>
        <v/>
      </c>
      <c r="T120" s="83" t="str">
        <f>IFERROR((VLOOKUP(TableRBRanks31[[#This Row],[Player]],RB!B:O,4,FALSE)),"")</f>
        <v/>
      </c>
      <c r="U120" s="83" t="str">
        <f>IFERROR((VLOOKUP(TableRBRanks31[[#This Row],[Player]],RB!B:O,5,FALSE)),"")</f>
        <v/>
      </c>
      <c r="V120" s="83" t="str">
        <f>IFERROR((VLOOKUP(TableRBRanks31[[#This Row],[Player]],RB!B:O,6,FALSE)),"")</f>
        <v/>
      </c>
      <c r="W120" s="83" t="str">
        <f>IFERROR((VLOOKUP(TableRBRanks31[[#This Row],[Player]],RB!B:O,7,FALSE)),"")</f>
        <v/>
      </c>
      <c r="X120" s="83" t="str">
        <f>IFERROR((VLOOKUP(TableRBRanks31[[#This Row],[Player]],RB!B:O,8,FALSE)),"")</f>
        <v/>
      </c>
      <c r="Y120" s="83" t="str">
        <f>IFERROR((VLOOKUP(TableRBRanks31[[#This Row],[Player]],RB!B:O,9,FALSE)),"")</f>
        <v/>
      </c>
      <c r="Z120" s="83" t="str">
        <f>IFERROR((VLOOKUP(TableRBRanks31[[#This Row],[Player]],RB!B:O,10,FALSE)),"")</f>
        <v/>
      </c>
      <c r="AA120" s="57" t="str">
        <f>IFERROR((IFERROR(INDEX(TableRBCalcPts[Custom],MATCH(TableRBRanks31[[#This Row],[RK]],TableRBCalcPts[RK],0)),"")),"")</f>
        <v/>
      </c>
      <c r="AB12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0">
        <v>119</v>
      </c>
      <c r="AE120" t="str">
        <f>IFERROR(INDEX(TableWRCalcPts[PLAYER],MATCH(TableWRRanks32[[#This Row],[RK]],TableWRCalcPts[RK],0)),"")</f>
        <v>Alec Pierce</v>
      </c>
      <c r="AF120" t="str">
        <f>IFERROR(INDEX(TableWRCalcPts[TM],MATCH(TableWRRanks32[[#This Row],[Player]],TableWRCalcPts[PLAYER],0)),"")</f>
        <v>IND</v>
      </c>
      <c r="AG120">
        <f>IFERROR(INDEX(TableWRCalcPts[BYE],MATCH(TableWRRanks32[[#This Row],[Player]],TableWRCalcPts[PLAYER],0)),"")</f>
        <v>11</v>
      </c>
      <c r="AH120" s="83">
        <f>IFERROR((VLOOKUP(TableWRRanks32[[#This Row],[Player]],WR!B:O,4,FALSE)),"")</f>
        <v>0</v>
      </c>
      <c r="AI120" s="83">
        <f>IFERROR((VLOOKUP(TableWRRanks32[[#This Row],[Player]],WR!B:O,5,FALSE)),"")</f>
        <v>0</v>
      </c>
      <c r="AJ120" s="83">
        <f>IFERROR((VLOOKUP(TableWRRanks32[[#This Row],[Player]],WR!B:O,6,FALSE)),"")</f>
        <v>26.831420000000001</v>
      </c>
      <c r="AK120" s="83">
        <f>IFERROR((VLOOKUP(TableWRRanks32[[#This Row],[Player]],WR!B:O,7,FALSE)),"")</f>
        <v>13.818181300000001</v>
      </c>
      <c r="AL120" s="83">
        <f>IFERROR((VLOOKUP(TableWRRanks32[[#This Row],[Player]],WR!B:O,8,FALSE)),"")</f>
        <v>200.639992476</v>
      </c>
      <c r="AM120" s="83">
        <f>IFERROR((VLOOKUP(TableWRRanks32[[#This Row],[Player]],WR!B:O,9,FALSE)),"")</f>
        <v>0.87054542190000006</v>
      </c>
      <c r="AN120" s="57">
        <f>IFERROR((IFERROR(INDEX(TableWRCalcPts[Custom],MATCH(TableWRRanks32[[#This Row],[RK]],TableWRCalcPts[RK],0)),"")),"")</f>
        <v>32.196362429000004</v>
      </c>
      <c r="AO12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1" spans="16:41" x14ac:dyDescent="0.2">
      <c r="P121">
        <v>120</v>
      </c>
      <c r="Q121" t="str">
        <f>IFERROR(INDEX(TableRBCalcPts[PLAYER],MATCH(TableRBRanks31[[#This Row],[RK]],TableRBCalcPts[RK],0)),"")</f>
        <v/>
      </c>
      <c r="R121" t="str">
        <f>IFERROR(INDEX(TableRBCalcPts[TM],MATCH(TableRBRanks31[[#This Row],[Player]],TableRBCalcPts[PLAYER],0)),"")</f>
        <v/>
      </c>
      <c r="S121" t="str">
        <f>IFERROR(INDEX(TableRBCalcPts[BYE],MATCH(TableRBRanks31[[#This Row],[Player]],TableRBCalcPts[PLAYER],0)),"")</f>
        <v/>
      </c>
      <c r="T121" s="83" t="str">
        <f>IFERROR((VLOOKUP(TableRBRanks31[[#This Row],[Player]],RB!B:O,4,FALSE)),"")</f>
        <v/>
      </c>
      <c r="U121" s="83" t="str">
        <f>IFERROR((VLOOKUP(TableRBRanks31[[#This Row],[Player]],RB!B:O,5,FALSE)),"")</f>
        <v/>
      </c>
      <c r="V121" s="83" t="str">
        <f>IFERROR((VLOOKUP(TableRBRanks31[[#This Row],[Player]],RB!B:O,6,FALSE)),"")</f>
        <v/>
      </c>
      <c r="W121" s="83" t="str">
        <f>IFERROR((VLOOKUP(TableRBRanks31[[#This Row],[Player]],RB!B:O,7,FALSE)),"")</f>
        <v/>
      </c>
      <c r="X121" s="83" t="str">
        <f>IFERROR((VLOOKUP(TableRBRanks31[[#This Row],[Player]],RB!B:O,8,FALSE)),"")</f>
        <v/>
      </c>
      <c r="Y121" s="83" t="str">
        <f>IFERROR((VLOOKUP(TableRBRanks31[[#This Row],[Player]],RB!B:O,9,FALSE)),"")</f>
        <v/>
      </c>
      <c r="Z121" s="83" t="str">
        <f>IFERROR((VLOOKUP(TableRBRanks31[[#This Row],[Player]],RB!B:O,10,FALSE)),"")</f>
        <v/>
      </c>
      <c r="AA121" s="57" t="str">
        <f>IFERROR((IFERROR(INDEX(TableRBCalcPts[Custom],MATCH(TableRBRanks31[[#This Row],[RK]],TableRBCalcPts[RK],0)),"")),"")</f>
        <v/>
      </c>
      <c r="AB12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1">
        <v>120</v>
      </c>
      <c r="AE121" t="str">
        <f>IFERROR(INDEX(TableWRCalcPts[PLAYER],MATCH(TableWRRanks32[[#This Row],[RK]],TableWRCalcPts[RK],0)),"")</f>
        <v>Treylon Burks</v>
      </c>
      <c r="AF121" t="str">
        <f>IFERROR(INDEX(TableWRCalcPts[TM],MATCH(TableWRRanks32[[#This Row],[Player]],TableWRCalcPts[PLAYER],0)),"")</f>
        <v>TEN</v>
      </c>
      <c r="AG121">
        <f>IFERROR(INDEX(TableWRCalcPts[BYE],MATCH(TableWRRanks32[[#This Row],[Player]],TableWRCalcPts[PLAYER],0)),"")</f>
        <v>7</v>
      </c>
      <c r="AH121" s="83">
        <f>IFERROR((VLOOKUP(TableWRRanks32[[#This Row],[Player]],WR!B:O,4,FALSE)),"")</f>
        <v>0</v>
      </c>
      <c r="AI121" s="83">
        <f>IFERROR((VLOOKUP(TableWRRanks32[[#This Row],[Player]],WR!B:O,5,FALSE)),"")</f>
        <v>0</v>
      </c>
      <c r="AJ121" s="83">
        <f>IFERROR((VLOOKUP(TableWRRanks32[[#This Row],[Player]],WR!B:O,6,FALSE)),"")</f>
        <v>23.459435999999993</v>
      </c>
      <c r="AK121" s="83">
        <f>IFERROR((VLOOKUP(TableWRRanks32[[#This Row],[Player]],WR!B:O,7,FALSE)),"")</f>
        <v>13.723770059999994</v>
      </c>
      <c r="AL121" s="83">
        <f>IFERROR((VLOOKUP(TableWRRanks32[[#This Row],[Player]],WR!B:O,8,FALSE)),"")</f>
        <v>187.32946131899993</v>
      </c>
      <c r="AM121" s="83">
        <f>IFERROR((VLOOKUP(TableWRRanks32[[#This Row],[Player]],WR!B:O,9,FALSE)),"")</f>
        <v>1.0292827544999996</v>
      </c>
      <c r="AN121" s="57">
        <f>IFERROR((IFERROR(INDEX(TableWRCalcPts[Custom],MATCH(TableWRRanks32[[#This Row],[RK]],TableWRCalcPts[RK],0)),"")),"")</f>
        <v>31.770527688899989</v>
      </c>
      <c r="AO12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2" spans="16:41" x14ac:dyDescent="0.2">
      <c r="P122">
        <v>121</v>
      </c>
      <c r="Q122" t="str">
        <f>IFERROR(INDEX(TableRBCalcPts[PLAYER],MATCH(TableRBRanks31[[#This Row],[RK]],TableRBCalcPts[RK],0)),"")</f>
        <v/>
      </c>
      <c r="R122" t="str">
        <f>IFERROR(INDEX(TableRBCalcPts[TM],MATCH(TableRBRanks31[[#This Row],[Player]],TableRBCalcPts[PLAYER],0)),"")</f>
        <v/>
      </c>
      <c r="S122" t="str">
        <f>IFERROR(INDEX(TableRBCalcPts[BYE],MATCH(TableRBRanks31[[#This Row],[Player]],TableRBCalcPts[PLAYER],0)),"")</f>
        <v/>
      </c>
      <c r="T122" s="83" t="str">
        <f>IFERROR((VLOOKUP(TableRBRanks31[[#This Row],[Player]],RB!B:O,4,FALSE)),"")</f>
        <v/>
      </c>
      <c r="U122" s="83" t="str">
        <f>IFERROR((VLOOKUP(TableRBRanks31[[#This Row],[Player]],RB!B:O,5,FALSE)),"")</f>
        <v/>
      </c>
      <c r="V122" s="83" t="str">
        <f>IFERROR((VLOOKUP(TableRBRanks31[[#This Row],[Player]],RB!B:O,6,FALSE)),"")</f>
        <v/>
      </c>
      <c r="W122" s="83" t="str">
        <f>IFERROR((VLOOKUP(TableRBRanks31[[#This Row],[Player]],RB!B:O,7,FALSE)),"")</f>
        <v/>
      </c>
      <c r="X122" s="83" t="str">
        <f>IFERROR((VLOOKUP(TableRBRanks31[[#This Row],[Player]],RB!B:O,8,FALSE)),"")</f>
        <v/>
      </c>
      <c r="Y122" s="83" t="str">
        <f>IFERROR((VLOOKUP(TableRBRanks31[[#This Row],[Player]],RB!B:O,9,FALSE)),"")</f>
        <v/>
      </c>
      <c r="Z122" s="83" t="str">
        <f>IFERROR((VLOOKUP(TableRBRanks31[[#This Row],[Player]],RB!B:O,10,FALSE)),"")</f>
        <v/>
      </c>
      <c r="AA122" s="57" t="str">
        <f>IFERROR((IFERROR(INDEX(TableRBCalcPts[Custom],MATCH(TableRBRanks31[[#This Row],[RK]],TableRBCalcPts[RK],0)),"")),"")</f>
        <v/>
      </c>
      <c r="AB12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2">
        <v>121</v>
      </c>
      <c r="AE122" t="str">
        <f>IFERROR(INDEX(TableWRCalcPts[PLAYER],MATCH(TableWRRanks32[[#This Row],[RK]],TableWRCalcPts[RK],0)),"")</f>
        <v>Parker Washington</v>
      </c>
      <c r="AF122" t="str">
        <f>IFERROR(INDEX(TableWRCalcPts[TM],MATCH(TableWRRanks32[[#This Row],[Player]],TableWRCalcPts[PLAYER],0)),"")</f>
        <v>JAX</v>
      </c>
      <c r="AG122">
        <f>IFERROR(INDEX(TableWRCalcPts[BYE],MATCH(TableWRRanks32[[#This Row],[Player]],TableWRCalcPts[PLAYER],0)),"")</f>
        <v>9</v>
      </c>
      <c r="AH122" s="83">
        <f>IFERROR((VLOOKUP(TableWRRanks32[[#This Row],[Player]],WR!B:O,4,FALSE)),"")</f>
        <v>0</v>
      </c>
      <c r="AI122" s="83">
        <f>IFERROR((VLOOKUP(TableWRRanks32[[#This Row],[Player]],WR!B:O,5,FALSE)),"")</f>
        <v>0</v>
      </c>
      <c r="AJ122" s="83">
        <f>IFERROR((VLOOKUP(TableWRRanks32[[#This Row],[Player]],WR!B:O,6,FALSE)),"")</f>
        <v>24.170327999999991</v>
      </c>
      <c r="AK122" s="83">
        <f>IFERROR((VLOOKUP(TableWRRanks32[[#This Row],[Player]],WR!B:O,7,FALSE)),"")</f>
        <v>16.556674679999993</v>
      </c>
      <c r="AL122" s="83">
        <f>IFERROR((VLOOKUP(TableWRRanks32[[#This Row],[Player]],WR!B:O,8,FALSE)),"")</f>
        <v>162.58654535759993</v>
      </c>
      <c r="AM122" s="83">
        <f>IFERROR((VLOOKUP(TableWRRanks32[[#This Row],[Player]],WR!B:O,9,FALSE)),"")</f>
        <v>1.0761838541999995</v>
      </c>
      <c r="AN122" s="57">
        <f>IFERROR((IFERROR(INDEX(TableWRCalcPts[Custom],MATCH(TableWRRanks32[[#This Row],[RK]],TableWRCalcPts[RK],0)),"")),"")</f>
        <v>30.994095000959987</v>
      </c>
      <c r="AO12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3" spans="16:41" x14ac:dyDescent="0.2">
      <c r="P123">
        <v>122</v>
      </c>
      <c r="Q123" t="str">
        <f>IFERROR(INDEX(TableRBCalcPts[PLAYER],MATCH(TableRBRanks31[[#This Row],[RK]],TableRBCalcPts[RK],0)),"")</f>
        <v/>
      </c>
      <c r="R123" t="str">
        <f>IFERROR(INDEX(TableRBCalcPts[TM],MATCH(TableRBRanks31[[#This Row],[Player]],TableRBCalcPts[PLAYER],0)),"")</f>
        <v/>
      </c>
      <c r="S123" t="str">
        <f>IFERROR(INDEX(TableRBCalcPts[BYE],MATCH(TableRBRanks31[[#This Row],[Player]],TableRBCalcPts[PLAYER],0)),"")</f>
        <v/>
      </c>
      <c r="T123" s="83" t="str">
        <f>IFERROR((VLOOKUP(TableRBRanks31[[#This Row],[Player]],RB!B:O,4,FALSE)),"")</f>
        <v/>
      </c>
      <c r="U123" s="83" t="str">
        <f>IFERROR((VLOOKUP(TableRBRanks31[[#This Row],[Player]],RB!B:O,5,FALSE)),"")</f>
        <v/>
      </c>
      <c r="V123" s="83" t="str">
        <f>IFERROR((VLOOKUP(TableRBRanks31[[#This Row],[Player]],RB!B:O,6,FALSE)),"")</f>
        <v/>
      </c>
      <c r="W123" s="83" t="str">
        <f>IFERROR((VLOOKUP(TableRBRanks31[[#This Row],[Player]],RB!B:O,7,FALSE)),"")</f>
        <v/>
      </c>
      <c r="X123" s="83" t="str">
        <f>IFERROR((VLOOKUP(TableRBRanks31[[#This Row],[Player]],RB!B:O,8,FALSE)),"")</f>
        <v/>
      </c>
      <c r="Y123" s="83" t="str">
        <f>IFERROR((VLOOKUP(TableRBRanks31[[#This Row],[Player]],RB!B:O,9,FALSE)),"")</f>
        <v/>
      </c>
      <c r="Z123" s="83" t="str">
        <f>IFERROR((VLOOKUP(TableRBRanks31[[#This Row],[Player]],RB!B:O,10,FALSE)),"")</f>
        <v/>
      </c>
      <c r="AA123" s="57" t="str">
        <f>IFERROR((IFERROR(INDEX(TableRBCalcPts[Custom],MATCH(TableRBRanks31[[#This Row],[RK]],TableRBCalcPts[RK],0)),"")),"")</f>
        <v/>
      </c>
      <c r="AB12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3">
        <v>122</v>
      </c>
      <c r="AE123" t="str">
        <f>IFERROR(INDEX(TableWRCalcPts[PLAYER],MATCH(TableWRRanks32[[#This Row],[RK]],TableWRCalcPts[RK],0)),"")</f>
        <v>Calvin Austin</v>
      </c>
      <c r="AF123" t="str">
        <f>IFERROR(INDEX(TableWRCalcPts[TM],MATCH(TableWRRanks32[[#This Row],[Player]],TableWRCalcPts[PLAYER],0)),"")</f>
        <v>PIT</v>
      </c>
      <c r="AG123">
        <f>IFERROR(INDEX(TableWRCalcPts[BYE],MATCH(TableWRRanks32[[#This Row],[Player]],TableWRCalcPts[PLAYER],0)),"")</f>
        <v>6</v>
      </c>
      <c r="AH123" s="83">
        <f>IFERROR((VLOOKUP(TableWRRanks32[[#This Row],[Player]],WR!B:O,4,FALSE)),"")</f>
        <v>0</v>
      </c>
      <c r="AI123" s="83">
        <f>IFERROR((VLOOKUP(TableWRRanks32[[#This Row],[Player]],WR!B:O,5,FALSE)),"")</f>
        <v>0</v>
      </c>
      <c r="AJ123" s="83">
        <f>IFERROR((VLOOKUP(TableWRRanks32[[#This Row],[Player]],WR!B:O,6,FALSE)),"")</f>
        <v>27.525750000000002</v>
      </c>
      <c r="AK123" s="83">
        <f>IFERROR((VLOOKUP(TableWRRanks32[[#This Row],[Player]],WR!B:O,7,FALSE)),"")</f>
        <v>16.37782125</v>
      </c>
      <c r="AL123" s="83">
        <f>IFERROR((VLOOKUP(TableWRRanks32[[#This Row],[Player]],WR!B:O,8,FALSE)),"")</f>
        <v>168.36400244999999</v>
      </c>
      <c r="AM123" s="83">
        <f>IFERROR((VLOOKUP(TableWRRanks32[[#This Row],[Player]],WR!B:O,9,FALSE)),"")</f>
        <v>0.98266927500000001</v>
      </c>
      <c r="AN123" s="57">
        <f>IFERROR((IFERROR(INDEX(TableWRCalcPts[Custom],MATCH(TableWRRanks32[[#This Row],[RK]],TableWRCalcPts[RK],0)),"")),"")</f>
        <v>30.921326519999997</v>
      </c>
      <c r="AO12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4" spans="16:41" x14ac:dyDescent="0.2">
      <c r="P124">
        <v>123</v>
      </c>
      <c r="Q124" t="str">
        <f>IFERROR(INDEX(TableRBCalcPts[PLAYER],MATCH(TableRBRanks31[[#This Row],[RK]],TableRBCalcPts[RK],0)),"")</f>
        <v/>
      </c>
      <c r="R124" t="str">
        <f>IFERROR(INDEX(TableRBCalcPts[TM],MATCH(TableRBRanks31[[#This Row],[Player]],TableRBCalcPts[PLAYER],0)),"")</f>
        <v/>
      </c>
      <c r="S124" t="str">
        <f>IFERROR(INDEX(TableRBCalcPts[BYE],MATCH(TableRBRanks31[[#This Row],[Player]],TableRBCalcPts[PLAYER],0)),"")</f>
        <v/>
      </c>
      <c r="T124" s="83" t="str">
        <f>IFERROR((VLOOKUP(TableRBRanks31[[#This Row],[Player]],RB!B:O,4,FALSE)),"")</f>
        <v/>
      </c>
      <c r="U124" s="83" t="str">
        <f>IFERROR((VLOOKUP(TableRBRanks31[[#This Row],[Player]],RB!B:O,5,FALSE)),"")</f>
        <v/>
      </c>
      <c r="V124" s="83" t="str">
        <f>IFERROR((VLOOKUP(TableRBRanks31[[#This Row],[Player]],RB!B:O,6,FALSE)),"")</f>
        <v/>
      </c>
      <c r="W124" s="83" t="str">
        <f>IFERROR((VLOOKUP(TableRBRanks31[[#This Row],[Player]],RB!B:O,7,FALSE)),"")</f>
        <v/>
      </c>
      <c r="X124" s="83" t="str">
        <f>IFERROR((VLOOKUP(TableRBRanks31[[#This Row],[Player]],RB!B:O,8,FALSE)),"")</f>
        <v/>
      </c>
      <c r="Y124" s="83" t="str">
        <f>IFERROR((VLOOKUP(TableRBRanks31[[#This Row],[Player]],RB!B:O,9,FALSE)),"")</f>
        <v/>
      </c>
      <c r="Z124" s="83" t="str">
        <f>IFERROR((VLOOKUP(TableRBRanks31[[#This Row],[Player]],RB!B:O,10,FALSE)),"")</f>
        <v/>
      </c>
      <c r="AA124" s="57" t="str">
        <f>IFERROR((IFERROR(INDEX(TableRBCalcPts[Custom],MATCH(TableRBRanks31[[#This Row],[RK]],TableRBCalcPts[RK],0)),"")),"")</f>
        <v/>
      </c>
      <c r="AB12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4">
        <v>123</v>
      </c>
      <c r="AE124" t="str">
        <f>IFERROR(INDEX(TableWRCalcPts[PLAYER],MATCH(TableWRRanks32[[#This Row],[RK]],TableWRCalcPts[RK],0)),"")</f>
        <v>Noah Brown</v>
      </c>
      <c r="AF124" t="str">
        <f>IFERROR(INDEX(TableWRCalcPts[TM],MATCH(TableWRRanks32[[#This Row],[Player]],TableWRCalcPts[PLAYER],0)),"")</f>
        <v>HOU</v>
      </c>
      <c r="AG124">
        <f>IFERROR(INDEX(TableWRCalcPts[BYE],MATCH(TableWRRanks32[[#This Row],[Player]],TableWRCalcPts[PLAYER],0)),"")</f>
        <v>7</v>
      </c>
      <c r="AH124" s="83">
        <f>IFERROR((VLOOKUP(TableWRRanks32[[#This Row],[Player]],WR!B:O,4,FALSE)),"")</f>
        <v>0</v>
      </c>
      <c r="AI124" s="83">
        <f>IFERROR((VLOOKUP(TableWRRanks32[[#This Row],[Player]],WR!B:O,5,FALSE)),"")</f>
        <v>0</v>
      </c>
      <c r="AJ124" s="83">
        <f>IFERROR((VLOOKUP(TableWRRanks32[[#This Row],[Player]],WR!B:O,6,FALSE)),"")</f>
        <v>20.832448000000003</v>
      </c>
      <c r="AK124" s="83">
        <f>IFERROR((VLOOKUP(TableWRRanks32[[#This Row],[Player]],WR!B:O,7,FALSE)),"")</f>
        <v>12.520301248000001</v>
      </c>
      <c r="AL124" s="83">
        <f>IFERROR((VLOOKUP(TableWRRanks32[[#This Row],[Player]],WR!B:O,8,FALSE)),"")</f>
        <v>185.30045847040003</v>
      </c>
      <c r="AM124" s="83">
        <f>IFERROR((VLOOKUP(TableWRRanks32[[#This Row],[Player]],WR!B:O,9,FALSE)),"")</f>
        <v>1.0016240998400001</v>
      </c>
      <c r="AN124" s="57">
        <f>IFERROR((IFERROR(INDEX(TableWRCalcPts[Custom],MATCH(TableWRRanks32[[#This Row],[RK]],TableWRCalcPts[RK],0)),"")),"")</f>
        <v>30.799941070080006</v>
      </c>
      <c r="AO12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5" spans="16:41" x14ac:dyDescent="0.2">
      <c r="P125">
        <v>124</v>
      </c>
      <c r="Q125" t="str">
        <f>IFERROR(INDEX(TableRBCalcPts[PLAYER],MATCH(TableRBRanks31[[#This Row],[RK]],TableRBCalcPts[RK],0)),"")</f>
        <v/>
      </c>
      <c r="R125" t="str">
        <f>IFERROR(INDEX(TableRBCalcPts[TM],MATCH(TableRBRanks31[[#This Row],[Player]],TableRBCalcPts[PLAYER],0)),"")</f>
        <v/>
      </c>
      <c r="S125" t="str">
        <f>IFERROR(INDEX(TableRBCalcPts[BYE],MATCH(TableRBRanks31[[#This Row],[Player]],TableRBCalcPts[PLAYER],0)),"")</f>
        <v/>
      </c>
      <c r="T125" s="83" t="str">
        <f>IFERROR((VLOOKUP(TableRBRanks31[[#This Row],[Player]],RB!B:O,4,FALSE)),"")</f>
        <v/>
      </c>
      <c r="U125" s="83" t="str">
        <f>IFERROR((VLOOKUP(TableRBRanks31[[#This Row],[Player]],RB!B:O,5,FALSE)),"")</f>
        <v/>
      </c>
      <c r="V125" s="83" t="str">
        <f>IFERROR((VLOOKUP(TableRBRanks31[[#This Row],[Player]],RB!B:O,6,FALSE)),"")</f>
        <v/>
      </c>
      <c r="W125" s="83" t="str">
        <f>IFERROR((VLOOKUP(TableRBRanks31[[#This Row],[Player]],RB!B:O,7,FALSE)),"")</f>
        <v/>
      </c>
      <c r="X125" s="83" t="str">
        <f>IFERROR((VLOOKUP(TableRBRanks31[[#This Row],[Player]],RB!B:O,8,FALSE)),"")</f>
        <v/>
      </c>
      <c r="Y125" s="83" t="str">
        <f>IFERROR((VLOOKUP(TableRBRanks31[[#This Row],[Player]],RB!B:O,9,FALSE)),"")</f>
        <v/>
      </c>
      <c r="Z125" s="83" t="str">
        <f>IFERROR((VLOOKUP(TableRBRanks31[[#This Row],[Player]],RB!B:O,10,FALSE)),"")</f>
        <v/>
      </c>
      <c r="AA125" s="57" t="str">
        <f>IFERROR((IFERROR(INDEX(TableRBCalcPts[Custom],MATCH(TableRBRanks31[[#This Row],[RK]],TableRBCalcPts[RK],0)),"")),"")</f>
        <v/>
      </c>
      <c r="AB12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5">
        <v>124</v>
      </c>
      <c r="AE125" t="str">
        <f>IFERROR(INDEX(TableWRCalcPts[PLAYER],MATCH(TableWRRanks32[[#This Row],[RK]],TableWRCalcPts[RK],0)),"")</f>
        <v>Donovan Peoples-Jones</v>
      </c>
      <c r="AF125" t="str">
        <f>IFERROR(INDEX(TableWRCalcPts[TM],MATCH(TableWRRanks32[[#This Row],[Player]],TableWRCalcPts[PLAYER],0)),"")</f>
        <v>DET</v>
      </c>
      <c r="AG125">
        <f>IFERROR(INDEX(TableWRCalcPts[BYE],MATCH(TableWRRanks32[[#This Row],[Player]],TableWRCalcPts[PLAYER],0)),"")</f>
        <v>9</v>
      </c>
      <c r="AH125" s="83">
        <f>IFERROR((VLOOKUP(TableWRRanks32[[#This Row],[Player]],WR!B:O,4,FALSE)),"")</f>
        <v>0</v>
      </c>
      <c r="AI125" s="83">
        <f>IFERROR((VLOOKUP(TableWRRanks32[[#This Row],[Player]],WR!B:O,5,FALSE)),"")</f>
        <v>0</v>
      </c>
      <c r="AJ125" s="83">
        <f>IFERROR((VLOOKUP(TableWRRanks32[[#This Row],[Player]],WR!B:O,6,FALSE)),"")</f>
        <v>23.706983999999995</v>
      </c>
      <c r="AK125" s="83">
        <f>IFERROR((VLOOKUP(TableWRRanks32[[#This Row],[Player]],WR!B:O,7,FALSE)),"")</f>
        <v>13.323325007999998</v>
      </c>
      <c r="AL125" s="83">
        <f>IFERROR((VLOOKUP(TableWRRanks32[[#This Row],[Player]],WR!B:O,8,FALSE)),"")</f>
        <v>184.79451786095996</v>
      </c>
      <c r="AM125" s="83">
        <f>IFERROR((VLOOKUP(TableWRRanks32[[#This Row],[Player]],WR!B:O,9,FALSE)),"")</f>
        <v>0.93263275055999995</v>
      </c>
      <c r="AN125" s="57">
        <f>IFERROR((IFERROR(INDEX(TableWRCalcPts[Custom],MATCH(TableWRRanks32[[#This Row],[RK]],TableWRCalcPts[RK],0)),"")),"")</f>
        <v>30.736910793455994</v>
      </c>
      <c r="AO12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6" spans="16:41" x14ac:dyDescent="0.2">
      <c r="P126">
        <v>125</v>
      </c>
      <c r="Q126" t="str">
        <f>IFERROR(INDEX(TableRBCalcPts[PLAYER],MATCH(TableRBRanks31[[#This Row],[RK]],TableRBCalcPts[RK],0)),"")</f>
        <v/>
      </c>
      <c r="R126" t="str">
        <f>IFERROR(INDEX(TableRBCalcPts[TM],MATCH(TableRBRanks31[[#This Row],[Player]],TableRBCalcPts[PLAYER],0)),"")</f>
        <v/>
      </c>
      <c r="S126" t="str">
        <f>IFERROR(INDEX(TableRBCalcPts[BYE],MATCH(TableRBRanks31[[#This Row],[Player]],TableRBCalcPts[PLAYER],0)),"")</f>
        <v/>
      </c>
      <c r="T126" s="83" t="str">
        <f>IFERROR((VLOOKUP(TableRBRanks31[[#This Row],[Player]],RB!B:O,4,FALSE)),"")</f>
        <v/>
      </c>
      <c r="U126" s="83" t="str">
        <f>IFERROR((VLOOKUP(TableRBRanks31[[#This Row],[Player]],RB!B:O,5,FALSE)),"")</f>
        <v/>
      </c>
      <c r="V126" s="83" t="str">
        <f>IFERROR((VLOOKUP(TableRBRanks31[[#This Row],[Player]],RB!B:O,6,FALSE)),"")</f>
        <v/>
      </c>
      <c r="W126" s="83" t="str">
        <f>IFERROR((VLOOKUP(TableRBRanks31[[#This Row],[Player]],RB!B:O,7,FALSE)),"")</f>
        <v/>
      </c>
      <c r="X126" s="83" t="str">
        <f>IFERROR((VLOOKUP(TableRBRanks31[[#This Row],[Player]],RB!B:O,8,FALSE)),"")</f>
        <v/>
      </c>
      <c r="Y126" s="83" t="str">
        <f>IFERROR((VLOOKUP(TableRBRanks31[[#This Row],[Player]],RB!B:O,9,FALSE)),"")</f>
        <v/>
      </c>
      <c r="Z126" s="83" t="str">
        <f>IFERROR((VLOOKUP(TableRBRanks31[[#This Row],[Player]],RB!B:O,10,FALSE)),"")</f>
        <v/>
      </c>
      <c r="AA126" s="57" t="str">
        <f>IFERROR((IFERROR(INDEX(TableRBCalcPts[Custom],MATCH(TableRBRanks31[[#This Row],[RK]],TableRBCalcPts[RK],0)),"")),"")</f>
        <v/>
      </c>
      <c r="AB12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6">
        <v>125</v>
      </c>
      <c r="AE126" t="str">
        <f>IFERROR(INDEX(TableWRCalcPts[PLAYER],MATCH(TableWRRanks32[[#This Row],[RK]],TableWRCalcPts[RK],0)),"")</f>
        <v>Jonathan Mingo</v>
      </c>
      <c r="AF126" t="str">
        <f>IFERROR(INDEX(TableWRCalcPts[TM],MATCH(TableWRRanks32[[#This Row],[Player]],TableWRCalcPts[PLAYER],0)),"")</f>
        <v>CAR</v>
      </c>
      <c r="AG126">
        <f>IFERROR(INDEX(TableWRCalcPts[BYE],MATCH(TableWRRanks32[[#This Row],[Player]],TableWRCalcPts[PLAYER],0)),"")</f>
        <v>7</v>
      </c>
      <c r="AH126" s="83">
        <f>IFERROR((VLOOKUP(TableWRRanks32[[#This Row],[Player]],WR!B:O,4,FALSE)),"")</f>
        <v>0</v>
      </c>
      <c r="AI126" s="83">
        <f>IFERROR((VLOOKUP(TableWRRanks32[[#This Row],[Player]],WR!B:O,5,FALSE)),"")</f>
        <v>0</v>
      </c>
      <c r="AJ126" s="83">
        <f>IFERROR((VLOOKUP(TableWRRanks32[[#This Row],[Player]],WR!B:O,6,FALSE)),"")</f>
        <v>23.166807999999996</v>
      </c>
      <c r="AK126" s="83">
        <f>IFERROR((VLOOKUP(TableWRRanks32[[#This Row],[Player]],WR!B:O,7,FALSE)),"")</f>
        <v>13.251414175999997</v>
      </c>
      <c r="AL126" s="83">
        <f>IFERROR((VLOOKUP(TableWRRanks32[[#This Row],[Player]],WR!B:O,8,FALSE)),"")</f>
        <v>186.31488331455998</v>
      </c>
      <c r="AM126" s="83">
        <f>IFERROR((VLOOKUP(TableWRRanks32[[#This Row],[Player]],WR!B:O,9,FALSE)),"")</f>
        <v>0.7288277796799999</v>
      </c>
      <c r="AN126" s="57">
        <f>IFERROR((IFERROR(INDEX(TableWRCalcPts[Custom],MATCH(TableWRRanks32[[#This Row],[RK]],TableWRCalcPts[RK],0)),"")),"")</f>
        <v>29.630162097535994</v>
      </c>
      <c r="AO12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7" spans="16:41" x14ac:dyDescent="0.2">
      <c r="P127">
        <v>126</v>
      </c>
      <c r="Q127" t="str">
        <f>IFERROR(INDEX(TableRBCalcPts[PLAYER],MATCH(TableRBRanks31[[#This Row],[RK]],TableRBCalcPts[RK],0)),"")</f>
        <v/>
      </c>
      <c r="R127" t="str">
        <f>IFERROR(INDEX(TableRBCalcPts[TM],MATCH(TableRBRanks31[[#This Row],[Player]],TableRBCalcPts[PLAYER],0)),"")</f>
        <v/>
      </c>
      <c r="S127" t="str">
        <f>IFERROR(INDEX(TableRBCalcPts[BYE],MATCH(TableRBRanks31[[#This Row],[Player]],TableRBCalcPts[PLAYER],0)),"")</f>
        <v/>
      </c>
      <c r="T127" s="83" t="str">
        <f>IFERROR((VLOOKUP(TableRBRanks31[[#This Row],[Player]],RB!B:O,4,FALSE)),"")</f>
        <v/>
      </c>
      <c r="U127" s="83" t="str">
        <f>IFERROR((VLOOKUP(TableRBRanks31[[#This Row],[Player]],RB!B:O,5,FALSE)),"")</f>
        <v/>
      </c>
      <c r="V127" s="83" t="str">
        <f>IFERROR((VLOOKUP(TableRBRanks31[[#This Row],[Player]],RB!B:O,6,FALSE)),"")</f>
        <v/>
      </c>
      <c r="W127" s="83" t="str">
        <f>IFERROR((VLOOKUP(TableRBRanks31[[#This Row],[Player]],RB!B:O,7,FALSE)),"")</f>
        <v/>
      </c>
      <c r="X127" s="83" t="str">
        <f>IFERROR((VLOOKUP(TableRBRanks31[[#This Row],[Player]],RB!B:O,8,FALSE)),"")</f>
        <v/>
      </c>
      <c r="Y127" s="83" t="str">
        <f>IFERROR((VLOOKUP(TableRBRanks31[[#This Row],[Player]],RB!B:O,9,FALSE)),"")</f>
        <v/>
      </c>
      <c r="Z127" s="83" t="str">
        <f>IFERROR((VLOOKUP(TableRBRanks31[[#This Row],[Player]],RB!B:O,10,FALSE)),"")</f>
        <v/>
      </c>
      <c r="AA127" s="57" t="str">
        <f>IFERROR((IFERROR(INDEX(TableRBCalcPts[Custom],MATCH(TableRBRanks31[[#This Row],[RK]],TableRBCalcPts[RK],0)),"")),"")</f>
        <v/>
      </c>
      <c r="AB12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7">
        <v>126</v>
      </c>
      <c r="AE127" t="str">
        <f>IFERROR(INDEX(TableWRCalcPts[PLAYER],MATCH(TableWRRanks32[[#This Row],[RK]],TableWRCalcPts[RK],0)),"")</f>
        <v>Jauan Jennings</v>
      </c>
      <c r="AF127" t="str">
        <f>IFERROR(INDEX(TableWRCalcPts[TM],MATCH(TableWRRanks32[[#This Row],[Player]],TableWRCalcPts[PLAYER],0)),"")</f>
        <v>SF</v>
      </c>
      <c r="AG127">
        <f>IFERROR(INDEX(TableWRCalcPts[BYE],MATCH(TableWRRanks32[[#This Row],[Player]],TableWRCalcPts[PLAYER],0)),"")</f>
        <v>9</v>
      </c>
      <c r="AH127" s="83">
        <f>IFERROR((VLOOKUP(TableWRRanks32[[#This Row],[Player]],WR!B:O,4,FALSE)),"")</f>
        <v>0</v>
      </c>
      <c r="AI127" s="83">
        <f>IFERROR((VLOOKUP(TableWRRanks32[[#This Row],[Player]],WR!B:O,5,FALSE)),"")</f>
        <v>0</v>
      </c>
      <c r="AJ127" s="83">
        <f>IFERROR((VLOOKUP(TableWRRanks32[[#This Row],[Player]],WR!B:O,6,FALSE)),"")</f>
        <v>21.301358399999998</v>
      </c>
      <c r="AK127" s="83">
        <f>IFERROR((VLOOKUP(TableWRRanks32[[#This Row],[Player]],WR!B:O,7,FALSE)),"")</f>
        <v>13.228143566399998</v>
      </c>
      <c r="AL127" s="83">
        <f>IFERROR((VLOOKUP(TableWRRanks32[[#This Row],[Player]],WR!B:O,8,FALSE)),"")</f>
        <v>166.41004606531197</v>
      </c>
      <c r="AM127" s="83">
        <f>IFERROR((VLOOKUP(TableWRRanks32[[#This Row],[Player]],WR!B:O,9,FALSE)),"")</f>
        <v>0.99211076747999982</v>
      </c>
      <c r="AN127" s="57">
        <f>IFERROR((IFERROR(INDEX(TableWRCalcPts[Custom],MATCH(TableWRRanks32[[#This Row],[RK]],TableWRCalcPts[RK],0)),"")),"")</f>
        <v>29.207740994611196</v>
      </c>
      <c r="AO12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8" spans="16:41" x14ac:dyDescent="0.2">
      <c r="P128">
        <v>127</v>
      </c>
      <c r="Q128" t="str">
        <f>IFERROR(INDEX(TableRBCalcPts[PLAYER],MATCH(TableRBRanks31[[#This Row],[RK]],TableRBCalcPts[RK],0)),"")</f>
        <v/>
      </c>
      <c r="R128" t="str">
        <f>IFERROR(INDEX(TableRBCalcPts[TM],MATCH(TableRBRanks31[[#This Row],[Player]],TableRBCalcPts[PLAYER],0)),"")</f>
        <v/>
      </c>
      <c r="S128" t="str">
        <f>IFERROR(INDEX(TableRBCalcPts[BYE],MATCH(TableRBRanks31[[#This Row],[Player]],TableRBCalcPts[PLAYER],0)),"")</f>
        <v/>
      </c>
      <c r="T128" s="83" t="str">
        <f>IFERROR((VLOOKUP(TableRBRanks31[[#This Row],[Player]],RB!B:O,4,FALSE)),"")</f>
        <v/>
      </c>
      <c r="U128" s="83" t="str">
        <f>IFERROR((VLOOKUP(TableRBRanks31[[#This Row],[Player]],RB!B:O,5,FALSE)),"")</f>
        <v/>
      </c>
      <c r="V128" s="83" t="str">
        <f>IFERROR((VLOOKUP(TableRBRanks31[[#This Row],[Player]],RB!B:O,6,FALSE)),"")</f>
        <v/>
      </c>
      <c r="W128" s="83" t="str">
        <f>IFERROR((VLOOKUP(TableRBRanks31[[#This Row],[Player]],RB!B:O,7,FALSE)),"")</f>
        <v/>
      </c>
      <c r="X128" s="83" t="str">
        <f>IFERROR((VLOOKUP(TableRBRanks31[[#This Row],[Player]],RB!B:O,8,FALSE)),"")</f>
        <v/>
      </c>
      <c r="Y128" s="83" t="str">
        <f>IFERROR((VLOOKUP(TableRBRanks31[[#This Row],[Player]],RB!B:O,9,FALSE)),"")</f>
        <v/>
      </c>
      <c r="Z128" s="83" t="str">
        <f>IFERROR((VLOOKUP(TableRBRanks31[[#This Row],[Player]],RB!B:O,10,FALSE)),"")</f>
        <v/>
      </c>
      <c r="AA128" s="57" t="str">
        <f>IFERROR((IFERROR(INDEX(TableRBCalcPts[Custom],MATCH(TableRBRanks31[[#This Row],[RK]],TableRBCalcPts[RK],0)),"")),"")</f>
        <v/>
      </c>
      <c r="AB12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8">
        <v>127</v>
      </c>
      <c r="AE128" t="str">
        <f>IFERROR(INDEX(TableWRCalcPts[PLAYER],MATCH(TableWRRanks32[[#This Row],[RK]],TableWRCalcPts[RK],0)),"")</f>
        <v>Skyy Moore</v>
      </c>
      <c r="AF128" t="str">
        <f>IFERROR(INDEX(TableWRCalcPts[TM],MATCH(TableWRRanks32[[#This Row],[Player]],TableWRCalcPts[PLAYER],0)),"")</f>
        <v>KC</v>
      </c>
      <c r="AG128">
        <f>IFERROR(INDEX(TableWRCalcPts[BYE],MATCH(TableWRRanks32[[#This Row],[Player]],TableWRCalcPts[PLAYER],0)),"")</f>
        <v>10</v>
      </c>
      <c r="AH128" s="83">
        <f>IFERROR((VLOOKUP(TableWRRanks32[[#This Row],[Player]],WR!B:O,4,FALSE)),"")</f>
        <v>0</v>
      </c>
      <c r="AI128" s="83">
        <f>IFERROR((VLOOKUP(TableWRRanks32[[#This Row],[Player]],WR!B:O,5,FALSE)),"")</f>
        <v>0</v>
      </c>
      <c r="AJ128" s="83">
        <f>IFERROR((VLOOKUP(TableWRRanks32[[#This Row],[Player]],WR!B:O,6,FALSE)),"")</f>
        <v>22.061759999999996</v>
      </c>
      <c r="AK128" s="83">
        <f>IFERROR((VLOOKUP(TableWRRanks32[[#This Row],[Player]],WR!B:O,7,FALSE)),"")</f>
        <v>13.347364799999998</v>
      </c>
      <c r="AL128" s="83">
        <f>IFERROR((VLOOKUP(TableWRRanks32[[#This Row],[Player]],WR!B:O,8,FALSE)),"")</f>
        <v>160.83574583999999</v>
      </c>
      <c r="AM128" s="83">
        <f>IFERROR((VLOOKUP(TableWRRanks32[[#This Row],[Player]],WR!B:O,9,FALSE)),"")</f>
        <v>1.0677891839999998</v>
      </c>
      <c r="AN128" s="57">
        <f>IFERROR((IFERROR(INDEX(TableWRCalcPts[Custom],MATCH(TableWRRanks32[[#This Row],[RK]],TableWRCalcPts[RK],0)),"")),"")</f>
        <v>29.163992088000001</v>
      </c>
      <c r="AO12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9" spans="16:41" x14ac:dyDescent="0.2">
      <c r="P129">
        <v>128</v>
      </c>
      <c r="Q129" t="str">
        <f>IFERROR(INDEX(TableRBCalcPts[PLAYER],MATCH(TableRBRanks31[[#This Row],[RK]],TableRBCalcPts[RK],0)),"")</f>
        <v/>
      </c>
      <c r="R129" t="str">
        <f>IFERROR(INDEX(TableRBCalcPts[TM],MATCH(TableRBRanks31[[#This Row],[Player]],TableRBCalcPts[PLAYER],0)),"")</f>
        <v/>
      </c>
      <c r="S129" t="str">
        <f>IFERROR(INDEX(TableRBCalcPts[BYE],MATCH(TableRBRanks31[[#This Row],[Player]],TableRBCalcPts[PLAYER],0)),"")</f>
        <v/>
      </c>
      <c r="T129" s="83" t="str">
        <f>IFERROR((VLOOKUP(TableRBRanks31[[#This Row],[Player]],RB!B:O,4,FALSE)),"")</f>
        <v/>
      </c>
      <c r="U129" s="83" t="str">
        <f>IFERROR((VLOOKUP(TableRBRanks31[[#This Row],[Player]],RB!B:O,5,FALSE)),"")</f>
        <v/>
      </c>
      <c r="V129" s="83" t="str">
        <f>IFERROR((VLOOKUP(TableRBRanks31[[#This Row],[Player]],RB!B:O,6,FALSE)),"")</f>
        <v/>
      </c>
      <c r="W129" s="83" t="str">
        <f>IFERROR((VLOOKUP(TableRBRanks31[[#This Row],[Player]],RB!B:O,7,FALSE)),"")</f>
        <v/>
      </c>
      <c r="X129" s="83" t="str">
        <f>IFERROR((VLOOKUP(TableRBRanks31[[#This Row],[Player]],RB!B:O,8,FALSE)),"")</f>
        <v/>
      </c>
      <c r="Y129" s="83" t="str">
        <f>IFERROR((VLOOKUP(TableRBRanks31[[#This Row],[Player]],RB!B:O,9,FALSE)),"")</f>
        <v/>
      </c>
      <c r="Z129" s="83" t="str">
        <f>IFERROR((VLOOKUP(TableRBRanks31[[#This Row],[Player]],RB!B:O,10,FALSE)),"")</f>
        <v/>
      </c>
      <c r="AA129" s="57" t="str">
        <f>IFERROR((IFERROR(INDEX(TableRBCalcPts[Custom],MATCH(TableRBRanks31[[#This Row],[RK]],TableRBCalcPts[RK],0)),"")),"")</f>
        <v/>
      </c>
      <c r="AB12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9">
        <v>128</v>
      </c>
      <c r="AE129" t="str">
        <f>IFERROR(INDEX(TableWRCalcPts[PLAYER],MATCH(TableWRRanks32[[#This Row],[RK]],TableWRCalcPts[RK],0)),"")</f>
        <v>Terrace Marshall</v>
      </c>
      <c r="AF129" t="str">
        <f>IFERROR(INDEX(TableWRCalcPts[TM],MATCH(TableWRRanks32[[#This Row],[Player]],TableWRCalcPts[PLAYER],0)),"")</f>
        <v>CAR</v>
      </c>
      <c r="AG129">
        <f>IFERROR(INDEX(TableWRCalcPts[BYE],MATCH(TableWRRanks32[[#This Row],[Player]],TableWRCalcPts[PLAYER],0)),"")</f>
        <v>7</v>
      </c>
      <c r="AH129" s="83">
        <f>IFERROR((VLOOKUP(TableWRRanks32[[#This Row],[Player]],WR!B:O,4,FALSE)),"")</f>
        <v>0</v>
      </c>
      <c r="AI129" s="83">
        <f>IFERROR((VLOOKUP(TableWRRanks32[[#This Row],[Player]],WR!B:O,5,FALSE)),"")</f>
        <v>0</v>
      </c>
      <c r="AJ129" s="83">
        <f>IFERROR((VLOOKUP(TableWRRanks32[[#This Row],[Player]],WR!B:O,6,FALSE)),"")</f>
        <v>23.166807999999996</v>
      </c>
      <c r="AK129" s="83">
        <f>IFERROR((VLOOKUP(TableWRRanks32[[#This Row],[Player]],WR!B:O,7,FALSE)),"")</f>
        <v>13.737917143999997</v>
      </c>
      <c r="AL129" s="83">
        <f>IFERROR((VLOOKUP(TableWRRanks32[[#This Row],[Player]],WR!B:O,8,FALSE)),"")</f>
        <v>176.66961447183996</v>
      </c>
      <c r="AM129" s="83">
        <f>IFERROR((VLOOKUP(TableWRRanks32[[#This Row],[Player]],WR!B:O,9,FALSE)),"")</f>
        <v>0.74184752577599988</v>
      </c>
      <c r="AN129" s="57">
        <f>IFERROR((IFERROR(INDEX(TableWRCalcPts[Custom],MATCH(TableWRRanks32[[#This Row],[RK]],TableWRCalcPts[RK],0)),"")),"")</f>
        <v>28.987005173839997</v>
      </c>
      <c r="AO12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0" spans="16:41" x14ac:dyDescent="0.2">
      <c r="P130">
        <v>129</v>
      </c>
      <c r="Q130" t="str">
        <f>IFERROR(INDEX(TableRBCalcPts[PLAYER],MATCH(TableRBRanks31[[#This Row],[RK]],TableRBCalcPts[RK],0)),"")</f>
        <v/>
      </c>
      <c r="R130" t="str">
        <f>IFERROR(INDEX(TableRBCalcPts[TM],MATCH(TableRBRanks31[[#This Row],[Player]],TableRBCalcPts[PLAYER],0)),"")</f>
        <v/>
      </c>
      <c r="S130" t="str">
        <f>IFERROR(INDEX(TableRBCalcPts[BYE],MATCH(TableRBRanks31[[#This Row],[Player]],TableRBCalcPts[PLAYER],0)),"")</f>
        <v/>
      </c>
      <c r="T130" s="83" t="str">
        <f>IFERROR((VLOOKUP(TableRBRanks31[[#This Row],[Player]],RB!B:O,4,FALSE)),"")</f>
        <v/>
      </c>
      <c r="U130" s="83" t="str">
        <f>IFERROR((VLOOKUP(TableRBRanks31[[#This Row],[Player]],RB!B:O,5,FALSE)),"")</f>
        <v/>
      </c>
      <c r="V130" s="83" t="str">
        <f>IFERROR((VLOOKUP(TableRBRanks31[[#This Row],[Player]],RB!B:O,6,FALSE)),"")</f>
        <v/>
      </c>
      <c r="W130" s="83" t="str">
        <f>IFERROR((VLOOKUP(TableRBRanks31[[#This Row],[Player]],RB!B:O,7,FALSE)),"")</f>
        <v/>
      </c>
      <c r="X130" s="83" t="str">
        <f>IFERROR((VLOOKUP(TableRBRanks31[[#This Row],[Player]],RB!B:O,8,FALSE)),"")</f>
        <v/>
      </c>
      <c r="Y130" s="83" t="str">
        <f>IFERROR((VLOOKUP(TableRBRanks31[[#This Row],[Player]],RB!B:O,9,FALSE)),"")</f>
        <v/>
      </c>
      <c r="Z130" s="83" t="str">
        <f>IFERROR((VLOOKUP(TableRBRanks31[[#This Row],[Player]],RB!B:O,10,FALSE)),"")</f>
        <v/>
      </c>
      <c r="AA130" s="57" t="str">
        <f>IFERROR((IFERROR(INDEX(TableRBCalcPts[Custom],MATCH(TableRBRanks31[[#This Row],[RK]],TableRBCalcPts[RK],0)),"")),"")</f>
        <v/>
      </c>
      <c r="AB13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0">
        <v>129</v>
      </c>
      <c r="AE130" t="str">
        <f>IFERROR(INDEX(TableWRCalcPts[PLAYER],MATCH(TableWRRanks32[[#This Row],[RK]],TableWRCalcPts[RK],0)),"")</f>
        <v>Robert Woods</v>
      </c>
      <c r="AF130" t="str">
        <f>IFERROR(INDEX(TableWRCalcPts[TM],MATCH(TableWRRanks32[[#This Row],[Player]],TableWRCalcPts[PLAYER],0)),"")</f>
        <v>HOU</v>
      </c>
      <c r="AG130">
        <f>IFERROR(INDEX(TableWRCalcPts[BYE],MATCH(TableWRRanks32[[#This Row],[Player]],TableWRCalcPts[PLAYER],0)),"")</f>
        <v>7</v>
      </c>
      <c r="AH130" s="83">
        <f>IFERROR((VLOOKUP(TableWRRanks32[[#This Row],[Player]],WR!B:O,4,FALSE)),"")</f>
        <v>0</v>
      </c>
      <c r="AI130" s="83">
        <f>IFERROR((VLOOKUP(TableWRRanks32[[#This Row],[Player]],WR!B:O,5,FALSE)),"")</f>
        <v>0</v>
      </c>
      <c r="AJ130" s="83">
        <f>IFERROR((VLOOKUP(TableWRRanks32[[#This Row],[Player]],WR!B:O,6,FALSE)),"")</f>
        <v>23.808512</v>
      </c>
      <c r="AK130" s="83">
        <f>IFERROR((VLOOKUP(TableWRRanks32[[#This Row],[Player]],WR!B:O,7,FALSE)),"")</f>
        <v>14.666043392000001</v>
      </c>
      <c r="AL130" s="83">
        <f>IFERROR((VLOOKUP(TableWRRanks32[[#This Row],[Player]],WR!B:O,8,FALSE)),"")</f>
        <v>156.63334342656</v>
      </c>
      <c r="AM130" s="83">
        <f>IFERROR((VLOOKUP(TableWRRanks32[[#This Row],[Player]],WR!B:O,9,FALSE)),"")</f>
        <v>0.87996260352</v>
      </c>
      <c r="AN130" s="57">
        <f>IFERROR((IFERROR(INDEX(TableWRCalcPts[Custom],MATCH(TableWRRanks32[[#This Row],[RK]],TableWRCalcPts[RK],0)),"")),"")</f>
        <v>28.276131659775999</v>
      </c>
      <c r="AO13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1" spans="16:41" x14ac:dyDescent="0.2">
      <c r="P131">
        <v>130</v>
      </c>
      <c r="Q131" t="str">
        <f>IFERROR(INDEX(TableRBCalcPts[PLAYER],MATCH(TableRBRanks31[[#This Row],[RK]],TableRBCalcPts[RK],0)),"")</f>
        <v/>
      </c>
      <c r="R131" t="str">
        <f>IFERROR(INDEX(TableRBCalcPts[TM],MATCH(TableRBRanks31[[#This Row],[Player]],TableRBCalcPts[PLAYER],0)),"")</f>
        <v/>
      </c>
      <c r="S131" t="str">
        <f>IFERROR(INDEX(TableRBCalcPts[BYE],MATCH(TableRBRanks31[[#This Row],[Player]],TableRBCalcPts[PLAYER],0)),"")</f>
        <v/>
      </c>
      <c r="T131" s="83" t="str">
        <f>IFERROR((VLOOKUP(TableRBRanks31[[#This Row],[Player]],RB!B:O,4,FALSE)),"")</f>
        <v/>
      </c>
      <c r="U131" s="83" t="str">
        <f>IFERROR((VLOOKUP(TableRBRanks31[[#This Row],[Player]],RB!B:O,5,FALSE)),"")</f>
        <v/>
      </c>
      <c r="V131" s="83" t="str">
        <f>IFERROR((VLOOKUP(TableRBRanks31[[#This Row],[Player]],RB!B:O,6,FALSE)),"")</f>
        <v/>
      </c>
      <c r="W131" s="83" t="str">
        <f>IFERROR((VLOOKUP(TableRBRanks31[[#This Row],[Player]],RB!B:O,7,FALSE)),"")</f>
        <v/>
      </c>
      <c r="X131" s="83" t="str">
        <f>IFERROR((VLOOKUP(TableRBRanks31[[#This Row],[Player]],RB!B:O,8,FALSE)),"")</f>
        <v/>
      </c>
      <c r="Y131" s="83" t="str">
        <f>IFERROR((VLOOKUP(TableRBRanks31[[#This Row],[Player]],RB!B:O,9,FALSE)),"")</f>
        <v/>
      </c>
      <c r="Z131" s="83" t="str">
        <f>IFERROR((VLOOKUP(TableRBRanks31[[#This Row],[Player]],RB!B:O,10,FALSE)),"")</f>
        <v/>
      </c>
      <c r="AA131" s="57" t="str">
        <f>IFERROR((IFERROR(INDEX(TableRBCalcPts[Custom],MATCH(TableRBRanks31[[#This Row],[RK]],TableRBCalcPts[RK],0)),"")),"")</f>
        <v/>
      </c>
      <c r="AB13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1">
        <v>130</v>
      </c>
      <c r="AE131" t="str">
        <f>IFERROR(INDEX(TableWRCalcPts[PLAYER],MATCH(TableWRRanks32[[#This Row],[RK]],TableWRCalcPts[RK],0)),"")</f>
        <v>Deonte Harty</v>
      </c>
      <c r="AF131" t="str">
        <f>IFERROR(INDEX(TableWRCalcPts[TM],MATCH(TableWRRanks32[[#This Row],[Player]],TableWRCalcPts[PLAYER],0)),"")</f>
        <v>BAL</v>
      </c>
      <c r="AG131">
        <f>IFERROR(INDEX(TableWRCalcPts[BYE],MATCH(TableWRRanks32[[#This Row],[Player]],TableWRCalcPts[PLAYER],0)),"")</f>
        <v>13</v>
      </c>
      <c r="AH131" s="83">
        <f>IFERROR((VLOOKUP(TableWRRanks32[[#This Row],[Player]],WR!B:O,4,FALSE)),"")</f>
        <v>0</v>
      </c>
      <c r="AI131" s="83">
        <f>IFERROR((VLOOKUP(TableWRRanks32[[#This Row],[Player]],WR!B:O,5,FALSE)),"")</f>
        <v>0</v>
      </c>
      <c r="AJ131" s="83">
        <f>IFERROR((VLOOKUP(TableWRRanks32[[#This Row],[Player]],WR!B:O,6,FALSE)),"")</f>
        <v>21.1739584</v>
      </c>
      <c r="AK131" s="83">
        <f>IFERROR((VLOOKUP(TableWRRanks32[[#This Row],[Player]],WR!B:O,7,FALSE)),"")</f>
        <v>13.593681292799999</v>
      </c>
      <c r="AL131" s="83">
        <f>IFERROR((VLOOKUP(TableWRRanks32[[#This Row],[Player]],WR!B:O,8,FALSE)),"")</f>
        <v>149.122683782016</v>
      </c>
      <c r="AM131" s="83">
        <f>IFERROR((VLOOKUP(TableWRRanks32[[#This Row],[Player]],WR!B:O,9,FALSE)),"")</f>
        <v>1.087494503424</v>
      </c>
      <c r="AN131" s="57">
        <f>IFERROR((IFERROR(INDEX(TableWRCalcPts[Custom],MATCH(TableWRRanks32[[#This Row],[RK]],TableWRCalcPts[RK],0)),"")),"")</f>
        <v>28.234076045145603</v>
      </c>
      <c r="AO13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2" spans="16:41" x14ac:dyDescent="0.2">
      <c r="P132">
        <v>131</v>
      </c>
      <c r="Q132" t="str">
        <f>IFERROR(INDEX(TableRBCalcPts[PLAYER],MATCH(TableRBRanks31[[#This Row],[RK]],TableRBCalcPts[RK],0)),"")</f>
        <v/>
      </c>
      <c r="R132" t="str">
        <f>IFERROR(INDEX(TableRBCalcPts[TM],MATCH(TableRBRanks31[[#This Row],[Player]],TableRBCalcPts[PLAYER],0)),"")</f>
        <v/>
      </c>
      <c r="S132" t="str">
        <f>IFERROR(INDEX(TableRBCalcPts[BYE],MATCH(TableRBRanks31[[#This Row],[Player]],TableRBCalcPts[PLAYER],0)),"")</f>
        <v/>
      </c>
      <c r="T132" s="83" t="str">
        <f>IFERROR((VLOOKUP(TableRBRanks31[[#This Row],[Player]],RB!B:O,4,FALSE)),"")</f>
        <v/>
      </c>
      <c r="U132" s="83" t="str">
        <f>IFERROR((VLOOKUP(TableRBRanks31[[#This Row],[Player]],RB!B:O,5,FALSE)),"")</f>
        <v/>
      </c>
      <c r="V132" s="83" t="str">
        <f>IFERROR((VLOOKUP(TableRBRanks31[[#This Row],[Player]],RB!B:O,6,FALSE)),"")</f>
        <v/>
      </c>
      <c r="W132" s="83" t="str">
        <f>IFERROR((VLOOKUP(TableRBRanks31[[#This Row],[Player]],RB!B:O,7,FALSE)),"")</f>
        <v/>
      </c>
      <c r="X132" s="83" t="str">
        <f>IFERROR((VLOOKUP(TableRBRanks31[[#This Row],[Player]],RB!B:O,8,FALSE)),"")</f>
        <v/>
      </c>
      <c r="Y132" s="83" t="str">
        <f>IFERROR((VLOOKUP(TableRBRanks31[[#This Row],[Player]],RB!B:O,9,FALSE)),"")</f>
        <v/>
      </c>
      <c r="Z132" s="83" t="str">
        <f>IFERROR((VLOOKUP(TableRBRanks31[[#This Row],[Player]],RB!B:O,10,FALSE)),"")</f>
        <v/>
      </c>
      <c r="AA132" s="57" t="str">
        <f>IFERROR((IFERROR(INDEX(TableRBCalcPts[Custom],MATCH(TableRBRanks31[[#This Row],[RK]],TableRBCalcPts[RK],0)),"")),"")</f>
        <v/>
      </c>
      <c r="AB13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2">
        <v>131</v>
      </c>
      <c r="AE132" t="str">
        <f>IFERROR(INDEX(TableWRCalcPts[PLAYER],MATCH(TableWRRanks32[[#This Row],[RK]],TableWRCalcPts[RK],0)),"")</f>
        <v>Ben Skowronek</v>
      </c>
      <c r="AF132" t="str">
        <f>IFERROR(INDEX(TableWRCalcPts[TM],MATCH(TableWRRanks32[[#This Row],[Player]],TableWRCalcPts[PLAYER],0)),"")</f>
        <v>LAR</v>
      </c>
      <c r="AG132">
        <f>IFERROR(INDEX(TableWRCalcPts[BYE],MATCH(TableWRRanks32[[#This Row],[Player]],TableWRCalcPts[PLAYER],0)),"")</f>
        <v>10</v>
      </c>
      <c r="AH132" s="83">
        <f>IFERROR((VLOOKUP(TableWRRanks32[[#This Row],[Player]],WR!B:O,4,FALSE)),"")</f>
        <v>0</v>
      </c>
      <c r="AI132" s="83">
        <f>IFERROR((VLOOKUP(TableWRRanks32[[#This Row],[Player]],WR!B:O,5,FALSE)),"")</f>
        <v>0</v>
      </c>
      <c r="AJ132" s="83">
        <f>IFERROR((VLOOKUP(TableWRRanks32[[#This Row],[Player]],WR!B:O,6,FALSE)),"")</f>
        <v>24.150884799999993</v>
      </c>
      <c r="AK132" s="83">
        <f>IFERROR((VLOOKUP(TableWRRanks32[[#This Row],[Player]],WR!B:O,7,FALSE)),"")</f>
        <v>14.997699460799996</v>
      </c>
      <c r="AL132" s="83">
        <f>IFERROR((VLOOKUP(TableWRRanks32[[#This Row],[Player]],WR!B:O,8,FALSE)),"")</f>
        <v>148.47722466191996</v>
      </c>
      <c r="AM132" s="83">
        <f>IFERROR((VLOOKUP(TableWRRanks32[[#This Row],[Player]],WR!B:O,9,FALSE)),"")</f>
        <v>0.97485046495199978</v>
      </c>
      <c r="AN132" s="57">
        <f>IFERROR((IFERROR(INDEX(TableWRCalcPts[Custom],MATCH(TableWRRanks32[[#This Row],[RK]],TableWRCalcPts[RK],0)),"")),"")</f>
        <v>28.195674986303992</v>
      </c>
      <c r="AO13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3" spans="16:41" x14ac:dyDescent="0.2">
      <c r="P133">
        <v>132</v>
      </c>
      <c r="Q133" t="str">
        <f>IFERROR(INDEX(TableRBCalcPts[PLAYER],MATCH(TableRBRanks31[[#This Row],[RK]],TableRBCalcPts[RK],0)),"")</f>
        <v/>
      </c>
      <c r="R133" t="str">
        <f>IFERROR(INDEX(TableRBCalcPts[TM],MATCH(TableRBRanks31[[#This Row],[Player]],TableRBCalcPts[PLAYER],0)),"")</f>
        <v/>
      </c>
      <c r="S133" t="str">
        <f>IFERROR(INDEX(TableRBCalcPts[BYE],MATCH(TableRBRanks31[[#This Row],[Player]],TableRBCalcPts[PLAYER],0)),"")</f>
        <v/>
      </c>
      <c r="T133" s="83" t="str">
        <f>IFERROR((VLOOKUP(TableRBRanks31[[#This Row],[Player]],RB!B:O,4,FALSE)),"")</f>
        <v/>
      </c>
      <c r="U133" s="83" t="str">
        <f>IFERROR((VLOOKUP(TableRBRanks31[[#This Row],[Player]],RB!B:O,5,FALSE)),"")</f>
        <v/>
      </c>
      <c r="V133" s="83" t="str">
        <f>IFERROR((VLOOKUP(TableRBRanks31[[#This Row],[Player]],RB!B:O,6,FALSE)),"")</f>
        <v/>
      </c>
      <c r="W133" s="83" t="str">
        <f>IFERROR((VLOOKUP(TableRBRanks31[[#This Row],[Player]],RB!B:O,7,FALSE)),"")</f>
        <v/>
      </c>
      <c r="X133" s="83" t="str">
        <f>IFERROR((VLOOKUP(TableRBRanks31[[#This Row],[Player]],RB!B:O,8,FALSE)),"")</f>
        <v/>
      </c>
      <c r="Y133" s="83" t="str">
        <f>IFERROR((VLOOKUP(TableRBRanks31[[#This Row],[Player]],RB!B:O,9,FALSE)),"")</f>
        <v/>
      </c>
      <c r="Z133" s="83" t="str">
        <f>IFERROR((VLOOKUP(TableRBRanks31[[#This Row],[Player]],RB!B:O,10,FALSE)),"")</f>
        <v/>
      </c>
      <c r="AA133" s="57" t="str">
        <f>IFERROR((IFERROR(INDEX(TableRBCalcPts[Custom],MATCH(TableRBRanks31[[#This Row],[RK]],TableRBCalcPts[RK],0)),"")),"")</f>
        <v/>
      </c>
      <c r="AB13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3">
        <v>132</v>
      </c>
      <c r="AE133" t="str">
        <f>IFERROR(INDEX(TableWRCalcPts[PLAYER],MATCH(TableWRRanks32[[#This Row],[RK]],TableWRCalcPts[RK],0)),"")</f>
        <v>Tim Patrick</v>
      </c>
      <c r="AF133" t="str">
        <f>IFERROR(INDEX(TableWRCalcPts[TM],MATCH(TableWRRanks32[[#This Row],[Player]],TableWRCalcPts[PLAYER],0)),"")</f>
        <v>DEN</v>
      </c>
      <c r="AG133">
        <f>IFERROR(INDEX(TableWRCalcPts[BYE],MATCH(TableWRRanks32[[#This Row],[Player]],TableWRCalcPts[PLAYER],0)),"")</f>
        <v>9</v>
      </c>
      <c r="AH133" s="83">
        <f>IFERROR((VLOOKUP(TableWRRanks32[[#This Row],[Player]],WR!B:O,4,FALSE)),"")</f>
        <v>0</v>
      </c>
      <c r="AI133" s="83">
        <f>IFERROR((VLOOKUP(TableWRRanks32[[#This Row],[Player]],WR!B:O,5,FALSE)),"")</f>
        <v>0</v>
      </c>
      <c r="AJ133" s="83">
        <f>IFERROR((VLOOKUP(TableWRRanks32[[#This Row],[Player]],WR!B:O,6,FALSE)),"")</f>
        <v>22.834588</v>
      </c>
      <c r="AK133" s="83">
        <f>IFERROR((VLOOKUP(TableWRRanks32[[#This Row],[Player]],WR!B:O,7,FALSE)),"")</f>
        <v>13.472406919999999</v>
      </c>
      <c r="AL133" s="83">
        <f>IFERROR((VLOOKUP(TableWRRanks32[[#This Row],[Player]],WR!B:O,8,FALSE)),"")</f>
        <v>155.47157585679997</v>
      </c>
      <c r="AM133" s="83">
        <f>IFERROR((VLOOKUP(TableWRRanks32[[#This Row],[Player]],WR!B:O,9,FALSE)),"")</f>
        <v>0.94306848440000002</v>
      </c>
      <c r="AN133" s="57">
        <f>IFERROR((IFERROR(INDEX(TableWRCalcPts[Custom],MATCH(TableWRRanks32[[#This Row],[RK]],TableWRCalcPts[RK],0)),"")),"")</f>
        <v>27.941771952079996</v>
      </c>
      <c r="AO13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4" spans="16:41" x14ac:dyDescent="0.2">
      <c r="P134">
        <v>133</v>
      </c>
      <c r="Q134" t="str">
        <f>IFERROR(INDEX(TableRBCalcPts[PLAYER],MATCH(TableRBRanks31[[#This Row],[RK]],TableRBCalcPts[RK],0)),"")</f>
        <v/>
      </c>
      <c r="R134" t="str">
        <f>IFERROR(INDEX(TableRBCalcPts[TM],MATCH(TableRBRanks31[[#This Row],[Player]],TableRBCalcPts[PLAYER],0)),"")</f>
        <v/>
      </c>
      <c r="S134" t="str">
        <f>IFERROR(INDEX(TableRBCalcPts[BYE],MATCH(TableRBRanks31[[#This Row],[Player]],TableRBCalcPts[PLAYER],0)),"")</f>
        <v/>
      </c>
      <c r="T134" s="83" t="str">
        <f>IFERROR((VLOOKUP(TableRBRanks31[[#This Row],[Player]],RB!B:O,4,FALSE)),"")</f>
        <v/>
      </c>
      <c r="U134" s="83" t="str">
        <f>IFERROR((VLOOKUP(TableRBRanks31[[#This Row],[Player]],RB!B:O,5,FALSE)),"")</f>
        <v/>
      </c>
      <c r="V134" s="83" t="str">
        <f>IFERROR((VLOOKUP(TableRBRanks31[[#This Row],[Player]],RB!B:O,6,FALSE)),"")</f>
        <v/>
      </c>
      <c r="W134" s="83" t="str">
        <f>IFERROR((VLOOKUP(TableRBRanks31[[#This Row],[Player]],RB!B:O,7,FALSE)),"")</f>
        <v/>
      </c>
      <c r="X134" s="83" t="str">
        <f>IFERROR((VLOOKUP(TableRBRanks31[[#This Row],[Player]],RB!B:O,8,FALSE)),"")</f>
        <v/>
      </c>
      <c r="Y134" s="83" t="str">
        <f>IFERROR((VLOOKUP(TableRBRanks31[[#This Row],[Player]],RB!B:O,9,FALSE)),"")</f>
        <v/>
      </c>
      <c r="Z134" s="83" t="str">
        <f>IFERROR((VLOOKUP(TableRBRanks31[[#This Row],[Player]],RB!B:O,10,FALSE)),"")</f>
        <v/>
      </c>
      <c r="AA134" s="57" t="str">
        <f>IFERROR((IFERROR(INDEX(TableRBCalcPts[Custom],MATCH(TableRBRanks31[[#This Row],[RK]],TableRBCalcPts[RK],0)),"")),"")</f>
        <v/>
      </c>
      <c r="AB13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4">
        <v>133</v>
      </c>
      <c r="AE134" t="str">
        <f>IFERROR(INDEX(TableWRCalcPts[PLAYER],MATCH(TableWRRanks32[[#This Row],[RK]],TableWRCalcPts[RK],0)),"")</f>
        <v>Ryan Flournoy</v>
      </c>
      <c r="AF134" t="str">
        <f>IFERROR(INDEX(TableWRCalcPts[TM],MATCH(TableWRRanks32[[#This Row],[Player]],TableWRCalcPts[PLAYER],0)),"")</f>
        <v>DAL</v>
      </c>
      <c r="AG134">
        <f>IFERROR(INDEX(TableWRCalcPts[BYE],MATCH(TableWRRanks32[[#This Row],[Player]],TableWRCalcPts[PLAYER],0)),"")</f>
        <v>7</v>
      </c>
      <c r="AH134" s="83">
        <f>IFERROR((VLOOKUP(TableWRRanks32[[#This Row],[Player]],WR!B:O,4,FALSE)),"")</f>
        <v>0</v>
      </c>
      <c r="AI134" s="83">
        <f>IFERROR((VLOOKUP(TableWRRanks32[[#This Row],[Player]],WR!B:O,5,FALSE)),"")</f>
        <v>0</v>
      </c>
      <c r="AJ134" s="83">
        <f>IFERROR((VLOOKUP(TableWRRanks32[[#This Row],[Player]],WR!B:O,6,FALSE)),"")</f>
        <v>18.294973199999994</v>
      </c>
      <c r="AK134" s="83">
        <f>IFERROR((VLOOKUP(TableWRRanks32[[#This Row],[Player]],WR!B:O,7,FALSE)),"")</f>
        <v>11.306293437599995</v>
      </c>
      <c r="AL134" s="83">
        <f>IFERROR((VLOOKUP(TableWRRanks32[[#This Row],[Player]],WR!B:O,8,FALSE)),"")</f>
        <v>145.39893360753592</v>
      </c>
      <c r="AM134" s="83">
        <f>IFERROR((VLOOKUP(TableWRRanks32[[#This Row],[Player]],WR!B:O,9,FALSE)),"")</f>
        <v>0.96103494219599972</v>
      </c>
      <c r="AN134" s="57">
        <f>IFERROR((IFERROR(INDEX(TableWRCalcPts[Custom],MATCH(TableWRRanks32[[#This Row],[RK]],TableWRCalcPts[RK],0)),"")),"")</f>
        <v>25.959249732729589</v>
      </c>
      <c r="AO13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5" spans="16:41" x14ac:dyDescent="0.2">
      <c r="P135">
        <v>134</v>
      </c>
      <c r="Q135" t="str">
        <f>IFERROR(INDEX(TableRBCalcPts[PLAYER],MATCH(TableRBRanks31[[#This Row],[RK]],TableRBCalcPts[RK],0)),"")</f>
        <v/>
      </c>
      <c r="R135" t="str">
        <f>IFERROR(INDEX(TableRBCalcPts[TM],MATCH(TableRBRanks31[[#This Row],[Player]],TableRBCalcPts[PLAYER],0)),"")</f>
        <v/>
      </c>
      <c r="S135" t="str">
        <f>IFERROR(INDEX(TableRBCalcPts[BYE],MATCH(TableRBRanks31[[#This Row],[Player]],TableRBCalcPts[PLAYER],0)),"")</f>
        <v/>
      </c>
      <c r="T135" s="83" t="str">
        <f>IFERROR((VLOOKUP(TableRBRanks31[[#This Row],[Player]],RB!B:O,4,FALSE)),"")</f>
        <v/>
      </c>
      <c r="U135" s="83" t="str">
        <f>IFERROR((VLOOKUP(TableRBRanks31[[#This Row],[Player]],RB!B:O,5,FALSE)),"")</f>
        <v/>
      </c>
      <c r="V135" s="83" t="str">
        <f>IFERROR((VLOOKUP(TableRBRanks31[[#This Row],[Player]],RB!B:O,6,FALSE)),"")</f>
        <v/>
      </c>
      <c r="W135" s="83" t="str">
        <f>IFERROR((VLOOKUP(TableRBRanks31[[#This Row],[Player]],RB!B:O,7,FALSE)),"")</f>
        <v/>
      </c>
      <c r="X135" s="83" t="str">
        <f>IFERROR((VLOOKUP(TableRBRanks31[[#This Row],[Player]],RB!B:O,8,FALSE)),"")</f>
        <v/>
      </c>
      <c r="Y135" s="83" t="str">
        <f>IFERROR((VLOOKUP(TableRBRanks31[[#This Row],[Player]],RB!B:O,9,FALSE)),"")</f>
        <v/>
      </c>
      <c r="Z135" s="83" t="str">
        <f>IFERROR((VLOOKUP(TableRBRanks31[[#This Row],[Player]],RB!B:O,10,FALSE)),"")</f>
        <v/>
      </c>
      <c r="AA135" s="57" t="str">
        <f>IFERROR((IFERROR(INDEX(TableRBCalcPts[Custom],MATCH(TableRBRanks31[[#This Row],[RK]],TableRBCalcPts[RK],0)),"")),"")</f>
        <v/>
      </c>
      <c r="AB13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5">
        <v>134</v>
      </c>
      <c r="AE135" t="str">
        <f>IFERROR(INDEX(TableWRCalcPts[PLAYER],MATCH(TableWRRanks32[[#This Row],[RK]],TableWRCalcPts[RK],0)),"")</f>
        <v>Charlie Jones</v>
      </c>
      <c r="AF135" t="str">
        <f>IFERROR(INDEX(TableWRCalcPts[TM],MATCH(TableWRRanks32[[#This Row],[Player]],TableWRCalcPts[PLAYER],0)),"")</f>
        <v>CIN</v>
      </c>
      <c r="AG135">
        <f>IFERROR(INDEX(TableWRCalcPts[BYE],MATCH(TableWRRanks32[[#This Row],[Player]],TableWRCalcPts[PLAYER],0)),"")</f>
        <v>7</v>
      </c>
      <c r="AH135" s="83">
        <f>IFERROR((VLOOKUP(TableWRRanks32[[#This Row],[Player]],WR!B:O,4,FALSE)),"")</f>
        <v>0</v>
      </c>
      <c r="AI135" s="83">
        <f>IFERROR((VLOOKUP(TableWRRanks32[[#This Row],[Player]],WR!B:O,5,FALSE)),"")</f>
        <v>0</v>
      </c>
      <c r="AJ135" s="83">
        <f>IFERROR((VLOOKUP(TableWRRanks32[[#This Row],[Player]],WR!B:O,6,FALSE)),"")</f>
        <v>18.707043599999999</v>
      </c>
      <c r="AK135" s="83">
        <f>IFERROR((VLOOKUP(TableWRRanks32[[#This Row],[Player]],WR!B:O,7,FALSE)),"")</f>
        <v>12.589840342800001</v>
      </c>
      <c r="AL135" s="83">
        <f>IFERROR((VLOOKUP(TableWRRanks32[[#This Row],[Player]],WR!B:O,8,FALSE)),"")</f>
        <v>137.22925973652002</v>
      </c>
      <c r="AM135" s="83">
        <f>IFERROR((VLOOKUP(TableWRRanks32[[#This Row],[Player]],WR!B:O,9,FALSE)),"")</f>
        <v>0.94423802571000004</v>
      </c>
      <c r="AN135" s="57">
        <f>IFERROR((IFERROR(INDEX(TableWRCalcPts[Custom],MATCH(TableWRRanks32[[#This Row],[RK]],TableWRCalcPts[RK],0)),"")),"")</f>
        <v>25.683274299312004</v>
      </c>
      <c r="AO13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6" spans="16:41" x14ac:dyDescent="0.2">
      <c r="P136">
        <v>135</v>
      </c>
      <c r="Q136" t="str">
        <f>IFERROR(INDEX(TableRBCalcPts[PLAYER],MATCH(TableRBRanks31[[#This Row],[RK]],TableRBCalcPts[RK],0)),"")</f>
        <v/>
      </c>
      <c r="R136" t="str">
        <f>IFERROR(INDEX(TableRBCalcPts[TM],MATCH(TableRBRanks31[[#This Row],[Player]],TableRBCalcPts[PLAYER],0)),"")</f>
        <v/>
      </c>
      <c r="S136" t="str">
        <f>IFERROR(INDEX(TableRBCalcPts[BYE],MATCH(TableRBRanks31[[#This Row],[Player]],TableRBCalcPts[PLAYER],0)),"")</f>
        <v/>
      </c>
      <c r="T136" s="83" t="str">
        <f>IFERROR((VLOOKUP(TableRBRanks31[[#This Row],[Player]],RB!B:O,4,FALSE)),"")</f>
        <v/>
      </c>
      <c r="U136" s="83" t="str">
        <f>IFERROR((VLOOKUP(TableRBRanks31[[#This Row],[Player]],RB!B:O,5,FALSE)),"")</f>
        <v/>
      </c>
      <c r="V136" s="83" t="str">
        <f>IFERROR((VLOOKUP(TableRBRanks31[[#This Row],[Player]],RB!B:O,6,FALSE)),"")</f>
        <v/>
      </c>
      <c r="W136" s="83" t="str">
        <f>IFERROR((VLOOKUP(TableRBRanks31[[#This Row],[Player]],RB!B:O,7,FALSE)),"")</f>
        <v/>
      </c>
      <c r="X136" s="83" t="str">
        <f>IFERROR((VLOOKUP(TableRBRanks31[[#This Row],[Player]],RB!B:O,8,FALSE)),"")</f>
        <v/>
      </c>
      <c r="Y136" s="83" t="str">
        <f>IFERROR((VLOOKUP(TableRBRanks31[[#This Row],[Player]],RB!B:O,9,FALSE)),"")</f>
        <v/>
      </c>
      <c r="Z136" s="83" t="str">
        <f>IFERROR((VLOOKUP(TableRBRanks31[[#This Row],[Player]],RB!B:O,10,FALSE)),"")</f>
        <v/>
      </c>
      <c r="AA136" s="57" t="str">
        <f>IFERROR((IFERROR(INDEX(TableRBCalcPts[Custom],MATCH(TableRBRanks31[[#This Row],[RK]],TableRBCalcPts[RK],0)),"")),"")</f>
        <v/>
      </c>
      <c r="AB13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6">
        <v>135</v>
      </c>
      <c r="AE136" t="str">
        <f>IFERROR(INDEX(TableWRCalcPts[PLAYER],MATCH(TableWRRanks32[[#This Row],[RK]],TableWRCalcPts[RK],0)),"")</f>
        <v>Anthony Gould</v>
      </c>
      <c r="AF136" t="str">
        <f>IFERROR(INDEX(TableWRCalcPts[TM],MATCH(TableWRRanks32[[#This Row],[Player]],TableWRCalcPts[PLAYER],0)),"")</f>
        <v>IND</v>
      </c>
      <c r="AG136">
        <f>IFERROR(INDEX(TableWRCalcPts[BYE],MATCH(TableWRRanks32[[#This Row],[Player]],TableWRCalcPts[PLAYER],0)),"")</f>
        <v>11</v>
      </c>
      <c r="AH136" s="83">
        <f>IFERROR((VLOOKUP(TableWRRanks32[[#This Row],[Player]],WR!B:O,4,FALSE)),"")</f>
        <v>0</v>
      </c>
      <c r="AI136" s="83">
        <f>IFERROR((VLOOKUP(TableWRRanks32[[#This Row],[Player]],WR!B:O,5,FALSE)),"")</f>
        <v>0</v>
      </c>
      <c r="AJ136" s="83">
        <f>IFERROR((VLOOKUP(TableWRRanks32[[#This Row],[Player]],WR!B:O,6,FALSE)),"")</f>
        <v>21.465136000000001</v>
      </c>
      <c r="AK136" s="83">
        <f>IFERROR((VLOOKUP(TableWRRanks32[[#This Row],[Player]],WR!B:O,7,FALSE)),"")</f>
        <v>12.621499968</v>
      </c>
      <c r="AL136" s="83">
        <f>IFERROR((VLOOKUP(TableWRRanks32[[#This Row],[Player]],WR!B:O,8,FALSE)),"")</f>
        <v>147.79776462528002</v>
      </c>
      <c r="AM136" s="83">
        <f>IFERROR((VLOOKUP(TableWRRanks32[[#This Row],[Player]],WR!B:O,9,FALSE)),"")</f>
        <v>0.75728999807999997</v>
      </c>
      <c r="AN136" s="57">
        <f>IFERROR((IFERROR(INDEX(TableWRCalcPts[Custom],MATCH(TableWRRanks32[[#This Row],[RK]],TableWRCalcPts[RK],0)),"")),"")</f>
        <v>25.634266435008001</v>
      </c>
      <c r="AO13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7" spans="16:41" x14ac:dyDescent="0.2">
      <c r="P137">
        <v>136</v>
      </c>
      <c r="Q137" t="str">
        <f>IFERROR(INDEX(TableRBCalcPts[PLAYER],MATCH(TableRBRanks31[[#This Row],[RK]],TableRBCalcPts[RK],0)),"")</f>
        <v/>
      </c>
      <c r="R137" t="str">
        <f>IFERROR(INDEX(TableRBCalcPts[TM],MATCH(TableRBRanks31[[#This Row],[Player]],TableRBCalcPts[PLAYER],0)),"")</f>
        <v/>
      </c>
      <c r="S137" t="str">
        <f>IFERROR(INDEX(TableRBCalcPts[BYE],MATCH(TableRBRanks31[[#This Row],[Player]],TableRBCalcPts[PLAYER],0)),"")</f>
        <v/>
      </c>
      <c r="T137" s="83" t="str">
        <f>IFERROR((VLOOKUP(TableRBRanks31[[#This Row],[Player]],RB!B:O,4,FALSE)),"")</f>
        <v/>
      </c>
      <c r="U137" s="83" t="str">
        <f>IFERROR((VLOOKUP(TableRBRanks31[[#This Row],[Player]],RB!B:O,5,FALSE)),"")</f>
        <v/>
      </c>
      <c r="V137" s="83" t="str">
        <f>IFERROR((VLOOKUP(TableRBRanks31[[#This Row],[Player]],RB!B:O,6,FALSE)),"")</f>
        <v/>
      </c>
      <c r="W137" s="83" t="str">
        <f>IFERROR((VLOOKUP(TableRBRanks31[[#This Row],[Player]],RB!B:O,7,FALSE)),"")</f>
        <v/>
      </c>
      <c r="X137" s="83" t="str">
        <f>IFERROR((VLOOKUP(TableRBRanks31[[#This Row],[Player]],RB!B:O,8,FALSE)),"")</f>
        <v/>
      </c>
      <c r="Y137" s="83" t="str">
        <f>IFERROR((VLOOKUP(TableRBRanks31[[#This Row],[Player]],RB!B:O,9,FALSE)),"")</f>
        <v/>
      </c>
      <c r="Z137" s="83" t="str">
        <f>IFERROR((VLOOKUP(TableRBRanks31[[#This Row],[Player]],RB!B:O,10,FALSE)),"")</f>
        <v/>
      </c>
      <c r="AA137" s="57" t="str">
        <f>IFERROR((IFERROR(INDEX(TableRBCalcPts[Custom],MATCH(TableRBRanks31[[#This Row],[RK]],TableRBCalcPts[RK],0)),"")),"")</f>
        <v/>
      </c>
      <c r="AB13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7">
        <v>136</v>
      </c>
      <c r="AE137" t="str">
        <f>IFERROR(INDEX(TableWRCalcPts[PLAYER],MATCH(TableWRRanks32[[#This Row],[RK]],TableWRCalcPts[RK],0)),"")</f>
        <v>Tutu Atwell</v>
      </c>
      <c r="AF137" t="str">
        <f>IFERROR(INDEX(TableWRCalcPts[TM],MATCH(TableWRRanks32[[#This Row],[Player]],TableWRCalcPts[PLAYER],0)),"")</f>
        <v>LAR</v>
      </c>
      <c r="AG137">
        <f>IFERROR(INDEX(TableWRCalcPts[BYE],MATCH(TableWRRanks32[[#This Row],[Player]],TableWRCalcPts[PLAYER],0)),"")</f>
        <v>10</v>
      </c>
      <c r="AH137" s="83">
        <f>IFERROR((VLOOKUP(TableWRRanks32[[#This Row],[Player]],WR!B:O,4,FALSE)),"")</f>
        <v>19.717208783999997</v>
      </c>
      <c r="AI137" s="83">
        <f>IFERROR((VLOOKUP(TableWRRanks32[[#This Row],[Player]],WR!B:O,5,FALSE)),"")</f>
        <v>0.16852315200000001</v>
      </c>
      <c r="AJ137" s="83">
        <f>IFERROR((VLOOKUP(TableWRRanks32[[#This Row],[Player]],WR!B:O,6,FALSE)),"")</f>
        <v>18.113163599999993</v>
      </c>
      <c r="AK137" s="83">
        <f>IFERROR((VLOOKUP(TableWRRanks32[[#This Row],[Player]],WR!B:O,7,FALSE)),"")</f>
        <v>10.342616415599995</v>
      </c>
      <c r="AL137" s="83">
        <f>IFERROR((VLOOKUP(TableWRRanks32[[#This Row],[Player]],WR!B:O,8,FALSE)),"")</f>
        <v>134.86771805942394</v>
      </c>
      <c r="AM137" s="83">
        <f>IFERROR((VLOOKUP(TableWRRanks32[[#This Row],[Player]],WR!B:O,9,FALSE)),"")</f>
        <v>0.62055698493599964</v>
      </c>
      <c r="AN137" s="57">
        <f>IFERROR((IFERROR(INDEX(TableWRCalcPts[Custom],MATCH(TableWRRanks32[[#This Row],[RK]],TableWRCalcPts[RK],0)),"")),"")</f>
        <v>25.364281713758388</v>
      </c>
      <c r="AO13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8" spans="16:41" x14ac:dyDescent="0.2">
      <c r="P138">
        <v>137</v>
      </c>
      <c r="Q138" t="str">
        <f>IFERROR(INDEX(TableRBCalcPts[PLAYER],MATCH(TableRBRanks31[[#This Row],[RK]],TableRBCalcPts[RK],0)),"")</f>
        <v/>
      </c>
      <c r="R138" t="str">
        <f>IFERROR(INDEX(TableRBCalcPts[TM],MATCH(TableRBRanks31[[#This Row],[Player]],TableRBCalcPts[PLAYER],0)),"")</f>
        <v/>
      </c>
      <c r="S138" t="str">
        <f>IFERROR(INDEX(TableRBCalcPts[BYE],MATCH(TableRBRanks31[[#This Row],[Player]],TableRBCalcPts[PLAYER],0)),"")</f>
        <v/>
      </c>
      <c r="T138" s="83" t="str">
        <f>IFERROR((VLOOKUP(TableRBRanks31[[#This Row],[Player]],RB!B:O,4,FALSE)),"")</f>
        <v/>
      </c>
      <c r="U138" s="83" t="str">
        <f>IFERROR((VLOOKUP(TableRBRanks31[[#This Row],[Player]],RB!B:O,5,FALSE)),"")</f>
        <v/>
      </c>
      <c r="V138" s="83" t="str">
        <f>IFERROR((VLOOKUP(TableRBRanks31[[#This Row],[Player]],RB!B:O,6,FALSE)),"")</f>
        <v/>
      </c>
      <c r="W138" s="83" t="str">
        <f>IFERROR((VLOOKUP(TableRBRanks31[[#This Row],[Player]],RB!B:O,7,FALSE)),"")</f>
        <v/>
      </c>
      <c r="X138" s="83" t="str">
        <f>IFERROR((VLOOKUP(TableRBRanks31[[#This Row],[Player]],RB!B:O,8,FALSE)),"")</f>
        <v/>
      </c>
      <c r="Y138" s="83" t="str">
        <f>IFERROR((VLOOKUP(TableRBRanks31[[#This Row],[Player]],RB!B:O,9,FALSE)),"")</f>
        <v/>
      </c>
      <c r="Z138" s="83" t="str">
        <f>IFERROR((VLOOKUP(TableRBRanks31[[#This Row],[Player]],RB!B:O,10,FALSE)),"")</f>
        <v/>
      </c>
      <c r="AA138" s="57" t="str">
        <f>IFERROR((IFERROR(INDEX(TableRBCalcPts[Custom],MATCH(TableRBRanks31[[#This Row],[RK]],TableRBCalcPts[RK],0)),"")),"")</f>
        <v/>
      </c>
      <c r="AB13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8">
        <v>137</v>
      </c>
      <c r="AE138" t="str">
        <f>IFERROR(INDEX(TableWRCalcPts[PLAYER],MATCH(TableWRRanks32[[#This Row],[RK]],TableWRCalcPts[RK],0)),"")</f>
        <v>Malik Washington</v>
      </c>
      <c r="AF138" t="str">
        <f>IFERROR(INDEX(TableWRCalcPts[TM],MATCH(TableWRRanks32[[#This Row],[Player]],TableWRCalcPts[PLAYER],0)),"")</f>
        <v>MIA</v>
      </c>
      <c r="AG138">
        <f>IFERROR(INDEX(TableWRCalcPts[BYE],MATCH(TableWRRanks32[[#This Row],[Player]],TableWRCalcPts[PLAYER],0)),"")</f>
        <v>10</v>
      </c>
      <c r="AH138" s="83">
        <f>IFERROR((VLOOKUP(TableWRRanks32[[#This Row],[Player]],WR!B:O,4,FALSE)),"")</f>
        <v>0</v>
      </c>
      <c r="AI138" s="83">
        <f>IFERROR((VLOOKUP(TableWRRanks32[[#This Row],[Player]],WR!B:O,5,FALSE)),"")</f>
        <v>0</v>
      </c>
      <c r="AJ138" s="83">
        <f>IFERROR((VLOOKUP(TableWRRanks32[[#This Row],[Player]],WR!B:O,6,FALSE)),"")</f>
        <v>20.521552799999998</v>
      </c>
      <c r="AK138" s="83">
        <f>IFERROR((VLOOKUP(TableWRRanks32[[#This Row],[Player]],WR!B:O,7,FALSE)),"")</f>
        <v>13.503181742399999</v>
      </c>
      <c r="AL138" s="83">
        <f>IFERROR((VLOOKUP(TableWRRanks32[[#This Row],[Player]],WR!B:O,8,FALSE)),"")</f>
        <v>142.32353556489599</v>
      </c>
      <c r="AM138" s="83">
        <f>IFERROR((VLOOKUP(TableWRRanks32[[#This Row],[Player]],WR!B:O,9,FALSE)),"")</f>
        <v>0.70216545060479996</v>
      </c>
      <c r="AN138" s="57">
        <f>IFERROR((IFERROR(INDEX(TableWRCalcPts[Custom],MATCH(TableWRRanks32[[#This Row],[RK]],TableWRCalcPts[RK],0)),"")),"")</f>
        <v>25.1969371313184</v>
      </c>
      <c r="AO13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9" spans="16:41" x14ac:dyDescent="0.2">
      <c r="P139">
        <v>138</v>
      </c>
      <c r="Q139" t="str">
        <f>IFERROR(INDEX(TableRBCalcPts[PLAYER],MATCH(TableRBRanks31[[#This Row],[RK]],TableRBCalcPts[RK],0)),"")</f>
        <v/>
      </c>
      <c r="R139" t="str">
        <f>IFERROR(INDEX(TableRBCalcPts[TM],MATCH(TableRBRanks31[[#This Row],[Player]],TableRBCalcPts[PLAYER],0)),"")</f>
        <v/>
      </c>
      <c r="S139" t="str">
        <f>IFERROR(INDEX(TableRBCalcPts[BYE],MATCH(TableRBRanks31[[#This Row],[Player]],TableRBCalcPts[PLAYER],0)),"")</f>
        <v/>
      </c>
      <c r="T139" s="83" t="str">
        <f>IFERROR((VLOOKUP(TableRBRanks31[[#This Row],[Player]],RB!B:O,4,FALSE)),"")</f>
        <v/>
      </c>
      <c r="U139" s="83" t="str">
        <f>IFERROR((VLOOKUP(TableRBRanks31[[#This Row],[Player]],RB!B:O,5,FALSE)),"")</f>
        <v/>
      </c>
      <c r="V139" s="83" t="str">
        <f>IFERROR((VLOOKUP(TableRBRanks31[[#This Row],[Player]],RB!B:O,6,FALSE)),"")</f>
        <v/>
      </c>
      <c r="W139" s="83" t="str">
        <f>IFERROR((VLOOKUP(TableRBRanks31[[#This Row],[Player]],RB!B:O,7,FALSE)),"")</f>
        <v/>
      </c>
      <c r="X139" s="83" t="str">
        <f>IFERROR((VLOOKUP(TableRBRanks31[[#This Row],[Player]],RB!B:O,8,FALSE)),"")</f>
        <v/>
      </c>
      <c r="Y139" s="83" t="str">
        <f>IFERROR((VLOOKUP(TableRBRanks31[[#This Row],[Player]],RB!B:O,9,FALSE)),"")</f>
        <v/>
      </c>
      <c r="Z139" s="83" t="str">
        <f>IFERROR((VLOOKUP(TableRBRanks31[[#This Row],[Player]],RB!B:O,10,FALSE)),"")</f>
        <v/>
      </c>
      <c r="AA139" s="57" t="str">
        <f>IFERROR((IFERROR(INDEX(TableRBCalcPts[Custom],MATCH(TableRBRanks31[[#This Row],[RK]],TableRBCalcPts[RK],0)),"")),"")</f>
        <v/>
      </c>
      <c r="AB13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9">
        <v>138</v>
      </c>
      <c r="AE139" t="str">
        <f>IFERROR(INDEX(TableWRCalcPts[PLAYER],MATCH(TableWRRanks32[[#This Row],[RK]],TableWRCalcPts[RK],0)),"")</f>
        <v>Bo Melton</v>
      </c>
      <c r="AF139" t="str">
        <f>IFERROR(INDEX(TableWRCalcPts[TM],MATCH(TableWRRanks32[[#This Row],[Player]],TableWRCalcPts[PLAYER],0)),"")</f>
        <v>GB</v>
      </c>
      <c r="AG139">
        <f>IFERROR(INDEX(TableWRCalcPts[BYE],MATCH(TableWRRanks32[[#This Row],[Player]],TableWRCalcPts[PLAYER],0)),"")</f>
        <v>6</v>
      </c>
      <c r="AH139" s="83">
        <f>IFERROR((VLOOKUP(TableWRRanks32[[#This Row],[Player]],WR!B:O,4,FALSE)),"")</f>
        <v>0</v>
      </c>
      <c r="AI139" s="83">
        <f>IFERROR((VLOOKUP(TableWRRanks32[[#This Row],[Player]],WR!B:O,5,FALSE)),"")</f>
        <v>0</v>
      </c>
      <c r="AJ139" s="83">
        <f>IFERROR((VLOOKUP(TableWRRanks32[[#This Row],[Player]],WR!B:O,6,FALSE)),"")</f>
        <v>17.106096000000001</v>
      </c>
      <c r="AK139" s="83">
        <f>IFERROR((VLOOKUP(TableWRRanks32[[#This Row],[Player]],WR!B:O,7,FALSE)),"")</f>
        <v>10.896583152000002</v>
      </c>
      <c r="AL139" s="83">
        <f>IFERROR((VLOOKUP(TableWRRanks32[[#This Row],[Player]],WR!B:O,8,FALSE)),"")</f>
        <v>133.91900693808</v>
      </c>
      <c r="AM139" s="83">
        <f>IFERROR((VLOOKUP(TableWRRanks32[[#This Row],[Player]],WR!B:O,9,FALSE)),"")</f>
        <v>0.98069248368000006</v>
      </c>
      <c r="AN139" s="57">
        <f>IFERROR((IFERROR(INDEX(TableWRCalcPts[Custom],MATCH(TableWRRanks32[[#This Row],[RK]],TableWRCalcPts[RK],0)),"")),"")</f>
        <v>24.724347171887999</v>
      </c>
      <c r="AO13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0" spans="16:41" x14ac:dyDescent="0.2">
      <c r="P140">
        <v>139</v>
      </c>
      <c r="Q140" t="str">
        <f>IFERROR(INDEX(TableRBCalcPts[PLAYER],MATCH(TableRBRanks31[[#This Row],[RK]],TableRBCalcPts[RK],0)),"")</f>
        <v/>
      </c>
      <c r="R140" t="str">
        <f>IFERROR(INDEX(TableRBCalcPts[TM],MATCH(TableRBRanks31[[#This Row],[Player]],TableRBCalcPts[PLAYER],0)),"")</f>
        <v/>
      </c>
      <c r="S140" t="str">
        <f>IFERROR(INDEX(TableRBCalcPts[BYE],MATCH(TableRBRanks31[[#This Row],[Player]],TableRBCalcPts[PLAYER],0)),"")</f>
        <v/>
      </c>
      <c r="T140" s="83" t="str">
        <f>IFERROR((VLOOKUP(TableRBRanks31[[#This Row],[Player]],RB!B:O,4,FALSE)),"")</f>
        <v/>
      </c>
      <c r="U140" s="83" t="str">
        <f>IFERROR((VLOOKUP(TableRBRanks31[[#This Row],[Player]],RB!B:O,5,FALSE)),"")</f>
        <v/>
      </c>
      <c r="V140" s="83" t="str">
        <f>IFERROR((VLOOKUP(TableRBRanks31[[#This Row],[Player]],RB!B:O,6,FALSE)),"")</f>
        <v/>
      </c>
      <c r="W140" s="83" t="str">
        <f>IFERROR((VLOOKUP(TableRBRanks31[[#This Row],[Player]],RB!B:O,7,FALSE)),"")</f>
        <v/>
      </c>
      <c r="X140" s="83" t="str">
        <f>IFERROR((VLOOKUP(TableRBRanks31[[#This Row],[Player]],RB!B:O,8,FALSE)),"")</f>
        <v/>
      </c>
      <c r="Y140" s="83" t="str">
        <f>IFERROR((VLOOKUP(TableRBRanks31[[#This Row],[Player]],RB!B:O,9,FALSE)),"")</f>
        <v/>
      </c>
      <c r="Z140" s="83" t="str">
        <f>IFERROR((VLOOKUP(TableRBRanks31[[#This Row],[Player]],RB!B:O,10,FALSE)),"")</f>
        <v/>
      </c>
      <c r="AA140" s="57" t="str">
        <f>IFERROR((IFERROR(INDEX(TableRBCalcPts[Custom],MATCH(TableRBRanks31[[#This Row],[RK]],TableRBCalcPts[RK],0)),"")),"")</f>
        <v/>
      </c>
      <c r="AB14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0">
        <v>139</v>
      </c>
      <c r="AE140" t="str">
        <f>IFERROR(INDEX(TableWRCalcPts[PLAYER],MATCH(TableWRRanks32[[#This Row],[RK]],TableWRCalcPts[RK],0)),"")</f>
        <v>Ray-Ray McCloud</v>
      </c>
      <c r="AF140" t="str">
        <f>IFERROR(INDEX(TableWRCalcPts[TM],MATCH(TableWRRanks32[[#This Row],[Player]],TableWRCalcPts[PLAYER],0)),"")</f>
        <v>ATL</v>
      </c>
      <c r="AG140">
        <f>IFERROR(INDEX(TableWRCalcPts[BYE],MATCH(TableWRRanks32[[#This Row],[Player]],TableWRCalcPts[PLAYER],0)),"")</f>
        <v>11</v>
      </c>
      <c r="AH140" s="83">
        <f>IFERROR((VLOOKUP(TableWRRanks32[[#This Row],[Player]],WR!B:O,4,FALSE)),"")</f>
        <v>0</v>
      </c>
      <c r="AI140" s="83">
        <f>IFERROR((VLOOKUP(TableWRRanks32[[#This Row],[Player]],WR!B:O,5,FALSE)),"")</f>
        <v>0</v>
      </c>
      <c r="AJ140" s="83">
        <f>IFERROR((VLOOKUP(TableWRRanks32[[#This Row],[Player]],WR!B:O,6,FALSE)),"")</f>
        <v>17.254036799999994</v>
      </c>
      <c r="AK140" s="83">
        <f>IFERROR((VLOOKUP(TableWRRanks32[[#This Row],[Player]],WR!B:O,7,FALSE)),"")</f>
        <v>12.233112091199995</v>
      </c>
      <c r="AL140" s="83">
        <f>IFERROR((VLOOKUP(TableWRRanks32[[#This Row],[Player]],WR!B:O,8,FALSE)),"")</f>
        <v>125.02240557206396</v>
      </c>
      <c r="AM140" s="83">
        <f>IFERROR((VLOOKUP(TableWRRanks32[[#This Row],[Player]],WR!B:O,9,FALSE)),"")</f>
        <v>0.85631784638399977</v>
      </c>
      <c r="AN140" s="57">
        <f>IFERROR((IFERROR(INDEX(TableWRCalcPts[Custom],MATCH(TableWRRanks32[[#This Row],[RK]],TableWRCalcPts[RK],0)),"")),"")</f>
        <v>23.756703681110395</v>
      </c>
      <c r="AO14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1" spans="16:41" x14ac:dyDescent="0.2">
      <c r="P141">
        <v>140</v>
      </c>
      <c r="Q141" t="str">
        <f>IFERROR(INDEX(TableRBCalcPts[PLAYER],MATCH(TableRBRanks31[[#This Row],[RK]],TableRBCalcPts[RK],0)),"")</f>
        <v/>
      </c>
      <c r="R141" t="str">
        <f>IFERROR(INDEX(TableRBCalcPts[TM],MATCH(TableRBRanks31[[#This Row],[Player]],TableRBCalcPts[PLAYER],0)),"")</f>
        <v/>
      </c>
      <c r="S141" t="str">
        <f>IFERROR(INDEX(TableRBCalcPts[BYE],MATCH(TableRBRanks31[[#This Row],[Player]],TableRBCalcPts[PLAYER],0)),"")</f>
        <v/>
      </c>
      <c r="T141" s="83" t="str">
        <f>IFERROR((VLOOKUP(TableRBRanks31[[#This Row],[Player]],RB!B:O,4,FALSE)),"")</f>
        <v/>
      </c>
      <c r="U141" s="83" t="str">
        <f>IFERROR((VLOOKUP(TableRBRanks31[[#This Row],[Player]],RB!B:O,5,FALSE)),"")</f>
        <v/>
      </c>
      <c r="V141" s="83" t="str">
        <f>IFERROR((VLOOKUP(TableRBRanks31[[#This Row],[Player]],RB!B:O,6,FALSE)),"")</f>
        <v/>
      </c>
      <c r="W141" s="83" t="str">
        <f>IFERROR((VLOOKUP(TableRBRanks31[[#This Row],[Player]],RB!B:O,7,FALSE)),"")</f>
        <v/>
      </c>
      <c r="X141" s="83" t="str">
        <f>IFERROR((VLOOKUP(TableRBRanks31[[#This Row],[Player]],RB!B:O,8,FALSE)),"")</f>
        <v/>
      </c>
      <c r="Y141" s="83" t="str">
        <f>IFERROR((VLOOKUP(TableRBRanks31[[#This Row],[Player]],RB!B:O,9,FALSE)),"")</f>
        <v/>
      </c>
      <c r="Z141" s="83" t="str">
        <f>IFERROR((VLOOKUP(TableRBRanks31[[#This Row],[Player]],RB!B:O,10,FALSE)),"")</f>
        <v/>
      </c>
      <c r="AA141" s="57" t="str">
        <f>IFERROR((IFERROR(INDEX(TableRBCalcPts[Custom],MATCH(TableRBRanks31[[#This Row],[RK]],TableRBCalcPts[RK],0)),"")),"")</f>
        <v/>
      </c>
      <c r="AB14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1">
        <v>140</v>
      </c>
      <c r="AE141" t="str">
        <f>IFERROR(INDEX(TableWRCalcPts[PLAYER],MATCH(TableWRRanks32[[#This Row],[RK]],TableWRCalcPts[RK],0)),"")</f>
        <v>Chris Moore</v>
      </c>
      <c r="AF141" t="str">
        <f>IFERROR(INDEX(TableWRCalcPts[TM],MATCH(TableWRRanks32[[#This Row],[Player]],TableWRCalcPts[PLAYER],0)),"")</f>
        <v>ARI</v>
      </c>
      <c r="AG141">
        <f>IFERROR(INDEX(TableWRCalcPts[BYE],MATCH(TableWRRanks32[[#This Row],[Player]],TableWRCalcPts[PLAYER],0)),"")</f>
        <v>14</v>
      </c>
      <c r="AH141" s="83">
        <f>IFERROR((VLOOKUP(TableWRRanks32[[#This Row],[Player]],WR!B:O,4,FALSE)),"")</f>
        <v>0</v>
      </c>
      <c r="AI141" s="83">
        <f>IFERROR((VLOOKUP(TableWRRanks32[[#This Row],[Player]],WR!B:O,5,FALSE)),"")</f>
        <v>0</v>
      </c>
      <c r="AJ141" s="83">
        <f>IFERROR((VLOOKUP(TableWRRanks32[[#This Row],[Player]],WR!B:O,6,FALSE)),"")</f>
        <v>20.639167500000003</v>
      </c>
      <c r="AK141" s="83">
        <f>IFERROR((VLOOKUP(TableWRRanks32[[#This Row],[Player]],WR!B:O,7,FALSE)),"")</f>
        <v>12.383500500000002</v>
      </c>
      <c r="AL141" s="83">
        <f>IFERROR((VLOOKUP(TableWRRanks32[[#This Row],[Player]],WR!B:O,8,FALSE)),"")</f>
        <v>134.98015545000001</v>
      </c>
      <c r="AM141" s="83">
        <f>IFERROR((VLOOKUP(TableWRRanks32[[#This Row],[Player]],WR!B:O,9,FALSE)),"")</f>
        <v>0.6191750250000001</v>
      </c>
      <c r="AN141" s="57">
        <f>IFERROR((IFERROR(INDEX(TableWRCalcPts[Custom],MATCH(TableWRRanks32[[#This Row],[RK]],TableWRCalcPts[RK],0)),"")),"")</f>
        <v>23.404815945000003</v>
      </c>
      <c r="AO14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2" spans="16:41" x14ac:dyDescent="0.2">
      <c r="P142">
        <v>141</v>
      </c>
      <c r="Q142" t="str">
        <f>IFERROR(INDEX(TableRBCalcPts[PLAYER],MATCH(TableRBRanks31[[#This Row],[RK]],TableRBCalcPts[RK],0)),"")</f>
        <v/>
      </c>
      <c r="R142" t="str">
        <f>IFERROR(INDEX(TableRBCalcPts[TM],MATCH(TableRBRanks31[[#This Row],[Player]],TableRBCalcPts[PLAYER],0)),"")</f>
        <v/>
      </c>
      <c r="S142" t="str">
        <f>IFERROR(INDEX(TableRBCalcPts[BYE],MATCH(TableRBRanks31[[#This Row],[Player]],TableRBCalcPts[PLAYER],0)),"")</f>
        <v/>
      </c>
      <c r="T142" s="83" t="str">
        <f>IFERROR((VLOOKUP(TableRBRanks31[[#This Row],[Player]],RB!B:O,4,FALSE)),"")</f>
        <v/>
      </c>
      <c r="U142" s="83" t="str">
        <f>IFERROR((VLOOKUP(TableRBRanks31[[#This Row],[Player]],RB!B:O,5,FALSE)),"")</f>
        <v/>
      </c>
      <c r="V142" s="83" t="str">
        <f>IFERROR((VLOOKUP(TableRBRanks31[[#This Row],[Player]],RB!B:O,6,FALSE)),"")</f>
        <v/>
      </c>
      <c r="W142" s="83" t="str">
        <f>IFERROR((VLOOKUP(TableRBRanks31[[#This Row],[Player]],RB!B:O,7,FALSE)),"")</f>
        <v/>
      </c>
      <c r="X142" s="83" t="str">
        <f>IFERROR((VLOOKUP(TableRBRanks31[[#This Row],[Player]],RB!B:O,8,FALSE)),"")</f>
        <v/>
      </c>
      <c r="Y142" s="83" t="str">
        <f>IFERROR((VLOOKUP(TableRBRanks31[[#This Row],[Player]],RB!B:O,9,FALSE)),"")</f>
        <v/>
      </c>
      <c r="Z142" s="83" t="str">
        <f>IFERROR((VLOOKUP(TableRBRanks31[[#This Row],[Player]],RB!B:O,10,FALSE)),"")</f>
        <v/>
      </c>
      <c r="AA142" s="57" t="str">
        <f>IFERROR((IFERROR(INDEX(TableRBCalcPts[Custom],MATCH(TableRBRanks31[[#This Row],[RK]],TableRBCalcPts[RK],0)),"")),"")</f>
        <v/>
      </c>
      <c r="AB14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2">
        <v>141</v>
      </c>
      <c r="AE142" t="str">
        <f>IFERROR(INDEX(TableWRCalcPts[PLAYER],MATCH(TableWRRanks32[[#This Row],[RK]],TableWRCalcPts[RK],0)),"")</f>
        <v>Xavier Gipson</v>
      </c>
      <c r="AF142" t="str">
        <f>IFERROR(INDEX(TableWRCalcPts[TM],MATCH(TableWRRanks32[[#This Row],[Player]],TableWRCalcPts[PLAYER],0)),"")</f>
        <v>NYJ</v>
      </c>
      <c r="AG142">
        <f>IFERROR(INDEX(TableWRCalcPts[BYE],MATCH(TableWRRanks32[[#This Row],[Player]],TableWRCalcPts[PLAYER],0)),"")</f>
        <v>7</v>
      </c>
      <c r="AH142" s="83">
        <f>IFERROR((VLOOKUP(TableWRRanks32[[#This Row],[Player]],WR!B:O,4,FALSE)),"")</f>
        <v>0</v>
      </c>
      <c r="AI142" s="83">
        <f>IFERROR((VLOOKUP(TableWRRanks32[[#This Row],[Player]],WR!B:O,5,FALSE)),"")</f>
        <v>0</v>
      </c>
      <c r="AJ142" s="83">
        <f>IFERROR((VLOOKUP(TableWRRanks32[[#This Row],[Player]],WR!B:O,6,FALSE)),"")</f>
        <v>17.775357599999996</v>
      </c>
      <c r="AK142" s="83">
        <f>IFERROR((VLOOKUP(TableWRRanks32[[#This Row],[Player]],WR!B:O,7,FALSE)),"")</f>
        <v>10.807417420799997</v>
      </c>
      <c r="AL142" s="83">
        <f>IFERROR((VLOOKUP(TableWRRanks32[[#This Row],[Player]],WR!B:O,8,FALSE)),"")</f>
        <v>119.20581415142395</v>
      </c>
      <c r="AM142" s="83">
        <f>IFERROR((VLOOKUP(TableWRRanks32[[#This Row],[Player]],WR!B:O,9,FALSE)),"")</f>
        <v>0.86459339366399979</v>
      </c>
      <c r="AN142" s="57">
        <f>IFERROR((IFERROR(INDEX(TableWRCalcPts[Custom],MATCH(TableWRRanks32[[#This Row],[RK]],TableWRCalcPts[RK],0)),"")),"")</f>
        <v>22.511850487526392</v>
      </c>
      <c r="AO14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3" spans="16:41" x14ac:dyDescent="0.2">
      <c r="P143">
        <v>142</v>
      </c>
      <c r="Q143" t="str">
        <f>IFERROR(INDEX(TableRBCalcPts[PLAYER],MATCH(TableRBRanks31[[#This Row],[RK]],TableRBCalcPts[RK],0)),"")</f>
        <v/>
      </c>
      <c r="R143" t="str">
        <f>IFERROR(INDEX(TableRBCalcPts[TM],MATCH(TableRBRanks31[[#This Row],[Player]],TableRBCalcPts[PLAYER],0)),"")</f>
        <v/>
      </c>
      <c r="S143" t="str">
        <f>IFERROR(INDEX(TableRBCalcPts[BYE],MATCH(TableRBRanks31[[#This Row],[Player]],TableRBCalcPts[PLAYER],0)),"")</f>
        <v/>
      </c>
      <c r="T143" s="83" t="str">
        <f>IFERROR((VLOOKUP(TableRBRanks31[[#This Row],[Player]],RB!B:O,4,FALSE)),"")</f>
        <v/>
      </c>
      <c r="U143" s="83" t="str">
        <f>IFERROR((VLOOKUP(TableRBRanks31[[#This Row],[Player]],RB!B:O,5,FALSE)),"")</f>
        <v/>
      </c>
      <c r="V143" s="83" t="str">
        <f>IFERROR((VLOOKUP(TableRBRanks31[[#This Row],[Player]],RB!B:O,6,FALSE)),"")</f>
        <v/>
      </c>
      <c r="W143" s="83" t="str">
        <f>IFERROR((VLOOKUP(TableRBRanks31[[#This Row],[Player]],RB!B:O,7,FALSE)),"")</f>
        <v/>
      </c>
      <c r="X143" s="83" t="str">
        <f>IFERROR((VLOOKUP(TableRBRanks31[[#This Row],[Player]],RB!B:O,8,FALSE)),"")</f>
        <v/>
      </c>
      <c r="Y143" s="83" t="str">
        <f>IFERROR((VLOOKUP(TableRBRanks31[[#This Row],[Player]],RB!B:O,9,FALSE)),"")</f>
        <v/>
      </c>
      <c r="Z143" s="83" t="str">
        <f>IFERROR((VLOOKUP(TableRBRanks31[[#This Row],[Player]],RB!B:O,10,FALSE)),"")</f>
        <v/>
      </c>
      <c r="AA143" s="57" t="str">
        <f>IFERROR((IFERROR(INDEX(TableRBCalcPts[Custom],MATCH(TableRBRanks31[[#This Row],[RK]],TableRBCalcPts[RK],0)),"")),"")</f>
        <v/>
      </c>
      <c r="AB14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3">
        <v>142</v>
      </c>
      <c r="AE143" t="str">
        <f>IFERROR(INDEX(TableWRCalcPts[PLAYER],MATCH(TableWRRanks32[[#This Row],[RK]],TableWRCalcPts[RK],0)),"")</f>
        <v>Jason Brownlee</v>
      </c>
      <c r="AF143" t="str">
        <f>IFERROR(INDEX(TableWRCalcPts[TM],MATCH(TableWRRanks32[[#This Row],[Player]],TableWRCalcPts[PLAYER],0)),"")</f>
        <v>NYJ</v>
      </c>
      <c r="AG143">
        <f>IFERROR(INDEX(TableWRCalcPts[BYE],MATCH(TableWRRanks32[[#This Row],[Player]],TableWRCalcPts[PLAYER],0)),"")</f>
        <v>7</v>
      </c>
      <c r="AH143" s="83">
        <f>IFERROR((VLOOKUP(TableWRRanks32[[#This Row],[Player]],WR!B:O,4,FALSE)),"")</f>
        <v>0</v>
      </c>
      <c r="AI143" s="83">
        <f>IFERROR((VLOOKUP(TableWRRanks32[[#This Row],[Player]],WR!B:O,5,FALSE)),"")</f>
        <v>0</v>
      </c>
      <c r="AJ143" s="83">
        <f>IFERROR((VLOOKUP(TableWRRanks32[[#This Row],[Player]],WR!B:O,6,FALSE)),"")</f>
        <v>17.775357599999996</v>
      </c>
      <c r="AK143" s="83">
        <f>IFERROR((VLOOKUP(TableWRRanks32[[#This Row],[Player]],WR!B:O,7,FALSE)),"")</f>
        <v>10.665214559999997</v>
      </c>
      <c r="AL143" s="83">
        <f>IFERROR((VLOOKUP(TableWRRanks32[[#This Row],[Player]],WR!B:O,8,FALSE)),"")</f>
        <v>121.79675027519997</v>
      </c>
      <c r="AM143" s="83">
        <f>IFERROR((VLOOKUP(TableWRRanks32[[#This Row],[Player]],WR!B:O,9,FALSE)),"")</f>
        <v>0.83188673567999982</v>
      </c>
      <c r="AN143" s="57">
        <f>IFERROR((IFERROR(INDEX(TableWRCalcPts[Custom],MATCH(TableWRRanks32[[#This Row],[RK]],TableWRCalcPts[RK],0)),"")),"")</f>
        <v>22.503602721599997</v>
      </c>
      <c r="AO14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4" spans="16:41" x14ac:dyDescent="0.2">
      <c r="P144">
        <v>143</v>
      </c>
      <c r="Q144" t="str">
        <f>IFERROR(INDEX(TableRBCalcPts[PLAYER],MATCH(TableRBRanks31[[#This Row],[RK]],TableRBCalcPts[RK],0)),"")</f>
        <v/>
      </c>
      <c r="R144" t="str">
        <f>IFERROR(INDEX(TableRBCalcPts[TM],MATCH(TableRBRanks31[[#This Row],[Player]],TableRBCalcPts[PLAYER],0)),"")</f>
        <v/>
      </c>
      <c r="S144" t="str">
        <f>IFERROR(INDEX(TableRBCalcPts[BYE],MATCH(TableRBRanks31[[#This Row],[Player]],TableRBCalcPts[PLAYER],0)),"")</f>
        <v/>
      </c>
      <c r="T144" s="83" t="str">
        <f>IFERROR((VLOOKUP(TableRBRanks31[[#This Row],[Player]],RB!B:O,4,FALSE)),"")</f>
        <v/>
      </c>
      <c r="U144" s="83" t="str">
        <f>IFERROR((VLOOKUP(TableRBRanks31[[#This Row],[Player]],RB!B:O,5,FALSE)),"")</f>
        <v/>
      </c>
      <c r="V144" s="83" t="str">
        <f>IFERROR((VLOOKUP(TableRBRanks31[[#This Row],[Player]],RB!B:O,6,FALSE)),"")</f>
        <v/>
      </c>
      <c r="W144" s="83" t="str">
        <f>IFERROR((VLOOKUP(TableRBRanks31[[#This Row],[Player]],RB!B:O,7,FALSE)),"")</f>
        <v/>
      </c>
      <c r="X144" s="83" t="str">
        <f>IFERROR((VLOOKUP(TableRBRanks31[[#This Row],[Player]],RB!B:O,8,FALSE)),"")</f>
        <v/>
      </c>
      <c r="Y144" s="83" t="str">
        <f>IFERROR((VLOOKUP(TableRBRanks31[[#This Row],[Player]],RB!B:O,9,FALSE)),"")</f>
        <v/>
      </c>
      <c r="Z144" s="83" t="str">
        <f>IFERROR((VLOOKUP(TableRBRanks31[[#This Row],[Player]],RB!B:O,10,FALSE)),"")</f>
        <v/>
      </c>
      <c r="AA144" s="57" t="str">
        <f>IFERROR((IFERROR(INDEX(TableRBCalcPts[Custom],MATCH(TableRBRanks31[[#This Row],[RK]],TableRBCalcPts[RK],0)),"")),"")</f>
        <v/>
      </c>
      <c r="AB14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4">
        <v>143</v>
      </c>
      <c r="AE144" t="str">
        <f>IFERROR(INDEX(TableWRCalcPts[PLAYER],MATCH(TableWRRanks32[[#This Row],[RK]],TableWRCalcPts[RK],0)),"")</f>
        <v>Laviska Shenault</v>
      </c>
      <c r="AF144" t="str">
        <f>IFERROR(INDEX(TableWRCalcPts[TM],MATCH(TableWRRanks32[[#This Row],[Player]],TableWRCalcPts[PLAYER],0)),"")</f>
        <v>SEA</v>
      </c>
      <c r="AG144">
        <f>IFERROR(INDEX(TableWRCalcPts[BYE],MATCH(TableWRRanks32[[#This Row],[Player]],TableWRCalcPts[PLAYER],0)),"")</f>
        <v>5</v>
      </c>
      <c r="AH144" s="83">
        <f>IFERROR((VLOOKUP(TableWRRanks32[[#This Row],[Player]],WR!B:O,4,FALSE)),"")</f>
        <v>0</v>
      </c>
      <c r="AI144" s="83">
        <f>IFERROR((VLOOKUP(TableWRRanks32[[#This Row],[Player]],WR!B:O,5,FALSE)),"")</f>
        <v>0</v>
      </c>
      <c r="AJ144" s="83">
        <f>IFERROR((VLOOKUP(TableWRRanks32[[#This Row],[Player]],WR!B:O,6,FALSE)),"")</f>
        <v>17.414472599999996</v>
      </c>
      <c r="AK144" s="83">
        <f>IFERROR((VLOOKUP(TableWRRanks32[[#This Row],[Player]],WR!B:O,7,FALSE)),"")</f>
        <v>11.998571621399996</v>
      </c>
      <c r="AL144" s="83">
        <f>IFERROR((VLOOKUP(TableWRRanks32[[#This Row],[Player]],WR!B:O,8,FALSE)),"")</f>
        <v>116.98607330864996</v>
      </c>
      <c r="AM144" s="83">
        <f>IFERROR((VLOOKUP(TableWRRanks32[[#This Row],[Player]],WR!B:O,9,FALSE)),"")</f>
        <v>0.7199142972839998</v>
      </c>
      <c r="AN144" s="57">
        <f>IFERROR((IFERROR(INDEX(TableWRCalcPts[Custom],MATCH(TableWRRanks32[[#This Row],[RK]],TableWRCalcPts[RK],0)),"")),"")</f>
        <v>22.017378925268996</v>
      </c>
      <c r="AO14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5" spans="16:41" x14ac:dyDescent="0.2">
      <c r="P145">
        <v>144</v>
      </c>
      <c r="Q145" t="str">
        <f>IFERROR(INDEX(TableRBCalcPts[PLAYER],MATCH(TableRBRanks31[[#This Row],[RK]],TableRBCalcPts[RK],0)),"")</f>
        <v/>
      </c>
      <c r="R145" t="str">
        <f>IFERROR(INDEX(TableRBCalcPts[TM],MATCH(TableRBRanks31[[#This Row],[Player]],TableRBCalcPts[PLAYER],0)),"")</f>
        <v/>
      </c>
      <c r="S145" t="str">
        <f>IFERROR(INDEX(TableRBCalcPts[BYE],MATCH(TableRBRanks31[[#This Row],[Player]],TableRBCalcPts[PLAYER],0)),"")</f>
        <v/>
      </c>
      <c r="T145" s="83" t="str">
        <f>IFERROR((VLOOKUP(TableRBRanks31[[#This Row],[Player]],RB!B:O,4,FALSE)),"")</f>
        <v/>
      </c>
      <c r="U145" s="83" t="str">
        <f>IFERROR((VLOOKUP(TableRBRanks31[[#This Row],[Player]],RB!B:O,5,FALSE)),"")</f>
        <v/>
      </c>
      <c r="V145" s="83" t="str">
        <f>IFERROR((VLOOKUP(TableRBRanks31[[#This Row],[Player]],RB!B:O,6,FALSE)),"")</f>
        <v/>
      </c>
      <c r="W145" s="83" t="str">
        <f>IFERROR((VLOOKUP(TableRBRanks31[[#This Row],[Player]],RB!B:O,7,FALSE)),"")</f>
        <v/>
      </c>
      <c r="X145" s="83" t="str">
        <f>IFERROR((VLOOKUP(TableRBRanks31[[#This Row],[Player]],RB!B:O,8,FALSE)),"")</f>
        <v/>
      </c>
      <c r="Y145" s="83" t="str">
        <f>IFERROR((VLOOKUP(TableRBRanks31[[#This Row],[Player]],RB!B:O,9,FALSE)),"")</f>
        <v/>
      </c>
      <c r="Z145" s="83" t="str">
        <f>IFERROR((VLOOKUP(TableRBRanks31[[#This Row],[Player]],RB!B:O,10,FALSE)),"")</f>
        <v/>
      </c>
      <c r="AA145" s="57" t="str">
        <f>IFERROR((IFERROR(INDEX(TableRBCalcPts[Custom],MATCH(TableRBRanks31[[#This Row],[RK]],TableRBCalcPts[RK],0)),"")),"")</f>
        <v/>
      </c>
      <c r="AB14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5">
        <v>144</v>
      </c>
      <c r="AE145" t="str">
        <f>IFERROR(INDEX(TableWRCalcPts[PLAYER],MATCH(TableWRRanks32[[#This Row],[RK]],TableWRCalcPts[RK],0)),"")</f>
        <v>Antoine Green</v>
      </c>
      <c r="AF145" t="str">
        <f>IFERROR(INDEX(TableWRCalcPts[TM],MATCH(TableWRRanks32[[#This Row],[Player]],TableWRCalcPts[PLAYER],0)),"")</f>
        <v>DET</v>
      </c>
      <c r="AG145">
        <f>IFERROR(INDEX(TableWRCalcPts[BYE],MATCH(TableWRRanks32[[#This Row],[Player]],TableWRCalcPts[PLAYER],0)),"")</f>
        <v>9</v>
      </c>
      <c r="AH145" s="83">
        <f>IFERROR((VLOOKUP(TableWRRanks32[[#This Row],[Player]],WR!B:O,4,FALSE)),"")</f>
        <v>0</v>
      </c>
      <c r="AI145" s="83">
        <f>IFERROR((VLOOKUP(TableWRRanks32[[#This Row],[Player]],WR!B:O,5,FALSE)),"")</f>
        <v>0</v>
      </c>
      <c r="AJ145" s="83">
        <f>IFERROR((VLOOKUP(TableWRRanks32[[#This Row],[Player]],WR!B:O,6,FALSE)),"")</f>
        <v>17.780237999999994</v>
      </c>
      <c r="AK145" s="83">
        <f>IFERROR((VLOOKUP(TableWRRanks32[[#This Row],[Player]],WR!B:O,7,FALSE)),"")</f>
        <v>10.134735659999995</v>
      </c>
      <c r="AL145" s="83">
        <f>IFERROR((VLOOKUP(TableWRRanks32[[#This Row],[Player]],WR!B:O,8,FALSE)),"")</f>
        <v>128.71114288199993</v>
      </c>
      <c r="AM145" s="83">
        <f>IFERROR((VLOOKUP(TableWRRanks32[[#This Row],[Player]],WR!B:O,9,FALSE)),"")</f>
        <v>0.60808413959999974</v>
      </c>
      <c r="AN145" s="57">
        <f>IFERROR((IFERROR(INDEX(TableWRCalcPts[Custom],MATCH(TableWRRanks32[[#This Row],[RK]],TableWRCalcPts[RK],0)),"")),"")</f>
        <v>21.58698695579999</v>
      </c>
      <c r="AO14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6" spans="16:41" x14ac:dyDescent="0.2">
      <c r="P146">
        <v>145</v>
      </c>
      <c r="Q146" t="str">
        <f>IFERROR(INDEX(TableRBCalcPts[PLAYER],MATCH(TableRBRanks31[[#This Row],[RK]],TableRBCalcPts[RK],0)),"")</f>
        <v/>
      </c>
      <c r="R146" t="str">
        <f>IFERROR(INDEX(TableRBCalcPts[TM],MATCH(TableRBRanks31[[#This Row],[Player]],TableRBCalcPts[PLAYER],0)),"")</f>
        <v/>
      </c>
      <c r="S146" t="str">
        <f>IFERROR(INDEX(TableRBCalcPts[BYE],MATCH(TableRBRanks31[[#This Row],[Player]],TableRBCalcPts[PLAYER],0)),"")</f>
        <v/>
      </c>
      <c r="T146" s="83" t="str">
        <f>IFERROR((VLOOKUP(TableRBRanks31[[#This Row],[Player]],RB!B:O,4,FALSE)),"")</f>
        <v/>
      </c>
      <c r="U146" s="83" t="str">
        <f>IFERROR((VLOOKUP(TableRBRanks31[[#This Row],[Player]],RB!B:O,5,FALSE)),"")</f>
        <v/>
      </c>
      <c r="V146" s="83" t="str">
        <f>IFERROR((VLOOKUP(TableRBRanks31[[#This Row],[Player]],RB!B:O,6,FALSE)),"")</f>
        <v/>
      </c>
      <c r="W146" s="83" t="str">
        <f>IFERROR((VLOOKUP(TableRBRanks31[[#This Row],[Player]],RB!B:O,7,FALSE)),"")</f>
        <v/>
      </c>
      <c r="X146" s="83" t="str">
        <f>IFERROR((VLOOKUP(TableRBRanks31[[#This Row],[Player]],RB!B:O,8,FALSE)),"")</f>
        <v/>
      </c>
      <c r="Y146" s="83" t="str">
        <f>IFERROR((VLOOKUP(TableRBRanks31[[#This Row],[Player]],RB!B:O,9,FALSE)),"")</f>
        <v/>
      </c>
      <c r="Z146" s="83" t="str">
        <f>IFERROR((VLOOKUP(TableRBRanks31[[#This Row],[Player]],RB!B:O,10,FALSE)),"")</f>
        <v/>
      </c>
      <c r="AA146" s="57" t="str">
        <f>IFERROR((IFERROR(INDEX(TableRBCalcPts[Custom],MATCH(TableRBRanks31[[#This Row],[RK]],TableRBCalcPts[RK],0)),"")),"")</f>
        <v/>
      </c>
      <c r="AB14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6">
        <v>145</v>
      </c>
      <c r="AE146" t="str">
        <f>IFERROR(INDEX(TableWRCalcPts[PLAYER],MATCH(TableWRRanks32[[#This Row],[RK]],TableWRCalcPts[RK],0)),"")</f>
        <v>Racey McMath</v>
      </c>
      <c r="AF146" t="str">
        <f>IFERROR(INDEX(TableWRCalcPts[TM],MATCH(TableWRRanks32[[#This Row],[Player]],TableWRCalcPts[PLAYER],0)),"")</f>
        <v>DAL</v>
      </c>
      <c r="AG146">
        <f>IFERROR(INDEX(TableWRCalcPts[BYE],MATCH(TableWRRanks32[[#This Row],[Player]],TableWRCalcPts[PLAYER],0)),"")</f>
        <v>7</v>
      </c>
      <c r="AH146" s="83">
        <f>IFERROR((VLOOKUP(TableWRRanks32[[#This Row],[Player]],WR!B:O,4,FALSE)),"")</f>
        <v>0</v>
      </c>
      <c r="AI146" s="83">
        <f>IFERROR((VLOOKUP(TableWRRanks32[[#This Row],[Player]],WR!B:O,5,FALSE)),"")</f>
        <v>0</v>
      </c>
      <c r="AJ146" s="83">
        <f>IFERROR((VLOOKUP(TableWRRanks32[[#This Row],[Player]],WR!B:O,6,FALSE)),"")</f>
        <v>18.294973199999994</v>
      </c>
      <c r="AK146" s="83">
        <f>IFERROR((VLOOKUP(TableWRRanks32[[#This Row],[Player]],WR!B:O,7,FALSE)),"")</f>
        <v>11.159933651999996</v>
      </c>
      <c r="AL146" s="83">
        <f>IFERROR((VLOOKUP(TableWRRanks32[[#This Row],[Player]],WR!B:O,8,FALSE)),"")</f>
        <v>111.59933651999995</v>
      </c>
      <c r="AM146" s="83">
        <f>IFERROR((VLOOKUP(TableWRRanks32[[#This Row],[Player]],WR!B:O,9,FALSE)),"")</f>
        <v>0.78119535563999976</v>
      </c>
      <c r="AN146" s="57">
        <f>IFERROR((IFERROR(INDEX(TableWRCalcPts[Custom],MATCH(TableWRRanks32[[#This Row],[RK]],TableWRCalcPts[RK],0)),"")),"")</f>
        <v>21.427072611839996</v>
      </c>
      <c r="AO14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7" spans="16:41" x14ac:dyDescent="0.2">
      <c r="P147">
        <v>146</v>
      </c>
      <c r="Q147" t="str">
        <f>IFERROR(INDEX(TableRBCalcPts[PLAYER],MATCH(TableRBRanks31[[#This Row],[RK]],TableRBCalcPts[RK],0)),"")</f>
        <v/>
      </c>
      <c r="R147" t="str">
        <f>IFERROR(INDEX(TableRBCalcPts[TM],MATCH(TableRBRanks31[[#This Row],[Player]],TableRBCalcPts[PLAYER],0)),"")</f>
        <v/>
      </c>
      <c r="S147" t="str">
        <f>IFERROR(INDEX(TableRBCalcPts[BYE],MATCH(TableRBRanks31[[#This Row],[Player]],TableRBCalcPts[PLAYER],0)),"")</f>
        <v/>
      </c>
      <c r="T147" s="83" t="str">
        <f>IFERROR((VLOOKUP(TableRBRanks31[[#This Row],[Player]],RB!B:O,4,FALSE)),"")</f>
        <v/>
      </c>
      <c r="U147" s="83" t="str">
        <f>IFERROR((VLOOKUP(TableRBRanks31[[#This Row],[Player]],RB!B:O,5,FALSE)),"")</f>
        <v/>
      </c>
      <c r="V147" s="83" t="str">
        <f>IFERROR((VLOOKUP(TableRBRanks31[[#This Row],[Player]],RB!B:O,6,FALSE)),"")</f>
        <v/>
      </c>
      <c r="W147" s="83" t="str">
        <f>IFERROR((VLOOKUP(TableRBRanks31[[#This Row],[Player]],RB!B:O,7,FALSE)),"")</f>
        <v/>
      </c>
      <c r="X147" s="83" t="str">
        <f>IFERROR((VLOOKUP(TableRBRanks31[[#This Row],[Player]],RB!B:O,8,FALSE)),"")</f>
        <v/>
      </c>
      <c r="Y147" s="83" t="str">
        <f>IFERROR((VLOOKUP(TableRBRanks31[[#This Row],[Player]],RB!B:O,9,FALSE)),"")</f>
        <v/>
      </c>
      <c r="Z147" s="83" t="str">
        <f>IFERROR((VLOOKUP(TableRBRanks31[[#This Row],[Player]],RB!B:O,10,FALSE)),"")</f>
        <v/>
      </c>
      <c r="AA147" s="57" t="str">
        <f>IFERROR((IFERROR(INDEX(TableRBCalcPts[Custom],MATCH(TableRBRanks31[[#This Row],[RK]],TableRBCalcPts[RK],0)),"")),"")</f>
        <v/>
      </c>
      <c r="AB14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7">
        <v>146</v>
      </c>
      <c r="AE147" t="str">
        <f>IFERROR(INDEX(TableWRCalcPts[PLAYER],MATCH(TableWRRanks32[[#This Row],[RK]],TableWRCalcPts[RK],0)),"")</f>
        <v>Tyler Scott</v>
      </c>
      <c r="AF147" t="str">
        <f>IFERROR(INDEX(TableWRCalcPts[TM],MATCH(TableWRRanks32[[#This Row],[Player]],TableWRCalcPts[PLAYER],0)),"")</f>
        <v>CHI</v>
      </c>
      <c r="AG147">
        <f>IFERROR(INDEX(TableWRCalcPts[BYE],MATCH(TableWRRanks32[[#This Row],[Player]],TableWRCalcPts[PLAYER],0)),"")</f>
        <v>13</v>
      </c>
      <c r="AH147" s="83">
        <f>IFERROR((VLOOKUP(TableWRRanks32[[#This Row],[Player]],WR!B:O,4,FALSE)),"")</f>
        <v>0</v>
      </c>
      <c r="AI147" s="83">
        <f>IFERROR((VLOOKUP(TableWRRanks32[[#This Row],[Player]],WR!B:O,5,FALSE)),"")</f>
        <v>0</v>
      </c>
      <c r="AJ147" s="83">
        <f>IFERROR((VLOOKUP(TableWRRanks32[[#This Row],[Player]],WR!B:O,6,FALSE)),"")</f>
        <v>17.004254399999994</v>
      </c>
      <c r="AK147" s="83">
        <f>IFERROR((VLOOKUP(TableWRRanks32[[#This Row],[Player]],WR!B:O,7,FALSE)),"")</f>
        <v>10.032510095999996</v>
      </c>
      <c r="AL147" s="83">
        <f>IFERROR((VLOOKUP(TableWRRanks32[[#This Row],[Player]],WR!B:O,8,FALSE)),"")</f>
        <v>123.39987418079996</v>
      </c>
      <c r="AM147" s="83">
        <f>IFERROR((VLOOKUP(TableWRRanks32[[#This Row],[Player]],WR!B:O,9,FALSE)),"")</f>
        <v>0.65211315623999977</v>
      </c>
      <c r="AN147" s="57">
        <f>IFERROR((IFERROR(INDEX(TableWRCalcPts[Custom],MATCH(TableWRRanks32[[#This Row],[RK]],TableWRCalcPts[RK],0)),"")),"")</f>
        <v>21.268921403519993</v>
      </c>
      <c r="AO14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8" spans="16:41" x14ac:dyDescent="0.2">
      <c r="P148">
        <v>147</v>
      </c>
      <c r="Q148" t="str">
        <f>IFERROR(INDEX(TableRBCalcPts[PLAYER],MATCH(TableRBRanks31[[#This Row],[RK]],TableRBCalcPts[RK],0)),"")</f>
        <v/>
      </c>
      <c r="R148" t="str">
        <f>IFERROR(INDEX(TableRBCalcPts[TM],MATCH(TableRBRanks31[[#This Row],[Player]],TableRBCalcPts[PLAYER],0)),"")</f>
        <v/>
      </c>
      <c r="S148" t="str">
        <f>IFERROR(INDEX(TableRBCalcPts[BYE],MATCH(TableRBRanks31[[#This Row],[Player]],TableRBCalcPts[PLAYER],0)),"")</f>
        <v/>
      </c>
      <c r="T148" s="83" t="str">
        <f>IFERROR((VLOOKUP(TableRBRanks31[[#This Row],[Player]],RB!B:O,4,FALSE)),"")</f>
        <v/>
      </c>
      <c r="U148" s="83" t="str">
        <f>IFERROR((VLOOKUP(TableRBRanks31[[#This Row],[Player]],RB!B:O,5,FALSE)),"")</f>
        <v/>
      </c>
      <c r="V148" s="83" t="str">
        <f>IFERROR((VLOOKUP(TableRBRanks31[[#This Row],[Player]],RB!B:O,6,FALSE)),"")</f>
        <v/>
      </c>
      <c r="W148" s="83" t="str">
        <f>IFERROR((VLOOKUP(TableRBRanks31[[#This Row],[Player]],RB!B:O,7,FALSE)),"")</f>
        <v/>
      </c>
      <c r="X148" s="83" t="str">
        <f>IFERROR((VLOOKUP(TableRBRanks31[[#This Row],[Player]],RB!B:O,8,FALSE)),"")</f>
        <v/>
      </c>
      <c r="Y148" s="83" t="str">
        <f>IFERROR((VLOOKUP(TableRBRanks31[[#This Row],[Player]],RB!B:O,9,FALSE)),"")</f>
        <v/>
      </c>
      <c r="Z148" s="83" t="str">
        <f>IFERROR((VLOOKUP(TableRBRanks31[[#This Row],[Player]],RB!B:O,10,FALSE)),"")</f>
        <v/>
      </c>
      <c r="AA148" s="57" t="str">
        <f>IFERROR((IFERROR(INDEX(TableRBCalcPts[Custom],MATCH(TableRBRanks31[[#This Row],[RK]],TableRBCalcPts[RK],0)),"")),"")</f>
        <v/>
      </c>
      <c r="AB14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8">
        <v>147</v>
      </c>
      <c r="AE148" t="str">
        <f>IFERROR(INDEX(TableWRCalcPts[PLAYER],MATCH(TableWRRanks32[[#This Row],[RK]],TableWRCalcPts[RK],0)),"")</f>
        <v>KhaDarel Hodge</v>
      </c>
      <c r="AF148" t="str">
        <f>IFERROR(INDEX(TableWRCalcPts[TM],MATCH(TableWRRanks32[[#This Row],[Player]],TableWRCalcPts[PLAYER],0)),"")</f>
        <v>ATL</v>
      </c>
      <c r="AG148">
        <f>IFERROR(INDEX(TableWRCalcPts[BYE],MATCH(TableWRRanks32[[#This Row],[Player]],TableWRCalcPts[PLAYER],0)),"")</f>
        <v>11</v>
      </c>
      <c r="AH148" s="83">
        <f>IFERROR((VLOOKUP(TableWRRanks32[[#This Row],[Player]],WR!B:O,4,FALSE)),"")</f>
        <v>0</v>
      </c>
      <c r="AI148" s="83">
        <f>IFERROR((VLOOKUP(TableWRRanks32[[#This Row],[Player]],WR!B:O,5,FALSE)),"")</f>
        <v>0</v>
      </c>
      <c r="AJ148" s="83">
        <f>IFERROR((VLOOKUP(TableWRRanks32[[#This Row],[Player]],WR!B:O,6,FALSE)),"")</f>
        <v>17.254036799999994</v>
      </c>
      <c r="AK148" s="83">
        <f>IFERROR((VLOOKUP(TableWRRanks32[[#This Row],[Player]],WR!B:O,7,FALSE)),"")</f>
        <v>10.593978595199996</v>
      </c>
      <c r="AL148" s="83">
        <f>IFERROR((VLOOKUP(TableWRRanks32[[#This Row],[Player]],WR!B:O,8,FALSE)),"")</f>
        <v>106.57542466771196</v>
      </c>
      <c r="AM148" s="83">
        <f>IFERROR((VLOOKUP(TableWRRanks32[[#This Row],[Player]],WR!B:O,9,FALSE)),"")</f>
        <v>0.74157850166399975</v>
      </c>
      <c r="AN148" s="57">
        <f>IFERROR((IFERROR(INDEX(TableWRCalcPts[Custom],MATCH(TableWRRanks32[[#This Row],[RK]],TableWRCalcPts[RK],0)),"")),"")</f>
        <v>20.404002774355192</v>
      </c>
      <c r="AO14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9" spans="16:41" x14ac:dyDescent="0.2">
      <c r="P149">
        <v>148</v>
      </c>
      <c r="Q149" t="str">
        <f>IFERROR(INDEX(TableRBCalcPts[PLAYER],MATCH(TableRBRanks31[[#This Row],[RK]],TableRBCalcPts[RK],0)),"")</f>
        <v/>
      </c>
      <c r="R149" t="str">
        <f>IFERROR(INDEX(TableRBCalcPts[TM],MATCH(TableRBRanks31[[#This Row],[Player]],TableRBCalcPts[PLAYER],0)),"")</f>
        <v/>
      </c>
      <c r="S149" t="str">
        <f>IFERROR(INDEX(TableRBCalcPts[BYE],MATCH(TableRBRanks31[[#This Row],[Player]],TableRBCalcPts[PLAYER],0)),"")</f>
        <v/>
      </c>
      <c r="T149" s="83" t="str">
        <f>IFERROR((VLOOKUP(TableRBRanks31[[#This Row],[Player]],RB!B:O,4,FALSE)),"")</f>
        <v/>
      </c>
      <c r="U149" s="83" t="str">
        <f>IFERROR((VLOOKUP(TableRBRanks31[[#This Row],[Player]],RB!B:O,5,FALSE)),"")</f>
        <v/>
      </c>
      <c r="V149" s="83" t="str">
        <f>IFERROR((VLOOKUP(TableRBRanks31[[#This Row],[Player]],RB!B:O,6,FALSE)),"")</f>
        <v/>
      </c>
      <c r="W149" s="83" t="str">
        <f>IFERROR((VLOOKUP(TableRBRanks31[[#This Row],[Player]],RB!B:O,7,FALSE)),"")</f>
        <v/>
      </c>
      <c r="X149" s="83" t="str">
        <f>IFERROR((VLOOKUP(TableRBRanks31[[#This Row],[Player]],RB!B:O,8,FALSE)),"")</f>
        <v/>
      </c>
      <c r="Y149" s="83" t="str">
        <f>IFERROR((VLOOKUP(TableRBRanks31[[#This Row],[Player]],RB!B:O,9,FALSE)),"")</f>
        <v/>
      </c>
      <c r="Z149" s="83" t="str">
        <f>IFERROR((VLOOKUP(TableRBRanks31[[#This Row],[Player]],RB!B:O,10,FALSE)),"")</f>
        <v/>
      </c>
      <c r="AA149" s="57" t="str">
        <f>IFERROR((IFERROR(INDEX(TableRBCalcPts[Custom],MATCH(TableRBRanks31[[#This Row],[RK]],TableRBCalcPts[RK],0)),"")),"")</f>
        <v/>
      </c>
      <c r="AB14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9">
        <v>148</v>
      </c>
      <c r="AE149" t="str">
        <f>IFERROR(INDEX(TableWRCalcPts[PLAYER],MATCH(TableWRRanks32[[#This Row],[RK]],TableWRCalcPts[RK],0)),"")</f>
        <v>Jamari Thrash</v>
      </c>
      <c r="AF149" t="str">
        <f>IFERROR(INDEX(TableWRCalcPts[TM],MATCH(TableWRRanks32[[#This Row],[Player]],TableWRCalcPts[PLAYER],0)),"")</f>
        <v>CLE</v>
      </c>
      <c r="AG149">
        <f>IFERROR(INDEX(TableWRCalcPts[BYE],MATCH(TableWRRanks32[[#This Row],[Player]],TableWRCalcPts[PLAYER],0)),"")</f>
        <v>5</v>
      </c>
      <c r="AH149" s="83">
        <f>IFERROR((VLOOKUP(TableWRRanks32[[#This Row],[Player]],WR!B:O,4,FALSE)),"")</f>
        <v>0</v>
      </c>
      <c r="AI149" s="83">
        <f>IFERROR((VLOOKUP(TableWRRanks32[[#This Row],[Player]],WR!B:O,5,FALSE)),"")</f>
        <v>0</v>
      </c>
      <c r="AJ149" s="83">
        <f>IFERROR((VLOOKUP(TableWRRanks32[[#This Row],[Player]],WR!B:O,6,FALSE)),"")</f>
        <v>16.129574999999999</v>
      </c>
      <c r="AK149" s="83">
        <f>IFERROR((VLOOKUP(TableWRRanks32[[#This Row],[Player]],WR!B:O,7,FALSE)),"")</f>
        <v>10.032595649999999</v>
      </c>
      <c r="AL149" s="83">
        <f>IFERROR((VLOOKUP(TableWRRanks32[[#This Row],[Player]],WR!B:O,8,FALSE)),"")</f>
        <v>117.18071719199999</v>
      </c>
      <c r="AM149" s="83">
        <f>IFERROR((VLOOKUP(TableWRRanks32[[#This Row],[Player]],WR!B:O,9,FALSE)),"")</f>
        <v>0.60195573899999999</v>
      </c>
      <c r="AN149" s="57">
        <f>IFERROR((IFERROR(INDEX(TableWRCalcPts[Custom],MATCH(TableWRRanks32[[#This Row],[RK]],TableWRCalcPts[RK],0)),"")),"")</f>
        <v>20.346103978199999</v>
      </c>
      <c r="AO14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0" spans="16:41" x14ac:dyDescent="0.2">
      <c r="P150">
        <v>149</v>
      </c>
      <c r="Q150" t="str">
        <f>IFERROR(INDEX(TableRBCalcPts[PLAYER],MATCH(TableRBRanks31[[#This Row],[RK]],TableRBCalcPts[RK],0)),"")</f>
        <v/>
      </c>
      <c r="R150" t="str">
        <f>IFERROR(INDEX(TableRBCalcPts[TM],MATCH(TableRBRanks31[[#This Row],[Player]],TableRBCalcPts[PLAYER],0)),"")</f>
        <v/>
      </c>
      <c r="S150" t="str">
        <f>IFERROR(INDEX(TableRBCalcPts[BYE],MATCH(TableRBRanks31[[#This Row],[Player]],TableRBCalcPts[PLAYER],0)),"")</f>
        <v/>
      </c>
      <c r="T150" s="83" t="str">
        <f>IFERROR((VLOOKUP(TableRBRanks31[[#This Row],[Player]],RB!B:O,4,FALSE)),"")</f>
        <v/>
      </c>
      <c r="U150" s="83" t="str">
        <f>IFERROR((VLOOKUP(TableRBRanks31[[#This Row],[Player]],RB!B:O,5,FALSE)),"")</f>
        <v/>
      </c>
      <c r="V150" s="83" t="str">
        <f>IFERROR((VLOOKUP(TableRBRanks31[[#This Row],[Player]],RB!B:O,6,FALSE)),"")</f>
        <v/>
      </c>
      <c r="W150" s="83" t="str">
        <f>IFERROR((VLOOKUP(TableRBRanks31[[#This Row],[Player]],RB!B:O,7,FALSE)),"")</f>
        <v/>
      </c>
      <c r="X150" s="83" t="str">
        <f>IFERROR((VLOOKUP(TableRBRanks31[[#This Row],[Player]],RB!B:O,8,FALSE)),"")</f>
        <v/>
      </c>
      <c r="Y150" s="83" t="str">
        <f>IFERROR((VLOOKUP(TableRBRanks31[[#This Row],[Player]],RB!B:O,9,FALSE)),"")</f>
        <v/>
      </c>
      <c r="Z150" s="83" t="str">
        <f>IFERROR((VLOOKUP(TableRBRanks31[[#This Row],[Player]],RB!B:O,10,FALSE)),"")</f>
        <v/>
      </c>
      <c r="AA150" s="57" t="str">
        <f>IFERROR((IFERROR(INDEX(TableRBCalcPts[Custom],MATCH(TableRBRanks31[[#This Row],[RK]],TableRBCalcPts[RK],0)),"")),"")</f>
        <v/>
      </c>
      <c r="AB15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0">
        <v>149</v>
      </c>
      <c r="AE150" t="str">
        <f>IFERROR(INDEX(TableWRCalcPts[PLAYER],MATCH(TableWRRanks32[[#This Row],[RK]],TableWRCalcPts[RK],0)),"")</f>
        <v>Olamide Zaccheaus</v>
      </c>
      <c r="AF150" t="str">
        <f>IFERROR(INDEX(TableWRCalcPts[TM],MATCH(TableWRRanks32[[#This Row],[Player]],TableWRCalcPts[PLAYER],0)),"")</f>
        <v>WSH</v>
      </c>
      <c r="AG150">
        <f>IFERROR(INDEX(TableWRCalcPts[BYE],MATCH(TableWRRanks32[[#This Row],[Player]],TableWRCalcPts[PLAYER],0)),"")</f>
        <v>14</v>
      </c>
      <c r="AH150" s="83">
        <f>IFERROR((VLOOKUP(TableWRRanks32[[#This Row],[Player]],WR!B:O,4,FALSE)),"")</f>
        <v>0</v>
      </c>
      <c r="AI150" s="83">
        <f>IFERROR((VLOOKUP(TableWRRanks32[[#This Row],[Player]],WR!B:O,5,FALSE)),"")</f>
        <v>0</v>
      </c>
      <c r="AJ150" s="83">
        <f>IFERROR((VLOOKUP(TableWRRanks32[[#This Row],[Player]],WR!B:O,6,FALSE)),"")</f>
        <v>17.090366999999997</v>
      </c>
      <c r="AK150" s="83">
        <f>IFERROR((VLOOKUP(TableWRRanks32[[#This Row],[Player]],WR!B:O,7,FALSE)),"")</f>
        <v>10.151677997999998</v>
      </c>
      <c r="AL150" s="83">
        <f>IFERROR((VLOOKUP(TableWRRanks32[[#This Row],[Player]],WR!B:O,8,FALSE)),"")</f>
        <v>106.38958541903999</v>
      </c>
      <c r="AM150" s="83">
        <f>IFERROR((VLOOKUP(TableWRRanks32[[#This Row],[Player]],WR!B:O,9,FALSE)),"")</f>
        <v>0.60910067987999994</v>
      </c>
      <c r="AN150" s="57">
        <f>IFERROR((IFERROR(INDEX(TableWRCalcPts[Custom],MATCH(TableWRRanks32[[#This Row],[RK]],TableWRCalcPts[RK],0)),"")),"")</f>
        <v>19.369401620183996</v>
      </c>
      <c r="AO15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1" spans="16:41" x14ac:dyDescent="0.2">
      <c r="P151">
        <v>150</v>
      </c>
      <c r="Q151" t="str">
        <f>IFERROR(INDEX(TableRBCalcPts[PLAYER],MATCH(TableRBRanks31[[#This Row],[RK]],TableRBCalcPts[RK],0)),"")</f>
        <v/>
      </c>
      <c r="R151" t="str">
        <f>IFERROR(INDEX(TableRBCalcPts[TM],MATCH(TableRBRanks31[[#This Row],[Player]],TableRBCalcPts[PLAYER],0)),"")</f>
        <v/>
      </c>
      <c r="S151" t="str">
        <f>IFERROR(INDEX(TableRBCalcPts[BYE],MATCH(TableRBRanks31[[#This Row],[Player]],TableRBCalcPts[PLAYER],0)),"")</f>
        <v/>
      </c>
      <c r="T151" s="83" t="str">
        <f>IFERROR((VLOOKUP(TableRBRanks31[[#This Row],[Player]],RB!B:O,4,FALSE)),"")</f>
        <v/>
      </c>
      <c r="U151" s="83" t="str">
        <f>IFERROR((VLOOKUP(TableRBRanks31[[#This Row],[Player]],RB!B:O,5,FALSE)),"")</f>
        <v/>
      </c>
      <c r="V151" s="83" t="str">
        <f>IFERROR((VLOOKUP(TableRBRanks31[[#This Row],[Player]],RB!B:O,6,FALSE)),"")</f>
        <v/>
      </c>
      <c r="W151" s="83" t="str">
        <f>IFERROR((VLOOKUP(TableRBRanks31[[#This Row],[Player]],RB!B:O,7,FALSE)),"")</f>
        <v/>
      </c>
      <c r="X151" s="83" t="str">
        <f>IFERROR((VLOOKUP(TableRBRanks31[[#This Row],[Player]],RB!B:O,8,FALSE)),"")</f>
        <v/>
      </c>
      <c r="Y151" s="83" t="str">
        <f>IFERROR((VLOOKUP(TableRBRanks31[[#This Row],[Player]],RB!B:O,9,FALSE)),"")</f>
        <v/>
      </c>
      <c r="Z151" s="83" t="str">
        <f>IFERROR((VLOOKUP(TableRBRanks31[[#This Row],[Player]],RB!B:O,10,FALSE)),"")</f>
        <v/>
      </c>
      <c r="AA151" s="57" t="str">
        <f>IFERROR((IFERROR(INDEX(TableRBCalcPts[Custom],MATCH(TableRBRanks31[[#This Row],[RK]],TableRBCalcPts[RK],0)),"")),"")</f>
        <v/>
      </c>
      <c r="AB15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1">
        <v>150</v>
      </c>
      <c r="AE151" t="str">
        <f>IFERROR(INDEX(TableWRCalcPts[PLAYER],MATCH(TableWRRanks32[[#This Row],[RK]],TableWRCalcPts[RK],0)),"")</f>
        <v>Nick Westbrook-Ikhine</v>
      </c>
      <c r="AF151" t="str">
        <f>IFERROR(INDEX(TableWRCalcPts[TM],MATCH(TableWRRanks32[[#This Row],[Player]],TableWRCalcPts[PLAYER],0)),"")</f>
        <v>TEN</v>
      </c>
      <c r="AG151">
        <f>IFERROR(INDEX(TableWRCalcPts[BYE],MATCH(TableWRRanks32[[#This Row],[Player]],TableWRCalcPts[PLAYER],0)),"")</f>
        <v>7</v>
      </c>
      <c r="AH151" s="83">
        <f>IFERROR((VLOOKUP(TableWRRanks32[[#This Row],[Player]],WR!B:O,4,FALSE)),"")</f>
        <v>0</v>
      </c>
      <c r="AI151" s="83">
        <f>IFERROR((VLOOKUP(TableWRRanks32[[#This Row],[Player]],WR!B:O,5,FALSE)),"")</f>
        <v>0</v>
      </c>
      <c r="AJ151" s="83">
        <f>IFERROR((VLOOKUP(TableWRRanks32[[#This Row],[Player]],WR!B:O,6,FALSE)),"")</f>
        <v>17.594576999999994</v>
      </c>
      <c r="AK151" s="83">
        <f>IFERROR((VLOOKUP(TableWRRanks32[[#This Row],[Player]],WR!B:O,7,FALSE)),"")</f>
        <v>10.468773314999996</v>
      </c>
      <c r="AL151" s="83">
        <f>IFERROR((VLOOKUP(TableWRRanks32[[#This Row],[Player]],WR!B:O,8,FALSE)),"")</f>
        <v>109.92211980749997</v>
      </c>
      <c r="AM151" s="83">
        <f>IFERROR((VLOOKUP(TableWRRanks32[[#This Row],[Player]],WR!B:O,9,FALSE)),"")</f>
        <v>0.52343866574999987</v>
      </c>
      <c r="AN151" s="57">
        <f>IFERROR((IFERROR(INDEX(TableWRCalcPts[Custom],MATCH(TableWRRanks32[[#This Row],[RK]],TableWRCalcPts[RK],0)),"")),"")</f>
        <v>19.367230632749994</v>
      </c>
      <c r="AO15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2" spans="16:41" x14ac:dyDescent="0.2">
      <c r="P152">
        <v>151</v>
      </c>
      <c r="Q152" t="str">
        <f>IFERROR(INDEX(TableRBCalcPts[PLAYER],MATCH(TableRBRanks31[[#This Row],[RK]],TableRBCalcPts[RK],0)),"")</f>
        <v/>
      </c>
      <c r="R152" t="str">
        <f>IFERROR(INDEX(TableRBCalcPts[TM],MATCH(TableRBRanks31[[#This Row],[Player]],TableRBCalcPts[PLAYER],0)),"")</f>
        <v/>
      </c>
      <c r="S152" t="str">
        <f>IFERROR(INDEX(TableRBCalcPts[BYE],MATCH(TableRBRanks31[[#This Row],[Player]],TableRBCalcPts[PLAYER],0)),"")</f>
        <v/>
      </c>
      <c r="T152" s="83" t="str">
        <f>IFERROR((VLOOKUP(TableRBRanks31[[#This Row],[Player]],RB!B:O,4,FALSE)),"")</f>
        <v/>
      </c>
      <c r="U152" s="83" t="str">
        <f>IFERROR((VLOOKUP(TableRBRanks31[[#This Row],[Player]],RB!B:O,5,FALSE)),"")</f>
        <v/>
      </c>
      <c r="V152" s="83" t="str">
        <f>IFERROR((VLOOKUP(TableRBRanks31[[#This Row],[Player]],RB!B:O,6,FALSE)),"")</f>
        <v/>
      </c>
      <c r="W152" s="83" t="str">
        <f>IFERROR((VLOOKUP(TableRBRanks31[[#This Row],[Player]],RB!B:O,7,FALSE)),"")</f>
        <v/>
      </c>
      <c r="X152" s="83" t="str">
        <f>IFERROR((VLOOKUP(TableRBRanks31[[#This Row],[Player]],RB!B:O,8,FALSE)),"")</f>
        <v/>
      </c>
      <c r="Y152" s="83" t="str">
        <f>IFERROR((VLOOKUP(TableRBRanks31[[#This Row],[Player]],RB!B:O,9,FALSE)),"")</f>
        <v/>
      </c>
      <c r="Z152" s="83" t="str">
        <f>IFERROR((VLOOKUP(TableRBRanks31[[#This Row],[Player]],RB!B:O,10,FALSE)),"")</f>
        <v/>
      </c>
      <c r="AA152" s="57" t="str">
        <f>IFERROR((IFERROR(INDEX(TableRBCalcPts[Custom],MATCH(TableRBRanks31[[#This Row],[RK]],TableRBCalcPts[RK],0)),"")),"")</f>
        <v/>
      </c>
      <c r="AB15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2">
        <v>151</v>
      </c>
      <c r="AE152" t="str">
        <f>IFERROR(INDEX(TableWRCalcPts[PLAYER],MATCH(TableWRRanks32[[#This Row],[RK]],TableWRCalcPts[RK],0)),"")</f>
        <v>Isaiah McKenzie</v>
      </c>
      <c r="AF152" t="str">
        <f>IFERROR(INDEX(TableWRCalcPts[TM],MATCH(TableWRRanks32[[#This Row],[Player]],TableWRCalcPts[PLAYER],0)),"")</f>
        <v>NYG</v>
      </c>
      <c r="AG152">
        <f>IFERROR(INDEX(TableWRCalcPts[BYE],MATCH(TableWRRanks32[[#This Row],[Player]],TableWRCalcPts[PLAYER],0)),"")</f>
        <v>13</v>
      </c>
      <c r="AH152" s="83">
        <f>IFERROR((VLOOKUP(TableWRRanks32[[#This Row],[Player]],WR!B:O,4,FALSE)),"")</f>
        <v>0</v>
      </c>
      <c r="AI152" s="83">
        <f>IFERROR((VLOOKUP(TableWRRanks32[[#This Row],[Player]],WR!B:O,5,FALSE)),"")</f>
        <v>0</v>
      </c>
      <c r="AJ152" s="83">
        <f>IFERROR((VLOOKUP(TableWRRanks32[[#This Row],[Player]],WR!B:O,6,FALSE)),"")</f>
        <v>17.654817599999994</v>
      </c>
      <c r="AK152" s="83">
        <f>IFERROR((VLOOKUP(TableWRRanks32[[#This Row],[Player]],WR!B:O,7,FALSE)),"")</f>
        <v>10.416342383999996</v>
      </c>
      <c r="AL152" s="83">
        <f>IFERROR((VLOOKUP(TableWRRanks32[[#This Row],[Player]],WR!B:O,8,FALSE)),"")</f>
        <v>104.16342383999996</v>
      </c>
      <c r="AM152" s="83">
        <f>IFERROR((VLOOKUP(TableWRRanks32[[#This Row],[Player]],WR!B:O,9,FALSE)),"")</f>
        <v>0.52081711919999985</v>
      </c>
      <c r="AN152" s="57">
        <f>IFERROR((IFERROR(INDEX(TableWRCalcPts[Custom],MATCH(TableWRRanks32[[#This Row],[RK]],TableWRCalcPts[RK],0)),"")),"")</f>
        <v>18.749416291199992</v>
      </c>
      <c r="AO15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3" spans="16:41" x14ac:dyDescent="0.2">
      <c r="P153">
        <v>152</v>
      </c>
      <c r="Q153" t="str">
        <f>IFERROR(INDEX(TableRBCalcPts[PLAYER],MATCH(TableRBRanks31[[#This Row],[RK]],TableRBCalcPts[RK],0)),"")</f>
        <v/>
      </c>
      <c r="R153" t="str">
        <f>IFERROR(INDEX(TableRBCalcPts[TM],MATCH(TableRBRanks31[[#This Row],[Player]],TableRBCalcPts[PLAYER],0)),"")</f>
        <v/>
      </c>
      <c r="S153" t="str">
        <f>IFERROR(INDEX(TableRBCalcPts[BYE],MATCH(TableRBRanks31[[#This Row],[Player]],TableRBCalcPts[PLAYER],0)),"")</f>
        <v/>
      </c>
      <c r="T153" s="83" t="str">
        <f>IFERROR((VLOOKUP(TableRBRanks31[[#This Row],[Player]],RB!B:O,4,FALSE)),"")</f>
        <v/>
      </c>
      <c r="U153" s="83" t="str">
        <f>IFERROR((VLOOKUP(TableRBRanks31[[#This Row],[Player]],RB!B:O,5,FALSE)),"")</f>
        <v/>
      </c>
      <c r="V153" s="83" t="str">
        <f>IFERROR((VLOOKUP(TableRBRanks31[[#This Row],[Player]],RB!B:O,6,FALSE)),"")</f>
        <v/>
      </c>
      <c r="W153" s="83" t="str">
        <f>IFERROR((VLOOKUP(TableRBRanks31[[#This Row],[Player]],RB!B:O,7,FALSE)),"")</f>
        <v/>
      </c>
      <c r="X153" s="83" t="str">
        <f>IFERROR((VLOOKUP(TableRBRanks31[[#This Row],[Player]],RB!B:O,8,FALSE)),"")</f>
        <v/>
      </c>
      <c r="Y153" s="83" t="str">
        <f>IFERROR((VLOOKUP(TableRBRanks31[[#This Row],[Player]],RB!B:O,9,FALSE)),"")</f>
        <v/>
      </c>
      <c r="Z153" s="83" t="str">
        <f>IFERROR((VLOOKUP(TableRBRanks31[[#This Row],[Player]],RB!B:O,10,FALSE)),"")</f>
        <v/>
      </c>
      <c r="AA153" s="57" t="str">
        <f>IFERROR((IFERROR(INDEX(TableRBCalcPts[Custom],MATCH(TableRBRanks31[[#This Row],[RK]],TableRBCalcPts[RK],0)),"")),"")</f>
        <v/>
      </c>
      <c r="AB15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3">
        <v>152</v>
      </c>
      <c r="AE153" t="str">
        <f>IFERROR(INDEX(TableWRCalcPts[PLAYER],MATCH(TableWRRanks32[[#This Row],[RK]],TableWRCalcPts[RK],0)),"")</f>
        <v>Gunner Olszewski</v>
      </c>
      <c r="AF153" t="str">
        <f>IFERROR(INDEX(TableWRCalcPts[TM],MATCH(TableWRRanks32[[#This Row],[Player]],TableWRCalcPts[PLAYER],0)),"")</f>
        <v>NYG</v>
      </c>
      <c r="AG153">
        <f>IFERROR(INDEX(TableWRCalcPts[BYE],MATCH(TableWRRanks32[[#This Row],[Player]],TableWRCalcPts[PLAYER],0)),"")</f>
        <v>13</v>
      </c>
      <c r="AH153" s="83">
        <f>IFERROR((VLOOKUP(TableWRRanks32[[#This Row],[Player]],WR!B:O,4,FALSE)),"")</f>
        <v>0</v>
      </c>
      <c r="AI153" s="83">
        <f>IFERROR((VLOOKUP(TableWRRanks32[[#This Row],[Player]],WR!B:O,5,FALSE)),"")</f>
        <v>0</v>
      </c>
      <c r="AJ153" s="83">
        <f>IFERROR((VLOOKUP(TableWRRanks32[[#This Row],[Player]],WR!B:O,6,FALSE)),"")</f>
        <v>17.654817599999994</v>
      </c>
      <c r="AK153" s="83">
        <f>IFERROR((VLOOKUP(TableWRRanks32[[#This Row],[Player]],WR!B:O,7,FALSE)),"")</f>
        <v>10.592890559999995</v>
      </c>
      <c r="AL153" s="83">
        <f>IFERROR((VLOOKUP(TableWRRanks32[[#This Row],[Player]],WR!B:O,8,FALSE)),"")</f>
        <v>99.996886886399949</v>
      </c>
      <c r="AM153" s="83">
        <f>IFERROR((VLOOKUP(TableWRRanks32[[#This Row],[Player]],WR!B:O,9,FALSE)),"")</f>
        <v>0.47668007519999978</v>
      </c>
      <c r="AN153" s="57">
        <f>IFERROR((IFERROR(INDEX(TableWRCalcPts[Custom],MATCH(TableWRRanks32[[#This Row],[RK]],TableWRCalcPts[RK],0)),"")),"")</f>
        <v>18.156214419839991</v>
      </c>
      <c r="AO15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4" spans="16:41" x14ac:dyDescent="0.2">
      <c r="P154">
        <v>153</v>
      </c>
      <c r="Q154" t="str">
        <f>IFERROR(INDEX(TableRBCalcPts[PLAYER],MATCH(TableRBRanks31[[#This Row],[RK]],TableRBCalcPts[RK],0)),"")</f>
        <v/>
      </c>
      <c r="R154" t="str">
        <f>IFERROR(INDEX(TableRBCalcPts[TM],MATCH(TableRBRanks31[[#This Row],[Player]],TableRBCalcPts[PLAYER],0)),"")</f>
        <v/>
      </c>
      <c r="S154" t="str">
        <f>IFERROR(INDEX(TableRBCalcPts[BYE],MATCH(TableRBRanks31[[#This Row],[Player]],TableRBCalcPts[PLAYER],0)),"")</f>
        <v/>
      </c>
      <c r="T154" s="83" t="str">
        <f>IFERROR((VLOOKUP(TableRBRanks31[[#This Row],[Player]],RB!B:O,4,FALSE)),"")</f>
        <v/>
      </c>
      <c r="U154" s="83" t="str">
        <f>IFERROR((VLOOKUP(TableRBRanks31[[#This Row],[Player]],RB!B:O,5,FALSE)),"")</f>
        <v/>
      </c>
      <c r="V154" s="83" t="str">
        <f>IFERROR((VLOOKUP(TableRBRanks31[[#This Row],[Player]],RB!B:O,6,FALSE)),"")</f>
        <v/>
      </c>
      <c r="W154" s="83" t="str">
        <f>IFERROR((VLOOKUP(TableRBRanks31[[#This Row],[Player]],RB!B:O,7,FALSE)),"")</f>
        <v/>
      </c>
      <c r="X154" s="83" t="str">
        <f>IFERROR((VLOOKUP(TableRBRanks31[[#This Row],[Player]],RB!B:O,8,FALSE)),"")</f>
        <v/>
      </c>
      <c r="Y154" s="83" t="str">
        <f>IFERROR((VLOOKUP(TableRBRanks31[[#This Row],[Player]],RB!B:O,9,FALSE)),"")</f>
        <v/>
      </c>
      <c r="Z154" s="83" t="str">
        <f>IFERROR((VLOOKUP(TableRBRanks31[[#This Row],[Player]],RB!B:O,10,FALSE)),"")</f>
        <v/>
      </c>
      <c r="AA154" s="57" t="str">
        <f>IFERROR((IFERROR(INDEX(TableRBCalcPts[Custom],MATCH(TableRBRanks31[[#This Row],[RK]],TableRBCalcPts[RK],0)),"")),"")</f>
        <v/>
      </c>
      <c r="AB15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4">
        <v>153</v>
      </c>
      <c r="AE154" t="str">
        <f>IFERROR(INDEX(TableWRCalcPts[PLAYER],MATCH(TableWRRanks32[[#This Row],[RK]],TableWRCalcPts[RK],0)),"")</f>
        <v>Kyle Philips</v>
      </c>
      <c r="AF154" t="str">
        <f>IFERROR(INDEX(TableWRCalcPts[TM],MATCH(TableWRRanks32[[#This Row],[Player]],TableWRCalcPts[PLAYER],0)),"")</f>
        <v>TEN</v>
      </c>
      <c r="AG154">
        <f>IFERROR(INDEX(TableWRCalcPts[BYE],MATCH(TableWRRanks32[[#This Row],[Player]],TableWRCalcPts[PLAYER],0)),"")</f>
        <v>7</v>
      </c>
      <c r="AH154" s="83">
        <f>IFERROR((VLOOKUP(TableWRRanks32[[#This Row],[Player]],WR!B:O,4,FALSE)),"")</f>
        <v>0</v>
      </c>
      <c r="AI154" s="83">
        <f>IFERROR((VLOOKUP(TableWRRanks32[[#This Row],[Player]],WR!B:O,5,FALSE)),"")</f>
        <v>0</v>
      </c>
      <c r="AJ154" s="83">
        <f>IFERROR((VLOOKUP(TableWRRanks32[[#This Row],[Player]],WR!B:O,6,FALSE)),"")</f>
        <v>14.662147499999996</v>
      </c>
      <c r="AK154" s="83">
        <f>IFERROR((VLOOKUP(TableWRRanks32[[#This Row],[Player]],WR!B:O,7,FALSE)),"")</f>
        <v>9.0465450074999971</v>
      </c>
      <c r="AL154" s="83">
        <f>IFERROR((VLOOKUP(TableWRRanks32[[#This Row],[Player]],WR!B:O,8,FALSE)),"")</f>
        <v>104.39712938654996</v>
      </c>
      <c r="AM154" s="83">
        <f>IFERROR((VLOOKUP(TableWRRanks32[[#This Row],[Player]],WR!B:O,9,FALSE)),"")</f>
        <v>0.45232725037499988</v>
      </c>
      <c r="AN154" s="57">
        <f>IFERROR((IFERROR(INDEX(TableWRCalcPts[Custom],MATCH(TableWRRanks32[[#This Row],[RK]],TableWRCalcPts[RK],0)),"")),"")</f>
        <v>17.676948944654995</v>
      </c>
      <c r="AO15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5" spans="16:41" x14ac:dyDescent="0.2">
      <c r="P155">
        <v>154</v>
      </c>
      <c r="Q155" t="str">
        <f>IFERROR(INDEX(TableRBCalcPts[PLAYER],MATCH(TableRBRanks31[[#This Row],[RK]],TableRBCalcPts[RK],0)),"")</f>
        <v/>
      </c>
      <c r="R155" t="str">
        <f>IFERROR(INDEX(TableRBCalcPts[TM],MATCH(TableRBRanks31[[#This Row],[Player]],TableRBCalcPts[PLAYER],0)),"")</f>
        <v/>
      </c>
      <c r="S155" t="str">
        <f>IFERROR(INDEX(TableRBCalcPts[BYE],MATCH(TableRBRanks31[[#This Row],[Player]],TableRBCalcPts[PLAYER],0)),"")</f>
        <v/>
      </c>
      <c r="T155" s="83" t="str">
        <f>IFERROR((VLOOKUP(TableRBRanks31[[#This Row],[Player]],RB!B:O,4,FALSE)),"")</f>
        <v/>
      </c>
      <c r="U155" s="83" t="str">
        <f>IFERROR((VLOOKUP(TableRBRanks31[[#This Row],[Player]],RB!B:O,5,FALSE)),"")</f>
        <v/>
      </c>
      <c r="V155" s="83" t="str">
        <f>IFERROR((VLOOKUP(TableRBRanks31[[#This Row],[Player]],RB!B:O,6,FALSE)),"")</f>
        <v/>
      </c>
      <c r="W155" s="83" t="str">
        <f>IFERROR((VLOOKUP(TableRBRanks31[[#This Row],[Player]],RB!B:O,7,FALSE)),"")</f>
        <v/>
      </c>
      <c r="X155" s="83" t="str">
        <f>IFERROR((VLOOKUP(TableRBRanks31[[#This Row],[Player]],RB!B:O,8,FALSE)),"")</f>
        <v/>
      </c>
      <c r="Y155" s="83" t="str">
        <f>IFERROR((VLOOKUP(TableRBRanks31[[#This Row],[Player]],RB!B:O,9,FALSE)),"")</f>
        <v/>
      </c>
      <c r="Z155" s="83" t="str">
        <f>IFERROR((VLOOKUP(TableRBRanks31[[#This Row],[Player]],RB!B:O,10,FALSE)),"")</f>
        <v/>
      </c>
      <c r="AA155" s="57" t="str">
        <f>IFERROR((IFERROR(INDEX(TableRBCalcPts[Custom],MATCH(TableRBRanks31[[#This Row],[RK]],TableRBCalcPts[RK],0)),"")),"")</f>
        <v/>
      </c>
      <c r="AB15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5">
        <v>154</v>
      </c>
      <c r="AE155" t="str">
        <f>IFERROR(INDEX(TableWRCalcPts[PLAYER],MATCH(TableWRRanks32[[#This Row],[RK]],TableWRCalcPts[RK],0)),"")</f>
        <v>Quez Watkins</v>
      </c>
      <c r="AF155" t="str">
        <f>IFERROR(INDEX(TableWRCalcPts[TM],MATCH(TableWRRanks32[[#This Row],[Player]],TableWRCalcPts[PLAYER],0)),"")</f>
        <v>PIT</v>
      </c>
      <c r="AG155">
        <f>IFERROR(INDEX(TableWRCalcPts[BYE],MATCH(TableWRRanks32[[#This Row],[Player]],TableWRCalcPts[PLAYER],0)),"")</f>
        <v>6</v>
      </c>
      <c r="AH155" s="83">
        <f>IFERROR((VLOOKUP(TableWRRanks32[[#This Row],[Player]],WR!B:O,4,FALSE)),"")</f>
        <v>0</v>
      </c>
      <c r="AI155" s="83">
        <f>IFERROR((VLOOKUP(TableWRRanks32[[#This Row],[Player]],WR!B:O,5,FALSE)),"")</f>
        <v>0</v>
      </c>
      <c r="AJ155" s="83">
        <f>IFERROR((VLOOKUP(TableWRRanks32[[#This Row],[Player]],WR!B:O,6,FALSE)),"")</f>
        <v>13.762875000000001</v>
      </c>
      <c r="AK155" s="83">
        <f>IFERROR((VLOOKUP(TableWRRanks32[[#This Row],[Player]],WR!B:O,7,FALSE)),"")</f>
        <v>7.9411788750000003</v>
      </c>
      <c r="AL155" s="83">
        <f>IFERROR((VLOOKUP(TableWRRanks32[[#This Row],[Player]],WR!B:O,8,FALSE)),"")</f>
        <v>101.329442445</v>
      </c>
      <c r="AM155" s="83">
        <f>IFERROR((VLOOKUP(TableWRRanks32[[#This Row],[Player]],WR!B:O,9,FALSE)),"")</f>
        <v>0.47647073249999999</v>
      </c>
      <c r="AN155" s="57">
        <f>IFERROR((IFERROR(INDEX(TableWRCalcPts[Custom],MATCH(TableWRRanks32[[#This Row],[RK]],TableWRCalcPts[RK],0)),"")),"")</f>
        <v>16.962358077000001</v>
      </c>
      <c r="AO15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6" spans="16:41" x14ac:dyDescent="0.2">
      <c r="P156">
        <v>155</v>
      </c>
      <c r="Q156" t="str">
        <f>IFERROR(INDEX(TableRBCalcPts[PLAYER],MATCH(TableRBRanks31[[#This Row],[RK]],TableRBCalcPts[RK],0)),"")</f>
        <v/>
      </c>
      <c r="R156" t="str">
        <f>IFERROR(INDEX(TableRBCalcPts[TM],MATCH(TableRBRanks31[[#This Row],[Player]],TableRBCalcPts[PLAYER],0)),"")</f>
        <v/>
      </c>
      <c r="S156" t="str">
        <f>IFERROR(INDEX(TableRBCalcPts[BYE],MATCH(TableRBRanks31[[#This Row],[Player]],TableRBCalcPts[PLAYER],0)),"")</f>
        <v/>
      </c>
      <c r="T156" s="83" t="str">
        <f>IFERROR((VLOOKUP(TableRBRanks31[[#This Row],[Player]],RB!B:O,4,FALSE)),"")</f>
        <v/>
      </c>
      <c r="U156" s="83" t="str">
        <f>IFERROR((VLOOKUP(TableRBRanks31[[#This Row],[Player]],RB!B:O,5,FALSE)),"")</f>
        <v/>
      </c>
      <c r="V156" s="83" t="str">
        <f>IFERROR((VLOOKUP(TableRBRanks31[[#This Row],[Player]],RB!B:O,6,FALSE)),"")</f>
        <v/>
      </c>
      <c r="W156" s="83" t="str">
        <f>IFERROR((VLOOKUP(TableRBRanks31[[#This Row],[Player]],RB!B:O,7,FALSE)),"")</f>
        <v/>
      </c>
      <c r="X156" s="83" t="str">
        <f>IFERROR((VLOOKUP(TableRBRanks31[[#This Row],[Player]],RB!B:O,8,FALSE)),"")</f>
        <v/>
      </c>
      <c r="Y156" s="83" t="str">
        <f>IFERROR((VLOOKUP(TableRBRanks31[[#This Row],[Player]],RB!B:O,9,FALSE)),"")</f>
        <v/>
      </c>
      <c r="Z156" s="83" t="str">
        <f>IFERROR((VLOOKUP(TableRBRanks31[[#This Row],[Player]],RB!B:O,10,FALSE)),"")</f>
        <v/>
      </c>
      <c r="AA156" s="57" t="str">
        <f>IFERROR((IFERROR(INDEX(TableRBCalcPts[Custom],MATCH(TableRBRanks31[[#This Row],[RK]],TableRBCalcPts[RK],0)),"")),"")</f>
        <v/>
      </c>
      <c r="AB15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6">
        <v>155</v>
      </c>
      <c r="AE156" t="str">
        <f>IFERROR(INDEX(TableWRCalcPts[PLAYER],MATCH(TableWRRanks32[[#This Row],[RK]],TableWRCalcPts[RK],0)),"")</f>
        <v>Jordan Whittington</v>
      </c>
      <c r="AF156" t="str">
        <f>IFERROR(INDEX(TableWRCalcPts[TM],MATCH(TableWRRanks32[[#This Row],[Player]],TableWRCalcPts[PLAYER],0)),"")</f>
        <v>LAR</v>
      </c>
      <c r="AG156">
        <f>IFERROR(INDEX(TableWRCalcPts[BYE],MATCH(TableWRRanks32[[#This Row],[Player]],TableWRCalcPts[PLAYER],0)),"")</f>
        <v>10</v>
      </c>
      <c r="AH156" s="83">
        <f>IFERROR((VLOOKUP(TableWRRanks32[[#This Row],[Player]],WR!B:O,4,FALSE)),"")</f>
        <v>0</v>
      </c>
      <c r="AI156" s="83">
        <f>IFERROR((VLOOKUP(TableWRRanks32[[#This Row],[Player]],WR!B:O,5,FALSE)),"")</f>
        <v>0</v>
      </c>
      <c r="AJ156" s="83">
        <f>IFERROR((VLOOKUP(TableWRRanks32[[#This Row],[Player]],WR!B:O,6,FALSE)),"")</f>
        <v>12.075442399999996</v>
      </c>
      <c r="AK156" s="83">
        <f>IFERROR((VLOOKUP(TableWRRanks32[[#This Row],[Player]],WR!B:O,7,FALSE)),"")</f>
        <v>7.196963670399998</v>
      </c>
      <c r="AL156" s="83">
        <f>IFERROR((VLOOKUP(TableWRRanks32[[#This Row],[Player]],WR!B:O,8,FALSE)),"")</f>
        <v>91.185529703967973</v>
      </c>
      <c r="AM156" s="83">
        <f>IFERROR((VLOOKUP(TableWRRanks32[[#This Row],[Player]],WR!B:O,9,FALSE)),"")</f>
        <v>0.53977227527999982</v>
      </c>
      <c r="AN156" s="57">
        <f>IFERROR((IFERROR(INDEX(TableWRCalcPts[Custom],MATCH(TableWRRanks32[[#This Row],[RK]],TableWRCalcPts[RK],0)),"")),"")</f>
        <v>15.955668457276795</v>
      </c>
      <c r="AO15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7" spans="16:41" x14ac:dyDescent="0.2">
      <c r="P157">
        <v>156</v>
      </c>
      <c r="Q157" t="str">
        <f>IFERROR(INDEX(TableRBCalcPts[PLAYER],MATCH(TableRBRanks31[[#This Row],[RK]],TableRBCalcPts[RK],0)),"")</f>
        <v/>
      </c>
      <c r="R157" t="str">
        <f>IFERROR(INDEX(TableRBCalcPts[TM],MATCH(TableRBRanks31[[#This Row],[Player]],TableRBCalcPts[PLAYER],0)),"")</f>
        <v/>
      </c>
      <c r="S157" t="str">
        <f>IFERROR(INDEX(TableRBCalcPts[BYE],MATCH(TableRBRanks31[[#This Row],[Player]],TableRBCalcPts[PLAYER],0)),"")</f>
        <v/>
      </c>
      <c r="T157" s="83" t="str">
        <f>IFERROR((VLOOKUP(TableRBRanks31[[#This Row],[Player]],RB!B:O,4,FALSE)),"")</f>
        <v/>
      </c>
      <c r="U157" s="83" t="str">
        <f>IFERROR((VLOOKUP(TableRBRanks31[[#This Row],[Player]],RB!B:O,5,FALSE)),"")</f>
        <v/>
      </c>
      <c r="V157" s="83" t="str">
        <f>IFERROR((VLOOKUP(TableRBRanks31[[#This Row],[Player]],RB!B:O,6,FALSE)),"")</f>
        <v/>
      </c>
      <c r="W157" s="83" t="str">
        <f>IFERROR((VLOOKUP(TableRBRanks31[[#This Row],[Player]],RB!B:O,7,FALSE)),"")</f>
        <v/>
      </c>
      <c r="X157" s="83" t="str">
        <f>IFERROR((VLOOKUP(TableRBRanks31[[#This Row],[Player]],RB!B:O,8,FALSE)),"")</f>
        <v/>
      </c>
      <c r="Y157" s="83" t="str">
        <f>IFERROR((VLOOKUP(TableRBRanks31[[#This Row],[Player]],RB!B:O,9,FALSE)),"")</f>
        <v/>
      </c>
      <c r="Z157" s="83" t="str">
        <f>IFERROR((VLOOKUP(TableRBRanks31[[#This Row],[Player]],RB!B:O,10,FALSE)),"")</f>
        <v/>
      </c>
      <c r="AA157" s="57" t="str">
        <f>IFERROR((IFERROR(INDEX(TableRBCalcPts[Custom],MATCH(TableRBRanks31[[#This Row],[RK]],TableRBCalcPts[RK],0)),"")),"")</f>
        <v/>
      </c>
      <c r="AB15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7">
        <v>156</v>
      </c>
      <c r="AE157" t="str">
        <f>IFERROR(INDEX(TableWRCalcPts[PLAYER],MATCH(TableWRRanks32[[#This Row],[RK]],TableWRCalcPts[RK],0)),"")</f>
        <v>Parris Campbell</v>
      </c>
      <c r="AF157" t="str">
        <f>IFERROR(INDEX(TableWRCalcPts[TM],MATCH(TableWRRanks32[[#This Row],[Player]],TableWRCalcPts[PLAYER],0)),"")</f>
        <v>PHI</v>
      </c>
      <c r="AG157">
        <f>IFERROR(INDEX(TableWRCalcPts[BYE],MATCH(TableWRRanks32[[#This Row],[Player]],TableWRCalcPts[PLAYER],0)),"")</f>
        <v>10</v>
      </c>
      <c r="AH157" s="83">
        <f>IFERROR((VLOOKUP(TableWRRanks32[[#This Row],[Player]],WR!B:O,4,FALSE)),"")</f>
        <v>0</v>
      </c>
      <c r="AI157" s="83">
        <f>IFERROR((VLOOKUP(TableWRRanks32[[#This Row],[Player]],WR!B:O,5,FALSE)),"")</f>
        <v>0</v>
      </c>
      <c r="AJ157" s="83">
        <f>IFERROR((VLOOKUP(TableWRRanks32[[#This Row],[Player]],WR!B:O,6,FALSE)),"")</f>
        <v>13.946184000000002</v>
      </c>
      <c r="AK157" s="83">
        <f>IFERROR((VLOOKUP(TableWRRanks32[[#This Row],[Player]],WR!B:O,7,FALSE)),"")</f>
        <v>8.9813424960000017</v>
      </c>
      <c r="AL157" s="83">
        <f>IFERROR((VLOOKUP(TableWRRanks32[[#This Row],[Player]],WR!B:O,8,FALSE)),"")</f>
        <v>87.657902760960013</v>
      </c>
      <c r="AM157" s="83">
        <f>IFERROR((VLOOKUP(TableWRRanks32[[#This Row],[Player]],WR!B:O,9,FALSE)),"")</f>
        <v>0.44906712480000011</v>
      </c>
      <c r="AN157" s="57">
        <f>IFERROR((IFERROR(INDEX(TableWRCalcPts[Custom],MATCH(TableWRRanks32[[#This Row],[RK]],TableWRCalcPts[RK],0)),"")),"")</f>
        <v>15.950864272896006</v>
      </c>
      <c r="AO15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8" spans="16:41" x14ac:dyDescent="0.2">
      <c r="P158">
        <v>157</v>
      </c>
      <c r="Q158" t="str">
        <f>IFERROR(INDEX(TableRBCalcPts[PLAYER],MATCH(TableRBRanks31[[#This Row],[RK]],TableRBCalcPts[RK],0)),"")</f>
        <v/>
      </c>
      <c r="R158" t="str">
        <f>IFERROR(INDEX(TableRBCalcPts[TM],MATCH(TableRBRanks31[[#This Row],[Player]],TableRBCalcPts[PLAYER],0)),"")</f>
        <v/>
      </c>
      <c r="S158" t="str">
        <f>IFERROR(INDEX(TableRBCalcPts[BYE],MATCH(TableRBRanks31[[#This Row],[Player]],TableRBCalcPts[PLAYER],0)),"")</f>
        <v/>
      </c>
      <c r="T158" s="83" t="str">
        <f>IFERROR((VLOOKUP(TableRBRanks31[[#This Row],[Player]],RB!B:O,4,FALSE)),"")</f>
        <v/>
      </c>
      <c r="U158" s="83" t="str">
        <f>IFERROR((VLOOKUP(TableRBRanks31[[#This Row],[Player]],RB!B:O,5,FALSE)),"")</f>
        <v/>
      </c>
      <c r="V158" s="83" t="str">
        <f>IFERROR((VLOOKUP(TableRBRanks31[[#This Row],[Player]],RB!B:O,6,FALSE)),"")</f>
        <v/>
      </c>
      <c r="W158" s="83" t="str">
        <f>IFERROR((VLOOKUP(TableRBRanks31[[#This Row],[Player]],RB!B:O,7,FALSE)),"")</f>
        <v/>
      </c>
      <c r="X158" s="83" t="str">
        <f>IFERROR((VLOOKUP(TableRBRanks31[[#This Row],[Player]],RB!B:O,8,FALSE)),"")</f>
        <v/>
      </c>
      <c r="Y158" s="83" t="str">
        <f>IFERROR((VLOOKUP(TableRBRanks31[[#This Row],[Player]],RB!B:O,9,FALSE)),"")</f>
        <v/>
      </c>
      <c r="Z158" s="83" t="str">
        <f>IFERROR((VLOOKUP(TableRBRanks31[[#This Row],[Player]],RB!B:O,10,FALSE)),"")</f>
        <v/>
      </c>
      <c r="AA158" s="57" t="str">
        <f>IFERROR((IFERROR(INDEX(TableRBCalcPts[Custom],MATCH(TableRBRanks31[[#This Row],[RK]],TableRBCalcPts[RK],0)),"")),"")</f>
        <v/>
      </c>
      <c r="AB15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8">
        <v>157</v>
      </c>
      <c r="AE158" t="str">
        <f>IFERROR(INDEX(TableWRCalcPts[PLAYER],MATCH(TableWRRanks32[[#This Row],[RK]],TableWRCalcPts[RK],0)),"")</f>
        <v>Braxton Berrios</v>
      </c>
      <c r="AF158" t="str">
        <f>IFERROR(INDEX(TableWRCalcPts[TM],MATCH(TableWRRanks32[[#This Row],[Player]],TableWRCalcPts[PLAYER],0)),"")</f>
        <v>MIA</v>
      </c>
      <c r="AG158">
        <f>IFERROR(INDEX(TableWRCalcPts[BYE],MATCH(TableWRRanks32[[#This Row],[Player]],TableWRCalcPts[PLAYER],0)),"")</f>
        <v>10</v>
      </c>
      <c r="AH158" s="83">
        <f>IFERROR((VLOOKUP(TableWRRanks32[[#This Row],[Player]],WR!B:O,4,FALSE)),"")</f>
        <v>0</v>
      </c>
      <c r="AI158" s="83">
        <f>IFERROR((VLOOKUP(TableWRRanks32[[#This Row],[Player]],WR!B:O,5,FALSE)),"")</f>
        <v>0</v>
      </c>
      <c r="AJ158" s="83">
        <f>IFERROR((VLOOKUP(TableWRRanks32[[#This Row],[Player]],WR!B:O,6,FALSE)),"")</f>
        <v>14.658251999999999</v>
      </c>
      <c r="AK158" s="83">
        <f>IFERROR((VLOOKUP(TableWRRanks32[[#This Row],[Player]],WR!B:O,7,FALSE)),"")</f>
        <v>8.7949511999999999</v>
      </c>
      <c r="AL158" s="83">
        <f>IFERROR((VLOOKUP(TableWRRanks32[[#This Row],[Player]],WR!B:O,8,FALSE)),"")</f>
        <v>87.949511999999999</v>
      </c>
      <c r="AM158" s="83">
        <f>IFERROR((VLOOKUP(TableWRRanks32[[#This Row],[Player]],WR!B:O,9,FALSE)),"")</f>
        <v>0.43974756000000004</v>
      </c>
      <c r="AN158" s="57">
        <f>IFERROR((IFERROR(INDEX(TableWRCalcPts[Custom],MATCH(TableWRRanks32[[#This Row],[RK]],TableWRCalcPts[RK],0)),"")),"")</f>
        <v>15.83091216</v>
      </c>
      <c r="AO15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9" spans="16:41" x14ac:dyDescent="0.2">
      <c r="P159">
        <v>158</v>
      </c>
      <c r="Q159" t="str">
        <f>IFERROR(INDEX(TableRBCalcPts[PLAYER],MATCH(TableRBRanks31[[#This Row],[RK]],TableRBCalcPts[RK],0)),"")</f>
        <v/>
      </c>
      <c r="R159" t="str">
        <f>IFERROR(INDEX(TableRBCalcPts[TM],MATCH(TableRBRanks31[[#This Row],[Player]],TableRBCalcPts[PLAYER],0)),"")</f>
        <v/>
      </c>
      <c r="S159" t="str">
        <f>IFERROR(INDEX(TableRBCalcPts[BYE],MATCH(TableRBRanks31[[#This Row],[Player]],TableRBCalcPts[PLAYER],0)),"")</f>
        <v/>
      </c>
      <c r="T159" s="83" t="str">
        <f>IFERROR((VLOOKUP(TableRBRanks31[[#This Row],[Player]],RB!B:O,4,FALSE)),"")</f>
        <v/>
      </c>
      <c r="U159" s="83" t="str">
        <f>IFERROR((VLOOKUP(TableRBRanks31[[#This Row],[Player]],RB!B:O,5,FALSE)),"")</f>
        <v/>
      </c>
      <c r="V159" s="83" t="str">
        <f>IFERROR((VLOOKUP(TableRBRanks31[[#This Row],[Player]],RB!B:O,6,FALSE)),"")</f>
        <v/>
      </c>
      <c r="W159" s="83" t="str">
        <f>IFERROR((VLOOKUP(TableRBRanks31[[#This Row],[Player]],RB!B:O,7,FALSE)),"")</f>
        <v/>
      </c>
      <c r="X159" s="83" t="str">
        <f>IFERROR((VLOOKUP(TableRBRanks31[[#This Row],[Player]],RB!B:O,8,FALSE)),"")</f>
        <v/>
      </c>
      <c r="Y159" s="83" t="str">
        <f>IFERROR((VLOOKUP(TableRBRanks31[[#This Row],[Player]],RB!B:O,9,FALSE)),"")</f>
        <v/>
      </c>
      <c r="Z159" s="83" t="str">
        <f>IFERROR((VLOOKUP(TableRBRanks31[[#This Row],[Player]],RB!B:O,10,FALSE)),"")</f>
        <v/>
      </c>
      <c r="AA159" s="57" t="str">
        <f>IFERROR((IFERROR(INDEX(TableRBCalcPts[Custom],MATCH(TableRBRanks31[[#This Row],[RK]],TableRBCalcPts[RK],0)),"")),"")</f>
        <v/>
      </c>
      <c r="AB15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9">
        <v>158</v>
      </c>
      <c r="AE159" t="str">
        <f>IFERROR(INDEX(TableWRCalcPts[PLAYER],MATCH(TableWRRanks32[[#This Row],[RK]],TableWRCalcPts[RK],0)),"")</f>
        <v>Bub Means</v>
      </c>
      <c r="AF159" t="str">
        <f>IFERROR(INDEX(TableWRCalcPts[TM],MATCH(TableWRRanks32[[#This Row],[Player]],TableWRCalcPts[PLAYER],0)),"")</f>
        <v>NO</v>
      </c>
      <c r="AG159">
        <f>IFERROR(INDEX(TableWRCalcPts[BYE],MATCH(TableWRRanks32[[#This Row],[Player]],TableWRCalcPts[PLAYER],0)),"")</f>
        <v>11</v>
      </c>
      <c r="AH159" s="83">
        <f>IFERROR((VLOOKUP(TableWRRanks32[[#This Row],[Player]],WR!B:O,4,FALSE)),"")</f>
        <v>0</v>
      </c>
      <c r="AI159" s="83">
        <f>IFERROR((VLOOKUP(TableWRRanks32[[#This Row],[Player]],WR!B:O,5,FALSE)),"")</f>
        <v>0</v>
      </c>
      <c r="AJ159" s="83">
        <f>IFERROR((VLOOKUP(TableWRRanks32[[#This Row],[Player]],WR!B:O,6,FALSE)),"")</f>
        <v>11.126658927999998</v>
      </c>
      <c r="AK159" s="83">
        <f>IFERROR((VLOOKUP(TableWRRanks32[[#This Row],[Player]],WR!B:O,7,FALSE)),"")</f>
        <v>7.065428419279999</v>
      </c>
      <c r="AL159" s="83">
        <f>IFERROR((VLOOKUP(TableWRRanks32[[#This Row],[Player]],WR!B:O,8,FALSE)),"")</f>
        <v>87.752620967457588</v>
      </c>
      <c r="AM159" s="83">
        <f>IFERROR((VLOOKUP(TableWRRanks32[[#This Row],[Player]],WR!B:O,9,FALSE)),"")</f>
        <v>0.49457998934959996</v>
      </c>
      <c r="AN159" s="57">
        <f>IFERROR((IFERROR(INDEX(TableWRCalcPts[Custom],MATCH(TableWRRanks32[[#This Row],[RK]],TableWRCalcPts[RK],0)),"")),"")</f>
        <v>15.27545624248336</v>
      </c>
      <c r="AO15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0" spans="16:41" x14ac:dyDescent="0.2">
      <c r="P160">
        <v>159</v>
      </c>
      <c r="Q160" t="str">
        <f>IFERROR(INDEX(TableRBCalcPts[PLAYER],MATCH(TableRBRanks31[[#This Row],[RK]],TableRBCalcPts[RK],0)),"")</f>
        <v/>
      </c>
      <c r="R160" t="str">
        <f>IFERROR(INDEX(TableRBCalcPts[TM],MATCH(TableRBRanks31[[#This Row],[Player]],TableRBCalcPts[PLAYER],0)),"")</f>
        <v/>
      </c>
      <c r="S160" t="str">
        <f>IFERROR(INDEX(TableRBCalcPts[BYE],MATCH(TableRBRanks31[[#This Row],[Player]],TableRBCalcPts[PLAYER],0)),"")</f>
        <v/>
      </c>
      <c r="T160" s="83" t="str">
        <f>IFERROR((VLOOKUP(TableRBRanks31[[#This Row],[Player]],RB!B:O,4,FALSE)),"")</f>
        <v/>
      </c>
      <c r="U160" s="83" t="str">
        <f>IFERROR((VLOOKUP(TableRBRanks31[[#This Row],[Player]],RB!B:O,5,FALSE)),"")</f>
        <v/>
      </c>
      <c r="V160" s="83" t="str">
        <f>IFERROR((VLOOKUP(TableRBRanks31[[#This Row],[Player]],RB!B:O,6,FALSE)),"")</f>
        <v/>
      </c>
      <c r="W160" s="83" t="str">
        <f>IFERROR((VLOOKUP(TableRBRanks31[[#This Row],[Player]],RB!B:O,7,FALSE)),"")</f>
        <v/>
      </c>
      <c r="X160" s="83" t="str">
        <f>IFERROR((VLOOKUP(TableRBRanks31[[#This Row],[Player]],RB!B:O,8,FALSE)),"")</f>
        <v/>
      </c>
      <c r="Y160" s="83" t="str">
        <f>IFERROR((VLOOKUP(TableRBRanks31[[#This Row],[Player]],RB!B:O,9,FALSE)),"")</f>
        <v/>
      </c>
      <c r="Z160" s="83" t="str">
        <f>IFERROR((VLOOKUP(TableRBRanks31[[#This Row],[Player]],RB!B:O,10,FALSE)),"")</f>
        <v/>
      </c>
      <c r="AA160" s="57" t="str">
        <f>IFERROR((IFERROR(INDEX(TableRBCalcPts[Custom],MATCH(TableRBRanks31[[#This Row],[RK]],TableRBCalcPts[RK],0)),"")),"")</f>
        <v/>
      </c>
      <c r="AB16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0">
        <v>159</v>
      </c>
      <c r="AE160" t="str">
        <f>IFERROR(INDEX(TableWRCalcPts[PLAYER],MATCH(TableWRRanks32[[#This Row],[RK]],TableWRCalcPts[RK],0)),"")</f>
        <v>Ronnie Bell</v>
      </c>
      <c r="AF160" t="str">
        <f>IFERROR(INDEX(TableWRCalcPts[TM],MATCH(TableWRRanks32[[#This Row],[Player]],TableWRCalcPts[PLAYER],0)),"")</f>
        <v>SF</v>
      </c>
      <c r="AG160">
        <f>IFERROR(INDEX(TableWRCalcPts[BYE],MATCH(TableWRRanks32[[#This Row],[Player]],TableWRCalcPts[PLAYER],0)),"")</f>
        <v>9</v>
      </c>
      <c r="AH160" s="83">
        <f>IFERROR((VLOOKUP(TableWRRanks32[[#This Row],[Player]],WR!B:O,4,FALSE)),"")</f>
        <v>0</v>
      </c>
      <c r="AI160" s="83">
        <f>IFERROR((VLOOKUP(TableWRRanks32[[#This Row],[Player]],WR!B:O,5,FALSE)),"")</f>
        <v>0</v>
      </c>
      <c r="AJ160" s="83">
        <f>IFERROR((VLOOKUP(TableWRRanks32[[#This Row],[Player]],WR!B:O,6,FALSE)),"")</f>
        <v>10.650679199999999</v>
      </c>
      <c r="AK160" s="83">
        <f>IFERROR((VLOOKUP(TableWRRanks32[[#This Row],[Player]],WR!B:O,7,FALSE)),"")</f>
        <v>6.8057840087999999</v>
      </c>
      <c r="AL160" s="83">
        <f>IFERROR((VLOOKUP(TableWRRanks32[[#This Row],[Player]],WR!B:O,8,FALSE)),"")</f>
        <v>82.554160026744</v>
      </c>
      <c r="AM160" s="83">
        <f>IFERROR((VLOOKUP(TableWRRanks32[[#This Row],[Player]],WR!B:O,9,FALSE)),"")</f>
        <v>0.47640488061600006</v>
      </c>
      <c r="AN160" s="57">
        <f>IFERROR((IFERROR(INDEX(TableWRCalcPts[Custom],MATCH(TableWRRanks32[[#This Row],[RK]],TableWRCalcPts[RK],0)),"")),"")</f>
        <v>14.516737290770401</v>
      </c>
      <c r="AO16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1" spans="16:41" x14ac:dyDescent="0.2">
      <c r="P161">
        <v>160</v>
      </c>
      <c r="Q161" t="str">
        <f>IFERROR(INDEX(TableRBCalcPts[PLAYER],MATCH(TableRBRanks31[[#This Row],[RK]],TableRBCalcPts[RK],0)),"")</f>
        <v/>
      </c>
      <c r="R161" t="str">
        <f>IFERROR(INDEX(TableRBCalcPts[TM],MATCH(TableRBRanks31[[#This Row],[Player]],TableRBCalcPts[PLAYER],0)),"")</f>
        <v/>
      </c>
      <c r="S161" t="str">
        <f>IFERROR(INDEX(TableRBCalcPts[BYE],MATCH(TableRBRanks31[[#This Row],[Player]],TableRBCalcPts[PLAYER],0)),"")</f>
        <v/>
      </c>
      <c r="T161" s="83" t="str">
        <f>IFERROR((VLOOKUP(TableRBRanks31[[#This Row],[Player]],RB!B:O,4,FALSE)),"")</f>
        <v/>
      </c>
      <c r="U161" s="83" t="str">
        <f>IFERROR((VLOOKUP(TableRBRanks31[[#This Row],[Player]],RB!B:O,5,FALSE)),"")</f>
        <v/>
      </c>
      <c r="V161" s="83" t="str">
        <f>IFERROR((VLOOKUP(TableRBRanks31[[#This Row],[Player]],RB!B:O,6,FALSE)),"")</f>
        <v/>
      </c>
      <c r="W161" s="83" t="str">
        <f>IFERROR((VLOOKUP(TableRBRanks31[[#This Row],[Player]],RB!B:O,7,FALSE)),"")</f>
        <v/>
      </c>
      <c r="X161" s="83" t="str">
        <f>IFERROR((VLOOKUP(TableRBRanks31[[#This Row],[Player]],RB!B:O,8,FALSE)),"")</f>
        <v/>
      </c>
      <c r="Y161" s="83" t="str">
        <f>IFERROR((VLOOKUP(TableRBRanks31[[#This Row],[Player]],RB!B:O,9,FALSE)),"")</f>
        <v/>
      </c>
      <c r="Z161" s="83" t="str">
        <f>IFERROR((VLOOKUP(TableRBRanks31[[#This Row],[Player]],RB!B:O,10,FALSE)),"")</f>
        <v/>
      </c>
      <c r="AA161" s="57" t="str">
        <f>IFERROR((IFERROR(INDEX(TableRBCalcPts[Custom],MATCH(TableRBRanks31[[#This Row],[RK]],TableRBCalcPts[RK],0)),"")),"")</f>
        <v/>
      </c>
      <c r="AB16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1">
        <v>160</v>
      </c>
      <c r="AE161" t="str">
        <f>IFERROR(INDEX(TableWRCalcPts[PLAYER],MATCH(TableWRRanks32[[#This Row],[RK]],TableWRCalcPts[RK],0)),"")</f>
        <v>Trent Sherfield</v>
      </c>
      <c r="AF161" t="str">
        <f>IFERROR(INDEX(TableWRCalcPts[TM],MATCH(TableWRRanks32[[#This Row],[Player]],TableWRCalcPts[PLAYER],0)),"")</f>
        <v>MIN</v>
      </c>
      <c r="AG161">
        <f>IFERROR(INDEX(TableWRCalcPts[BYE],MATCH(TableWRRanks32[[#This Row],[Player]],TableWRCalcPts[PLAYER],0)),"")</f>
        <v>13</v>
      </c>
      <c r="AH161" s="83">
        <f>IFERROR((VLOOKUP(TableWRRanks32[[#This Row],[Player]],WR!B:O,4,FALSE)),"")</f>
        <v>0</v>
      </c>
      <c r="AI161" s="83">
        <f>IFERROR((VLOOKUP(TableWRRanks32[[#This Row],[Player]],WR!B:O,5,FALSE)),"")</f>
        <v>0</v>
      </c>
      <c r="AJ161" s="83">
        <f>IFERROR((VLOOKUP(TableWRRanks32[[#This Row],[Player]],WR!B:O,6,FALSE)),"")</f>
        <v>12.442079999999999</v>
      </c>
      <c r="AK161" s="83">
        <f>IFERROR((VLOOKUP(TableWRRanks32[[#This Row],[Player]],WR!B:O,7,FALSE)),"")</f>
        <v>7.3035009599999992</v>
      </c>
      <c r="AL161" s="83">
        <f>IFERROR((VLOOKUP(TableWRRanks32[[#This Row],[Player]],WR!B:O,8,FALSE)),"")</f>
        <v>85.450961231999983</v>
      </c>
      <c r="AM161" s="83">
        <f>IFERROR((VLOOKUP(TableWRRanks32[[#This Row],[Player]],WR!B:O,9,FALSE)),"")</f>
        <v>0.365175048</v>
      </c>
      <c r="AN161" s="57">
        <f>IFERROR((IFERROR(INDEX(TableWRCalcPts[Custom],MATCH(TableWRRanks32[[#This Row],[RK]],TableWRCalcPts[RK],0)),"")),"")</f>
        <v>14.387896891199997</v>
      </c>
      <c r="AO16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2" spans="16:41" x14ac:dyDescent="0.2">
      <c r="P162">
        <v>161</v>
      </c>
      <c r="Q162" t="str">
        <f>IFERROR(INDEX(TableRBCalcPts[PLAYER],MATCH(TableRBRanks31[[#This Row],[RK]],TableRBCalcPts[RK],0)),"")</f>
        <v/>
      </c>
      <c r="R162" t="str">
        <f>IFERROR(INDEX(TableRBCalcPts[TM],MATCH(TableRBRanks31[[#This Row],[Player]],TableRBCalcPts[PLAYER],0)),"")</f>
        <v/>
      </c>
      <c r="S162" t="str">
        <f>IFERROR(INDEX(TableRBCalcPts[BYE],MATCH(TableRBRanks31[[#This Row],[Player]],TableRBCalcPts[PLAYER],0)),"")</f>
        <v/>
      </c>
      <c r="T162" s="83" t="str">
        <f>IFERROR((VLOOKUP(TableRBRanks31[[#This Row],[Player]],RB!B:O,4,FALSE)),"")</f>
        <v/>
      </c>
      <c r="U162" s="83" t="str">
        <f>IFERROR((VLOOKUP(TableRBRanks31[[#This Row],[Player]],RB!B:O,5,FALSE)),"")</f>
        <v/>
      </c>
      <c r="V162" s="83" t="str">
        <f>IFERROR((VLOOKUP(TableRBRanks31[[#This Row],[Player]],RB!B:O,6,FALSE)),"")</f>
        <v/>
      </c>
      <c r="W162" s="83" t="str">
        <f>IFERROR((VLOOKUP(TableRBRanks31[[#This Row],[Player]],RB!B:O,7,FALSE)),"")</f>
        <v/>
      </c>
      <c r="X162" s="83" t="str">
        <f>IFERROR((VLOOKUP(TableRBRanks31[[#This Row],[Player]],RB!B:O,8,FALSE)),"")</f>
        <v/>
      </c>
      <c r="Y162" s="83" t="str">
        <f>IFERROR((VLOOKUP(TableRBRanks31[[#This Row],[Player]],RB!B:O,9,FALSE)),"")</f>
        <v/>
      </c>
      <c r="Z162" s="83" t="str">
        <f>IFERROR((VLOOKUP(TableRBRanks31[[#This Row],[Player]],RB!B:O,10,FALSE)),"")</f>
        <v/>
      </c>
      <c r="AA162" s="57" t="str">
        <f>IFERROR((IFERROR(INDEX(TableRBCalcPts[Custom],MATCH(TableRBRanks31[[#This Row],[RK]],TableRBCalcPts[RK],0)),"")),"")</f>
        <v/>
      </c>
      <c r="AB16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2">
        <v>161</v>
      </c>
      <c r="AE162" t="str">
        <f>IFERROR(INDEX(TableWRCalcPts[PLAYER],MATCH(TableWRRanks32[[#This Row],[RK]],TableWRCalcPts[RK],0)),"")</f>
        <v>Velus Jones</v>
      </c>
      <c r="AF162" t="str">
        <f>IFERROR(INDEX(TableWRCalcPts[TM],MATCH(TableWRRanks32[[#This Row],[Player]],TableWRCalcPts[PLAYER],0)),"")</f>
        <v>CHI</v>
      </c>
      <c r="AG162">
        <f>IFERROR(INDEX(TableWRCalcPts[BYE],MATCH(TableWRRanks32[[#This Row],[Player]],TableWRCalcPts[PLAYER],0)),"")</f>
        <v>13</v>
      </c>
      <c r="AH162" s="83">
        <f>IFERROR((VLOOKUP(TableWRRanks32[[#This Row],[Player]],WR!B:O,4,FALSE)),"")</f>
        <v>0</v>
      </c>
      <c r="AI162" s="83">
        <f>IFERROR((VLOOKUP(TableWRRanks32[[#This Row],[Player]],WR!B:O,5,FALSE)),"")</f>
        <v>0</v>
      </c>
      <c r="AJ162" s="83">
        <f>IFERROR((VLOOKUP(TableWRRanks32[[#This Row],[Player]],WR!B:O,6,FALSE)),"")</f>
        <v>11.336169599999996</v>
      </c>
      <c r="AK162" s="83">
        <f>IFERROR((VLOOKUP(TableWRRanks32[[#This Row],[Player]],WR!B:O,7,FALSE)),"")</f>
        <v>6.5749783679999974</v>
      </c>
      <c r="AL162" s="83">
        <f>IFERROR((VLOOKUP(TableWRRanks32[[#This Row],[Player]],WR!B:O,8,FALSE)),"")</f>
        <v>82.844727436799971</v>
      </c>
      <c r="AM162" s="83">
        <f>IFERROR((VLOOKUP(TableWRRanks32[[#This Row],[Player]],WR!B:O,9,FALSE)),"")</f>
        <v>0.46024848575999988</v>
      </c>
      <c r="AN162" s="57">
        <f>IFERROR((IFERROR(INDEX(TableWRCalcPts[Custom],MATCH(TableWRRanks32[[#This Row],[RK]],TableWRCalcPts[RK],0)),"")),"")</f>
        <v>14.333452842239994</v>
      </c>
      <c r="AO16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3" spans="16:41" x14ac:dyDescent="0.2">
      <c r="P163">
        <v>162</v>
      </c>
      <c r="Q163" t="str">
        <f>IFERROR(INDEX(TableRBCalcPts[PLAYER],MATCH(TableRBRanks31[[#This Row],[RK]],TableRBCalcPts[RK],0)),"")</f>
        <v/>
      </c>
      <c r="R163" t="str">
        <f>IFERROR(INDEX(TableRBCalcPts[TM],MATCH(TableRBRanks31[[#This Row],[Player]],TableRBCalcPts[PLAYER],0)),"")</f>
        <v/>
      </c>
      <c r="S163" t="str">
        <f>IFERROR(INDEX(TableRBCalcPts[BYE],MATCH(TableRBRanks31[[#This Row],[Player]],TableRBCalcPts[PLAYER],0)),"")</f>
        <v/>
      </c>
      <c r="T163" s="83" t="str">
        <f>IFERROR((VLOOKUP(TableRBRanks31[[#This Row],[Player]],RB!B:O,4,FALSE)),"")</f>
        <v/>
      </c>
      <c r="U163" s="83" t="str">
        <f>IFERROR((VLOOKUP(TableRBRanks31[[#This Row],[Player]],RB!B:O,5,FALSE)),"")</f>
        <v/>
      </c>
      <c r="V163" s="83" t="str">
        <f>IFERROR((VLOOKUP(TableRBRanks31[[#This Row],[Player]],RB!B:O,6,FALSE)),"")</f>
        <v/>
      </c>
      <c r="W163" s="83" t="str">
        <f>IFERROR((VLOOKUP(TableRBRanks31[[#This Row],[Player]],RB!B:O,7,FALSE)),"")</f>
        <v/>
      </c>
      <c r="X163" s="83" t="str">
        <f>IFERROR((VLOOKUP(TableRBRanks31[[#This Row],[Player]],RB!B:O,8,FALSE)),"")</f>
        <v/>
      </c>
      <c r="Y163" s="83" t="str">
        <f>IFERROR((VLOOKUP(TableRBRanks31[[#This Row],[Player]],RB!B:O,9,FALSE)),"")</f>
        <v/>
      </c>
      <c r="Z163" s="83" t="str">
        <f>IFERROR((VLOOKUP(TableRBRanks31[[#This Row],[Player]],RB!B:O,10,FALSE)),"")</f>
        <v/>
      </c>
      <c r="AA163" s="57" t="str">
        <f>IFERROR((IFERROR(INDEX(TableRBCalcPts[Custom],MATCH(TableRBRanks31[[#This Row],[RK]],TableRBCalcPts[RK],0)),"")),"")</f>
        <v/>
      </c>
      <c r="AB16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3">
        <v>162</v>
      </c>
      <c r="AE163" t="str">
        <f>IFERROR(INDEX(TableWRCalcPts[PLAYER],MATCH(TableWRRanks32[[#This Row],[RK]],TableWRCalcPts[RK],0)),"")</f>
        <v>Xavier Hutchinson</v>
      </c>
      <c r="AF163" t="str">
        <f>IFERROR(INDEX(TableWRCalcPts[TM],MATCH(TableWRRanks32[[#This Row],[Player]],TableWRCalcPts[PLAYER],0)),"")</f>
        <v>HOU</v>
      </c>
      <c r="AG163">
        <f>IFERROR(INDEX(TableWRCalcPts[BYE],MATCH(TableWRRanks32[[#This Row],[Player]],TableWRCalcPts[PLAYER],0)),"")</f>
        <v>7</v>
      </c>
      <c r="AH163" s="83">
        <f>IFERROR((VLOOKUP(TableWRRanks32[[#This Row],[Player]],WR!B:O,4,FALSE)),"")</f>
        <v>0</v>
      </c>
      <c r="AI163" s="83">
        <f>IFERROR((VLOOKUP(TableWRRanks32[[#This Row],[Player]],WR!B:O,5,FALSE)),"")</f>
        <v>0</v>
      </c>
      <c r="AJ163" s="83">
        <f>IFERROR((VLOOKUP(TableWRRanks32[[#This Row],[Player]],WR!B:O,6,FALSE)),"")</f>
        <v>11.904256</v>
      </c>
      <c r="AK163" s="83">
        <f>IFERROR((VLOOKUP(TableWRRanks32[[#This Row],[Player]],WR!B:O,7,FALSE)),"")</f>
        <v>6.6187663360000011</v>
      </c>
      <c r="AL163" s="83">
        <f>IFERROR((VLOOKUP(TableWRRanks32[[#This Row],[Player]],WR!B:O,8,FALSE)),"")</f>
        <v>82.734579200000013</v>
      </c>
      <c r="AM163" s="83">
        <f>IFERROR((VLOOKUP(TableWRRanks32[[#This Row],[Player]],WR!B:O,9,FALSE)),"")</f>
        <v>0.43021981184000008</v>
      </c>
      <c r="AN163" s="57">
        <f>IFERROR((IFERROR(INDEX(TableWRCalcPts[Custom],MATCH(TableWRRanks32[[#This Row],[RK]],TableWRCalcPts[RK],0)),"")),"")</f>
        <v>14.164159959040003</v>
      </c>
      <c r="AO16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4" spans="16:41" x14ac:dyDescent="0.2">
      <c r="P164">
        <v>163</v>
      </c>
      <c r="Q164" t="str">
        <f>IFERROR(INDEX(TableRBCalcPts[PLAYER],MATCH(TableRBRanks31[[#This Row],[RK]],TableRBCalcPts[RK],0)),"")</f>
        <v/>
      </c>
      <c r="R164" t="str">
        <f>IFERROR(INDEX(TableRBCalcPts[TM],MATCH(TableRBRanks31[[#This Row],[Player]],TableRBCalcPts[PLAYER],0)),"")</f>
        <v/>
      </c>
      <c r="S164" t="str">
        <f>IFERROR(INDEX(TableRBCalcPts[BYE],MATCH(TableRBRanks31[[#This Row],[Player]],TableRBCalcPts[PLAYER],0)),"")</f>
        <v/>
      </c>
      <c r="T164" s="83" t="str">
        <f>IFERROR((VLOOKUP(TableRBRanks31[[#This Row],[Player]],RB!B:O,4,FALSE)),"")</f>
        <v/>
      </c>
      <c r="U164" s="83" t="str">
        <f>IFERROR((VLOOKUP(TableRBRanks31[[#This Row],[Player]],RB!B:O,5,FALSE)),"")</f>
        <v/>
      </c>
      <c r="V164" s="83" t="str">
        <f>IFERROR((VLOOKUP(TableRBRanks31[[#This Row],[Player]],RB!B:O,6,FALSE)),"")</f>
        <v/>
      </c>
      <c r="W164" s="83" t="str">
        <f>IFERROR((VLOOKUP(TableRBRanks31[[#This Row],[Player]],RB!B:O,7,FALSE)),"")</f>
        <v/>
      </c>
      <c r="X164" s="83" t="str">
        <f>IFERROR((VLOOKUP(TableRBRanks31[[#This Row],[Player]],RB!B:O,8,FALSE)),"")</f>
        <v/>
      </c>
      <c r="Y164" s="83" t="str">
        <f>IFERROR((VLOOKUP(TableRBRanks31[[#This Row],[Player]],RB!B:O,9,FALSE)),"")</f>
        <v/>
      </c>
      <c r="Z164" s="83" t="str">
        <f>IFERROR((VLOOKUP(TableRBRanks31[[#This Row],[Player]],RB!B:O,10,FALSE)),"")</f>
        <v/>
      </c>
      <c r="AA164" s="57" t="str">
        <f>IFERROR((IFERROR(INDEX(TableRBCalcPts[Custom],MATCH(TableRBRanks31[[#This Row],[RK]],TableRBCalcPts[RK],0)),"")),"")</f>
        <v/>
      </c>
      <c r="AB16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4">
        <v>163</v>
      </c>
      <c r="AE164" t="str">
        <f>IFERROR(INDEX(TableWRCalcPts[PLAYER],MATCH(TableWRRanks32[[#This Row],[RK]],TableWRCalcPts[RK],0)),"")</f>
        <v>Tahj Washington</v>
      </c>
      <c r="AF164" t="str">
        <f>IFERROR(INDEX(TableWRCalcPts[TM],MATCH(TableWRRanks32[[#This Row],[Player]],TableWRCalcPts[PLAYER],0)),"")</f>
        <v>MIA</v>
      </c>
      <c r="AG164">
        <f>IFERROR(INDEX(TableWRCalcPts[BYE],MATCH(TableWRRanks32[[#This Row],[Player]],TableWRCalcPts[PLAYER],0)),"")</f>
        <v>10</v>
      </c>
      <c r="AH164" s="83">
        <f>IFERROR((VLOOKUP(TableWRRanks32[[#This Row],[Player]],WR!B:O,4,FALSE)),"")</f>
        <v>0</v>
      </c>
      <c r="AI164" s="83">
        <f>IFERROR((VLOOKUP(TableWRRanks32[[#This Row],[Player]],WR!B:O,5,FALSE)),"")</f>
        <v>0</v>
      </c>
      <c r="AJ164" s="83">
        <f>IFERROR((VLOOKUP(TableWRRanks32[[#This Row],[Player]],WR!B:O,6,FALSE)),"")</f>
        <v>11.726601599999999</v>
      </c>
      <c r="AK164" s="83">
        <f>IFERROR((VLOOKUP(TableWRRanks32[[#This Row],[Player]],WR!B:O,7,FALSE)),"")</f>
        <v>7.3291259999999987</v>
      </c>
      <c r="AL164" s="83">
        <f>IFERROR((VLOOKUP(TableWRRanks32[[#This Row],[Player]],WR!B:O,8,FALSE)),"")</f>
        <v>84.284948999999983</v>
      </c>
      <c r="AM164" s="83">
        <f>IFERROR((VLOOKUP(TableWRRanks32[[#This Row],[Player]],WR!B:O,9,FALSE)),"")</f>
        <v>0.32981066999999992</v>
      </c>
      <c r="AN164" s="57">
        <f>IFERROR((IFERROR(INDEX(TableWRCalcPts[Custom],MATCH(TableWRRanks32[[#This Row],[RK]],TableWRCalcPts[RK],0)),"")),"")</f>
        <v>14.071921919999998</v>
      </c>
      <c r="AO16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5" spans="16:41" x14ac:dyDescent="0.2">
      <c r="P165">
        <v>164</v>
      </c>
      <c r="Q165" t="str">
        <f>IFERROR(INDEX(TableRBCalcPts[PLAYER],MATCH(TableRBRanks31[[#This Row],[RK]],TableRBCalcPts[RK],0)),"")</f>
        <v/>
      </c>
      <c r="R165" t="str">
        <f>IFERROR(INDEX(TableRBCalcPts[TM],MATCH(TableRBRanks31[[#This Row],[Player]],TableRBCalcPts[PLAYER],0)),"")</f>
        <v/>
      </c>
      <c r="S165" t="str">
        <f>IFERROR(INDEX(TableRBCalcPts[BYE],MATCH(TableRBRanks31[[#This Row],[Player]],TableRBCalcPts[PLAYER],0)),"")</f>
        <v/>
      </c>
      <c r="T165" s="83" t="str">
        <f>IFERROR((VLOOKUP(TableRBRanks31[[#This Row],[Player]],RB!B:O,4,FALSE)),"")</f>
        <v/>
      </c>
      <c r="U165" s="83" t="str">
        <f>IFERROR((VLOOKUP(TableRBRanks31[[#This Row],[Player]],RB!B:O,5,FALSE)),"")</f>
        <v/>
      </c>
      <c r="V165" s="83" t="str">
        <f>IFERROR((VLOOKUP(TableRBRanks31[[#This Row],[Player]],RB!B:O,6,FALSE)),"")</f>
        <v/>
      </c>
      <c r="W165" s="83" t="str">
        <f>IFERROR((VLOOKUP(TableRBRanks31[[#This Row],[Player]],RB!B:O,7,FALSE)),"")</f>
        <v/>
      </c>
      <c r="X165" s="83" t="str">
        <f>IFERROR((VLOOKUP(TableRBRanks31[[#This Row],[Player]],RB!B:O,8,FALSE)),"")</f>
        <v/>
      </c>
      <c r="Y165" s="83" t="str">
        <f>IFERROR((VLOOKUP(TableRBRanks31[[#This Row],[Player]],RB!B:O,9,FALSE)),"")</f>
        <v/>
      </c>
      <c r="Z165" s="83" t="str">
        <f>IFERROR((VLOOKUP(TableRBRanks31[[#This Row],[Player]],RB!B:O,10,FALSE)),"")</f>
        <v/>
      </c>
      <c r="AA165" s="57" t="str">
        <f>IFERROR((IFERROR(INDEX(TableRBCalcPts[Custom],MATCH(TableRBRanks31[[#This Row],[RK]],TableRBCalcPts[RK],0)),"")),"")</f>
        <v/>
      </c>
      <c r="AB16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5">
        <v>164</v>
      </c>
      <c r="AE165" t="str">
        <f>IFERROR(INDEX(TableWRCalcPts[PLAYER],MATCH(TableWRRanks32[[#This Row],[RK]],TableWRCalcPts[RK],0)),"")</f>
        <v>Zach Pascal</v>
      </c>
      <c r="AF165" t="str">
        <f>IFERROR(INDEX(TableWRCalcPts[TM],MATCH(TableWRRanks32[[#This Row],[Player]],TableWRCalcPts[PLAYER],0)),"")</f>
        <v>ARI</v>
      </c>
      <c r="AG165">
        <f>IFERROR(INDEX(TableWRCalcPts[BYE],MATCH(TableWRRanks32[[#This Row],[Player]],TableWRCalcPts[PLAYER],0)),"")</f>
        <v>14</v>
      </c>
      <c r="AH165" s="83">
        <f>IFERROR((VLOOKUP(TableWRRanks32[[#This Row],[Player]],WR!B:O,4,FALSE)),"")</f>
        <v>0</v>
      </c>
      <c r="AI165" s="83">
        <f>IFERROR((VLOOKUP(TableWRRanks32[[#This Row],[Player]],WR!B:O,5,FALSE)),"")</f>
        <v>0</v>
      </c>
      <c r="AJ165" s="83">
        <f>IFERROR((VLOOKUP(TableWRRanks32[[#This Row],[Player]],WR!B:O,6,FALSE)),"")</f>
        <v>11.793810000000001</v>
      </c>
      <c r="AK165" s="83">
        <f>IFERROR((VLOOKUP(TableWRRanks32[[#This Row],[Player]],WR!B:O,7,FALSE)),"")</f>
        <v>6.8522036100000001</v>
      </c>
      <c r="AL165" s="83">
        <f>IFERROR((VLOOKUP(TableWRRanks32[[#This Row],[Player]],WR!B:O,8,FALSE)),"")</f>
        <v>77.429900793000002</v>
      </c>
      <c r="AM165" s="83">
        <f>IFERROR((VLOOKUP(TableWRRanks32[[#This Row],[Player]],WR!B:O,9,FALSE)),"")</f>
        <v>0.41113221659999999</v>
      </c>
      <c r="AN165" s="57">
        <f>IFERROR((IFERROR(INDEX(TableWRCalcPts[Custom],MATCH(TableWRRanks32[[#This Row],[RK]],TableWRCalcPts[RK],0)),"")),"")</f>
        <v>13.635885183900001</v>
      </c>
      <c r="AO16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6" spans="16:41" x14ac:dyDescent="0.2">
      <c r="P166">
        <v>165</v>
      </c>
      <c r="Q166" t="str">
        <f>IFERROR(INDEX(TableRBCalcPts[PLAYER],MATCH(TableRBRanks31[[#This Row],[RK]],TableRBCalcPts[RK],0)),"")</f>
        <v/>
      </c>
      <c r="R166" t="str">
        <f>IFERROR(INDEX(TableRBCalcPts[TM],MATCH(TableRBRanks31[[#This Row],[Player]],TableRBCalcPts[PLAYER],0)),"")</f>
        <v/>
      </c>
      <c r="S166" t="str">
        <f>IFERROR(INDEX(TableRBCalcPts[BYE],MATCH(TableRBRanks31[[#This Row],[Player]],TableRBCalcPts[PLAYER],0)),"")</f>
        <v/>
      </c>
      <c r="T166" s="83" t="str">
        <f>IFERROR((VLOOKUP(TableRBRanks31[[#This Row],[Player]],RB!B:O,4,FALSE)),"")</f>
        <v/>
      </c>
      <c r="U166" s="83" t="str">
        <f>IFERROR((VLOOKUP(TableRBRanks31[[#This Row],[Player]],RB!B:O,5,FALSE)),"")</f>
        <v/>
      </c>
      <c r="V166" s="83" t="str">
        <f>IFERROR((VLOOKUP(TableRBRanks31[[#This Row],[Player]],RB!B:O,6,FALSE)),"")</f>
        <v/>
      </c>
      <c r="W166" s="83" t="str">
        <f>IFERROR((VLOOKUP(TableRBRanks31[[#This Row],[Player]],RB!B:O,7,FALSE)),"")</f>
        <v/>
      </c>
      <c r="X166" s="83" t="str">
        <f>IFERROR((VLOOKUP(TableRBRanks31[[#This Row],[Player]],RB!B:O,8,FALSE)),"")</f>
        <v/>
      </c>
      <c r="Y166" s="83" t="str">
        <f>IFERROR((VLOOKUP(TableRBRanks31[[#This Row],[Player]],RB!B:O,9,FALSE)),"")</f>
        <v/>
      </c>
      <c r="Z166" s="83" t="str">
        <f>IFERROR((VLOOKUP(TableRBRanks31[[#This Row],[Player]],RB!B:O,10,FALSE)),"")</f>
        <v/>
      </c>
      <c r="AA166" s="57" t="str">
        <f>IFERROR((IFERROR(INDEX(TableRBCalcPts[Custom],MATCH(TableRBRanks31[[#This Row],[RK]],TableRBCalcPts[RK],0)),"")),"")</f>
        <v/>
      </c>
      <c r="AB16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6">
        <v>165</v>
      </c>
      <c r="AE166" t="str">
        <f>IFERROR(INDEX(TableWRCalcPts[PLAYER],MATCH(TableWRRanks32[[#This Row],[RK]],TableWRCalcPts[RK],0)),"")</f>
        <v>Tim Jones</v>
      </c>
      <c r="AF166" t="str">
        <f>IFERROR(INDEX(TableWRCalcPts[TM],MATCH(TableWRRanks32[[#This Row],[Player]],TableWRCalcPts[PLAYER],0)),"")</f>
        <v>JAX</v>
      </c>
      <c r="AG166">
        <f>IFERROR(INDEX(TableWRCalcPts[BYE],MATCH(TableWRRanks32[[#This Row],[Player]],TableWRCalcPts[PLAYER],0)),"")</f>
        <v>9</v>
      </c>
      <c r="AH166" s="83">
        <f>IFERROR((VLOOKUP(TableWRRanks32[[#This Row],[Player]],WR!B:O,4,FALSE)),"")</f>
        <v>0</v>
      </c>
      <c r="AI166" s="83">
        <f>IFERROR((VLOOKUP(TableWRRanks32[[#This Row],[Player]],WR!B:O,5,FALSE)),"")</f>
        <v>0</v>
      </c>
      <c r="AJ166" s="83">
        <f>IFERROR((VLOOKUP(TableWRRanks32[[#This Row],[Player]],WR!B:O,6,FALSE)),"")</f>
        <v>12.085163999999995</v>
      </c>
      <c r="AK166" s="83">
        <f>IFERROR((VLOOKUP(TableWRRanks32[[#This Row],[Player]],WR!B:O,7,FALSE)),"")</f>
        <v>6.8885434799999965</v>
      </c>
      <c r="AL166" s="83">
        <f>IFERROR((VLOOKUP(TableWRRanks32[[#This Row],[Player]],WR!B:O,8,FALSE)),"")</f>
        <v>75.773978279999966</v>
      </c>
      <c r="AM166" s="83">
        <f>IFERROR((VLOOKUP(TableWRRanks32[[#This Row],[Player]],WR!B:O,9,FALSE)),"")</f>
        <v>0.41331260879999976</v>
      </c>
      <c r="AN166" s="57">
        <f>IFERROR((IFERROR(INDEX(TableWRCalcPts[Custom],MATCH(TableWRRanks32[[#This Row],[RK]],TableWRCalcPts[RK],0)),"")),"")</f>
        <v>13.501545220799994</v>
      </c>
      <c r="AO16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7" spans="16:41" x14ac:dyDescent="0.2">
      <c r="P167">
        <v>166</v>
      </c>
      <c r="Q167" t="str">
        <f>IFERROR(INDEX(TableRBCalcPts[PLAYER],MATCH(TableRBRanks31[[#This Row],[RK]],TableRBCalcPts[RK],0)),"")</f>
        <v/>
      </c>
      <c r="R167" t="str">
        <f>IFERROR(INDEX(TableRBCalcPts[TM],MATCH(TableRBRanks31[[#This Row],[Player]],TableRBCalcPts[PLAYER],0)),"")</f>
        <v/>
      </c>
      <c r="S167" t="str">
        <f>IFERROR(INDEX(TableRBCalcPts[BYE],MATCH(TableRBRanks31[[#This Row],[Player]],TableRBCalcPts[PLAYER],0)),"")</f>
        <v/>
      </c>
      <c r="T167" s="83" t="str">
        <f>IFERROR((VLOOKUP(TableRBRanks31[[#This Row],[Player]],RB!B:O,4,FALSE)),"")</f>
        <v/>
      </c>
      <c r="U167" s="83" t="str">
        <f>IFERROR((VLOOKUP(TableRBRanks31[[#This Row],[Player]],RB!B:O,5,FALSE)),"")</f>
        <v/>
      </c>
      <c r="V167" s="83" t="str">
        <f>IFERROR((VLOOKUP(TableRBRanks31[[#This Row],[Player]],RB!B:O,6,FALSE)),"")</f>
        <v/>
      </c>
      <c r="W167" s="83" t="str">
        <f>IFERROR((VLOOKUP(TableRBRanks31[[#This Row],[Player]],RB!B:O,7,FALSE)),"")</f>
        <v/>
      </c>
      <c r="X167" s="83" t="str">
        <f>IFERROR((VLOOKUP(TableRBRanks31[[#This Row],[Player]],RB!B:O,8,FALSE)),"")</f>
        <v/>
      </c>
      <c r="Y167" s="83" t="str">
        <f>IFERROR((VLOOKUP(TableRBRanks31[[#This Row],[Player]],RB!B:O,9,FALSE)),"")</f>
        <v/>
      </c>
      <c r="Z167" s="83" t="str">
        <f>IFERROR((VLOOKUP(TableRBRanks31[[#This Row],[Player]],RB!B:O,10,FALSE)),"")</f>
        <v/>
      </c>
      <c r="AA167" s="57" t="str">
        <f>IFERROR((IFERROR(INDEX(TableRBCalcPts[Custom],MATCH(TableRBRanks31[[#This Row],[RK]],TableRBCalcPts[RK],0)),"")),"")</f>
        <v/>
      </c>
      <c r="AB16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7">
        <v>166</v>
      </c>
      <c r="AE167" t="str">
        <f>IFERROR(INDEX(TableWRCalcPts[PLAYER],MATCH(TableWRRanks32[[#This Row],[RK]],TableWRCalcPts[RK],0)),"")</f>
        <v>Brandon Johnson</v>
      </c>
      <c r="AF167" t="str">
        <f>IFERROR(INDEX(TableWRCalcPts[TM],MATCH(TableWRRanks32[[#This Row],[Player]],TableWRCalcPts[PLAYER],0)),"")</f>
        <v>DEN</v>
      </c>
      <c r="AG167">
        <f>IFERROR(INDEX(TableWRCalcPts[BYE],MATCH(TableWRRanks32[[#This Row],[Player]],TableWRCalcPts[PLAYER],0)),"")</f>
        <v>9</v>
      </c>
      <c r="AH167" s="83">
        <f>IFERROR((VLOOKUP(TableWRRanks32[[#This Row],[Player]],WR!B:O,4,FALSE)),"")</f>
        <v>0</v>
      </c>
      <c r="AI167" s="83">
        <f>IFERROR((VLOOKUP(TableWRRanks32[[#This Row],[Player]],WR!B:O,5,FALSE)),"")</f>
        <v>0</v>
      </c>
      <c r="AJ167" s="83">
        <f>IFERROR((VLOOKUP(TableWRRanks32[[#This Row],[Player]],WR!B:O,6,FALSE)),"")</f>
        <v>11.417294</v>
      </c>
      <c r="AK167" s="83">
        <f>IFERROR((VLOOKUP(TableWRRanks32[[#This Row],[Player]],WR!B:O,7,FALSE)),"")</f>
        <v>6.3365981700000003</v>
      </c>
      <c r="AL167" s="83">
        <f>IFERROR((VLOOKUP(TableWRRanks32[[#This Row],[Player]],WR!B:O,8,FALSE)),"")</f>
        <v>81.742116393000003</v>
      </c>
      <c r="AM167" s="83">
        <f>IFERROR((VLOOKUP(TableWRRanks32[[#This Row],[Player]],WR!B:O,9,FALSE)),"")</f>
        <v>0.31682990850000003</v>
      </c>
      <c r="AN167" s="57">
        <f>IFERROR((IFERROR(INDEX(TableWRCalcPts[Custom],MATCH(TableWRRanks32[[#This Row],[RK]],TableWRCalcPts[RK],0)),"")),"")</f>
        <v>13.243490175300002</v>
      </c>
      <c r="AO16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8" spans="16:41" x14ac:dyDescent="0.2">
      <c r="P168">
        <v>167</v>
      </c>
      <c r="Q168" t="str">
        <f>IFERROR(INDEX(TableRBCalcPts[PLAYER],MATCH(TableRBRanks31[[#This Row],[RK]],TableRBCalcPts[RK],0)),"")</f>
        <v/>
      </c>
      <c r="R168" t="str">
        <f>IFERROR(INDEX(TableRBCalcPts[TM],MATCH(TableRBRanks31[[#This Row],[Player]],TableRBCalcPts[PLAYER],0)),"")</f>
        <v/>
      </c>
      <c r="S168" t="str">
        <f>IFERROR(INDEX(TableRBCalcPts[BYE],MATCH(TableRBRanks31[[#This Row],[Player]],TableRBCalcPts[PLAYER],0)),"")</f>
        <v/>
      </c>
      <c r="T168" s="83" t="str">
        <f>IFERROR((VLOOKUP(TableRBRanks31[[#This Row],[Player]],RB!B:O,4,FALSE)),"")</f>
        <v/>
      </c>
      <c r="U168" s="83" t="str">
        <f>IFERROR((VLOOKUP(TableRBRanks31[[#This Row],[Player]],RB!B:O,5,FALSE)),"")</f>
        <v/>
      </c>
      <c r="V168" s="83" t="str">
        <f>IFERROR((VLOOKUP(TableRBRanks31[[#This Row],[Player]],RB!B:O,6,FALSE)),"")</f>
        <v/>
      </c>
      <c r="W168" s="83" t="str">
        <f>IFERROR((VLOOKUP(TableRBRanks31[[#This Row],[Player]],RB!B:O,7,FALSE)),"")</f>
        <v/>
      </c>
      <c r="X168" s="83" t="str">
        <f>IFERROR((VLOOKUP(TableRBRanks31[[#This Row],[Player]],RB!B:O,8,FALSE)),"")</f>
        <v/>
      </c>
      <c r="Y168" s="83" t="str">
        <f>IFERROR((VLOOKUP(TableRBRanks31[[#This Row],[Player]],RB!B:O,9,FALSE)),"")</f>
        <v/>
      </c>
      <c r="Z168" s="83" t="str">
        <f>IFERROR((VLOOKUP(TableRBRanks31[[#This Row],[Player]],RB!B:O,10,FALSE)),"")</f>
        <v/>
      </c>
      <c r="AA168" s="57" t="str">
        <f>IFERROR((IFERROR(INDEX(TableRBCalcPts[Custom],MATCH(TableRBRanks31[[#This Row],[RK]],TableRBCalcPts[RK],0)),"")),"")</f>
        <v/>
      </c>
      <c r="AB16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8">
        <v>167</v>
      </c>
      <c r="AE168" t="str">
        <f>IFERROR(INDEX(TableWRCalcPts[PLAYER],MATCH(TableWRRanks32[[#This Row],[RK]],TableWRCalcPts[RK],0)),"")</f>
        <v>Jalen Nailor</v>
      </c>
      <c r="AF168" t="str">
        <f>IFERROR(INDEX(TableWRCalcPts[TM],MATCH(TableWRRanks32[[#This Row],[Player]],TableWRCalcPts[PLAYER],0)),"")</f>
        <v>MIN</v>
      </c>
      <c r="AG168">
        <f>IFERROR(INDEX(TableWRCalcPts[BYE],MATCH(TableWRRanks32[[#This Row],[Player]],TableWRCalcPts[PLAYER],0)),"")</f>
        <v>13</v>
      </c>
      <c r="AH168" s="83">
        <f>IFERROR((VLOOKUP(TableWRRanks32[[#This Row],[Player]],WR!B:O,4,FALSE)),"")</f>
        <v>0</v>
      </c>
      <c r="AI168" s="83">
        <f>IFERROR((VLOOKUP(TableWRRanks32[[#This Row],[Player]],WR!B:O,5,FALSE)),"")</f>
        <v>0</v>
      </c>
      <c r="AJ168" s="83">
        <f>IFERROR((VLOOKUP(TableWRRanks32[[#This Row],[Player]],WR!B:O,6,FALSE)),"")</f>
        <v>12.442079999999999</v>
      </c>
      <c r="AK168" s="83">
        <f>IFERROR((VLOOKUP(TableWRRanks32[[#This Row],[Player]],WR!B:O,7,FALSE)),"")</f>
        <v>7.228848479999999</v>
      </c>
      <c r="AL168" s="83">
        <f>IFERROR((VLOOKUP(TableWRRanks32[[#This Row],[Player]],WR!B:O,8,FALSE)),"")</f>
        <v>72.288484799999992</v>
      </c>
      <c r="AM168" s="83">
        <f>IFERROR((VLOOKUP(TableWRRanks32[[#This Row],[Player]],WR!B:O,9,FALSE)),"")</f>
        <v>0.36144242399999998</v>
      </c>
      <c r="AN168" s="57">
        <f>IFERROR((IFERROR(INDEX(TableWRCalcPts[Custom],MATCH(TableWRRanks32[[#This Row],[RK]],TableWRCalcPts[RK],0)),"")),"")</f>
        <v>13.011927264000001</v>
      </c>
      <c r="AO16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9" spans="16:41" x14ac:dyDescent="0.2">
      <c r="P169">
        <v>168</v>
      </c>
      <c r="Q169" t="str">
        <f>IFERROR(INDEX(TableRBCalcPts[PLAYER],MATCH(TableRBRanks31[[#This Row],[RK]],TableRBCalcPts[RK],0)),"")</f>
        <v/>
      </c>
      <c r="R169" t="str">
        <f>IFERROR(INDEX(TableRBCalcPts[TM],MATCH(TableRBRanks31[[#This Row],[Player]],TableRBCalcPts[PLAYER],0)),"")</f>
        <v/>
      </c>
      <c r="S169" t="str">
        <f>IFERROR(INDEX(TableRBCalcPts[BYE],MATCH(TableRBRanks31[[#This Row],[Player]],TableRBCalcPts[PLAYER],0)),"")</f>
        <v/>
      </c>
      <c r="T169" s="83" t="str">
        <f>IFERROR((VLOOKUP(TableRBRanks31[[#This Row],[Player]],RB!B:O,4,FALSE)),"")</f>
        <v/>
      </c>
      <c r="U169" s="83" t="str">
        <f>IFERROR((VLOOKUP(TableRBRanks31[[#This Row],[Player]],RB!B:O,5,FALSE)),"")</f>
        <v/>
      </c>
      <c r="V169" s="83" t="str">
        <f>IFERROR((VLOOKUP(TableRBRanks31[[#This Row],[Player]],RB!B:O,6,FALSE)),"")</f>
        <v/>
      </c>
      <c r="W169" s="83" t="str">
        <f>IFERROR((VLOOKUP(TableRBRanks31[[#This Row],[Player]],RB!B:O,7,FALSE)),"")</f>
        <v/>
      </c>
      <c r="X169" s="83" t="str">
        <f>IFERROR((VLOOKUP(TableRBRanks31[[#This Row],[Player]],RB!B:O,8,FALSE)),"")</f>
        <v/>
      </c>
      <c r="Y169" s="83" t="str">
        <f>IFERROR((VLOOKUP(TableRBRanks31[[#This Row],[Player]],RB!B:O,9,FALSE)),"")</f>
        <v/>
      </c>
      <c r="Z169" s="83" t="str">
        <f>IFERROR((VLOOKUP(TableRBRanks31[[#This Row],[Player]],RB!B:O,10,FALSE)),"")</f>
        <v/>
      </c>
      <c r="AA169" s="57" t="str">
        <f>IFERROR((IFERROR(INDEX(TableRBCalcPts[Custom],MATCH(TableRBRanks31[[#This Row],[RK]],TableRBCalcPts[RK],0)),"")),"")</f>
        <v/>
      </c>
      <c r="AB16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9">
        <v>168</v>
      </c>
      <c r="AE169" t="str">
        <f>IFERROR(INDEX(TableWRCalcPts[PLAYER],MATCH(TableWRRanks32[[#This Row],[RK]],TableWRCalcPts[RK],0)),"")</f>
        <v>David Moore</v>
      </c>
      <c r="AF169" t="str">
        <f>IFERROR(INDEX(TableWRCalcPts[TM],MATCH(TableWRRanks32[[#This Row],[Player]],TableWRCalcPts[PLAYER],0)),"")</f>
        <v>CAR</v>
      </c>
      <c r="AG169">
        <f>IFERROR(INDEX(TableWRCalcPts[BYE],MATCH(TableWRRanks32[[#This Row],[Player]],TableWRCalcPts[PLAYER],0)),"")</f>
        <v>7</v>
      </c>
      <c r="AH169" s="83">
        <f>IFERROR((VLOOKUP(TableWRRanks32[[#This Row],[Player]],WR!B:O,4,FALSE)),"")</f>
        <v>0</v>
      </c>
      <c r="AI169" s="83">
        <f>IFERROR((VLOOKUP(TableWRRanks32[[#This Row],[Player]],WR!B:O,5,FALSE)),"")</f>
        <v>0</v>
      </c>
      <c r="AJ169" s="83">
        <f>IFERROR((VLOOKUP(TableWRRanks32[[#This Row],[Player]],WR!B:O,6,FALSE)),"")</f>
        <v>11.583403999999998</v>
      </c>
      <c r="AK169" s="83">
        <f>IFERROR((VLOOKUP(TableWRRanks32[[#This Row],[Player]],WR!B:O,7,FALSE)),"")</f>
        <v>6.7183743199999988</v>
      </c>
      <c r="AL169" s="83">
        <f>IFERROR((VLOOKUP(TableWRRanks32[[#This Row],[Player]],WR!B:O,8,FALSE)),"")</f>
        <v>74.57395495199998</v>
      </c>
      <c r="AM169" s="83">
        <f>IFERROR((VLOOKUP(TableWRRanks32[[#This Row],[Player]],WR!B:O,9,FALSE)),"")</f>
        <v>0.33591871599999995</v>
      </c>
      <c r="AN169" s="57">
        <f>IFERROR((IFERROR(INDEX(TableWRCalcPts[Custom],MATCH(TableWRRanks32[[#This Row],[RK]],TableWRCalcPts[RK],0)),"")),"")</f>
        <v>12.832094951199998</v>
      </c>
      <c r="AO16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0" spans="16:41" x14ac:dyDescent="0.2">
      <c r="P170">
        <v>169</v>
      </c>
      <c r="Q170" t="str">
        <f>IFERROR(INDEX(TableRBCalcPts[PLAYER],MATCH(TableRBRanks31[[#This Row],[RK]],TableRBCalcPts[RK],0)),"")</f>
        <v/>
      </c>
      <c r="R170" t="str">
        <f>IFERROR(INDEX(TableRBCalcPts[TM],MATCH(TableRBRanks31[[#This Row],[Player]],TableRBCalcPts[PLAYER],0)),"")</f>
        <v/>
      </c>
      <c r="S170" t="str">
        <f>IFERROR(INDEX(TableRBCalcPts[BYE],MATCH(TableRBRanks31[[#This Row],[Player]],TableRBCalcPts[PLAYER],0)),"")</f>
        <v/>
      </c>
      <c r="T170" s="83" t="str">
        <f>IFERROR((VLOOKUP(TableRBRanks31[[#This Row],[Player]],RB!B:O,4,FALSE)),"")</f>
        <v/>
      </c>
      <c r="U170" s="83" t="str">
        <f>IFERROR((VLOOKUP(TableRBRanks31[[#This Row],[Player]],RB!B:O,5,FALSE)),"")</f>
        <v/>
      </c>
      <c r="V170" s="83" t="str">
        <f>IFERROR((VLOOKUP(TableRBRanks31[[#This Row],[Player]],RB!B:O,6,FALSE)),"")</f>
        <v/>
      </c>
      <c r="W170" s="83" t="str">
        <f>IFERROR((VLOOKUP(TableRBRanks31[[#This Row],[Player]],RB!B:O,7,FALSE)),"")</f>
        <v/>
      </c>
      <c r="X170" s="83" t="str">
        <f>IFERROR((VLOOKUP(TableRBRanks31[[#This Row],[Player]],RB!B:O,8,FALSE)),"")</f>
        <v/>
      </c>
      <c r="Y170" s="83" t="str">
        <f>IFERROR((VLOOKUP(TableRBRanks31[[#This Row],[Player]],RB!B:O,9,FALSE)),"")</f>
        <v/>
      </c>
      <c r="Z170" s="83" t="str">
        <f>IFERROR((VLOOKUP(TableRBRanks31[[#This Row],[Player]],RB!B:O,10,FALSE)),"")</f>
        <v/>
      </c>
      <c r="AA170" s="57" t="str">
        <f>IFERROR((IFERROR(INDEX(TableRBCalcPts[Custom],MATCH(TableRBRanks31[[#This Row],[RK]],TableRBCalcPts[RK],0)),"")),"")</f>
        <v/>
      </c>
      <c r="AB17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70">
        <v>169</v>
      </c>
      <c r="AE170" t="str">
        <f>IFERROR(INDEX(TableWRCalcPts[PLAYER],MATCH(TableWRRanks32[[#This Row],[RK]],TableWRCalcPts[RK],0)),"")</f>
        <v>Stanley Morgan</v>
      </c>
      <c r="AF170" t="str">
        <f>IFERROR(INDEX(TableWRCalcPts[TM],MATCH(TableWRRanks32[[#This Row],[Player]],TableWRCalcPts[PLAYER],0)),"")</f>
        <v>NO</v>
      </c>
      <c r="AG170">
        <f>IFERROR(INDEX(TableWRCalcPts[BYE],MATCH(TableWRRanks32[[#This Row],[Player]],TableWRCalcPts[PLAYER],0)),"")</f>
        <v>11</v>
      </c>
      <c r="AH170" s="83">
        <f>IFERROR((VLOOKUP(TableWRRanks32[[#This Row],[Player]],WR!B:O,4,FALSE)),"")</f>
        <v>0</v>
      </c>
      <c r="AI170" s="83">
        <f>IFERROR((VLOOKUP(TableWRRanks32[[#This Row],[Player]],WR!B:O,5,FALSE)),"")</f>
        <v>0</v>
      </c>
      <c r="AJ170" s="83">
        <f>IFERROR((VLOOKUP(TableWRRanks32[[#This Row],[Player]],WR!B:O,6,FALSE)),"")</f>
        <v>11.126658927999998</v>
      </c>
      <c r="AK170" s="83">
        <f>IFERROR((VLOOKUP(TableWRRanks32[[#This Row],[Player]],WR!B:O,7,FALSE)),"")</f>
        <v>6.6759953567999988</v>
      </c>
      <c r="AL170" s="83">
        <f>IFERROR((VLOOKUP(TableWRRanks32[[#This Row],[Player]],WR!B:O,8,FALSE)),"")</f>
        <v>73.435948924799987</v>
      </c>
      <c r="AM170" s="83">
        <f>IFERROR((VLOOKUP(TableWRRanks32[[#This Row],[Player]],WR!B:O,9,FALSE)),"")</f>
        <v>0.33379976783999998</v>
      </c>
      <c r="AN170" s="57">
        <f>IFERROR((IFERROR(INDEX(TableWRCalcPts[Custom],MATCH(TableWRRanks32[[#This Row],[RK]],TableWRCalcPts[RK],0)),"")),"")</f>
        <v>12.684391177919998</v>
      </c>
      <c r="AO17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1" spans="16:41" x14ac:dyDescent="0.2">
      <c r="P171">
        <v>170</v>
      </c>
      <c r="Q171" t="str">
        <f>IFERROR(INDEX(TableRBCalcPts[PLAYER],MATCH(TableRBRanks31[[#This Row],[RK]],TableRBCalcPts[RK],0)),"")</f>
        <v/>
      </c>
      <c r="R171" t="str">
        <f>IFERROR(INDEX(TableRBCalcPts[TM],MATCH(TableRBRanks31[[#This Row],[Player]],TableRBCalcPts[PLAYER],0)),"")</f>
        <v/>
      </c>
      <c r="S171" t="str">
        <f>IFERROR(INDEX(TableRBCalcPts[BYE],MATCH(TableRBRanks31[[#This Row],[Player]],TableRBCalcPts[PLAYER],0)),"")</f>
        <v/>
      </c>
      <c r="T171" s="83" t="str">
        <f>IFERROR((VLOOKUP(TableRBRanks31[[#This Row],[Player]],RB!B:O,4,FALSE)),"")</f>
        <v/>
      </c>
      <c r="U171" s="83" t="str">
        <f>IFERROR((VLOOKUP(TableRBRanks31[[#This Row],[Player]],RB!B:O,5,FALSE)),"")</f>
        <v/>
      </c>
      <c r="V171" s="83" t="str">
        <f>IFERROR((VLOOKUP(TableRBRanks31[[#This Row],[Player]],RB!B:O,6,FALSE)),"")</f>
        <v/>
      </c>
      <c r="W171" s="83" t="str">
        <f>IFERROR((VLOOKUP(TableRBRanks31[[#This Row],[Player]],RB!B:O,7,FALSE)),"")</f>
        <v/>
      </c>
      <c r="X171" s="83" t="str">
        <f>IFERROR((VLOOKUP(TableRBRanks31[[#This Row],[Player]],RB!B:O,8,FALSE)),"")</f>
        <v/>
      </c>
      <c r="Y171" s="83" t="str">
        <f>IFERROR((VLOOKUP(TableRBRanks31[[#This Row],[Player]],RB!B:O,9,FALSE)),"")</f>
        <v/>
      </c>
      <c r="Z171" s="83" t="str">
        <f>IFERROR((VLOOKUP(TableRBRanks31[[#This Row],[Player]],RB!B:O,10,FALSE)),"")</f>
        <v/>
      </c>
      <c r="AA171" s="57" t="str">
        <f>IFERROR((IFERROR(INDEX(TableRBCalcPts[Custom],MATCH(TableRBRanks31[[#This Row],[RK]],TableRBCalcPts[RK],0)),"")),"")</f>
        <v/>
      </c>
      <c r="AB17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71">
        <v>170</v>
      </c>
      <c r="AE171" t="str">
        <f>IFERROR(INDEX(TableWRCalcPts[PLAYER],MATCH(TableWRRanks32[[#This Row],[RK]],TableWRCalcPts[RK],0)),"")</f>
        <v>Deven Thompkins</v>
      </c>
      <c r="AF171" t="str">
        <f>IFERROR(INDEX(TableWRCalcPts[TM],MATCH(TableWRRanks32[[#This Row],[Player]],TableWRCalcPts[PLAYER],0)),"")</f>
        <v>TB</v>
      </c>
      <c r="AG171">
        <f>IFERROR(INDEX(TableWRCalcPts[BYE],MATCH(TableWRRanks32[[#This Row],[Player]],TableWRCalcPts[PLAYER],0)),"")</f>
        <v>5</v>
      </c>
      <c r="AH171" s="83">
        <f>IFERROR((VLOOKUP(TableWRRanks32[[#This Row],[Player]],WR!B:O,4,FALSE)),"")</f>
        <v>0</v>
      </c>
      <c r="AI171" s="83">
        <f>IFERROR((VLOOKUP(TableWRRanks32[[#This Row],[Player]],WR!B:O,5,FALSE)),"")</f>
        <v>0</v>
      </c>
      <c r="AJ171" s="83">
        <f>IFERROR((VLOOKUP(TableWRRanks32[[#This Row],[Player]],WR!B:O,6,FALSE)),"")</f>
        <v>11.861018399999999</v>
      </c>
      <c r="AK171" s="83">
        <f>IFERROR((VLOOKUP(TableWRRanks32[[#This Row],[Player]],WR!B:O,7,FALSE)),"")</f>
        <v>6.8793906719999987</v>
      </c>
      <c r="AL171" s="83">
        <f>IFERROR((VLOOKUP(TableWRRanks32[[#This Row],[Player]],WR!B:O,8,FALSE)),"")</f>
        <v>65.560593104159977</v>
      </c>
      <c r="AM171" s="83">
        <f>IFERROR((VLOOKUP(TableWRRanks32[[#This Row],[Player]],WR!B:O,9,FALSE)),"")</f>
        <v>0.34396953359999993</v>
      </c>
      <c r="AN171" s="57">
        <f>IFERROR((IFERROR(INDEX(TableWRCalcPts[Custom],MATCH(TableWRRanks32[[#This Row],[RK]],TableWRCalcPts[RK],0)),"")),"")</f>
        <v>12.059571848015997</v>
      </c>
      <c r="AO17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2" spans="16:41" x14ac:dyDescent="0.2">
      <c r="AD172">
        <v>171</v>
      </c>
      <c r="AE172" t="str">
        <f>IFERROR(INDEX(TableWRCalcPts[PLAYER],MATCH(TableWRRanks32[[#This Row],[RK]],TableWRCalcPts[RK],0)),"")</f>
        <v>Jalen Guyton</v>
      </c>
      <c r="AF172" t="str">
        <f>IFERROR(INDEX(TableWRCalcPts[TM],MATCH(TableWRRanks32[[#This Row],[Player]],TableWRCalcPts[PLAYER],0)),"")</f>
        <v>LV</v>
      </c>
      <c r="AG172">
        <f>IFERROR(INDEX(TableWRCalcPts[BYE],MATCH(TableWRRanks32[[#This Row],[Player]],TableWRCalcPts[PLAYER],0)),"")</f>
        <v>13</v>
      </c>
      <c r="AH172" s="83">
        <f>IFERROR((VLOOKUP(TableWRRanks32[[#This Row],[Player]],WR!B:O,4,FALSE)),"")</f>
        <v>0</v>
      </c>
      <c r="AI172" s="83">
        <f>IFERROR((VLOOKUP(TableWRRanks32[[#This Row],[Player]],WR!B:O,5,FALSE)),"")</f>
        <v>0</v>
      </c>
      <c r="AJ172" s="83">
        <f>IFERROR((VLOOKUP(TableWRRanks32[[#This Row],[Player]],WR!B:O,6,FALSE)),"")</f>
        <v>8.7391499999999969</v>
      </c>
      <c r="AK172" s="83">
        <f>IFERROR((VLOOKUP(TableWRRanks32[[#This Row],[Player]],WR!B:O,7,FALSE)),"")</f>
        <v>5.0687069999999981</v>
      </c>
      <c r="AL172" s="83">
        <f>IFERROR((VLOOKUP(TableWRRanks32[[#This Row],[Player]],WR!B:O,8,FALSE)),"")</f>
        <v>69.441285899999968</v>
      </c>
      <c r="AM172" s="83">
        <f>IFERROR((VLOOKUP(TableWRRanks32[[#This Row],[Player]],WR!B:O,9,FALSE)),"")</f>
        <v>0.27877888499999992</v>
      </c>
      <c r="AN172" s="57">
        <f>IFERROR((IFERROR(INDEX(TableWRCalcPts[Custom],MATCH(TableWRRanks32[[#This Row],[RK]],TableWRCalcPts[RK],0)),"")),"")</f>
        <v>11.151155399999997</v>
      </c>
      <c r="AO17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3" spans="16:41" x14ac:dyDescent="0.2">
      <c r="AD173">
        <v>172</v>
      </c>
      <c r="AE173" t="str">
        <f>IFERROR(INDEX(TableWRCalcPts[PLAYER],MATCH(TableWRRanks32[[#This Row],[RK]],TableWRCalcPts[RK],0)),"")</f>
        <v>Johnny Wilson</v>
      </c>
      <c r="AF173" t="str">
        <f>IFERROR(INDEX(TableWRCalcPts[TM],MATCH(TableWRRanks32[[#This Row],[Player]],TableWRCalcPts[PLAYER],0)),"")</f>
        <v>PHI</v>
      </c>
      <c r="AG173">
        <f>IFERROR(INDEX(TableWRCalcPts[BYE],MATCH(TableWRRanks32[[#This Row],[Player]],TableWRCalcPts[PLAYER],0)),"")</f>
        <v>10</v>
      </c>
      <c r="AH173" s="83">
        <f>IFERROR((VLOOKUP(TableWRRanks32[[#This Row],[Player]],WR!B:O,4,FALSE)),"")</f>
        <v>0</v>
      </c>
      <c r="AI173" s="83">
        <f>IFERROR((VLOOKUP(TableWRRanks32[[#This Row],[Player]],WR!B:O,5,FALSE)),"")</f>
        <v>0</v>
      </c>
      <c r="AJ173" s="83">
        <f>IFERROR((VLOOKUP(TableWRRanks32[[#This Row],[Player]],WR!B:O,6,FALSE)),"")</f>
        <v>8.3677104000000018</v>
      </c>
      <c r="AK173" s="83">
        <f>IFERROR((VLOOKUP(TableWRRanks32[[#This Row],[Player]],WR!B:O,7,FALSE)),"")</f>
        <v>4.8616397424000004</v>
      </c>
      <c r="AL173" s="83">
        <f>IFERROR((VLOOKUP(TableWRRanks32[[#This Row],[Player]],WR!B:O,8,FALSE)),"")</f>
        <v>65.097356150736005</v>
      </c>
      <c r="AM173" s="83">
        <f>IFERROR((VLOOKUP(TableWRRanks32[[#This Row],[Player]],WR!B:O,9,FALSE)),"")</f>
        <v>0.34031478196800008</v>
      </c>
      <c r="AN173" s="57">
        <f>IFERROR((IFERROR(INDEX(TableWRCalcPts[Custom],MATCH(TableWRRanks32[[#This Row],[RK]],TableWRCalcPts[RK],0)),"")),"")</f>
        <v>10.9824441780816</v>
      </c>
      <c r="AO17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4" spans="16:41" x14ac:dyDescent="0.2">
      <c r="AD174">
        <v>173</v>
      </c>
      <c r="AE174" t="str">
        <f>IFERROR(INDEX(TableWRCalcPts[PLAYER],MATCH(TableWRRanks32[[#This Row],[RK]],TableWRCalcPts[RK],0)),"")</f>
        <v>Dyami Brown</v>
      </c>
      <c r="AF174" t="str">
        <f>IFERROR(INDEX(TableWRCalcPts[TM],MATCH(TableWRRanks32[[#This Row],[Player]],TableWRCalcPts[PLAYER],0)),"")</f>
        <v>WSH</v>
      </c>
      <c r="AG174">
        <f>IFERROR(INDEX(TableWRCalcPts[BYE],MATCH(TableWRRanks32[[#This Row],[Player]],TableWRCalcPts[PLAYER],0)),"")</f>
        <v>14</v>
      </c>
      <c r="AH174" s="83">
        <f>IFERROR((VLOOKUP(TableWRRanks32[[#This Row],[Player]],WR!B:O,4,FALSE)),"")</f>
        <v>0</v>
      </c>
      <c r="AI174" s="83">
        <f>IFERROR((VLOOKUP(TableWRRanks32[[#This Row],[Player]],WR!B:O,5,FALSE)),"")</f>
        <v>0</v>
      </c>
      <c r="AJ174" s="83">
        <f>IFERROR((VLOOKUP(TableWRRanks32[[#This Row],[Player]],WR!B:O,6,FALSE)),"")</f>
        <v>8.5451834999999985</v>
      </c>
      <c r="AK174" s="83">
        <f>IFERROR((VLOOKUP(TableWRRanks32[[#This Row],[Player]],WR!B:O,7,FALSE)),"")</f>
        <v>4.5374924384999993</v>
      </c>
      <c r="AL174" s="83">
        <f>IFERROR((VLOOKUP(TableWRRanks32[[#This Row],[Player]],WR!B:O,8,FALSE)),"")</f>
        <v>67.336387787339987</v>
      </c>
      <c r="AM174" s="83">
        <f>IFERROR((VLOOKUP(TableWRRanks32[[#This Row],[Player]],WR!B:O,9,FALSE)),"")</f>
        <v>0.31762447069499999</v>
      </c>
      <c r="AN174" s="57">
        <f>IFERROR((IFERROR(INDEX(TableWRCalcPts[Custom],MATCH(TableWRRanks32[[#This Row],[RK]],TableWRCalcPts[RK],0)),"")),"")</f>
        <v>10.908131822153999</v>
      </c>
      <c r="AO17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5" spans="16:41" x14ac:dyDescent="0.2">
      <c r="AD175">
        <v>174</v>
      </c>
      <c r="AE175" t="str">
        <f>IFERROR(INDEX(TableWRCalcPts[PLAYER],MATCH(TableWRRanks32[[#This Row],[RK]],TableWRCalcPts[RK],0)),"")</f>
        <v>Andy Isabella</v>
      </c>
      <c r="AF175" t="str">
        <f>IFERROR(INDEX(TableWRCalcPts[TM],MATCH(TableWRRanks32[[#This Row],[Player]],TableWRCalcPts[PLAYER],0)),"")</f>
        <v>BUF</v>
      </c>
      <c r="AG175">
        <f>IFERROR(INDEX(TableWRCalcPts[BYE],MATCH(TableWRRanks32[[#This Row],[Player]],TableWRCalcPts[PLAYER],0)),"")</f>
        <v>13</v>
      </c>
      <c r="AH175" s="83">
        <f>IFERROR((VLOOKUP(TableWRRanks32[[#This Row],[Player]],WR!B:O,4,FALSE)),"")</f>
        <v>0</v>
      </c>
      <c r="AI175" s="83">
        <f>IFERROR((VLOOKUP(TableWRRanks32[[#This Row],[Player]],WR!B:O,5,FALSE)),"")</f>
        <v>0</v>
      </c>
      <c r="AJ175" s="83">
        <f>IFERROR((VLOOKUP(TableWRRanks32[[#This Row],[Player]],WR!B:O,6,FALSE)),"")</f>
        <v>9.1107071999999967</v>
      </c>
      <c r="AK175" s="83">
        <f>IFERROR((VLOOKUP(TableWRRanks32[[#This Row],[Player]],WR!B:O,7,FALSE)),"")</f>
        <v>5.1019960319999988</v>
      </c>
      <c r="AL175" s="83">
        <f>IFERROR((VLOOKUP(TableWRRanks32[[#This Row],[Player]],WR!B:O,8,FALSE)),"")</f>
        <v>58.672954367999985</v>
      </c>
      <c r="AM175" s="83">
        <f>IFERROR((VLOOKUP(TableWRRanks32[[#This Row],[Player]],WR!B:O,9,FALSE)),"")</f>
        <v>0.3061197619199999</v>
      </c>
      <c r="AN175" s="57">
        <f>IFERROR((IFERROR(INDEX(TableWRCalcPts[Custom],MATCH(TableWRRanks32[[#This Row],[RK]],TableWRCalcPts[RK],0)),"")),"")</f>
        <v>10.255012024319997</v>
      </c>
      <c r="AO17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6" spans="16:41" x14ac:dyDescent="0.2">
      <c r="AD176">
        <v>175</v>
      </c>
      <c r="AE176" t="str">
        <f>IFERROR(INDEX(TableWRCalcPts[PLAYER],MATCH(TableWRRanks32[[#This Row],[RK]],TableWRCalcPts[RK],0)),"")</f>
        <v>Justin Shorter</v>
      </c>
      <c r="AF176" t="str">
        <f>IFERROR(INDEX(TableWRCalcPts[TM],MATCH(TableWRRanks32[[#This Row],[Player]],TableWRCalcPts[PLAYER],0)),"")</f>
        <v>BUF</v>
      </c>
      <c r="AG176">
        <f>IFERROR(INDEX(TableWRCalcPts[BYE],MATCH(TableWRRanks32[[#This Row],[Player]],TableWRCalcPts[PLAYER],0)),"")</f>
        <v>13</v>
      </c>
      <c r="AH176" s="83">
        <f>IFERROR((VLOOKUP(TableWRRanks32[[#This Row],[Player]],WR!B:O,4,FALSE)),"")</f>
        <v>0</v>
      </c>
      <c r="AI176" s="83">
        <f>IFERROR((VLOOKUP(TableWRRanks32[[#This Row],[Player]],WR!B:O,5,FALSE)),"")</f>
        <v>0</v>
      </c>
      <c r="AJ176" s="83">
        <f>IFERROR((VLOOKUP(TableWRRanks32[[#This Row],[Player]],WR!B:O,6,FALSE)),"")</f>
        <v>9.1107071999999967</v>
      </c>
      <c r="AK176" s="83">
        <f>IFERROR((VLOOKUP(TableWRRanks32[[#This Row],[Player]],WR!B:O,7,FALSE)),"")</f>
        <v>5.466424319999998</v>
      </c>
      <c r="AL176" s="83">
        <f>IFERROR((VLOOKUP(TableWRRanks32[[#This Row],[Player]],WR!B:O,8,FALSE)),"")</f>
        <v>57.397455359999981</v>
      </c>
      <c r="AM176" s="83">
        <f>IFERROR((VLOOKUP(TableWRRanks32[[#This Row],[Player]],WR!B:O,9,FALSE)),"")</f>
        <v>0.27332121599999992</v>
      </c>
      <c r="AN176" s="57">
        <f>IFERROR((IFERROR(INDEX(TableWRCalcPts[Custom],MATCH(TableWRRanks32[[#This Row],[RK]],TableWRCalcPts[RK],0)),"")),"")</f>
        <v>10.112884991999998</v>
      </c>
      <c r="AO17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7" spans="30:41" x14ac:dyDescent="0.2">
      <c r="AD177">
        <v>176</v>
      </c>
      <c r="AE177" t="str">
        <f>IFERROR(INDEX(TableWRCalcPts[PLAYER],MATCH(TableWRRanks32[[#This Row],[RK]],TableWRCalcPts[RK],0)),"")</f>
        <v>Ainias Smith</v>
      </c>
      <c r="AF177" t="str">
        <f>IFERROR(INDEX(TableWRCalcPts[TM],MATCH(TableWRRanks32[[#This Row],[Player]],TableWRCalcPts[PLAYER],0)),"")</f>
        <v>PHI</v>
      </c>
      <c r="AG177">
        <f>IFERROR(INDEX(TableWRCalcPts[BYE],MATCH(TableWRRanks32[[#This Row],[Player]],TableWRCalcPts[PLAYER],0)),"")</f>
        <v>10</v>
      </c>
      <c r="AH177" s="83">
        <f>IFERROR((VLOOKUP(TableWRRanks32[[#This Row],[Player]],WR!B:O,4,FALSE)),"")</f>
        <v>0</v>
      </c>
      <c r="AI177" s="83">
        <f>IFERROR((VLOOKUP(TableWRRanks32[[#This Row],[Player]],WR!B:O,5,FALSE)),"")</f>
        <v>0</v>
      </c>
      <c r="AJ177" s="83">
        <f>IFERROR((VLOOKUP(TableWRRanks32[[#This Row],[Player]],WR!B:O,6,FALSE)),"")</f>
        <v>8.3677104000000018</v>
      </c>
      <c r="AK177" s="83">
        <f>IFERROR((VLOOKUP(TableWRRanks32[[#This Row],[Player]],WR!B:O,7,FALSE)),"")</f>
        <v>5.1461418960000014</v>
      </c>
      <c r="AL177" s="83">
        <f>IFERROR((VLOOKUP(TableWRRanks32[[#This Row],[Player]],WR!B:O,8,FALSE)),"")</f>
        <v>55.526871057840012</v>
      </c>
      <c r="AM177" s="83">
        <f>IFERROR((VLOOKUP(TableWRRanks32[[#This Row],[Player]],WR!B:O,9,FALSE)),"")</f>
        <v>0.30876851376000009</v>
      </c>
      <c r="AN177" s="57">
        <f>IFERROR((IFERROR(INDEX(TableWRCalcPts[Custom],MATCH(TableWRRanks32[[#This Row],[RK]],TableWRCalcPts[RK],0)),"")),"")</f>
        <v>9.9783691363440035</v>
      </c>
      <c r="AO17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8" spans="30:41" x14ac:dyDescent="0.2">
      <c r="AD178">
        <v>177</v>
      </c>
      <c r="AE178" t="str">
        <f>IFERROR(INDEX(TableWRCalcPts[PLAYER],MATCH(TableWRRanks32[[#This Row],[RK]],TableWRCalcPts[RK],0)),"")</f>
        <v>Jha'Quan Jackson</v>
      </c>
      <c r="AF178" t="str">
        <f>IFERROR(INDEX(TableWRCalcPts[TM],MATCH(TableWRRanks32[[#This Row],[Player]],TableWRCalcPts[PLAYER],0)),"")</f>
        <v>TEN</v>
      </c>
      <c r="AG178">
        <f>IFERROR(INDEX(TableWRCalcPts[BYE],MATCH(TableWRRanks32[[#This Row],[Player]],TableWRCalcPts[PLAYER],0)),"")</f>
        <v>7</v>
      </c>
      <c r="AH178" s="83">
        <f>IFERROR((VLOOKUP(TableWRRanks32[[#This Row],[Player]],WR!B:O,4,FALSE)),"")</f>
        <v>0</v>
      </c>
      <c r="AI178" s="83">
        <f>IFERROR((VLOOKUP(TableWRRanks32[[#This Row],[Player]],WR!B:O,5,FALSE)),"")</f>
        <v>0</v>
      </c>
      <c r="AJ178" s="83">
        <f>IFERROR((VLOOKUP(TableWRRanks32[[#This Row],[Player]],WR!B:O,6,FALSE)),"")</f>
        <v>8.797288499999997</v>
      </c>
      <c r="AK178" s="83">
        <f>IFERROR((VLOOKUP(TableWRRanks32[[#This Row],[Player]],WR!B:O,7,FALSE)),"")</f>
        <v>5.0936300414999982</v>
      </c>
      <c r="AL178" s="83">
        <f>IFERROR((VLOOKUP(TableWRRanks32[[#This Row],[Player]],WR!B:O,8,FALSE)),"")</f>
        <v>56.029930456499983</v>
      </c>
      <c r="AM178" s="83">
        <f>IFERROR((VLOOKUP(TableWRRanks32[[#This Row],[Player]],WR!B:O,9,FALSE)),"")</f>
        <v>0.28014965228249988</v>
      </c>
      <c r="AN178" s="57">
        <f>IFERROR((IFERROR(INDEX(TableWRCalcPts[Custom],MATCH(TableWRRanks32[[#This Row],[RK]],TableWRCalcPts[RK],0)),"")),"")</f>
        <v>9.8307059800949972</v>
      </c>
      <c r="AO17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9" spans="30:41" x14ac:dyDescent="0.2">
      <c r="AD179">
        <v>178</v>
      </c>
      <c r="AE179" t="str">
        <f>IFERROR(INDEX(TableWRCalcPts[PLAYER],MATCH(TableWRRanks32[[#This Row],[RK]],TableWRCalcPts[RK],0)),"")</f>
        <v>Danny Gray</v>
      </c>
      <c r="AF179" t="str">
        <f>IFERROR(INDEX(TableWRCalcPts[TM],MATCH(TableWRRanks32[[#This Row],[Player]],TableWRCalcPts[PLAYER],0)),"")</f>
        <v>SF</v>
      </c>
      <c r="AG179">
        <f>IFERROR(INDEX(TableWRCalcPts[BYE],MATCH(TableWRRanks32[[#This Row],[Player]],TableWRCalcPts[PLAYER],0)),"")</f>
        <v>9</v>
      </c>
      <c r="AH179" s="83">
        <f>IFERROR((VLOOKUP(TableWRRanks32[[#This Row],[Player]],WR!B:O,4,FALSE)),"")</f>
        <v>0</v>
      </c>
      <c r="AI179" s="83">
        <f>IFERROR((VLOOKUP(TableWRRanks32[[#This Row],[Player]],WR!B:O,5,FALSE)),"")</f>
        <v>0</v>
      </c>
      <c r="AJ179" s="83">
        <f>IFERROR((VLOOKUP(TableWRRanks32[[#This Row],[Player]],WR!B:O,6,FALSE)),"")</f>
        <v>5.3253395999999995</v>
      </c>
      <c r="AK179" s="83">
        <f>IFERROR((VLOOKUP(TableWRRanks32[[#This Row],[Player]],WR!B:O,7,FALSE)),"")</f>
        <v>3.3389879291999995</v>
      </c>
      <c r="AL179" s="83">
        <f>IFERROR((VLOOKUP(TableWRRanks32[[#This Row],[Player]],WR!B:O,8,FALSE)),"")</f>
        <v>54.258553849499989</v>
      </c>
      <c r="AM179" s="83">
        <f>IFERROR((VLOOKUP(TableWRRanks32[[#This Row],[Player]],WR!B:O,9,FALSE)),"")</f>
        <v>0.25042409468999993</v>
      </c>
      <c r="AN179" s="57">
        <f>IFERROR((IFERROR(INDEX(TableWRCalcPts[Custom],MATCH(TableWRRanks32[[#This Row],[RK]],TableWRCalcPts[RK],0)),"")),"")</f>
        <v>8.5978939176899996</v>
      </c>
      <c r="AO17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80" spans="30:41" x14ac:dyDescent="0.2">
      <c r="AD180">
        <v>179</v>
      </c>
      <c r="AE180" t="str">
        <f>IFERROR(INDEX(TableWRCalcPts[PLAYER],MATCH(TableWRRanks32[[#This Row],[RK]],TableWRCalcPts[RK],0)),"")</f>
        <v>Devin Duvernay</v>
      </c>
      <c r="AF180" t="str">
        <f>IFERROR(INDEX(TableWRCalcPts[TM],MATCH(TableWRRanks32[[#This Row],[Player]],TableWRCalcPts[PLAYER],0)),"")</f>
        <v>JAX</v>
      </c>
      <c r="AG180">
        <f>IFERROR(INDEX(TableWRCalcPts[BYE],MATCH(TableWRRanks32[[#This Row],[Player]],TableWRCalcPts[PLAYER],0)),"")</f>
        <v>9</v>
      </c>
      <c r="AH180" s="83">
        <f>IFERROR((VLOOKUP(TableWRRanks32[[#This Row],[Player]],WR!B:O,4,FALSE)),"")</f>
        <v>0</v>
      </c>
      <c r="AI180" s="83">
        <f>IFERROR((VLOOKUP(TableWRRanks32[[#This Row],[Player]],WR!B:O,5,FALSE)),"")</f>
        <v>0</v>
      </c>
      <c r="AJ180" s="83">
        <f>IFERROR((VLOOKUP(TableWRRanks32[[#This Row],[Player]],WR!B:O,6,FALSE)),"")</f>
        <v>6.0425819999999977</v>
      </c>
      <c r="AK180" s="83">
        <f>IFERROR((VLOOKUP(TableWRRanks32[[#This Row],[Player]],WR!B:O,7,FALSE)),"")</f>
        <v>3.9760189559999985</v>
      </c>
      <c r="AL180" s="83">
        <f>IFERROR((VLOOKUP(TableWRRanks32[[#This Row],[Player]],WR!B:O,8,FALSE)),"")</f>
        <v>40.316832213839987</v>
      </c>
      <c r="AM180" s="83">
        <f>IFERROR((VLOOKUP(TableWRRanks32[[#This Row],[Player]],WR!B:O,9,FALSE)),"")</f>
        <v>0.2385611373599999</v>
      </c>
      <c r="AN180" s="57">
        <f>IFERROR((IFERROR(INDEX(TableWRCalcPts[Custom],MATCH(TableWRRanks32[[#This Row],[RK]],TableWRCalcPts[RK],0)),"")),"")</f>
        <v>7.4510595235439983</v>
      </c>
      <c r="AO18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81" spans="30:41" x14ac:dyDescent="0.2">
      <c r="AD181">
        <v>180</v>
      </c>
      <c r="AE181" t="str">
        <f>IFERROR(INDEX(TableWRCalcPts[PLAYER],MATCH(TableWRRanks32[[#This Row],[RK]],TableWRCalcPts[RK],0)),"")</f>
        <v>John Metchie</v>
      </c>
      <c r="AF181" t="str">
        <f>IFERROR(INDEX(TableWRCalcPts[TM],MATCH(TableWRRanks32[[#This Row],[Player]],TableWRCalcPts[PLAYER],0)),"")</f>
        <v>HOU</v>
      </c>
      <c r="AG181">
        <f>IFERROR(INDEX(TableWRCalcPts[BYE],MATCH(TableWRRanks32[[#This Row],[Player]],TableWRCalcPts[PLAYER],0)),"")</f>
        <v>7</v>
      </c>
      <c r="AH181" s="83">
        <f>IFERROR((VLOOKUP(TableWRRanks32[[#This Row],[Player]],WR!B:O,4,FALSE)),"")</f>
        <v>0</v>
      </c>
      <c r="AI181" s="83">
        <f>IFERROR((VLOOKUP(TableWRRanks32[[#This Row],[Player]],WR!B:O,5,FALSE)),"")</f>
        <v>0</v>
      </c>
      <c r="AJ181" s="83">
        <f>IFERROR((VLOOKUP(TableWRRanks32[[#This Row],[Player]],WR!B:O,6,FALSE)),"")</f>
        <v>5.9521280000000001</v>
      </c>
      <c r="AK181" s="83">
        <f>IFERROR((VLOOKUP(TableWRRanks32[[#This Row],[Player]],WR!B:O,7,FALSE)),"")</f>
        <v>3.6486544639999998</v>
      </c>
      <c r="AL181" s="83">
        <f>IFERROR((VLOOKUP(TableWRRanks32[[#This Row],[Player]],WR!B:O,8,FALSE)),"")</f>
        <v>40.317631827200003</v>
      </c>
      <c r="AM181" s="83">
        <f>IFERROR((VLOOKUP(TableWRRanks32[[#This Row],[Player]],WR!B:O,9,FALSE)),"")</f>
        <v>0.23716254015999999</v>
      </c>
      <c r="AN181" s="57">
        <f>IFERROR((IFERROR(INDEX(TableWRCalcPts[Custom],MATCH(TableWRRanks32[[#This Row],[RK]],TableWRCalcPts[RK],0)),"")),"")</f>
        <v>7.2790656556800002</v>
      </c>
      <c r="AO18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82" spans="30:41" x14ac:dyDescent="0.2">
      <c r="AD182">
        <v>181</v>
      </c>
      <c r="AE182" t="str">
        <f>IFERROR(INDEX(TableWRCalcPts[PLAYER],MATCH(TableWRRanks32[[#This Row],[RK]],TableWRCalcPts[RK],0)),"")</f>
        <v>Casey Washington</v>
      </c>
      <c r="AF182" t="str">
        <f>IFERROR(INDEX(TableWRCalcPts[TM],MATCH(TableWRRanks32[[#This Row],[Player]],TableWRCalcPts[PLAYER],0)),"")</f>
        <v>ATL</v>
      </c>
      <c r="AG182">
        <f>IFERROR(INDEX(TableWRCalcPts[BYE],MATCH(TableWRRanks32[[#This Row],[Player]],TableWRCalcPts[PLAYER],0)),"")</f>
        <v>11</v>
      </c>
      <c r="AH182" s="83">
        <f>IFERROR((VLOOKUP(TableWRRanks32[[#This Row],[Player]],WR!B:O,4,FALSE)),"")</f>
        <v>0</v>
      </c>
      <c r="AI182" s="83">
        <f>IFERROR((VLOOKUP(TableWRRanks32[[#This Row],[Player]],WR!B:O,5,FALSE)),"")</f>
        <v>0</v>
      </c>
      <c r="AJ182" s="83">
        <f>IFERROR((VLOOKUP(TableWRRanks32[[#This Row],[Player]],WR!B:O,6,FALSE)),"")</f>
        <v>5.7513455999999987</v>
      </c>
      <c r="AK182" s="83">
        <f>IFERROR((VLOOKUP(TableWRRanks32[[#This Row],[Player]],WR!B:O,7,FALSE)),"")</f>
        <v>3.7556286767999993</v>
      </c>
      <c r="AL182" s="83">
        <f>IFERROR((VLOOKUP(TableWRRanks32[[#This Row],[Player]],WR!B:O,8,FALSE)),"")</f>
        <v>36.429598164959991</v>
      </c>
      <c r="AM182" s="83">
        <f>IFERROR((VLOOKUP(TableWRRanks32[[#This Row],[Player]],WR!B:O,9,FALSE)),"")</f>
        <v>0.24411586399199997</v>
      </c>
      <c r="AN182" s="57">
        <f>IFERROR((IFERROR(INDEX(TableWRCalcPts[Custom],MATCH(TableWRRanks32[[#This Row],[RK]],TableWRCalcPts[RK],0)),"")),"")</f>
        <v>6.9854693388479987</v>
      </c>
      <c r="AO18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83" spans="30:41" x14ac:dyDescent="0.2">
      <c r="AD183">
        <v>182</v>
      </c>
      <c r="AE183" t="str">
        <f>IFERROR(INDEX(TableWRCalcPts[PLAYER],MATCH(TableWRRanks32[[#This Row],[RK]],TableWRCalcPts[RK],0)),"")</f>
        <v>David Bell</v>
      </c>
      <c r="AF183" t="str">
        <f>IFERROR(INDEX(TableWRCalcPts[TM],MATCH(TableWRRanks32[[#This Row],[Player]],TableWRCalcPts[PLAYER],0)),"")</f>
        <v>CLE</v>
      </c>
      <c r="AG183">
        <f>IFERROR(INDEX(TableWRCalcPts[BYE],MATCH(TableWRRanks32[[#This Row],[Player]],TableWRCalcPts[PLAYER],0)),"")</f>
        <v>5</v>
      </c>
      <c r="AH183" s="83">
        <f>IFERROR((VLOOKUP(TableWRRanks32[[#This Row],[Player]],WR!B:O,4,FALSE)),"")</f>
        <v>0</v>
      </c>
      <c r="AI183" s="83">
        <f>IFERROR((VLOOKUP(TableWRRanks32[[#This Row],[Player]],WR!B:O,5,FALSE)),"")</f>
        <v>0</v>
      </c>
      <c r="AJ183" s="83">
        <f>IFERROR((VLOOKUP(TableWRRanks32[[#This Row],[Player]],WR!B:O,6,FALSE)),"")</f>
        <v>5.376525</v>
      </c>
      <c r="AK183" s="83">
        <f>IFERROR((VLOOKUP(TableWRRanks32[[#This Row],[Player]],WR!B:O,7,FALSE)),"")</f>
        <v>3.6130248000000003</v>
      </c>
      <c r="AL183" s="83">
        <f>IFERROR((VLOOKUP(TableWRRanks32[[#This Row],[Player]],WR!B:O,8,FALSE)),"")</f>
        <v>36.130248000000002</v>
      </c>
      <c r="AM183" s="83">
        <f>IFERROR((VLOOKUP(TableWRRanks32[[#This Row],[Player]],WR!B:O,9,FALSE)),"")</f>
        <v>0.18065124000000002</v>
      </c>
      <c r="AN183" s="57">
        <f>IFERROR((IFERROR(INDEX(TableWRCalcPts[Custom],MATCH(TableWRRanks32[[#This Row],[RK]],TableWRCalcPts[RK],0)),"")),"")</f>
        <v>6.5034446400000006</v>
      </c>
      <c r="AO18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84" spans="30:41" x14ac:dyDescent="0.2">
      <c r="AD184">
        <v>183</v>
      </c>
      <c r="AE184" t="str">
        <f>IFERROR(INDEX(TableWRCalcPts[PLAYER],MATCH(TableWRRanks32[[#This Row],[RK]],TableWRCalcPts[RK],0)),"")</f>
        <v/>
      </c>
      <c r="AF184" t="str">
        <f>IFERROR(INDEX(TableWRCalcPts[TM],MATCH(TableWRRanks32[[#This Row],[Player]],TableWRCalcPts[PLAYER],0)),"")</f>
        <v/>
      </c>
      <c r="AG184" t="str">
        <f>IFERROR(INDEX(TableWRCalcPts[BYE],MATCH(TableWRRanks32[[#This Row],[Player]],TableWRCalcPts[PLAYER],0)),"")</f>
        <v/>
      </c>
      <c r="AH184" s="83" t="str">
        <f>IFERROR((VLOOKUP(TableWRRanks32[[#This Row],[Player]],WR!B:O,4,FALSE)),"")</f>
        <v/>
      </c>
      <c r="AI184" s="83" t="str">
        <f>IFERROR((VLOOKUP(TableWRRanks32[[#This Row],[Player]],WR!B:O,5,FALSE)),"")</f>
        <v/>
      </c>
      <c r="AJ184" s="83" t="str">
        <f>IFERROR((VLOOKUP(TableWRRanks32[[#This Row],[Player]],WR!B:O,6,FALSE)),"")</f>
        <v/>
      </c>
      <c r="AK184" s="83" t="str">
        <f>IFERROR((VLOOKUP(TableWRRanks32[[#This Row],[Player]],WR!B:O,7,FALSE)),"")</f>
        <v/>
      </c>
      <c r="AL184" s="83" t="str">
        <f>IFERROR((VLOOKUP(TableWRRanks32[[#This Row],[Player]],WR!B:O,8,FALSE)),"")</f>
        <v/>
      </c>
      <c r="AM184" s="83" t="str">
        <f>IFERROR((VLOOKUP(TableWRRanks32[[#This Row],[Player]],WR!B:O,9,FALSE)),"")</f>
        <v/>
      </c>
      <c r="AN184" s="57" t="str">
        <f>IFERROR((IFERROR(INDEX(TableWRCalcPts[Custom],MATCH(TableWRRanks32[[#This Row],[RK]],TableWRCalcPts[RK],0)),"")),"")</f>
        <v/>
      </c>
      <c r="AO18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5" spans="30:41" x14ac:dyDescent="0.2">
      <c r="AD185">
        <v>184</v>
      </c>
      <c r="AE185" t="str">
        <f>IFERROR(INDEX(TableWRCalcPts[PLAYER],MATCH(TableWRRanks32[[#This Row],[RK]],TableWRCalcPts[RK],0)),"")</f>
        <v/>
      </c>
      <c r="AF185" t="str">
        <f>IFERROR(INDEX(TableWRCalcPts[TM],MATCH(TableWRRanks32[[#This Row],[Player]],TableWRCalcPts[PLAYER],0)),"")</f>
        <v/>
      </c>
      <c r="AG185" t="str">
        <f>IFERROR(INDEX(TableWRCalcPts[BYE],MATCH(TableWRRanks32[[#This Row],[Player]],TableWRCalcPts[PLAYER],0)),"")</f>
        <v/>
      </c>
      <c r="AH185" s="83" t="str">
        <f>IFERROR((VLOOKUP(TableWRRanks32[[#This Row],[Player]],WR!B:O,4,FALSE)),"")</f>
        <v/>
      </c>
      <c r="AI185" s="83" t="str">
        <f>IFERROR((VLOOKUP(TableWRRanks32[[#This Row],[Player]],WR!B:O,5,FALSE)),"")</f>
        <v/>
      </c>
      <c r="AJ185" s="83" t="str">
        <f>IFERROR((VLOOKUP(TableWRRanks32[[#This Row],[Player]],WR!B:O,6,FALSE)),"")</f>
        <v/>
      </c>
      <c r="AK185" s="83" t="str">
        <f>IFERROR((VLOOKUP(TableWRRanks32[[#This Row],[Player]],WR!B:O,7,FALSE)),"")</f>
        <v/>
      </c>
      <c r="AL185" s="83" t="str">
        <f>IFERROR((VLOOKUP(TableWRRanks32[[#This Row],[Player]],WR!B:O,8,FALSE)),"")</f>
        <v/>
      </c>
      <c r="AM185" s="83" t="str">
        <f>IFERROR((VLOOKUP(TableWRRanks32[[#This Row],[Player]],WR!B:O,9,FALSE)),"")</f>
        <v/>
      </c>
      <c r="AN185" s="57" t="str">
        <f>IFERROR((IFERROR(INDEX(TableWRCalcPts[Custom],MATCH(TableWRRanks32[[#This Row],[RK]],TableWRCalcPts[RK],0)),"")),"")</f>
        <v/>
      </c>
      <c r="AO18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6" spans="30:41" x14ac:dyDescent="0.2">
      <c r="AD186">
        <v>185</v>
      </c>
      <c r="AE186" t="str">
        <f>IFERROR(INDEX(TableWRCalcPts[PLAYER],MATCH(TableWRRanks32[[#This Row],[RK]],TableWRCalcPts[RK],0)),"")</f>
        <v/>
      </c>
      <c r="AF186" t="str">
        <f>IFERROR(INDEX(TableWRCalcPts[TM],MATCH(TableWRRanks32[[#This Row],[Player]],TableWRCalcPts[PLAYER],0)),"")</f>
        <v/>
      </c>
      <c r="AG186" t="str">
        <f>IFERROR(INDEX(TableWRCalcPts[BYE],MATCH(TableWRRanks32[[#This Row],[Player]],TableWRCalcPts[PLAYER],0)),"")</f>
        <v/>
      </c>
      <c r="AH186" s="83" t="str">
        <f>IFERROR((VLOOKUP(TableWRRanks32[[#This Row],[Player]],WR!B:O,4,FALSE)),"")</f>
        <v/>
      </c>
      <c r="AI186" s="83" t="str">
        <f>IFERROR((VLOOKUP(TableWRRanks32[[#This Row],[Player]],WR!B:O,5,FALSE)),"")</f>
        <v/>
      </c>
      <c r="AJ186" s="83" t="str">
        <f>IFERROR((VLOOKUP(TableWRRanks32[[#This Row],[Player]],WR!B:O,6,FALSE)),"")</f>
        <v/>
      </c>
      <c r="AK186" s="83" t="str">
        <f>IFERROR((VLOOKUP(TableWRRanks32[[#This Row],[Player]],WR!B:O,7,FALSE)),"")</f>
        <v/>
      </c>
      <c r="AL186" s="83" t="str">
        <f>IFERROR((VLOOKUP(TableWRRanks32[[#This Row],[Player]],WR!B:O,8,FALSE)),"")</f>
        <v/>
      </c>
      <c r="AM186" s="83" t="str">
        <f>IFERROR((VLOOKUP(TableWRRanks32[[#This Row],[Player]],WR!B:O,9,FALSE)),"")</f>
        <v/>
      </c>
      <c r="AN186" s="57" t="str">
        <f>IFERROR((IFERROR(INDEX(TableWRCalcPts[Custom],MATCH(TableWRRanks32[[#This Row],[RK]],TableWRCalcPts[RK],0)),"")),"")</f>
        <v/>
      </c>
      <c r="AO18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7" spans="30:41" x14ac:dyDescent="0.2">
      <c r="AD187">
        <v>186</v>
      </c>
      <c r="AE187" t="str">
        <f>IFERROR(INDEX(TableWRCalcPts[PLAYER],MATCH(TableWRRanks32[[#This Row],[RK]],TableWRCalcPts[RK],0)),"")</f>
        <v/>
      </c>
      <c r="AF187" t="str">
        <f>IFERROR(INDEX(TableWRCalcPts[TM],MATCH(TableWRRanks32[[#This Row],[Player]],TableWRCalcPts[PLAYER],0)),"")</f>
        <v/>
      </c>
      <c r="AG187" t="str">
        <f>IFERROR(INDEX(TableWRCalcPts[BYE],MATCH(TableWRRanks32[[#This Row],[Player]],TableWRCalcPts[PLAYER],0)),"")</f>
        <v/>
      </c>
      <c r="AH187" s="83" t="str">
        <f>IFERROR((VLOOKUP(TableWRRanks32[[#This Row],[Player]],WR!B:O,4,FALSE)),"")</f>
        <v/>
      </c>
      <c r="AI187" s="83" t="str">
        <f>IFERROR((VLOOKUP(TableWRRanks32[[#This Row],[Player]],WR!B:O,5,FALSE)),"")</f>
        <v/>
      </c>
      <c r="AJ187" s="83" t="str">
        <f>IFERROR((VLOOKUP(TableWRRanks32[[#This Row],[Player]],WR!B:O,6,FALSE)),"")</f>
        <v/>
      </c>
      <c r="AK187" s="83" t="str">
        <f>IFERROR((VLOOKUP(TableWRRanks32[[#This Row],[Player]],WR!B:O,7,FALSE)),"")</f>
        <v/>
      </c>
      <c r="AL187" s="83" t="str">
        <f>IFERROR((VLOOKUP(TableWRRanks32[[#This Row],[Player]],WR!B:O,8,FALSE)),"")</f>
        <v/>
      </c>
      <c r="AM187" s="83" t="str">
        <f>IFERROR((VLOOKUP(TableWRRanks32[[#This Row],[Player]],WR!B:O,9,FALSE)),"")</f>
        <v/>
      </c>
      <c r="AN187" s="57" t="str">
        <f>IFERROR((IFERROR(INDEX(TableWRCalcPts[Custom],MATCH(TableWRRanks32[[#This Row],[RK]],TableWRCalcPts[RK],0)),"")),"")</f>
        <v/>
      </c>
      <c r="AO18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8" spans="30:41" x14ac:dyDescent="0.2">
      <c r="AD188">
        <v>187</v>
      </c>
      <c r="AE188" t="str">
        <f>IFERROR(INDEX(TableWRCalcPts[PLAYER],MATCH(TableWRRanks32[[#This Row],[RK]],TableWRCalcPts[RK],0)),"")</f>
        <v/>
      </c>
      <c r="AF188" t="str">
        <f>IFERROR(INDEX(TableWRCalcPts[TM],MATCH(TableWRRanks32[[#This Row],[Player]],TableWRCalcPts[PLAYER],0)),"")</f>
        <v/>
      </c>
      <c r="AG188" t="str">
        <f>IFERROR(INDEX(TableWRCalcPts[BYE],MATCH(TableWRRanks32[[#This Row],[Player]],TableWRCalcPts[PLAYER],0)),"")</f>
        <v/>
      </c>
      <c r="AH188" s="83" t="str">
        <f>IFERROR((VLOOKUP(TableWRRanks32[[#This Row],[Player]],WR!B:O,4,FALSE)),"")</f>
        <v/>
      </c>
      <c r="AI188" s="83" t="str">
        <f>IFERROR((VLOOKUP(TableWRRanks32[[#This Row],[Player]],WR!B:O,5,FALSE)),"")</f>
        <v/>
      </c>
      <c r="AJ188" s="83" t="str">
        <f>IFERROR((VLOOKUP(TableWRRanks32[[#This Row],[Player]],WR!B:O,6,FALSE)),"")</f>
        <v/>
      </c>
      <c r="AK188" s="83" t="str">
        <f>IFERROR((VLOOKUP(TableWRRanks32[[#This Row],[Player]],WR!B:O,7,FALSE)),"")</f>
        <v/>
      </c>
      <c r="AL188" s="83" t="str">
        <f>IFERROR((VLOOKUP(TableWRRanks32[[#This Row],[Player]],WR!B:O,8,FALSE)),"")</f>
        <v/>
      </c>
      <c r="AM188" s="83" t="str">
        <f>IFERROR((VLOOKUP(TableWRRanks32[[#This Row],[Player]],WR!B:O,9,FALSE)),"")</f>
        <v/>
      </c>
      <c r="AN188" s="57" t="str">
        <f>IFERROR((IFERROR(INDEX(TableWRCalcPts[Custom],MATCH(TableWRRanks32[[#This Row],[RK]],TableWRCalcPts[RK],0)),"")),"")</f>
        <v/>
      </c>
      <c r="AO18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9" spans="30:41" x14ac:dyDescent="0.2">
      <c r="AD189">
        <v>188</v>
      </c>
      <c r="AE189" t="str">
        <f>IFERROR(INDEX(TableWRCalcPts[PLAYER],MATCH(TableWRRanks32[[#This Row],[RK]],TableWRCalcPts[RK],0)),"")</f>
        <v/>
      </c>
      <c r="AF189" t="str">
        <f>IFERROR(INDEX(TableWRCalcPts[TM],MATCH(TableWRRanks32[[#This Row],[Player]],TableWRCalcPts[PLAYER],0)),"")</f>
        <v/>
      </c>
      <c r="AG189" t="str">
        <f>IFERROR(INDEX(TableWRCalcPts[BYE],MATCH(TableWRRanks32[[#This Row],[Player]],TableWRCalcPts[PLAYER],0)),"")</f>
        <v/>
      </c>
      <c r="AH189" s="83" t="str">
        <f>IFERROR((VLOOKUP(TableWRRanks32[[#This Row],[Player]],WR!B:O,4,FALSE)),"")</f>
        <v/>
      </c>
      <c r="AI189" s="83" t="str">
        <f>IFERROR((VLOOKUP(TableWRRanks32[[#This Row],[Player]],WR!B:O,5,FALSE)),"")</f>
        <v/>
      </c>
      <c r="AJ189" s="83" t="str">
        <f>IFERROR((VLOOKUP(TableWRRanks32[[#This Row],[Player]],WR!B:O,6,FALSE)),"")</f>
        <v/>
      </c>
      <c r="AK189" s="83" t="str">
        <f>IFERROR((VLOOKUP(TableWRRanks32[[#This Row],[Player]],WR!B:O,7,FALSE)),"")</f>
        <v/>
      </c>
      <c r="AL189" s="83" t="str">
        <f>IFERROR((VLOOKUP(TableWRRanks32[[#This Row],[Player]],WR!B:O,8,FALSE)),"")</f>
        <v/>
      </c>
      <c r="AM189" s="83" t="str">
        <f>IFERROR((VLOOKUP(TableWRRanks32[[#This Row],[Player]],WR!B:O,9,FALSE)),"")</f>
        <v/>
      </c>
      <c r="AN189" s="57" t="str">
        <f>IFERROR((IFERROR(INDEX(TableWRCalcPts[Custom],MATCH(TableWRRanks32[[#This Row],[RK]],TableWRCalcPts[RK],0)),"")),"")</f>
        <v/>
      </c>
      <c r="AO18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0" spans="30:41" x14ac:dyDescent="0.2">
      <c r="AD190">
        <v>189</v>
      </c>
      <c r="AE190" t="str">
        <f>IFERROR(INDEX(TableWRCalcPts[PLAYER],MATCH(TableWRRanks32[[#This Row],[RK]],TableWRCalcPts[RK],0)),"")</f>
        <v/>
      </c>
      <c r="AF190" t="str">
        <f>IFERROR(INDEX(TableWRCalcPts[TM],MATCH(TableWRRanks32[[#This Row],[Player]],TableWRCalcPts[PLAYER],0)),"")</f>
        <v/>
      </c>
      <c r="AG190" t="str">
        <f>IFERROR(INDEX(TableWRCalcPts[BYE],MATCH(TableWRRanks32[[#This Row],[Player]],TableWRCalcPts[PLAYER],0)),"")</f>
        <v/>
      </c>
      <c r="AH190" s="83" t="str">
        <f>IFERROR((VLOOKUP(TableWRRanks32[[#This Row],[Player]],WR!B:O,4,FALSE)),"")</f>
        <v/>
      </c>
      <c r="AI190" s="83" t="str">
        <f>IFERROR((VLOOKUP(TableWRRanks32[[#This Row],[Player]],WR!B:O,5,FALSE)),"")</f>
        <v/>
      </c>
      <c r="AJ190" s="83" t="str">
        <f>IFERROR((VLOOKUP(TableWRRanks32[[#This Row],[Player]],WR!B:O,6,FALSE)),"")</f>
        <v/>
      </c>
      <c r="AK190" s="83" t="str">
        <f>IFERROR((VLOOKUP(TableWRRanks32[[#This Row],[Player]],WR!B:O,7,FALSE)),"")</f>
        <v/>
      </c>
      <c r="AL190" s="83" t="str">
        <f>IFERROR((VLOOKUP(TableWRRanks32[[#This Row],[Player]],WR!B:O,8,FALSE)),"")</f>
        <v/>
      </c>
      <c r="AM190" s="83" t="str">
        <f>IFERROR((VLOOKUP(TableWRRanks32[[#This Row],[Player]],WR!B:O,9,FALSE)),"")</f>
        <v/>
      </c>
      <c r="AN190" s="57" t="str">
        <f>IFERROR((IFERROR(INDEX(TableWRCalcPts[Custom],MATCH(TableWRRanks32[[#This Row],[RK]],TableWRCalcPts[RK],0)),"")),"")</f>
        <v/>
      </c>
      <c r="AO19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1" spans="30:41" x14ac:dyDescent="0.2">
      <c r="AD191">
        <v>190</v>
      </c>
      <c r="AE191" t="str">
        <f>IFERROR(INDEX(TableWRCalcPts[PLAYER],MATCH(TableWRRanks32[[#This Row],[RK]],TableWRCalcPts[RK],0)),"")</f>
        <v/>
      </c>
      <c r="AF191" t="str">
        <f>IFERROR(INDEX(TableWRCalcPts[TM],MATCH(TableWRRanks32[[#This Row],[Player]],TableWRCalcPts[PLAYER],0)),"")</f>
        <v/>
      </c>
      <c r="AG191" t="str">
        <f>IFERROR(INDEX(TableWRCalcPts[BYE],MATCH(TableWRRanks32[[#This Row],[Player]],TableWRCalcPts[PLAYER],0)),"")</f>
        <v/>
      </c>
      <c r="AH191" s="83" t="str">
        <f>IFERROR((VLOOKUP(TableWRRanks32[[#This Row],[Player]],WR!B:O,4,FALSE)),"")</f>
        <v/>
      </c>
      <c r="AI191" s="83" t="str">
        <f>IFERROR((VLOOKUP(TableWRRanks32[[#This Row],[Player]],WR!B:O,5,FALSE)),"")</f>
        <v/>
      </c>
      <c r="AJ191" s="83" t="str">
        <f>IFERROR((VLOOKUP(TableWRRanks32[[#This Row],[Player]],WR!B:O,6,FALSE)),"")</f>
        <v/>
      </c>
      <c r="AK191" s="83" t="str">
        <f>IFERROR((VLOOKUP(TableWRRanks32[[#This Row],[Player]],WR!B:O,7,FALSE)),"")</f>
        <v/>
      </c>
      <c r="AL191" s="83" t="str">
        <f>IFERROR((VLOOKUP(TableWRRanks32[[#This Row],[Player]],WR!B:O,8,FALSE)),"")</f>
        <v/>
      </c>
      <c r="AM191" s="83" t="str">
        <f>IFERROR((VLOOKUP(TableWRRanks32[[#This Row],[Player]],WR!B:O,9,FALSE)),"")</f>
        <v/>
      </c>
      <c r="AN191" s="57" t="str">
        <f>IFERROR((IFERROR(INDEX(TableWRCalcPts[Custom],MATCH(TableWRRanks32[[#This Row],[RK]],TableWRCalcPts[RK],0)),"")),"")</f>
        <v/>
      </c>
      <c r="AO19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2" spans="30:41" x14ac:dyDescent="0.2">
      <c r="AD192">
        <v>191</v>
      </c>
      <c r="AE192" t="str">
        <f>IFERROR(INDEX(TableWRCalcPts[PLAYER],MATCH(TableWRRanks32[[#This Row],[RK]],TableWRCalcPts[RK],0)),"")</f>
        <v/>
      </c>
      <c r="AF192" t="str">
        <f>IFERROR(INDEX(TableWRCalcPts[TM],MATCH(TableWRRanks32[[#This Row],[Player]],TableWRCalcPts[PLAYER],0)),"")</f>
        <v/>
      </c>
      <c r="AG192" t="str">
        <f>IFERROR(INDEX(TableWRCalcPts[BYE],MATCH(TableWRRanks32[[#This Row],[Player]],TableWRCalcPts[PLAYER],0)),"")</f>
        <v/>
      </c>
      <c r="AH192" s="83" t="str">
        <f>IFERROR((VLOOKUP(TableWRRanks32[[#This Row],[Player]],WR!B:O,4,FALSE)),"")</f>
        <v/>
      </c>
      <c r="AI192" s="83" t="str">
        <f>IFERROR((VLOOKUP(TableWRRanks32[[#This Row],[Player]],WR!B:O,5,FALSE)),"")</f>
        <v/>
      </c>
      <c r="AJ192" s="83" t="str">
        <f>IFERROR((VLOOKUP(TableWRRanks32[[#This Row],[Player]],WR!B:O,6,FALSE)),"")</f>
        <v/>
      </c>
      <c r="AK192" s="83" t="str">
        <f>IFERROR((VLOOKUP(TableWRRanks32[[#This Row],[Player]],WR!B:O,7,FALSE)),"")</f>
        <v/>
      </c>
      <c r="AL192" s="83" t="str">
        <f>IFERROR((VLOOKUP(TableWRRanks32[[#This Row],[Player]],WR!B:O,8,FALSE)),"")</f>
        <v/>
      </c>
      <c r="AM192" s="83" t="str">
        <f>IFERROR((VLOOKUP(TableWRRanks32[[#This Row],[Player]],WR!B:O,9,FALSE)),"")</f>
        <v/>
      </c>
      <c r="AN192" s="57" t="str">
        <f>IFERROR((IFERROR(INDEX(TableWRCalcPts[Custom],MATCH(TableWRRanks32[[#This Row],[RK]],TableWRCalcPts[RK],0)),"")),"")</f>
        <v/>
      </c>
      <c r="AO19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3" spans="30:41" x14ac:dyDescent="0.2">
      <c r="AD193">
        <v>192</v>
      </c>
      <c r="AE193" t="str">
        <f>IFERROR(INDEX(TableWRCalcPts[PLAYER],MATCH(TableWRRanks32[[#This Row],[RK]],TableWRCalcPts[RK],0)),"")</f>
        <v/>
      </c>
      <c r="AF193" t="str">
        <f>IFERROR(INDEX(TableWRCalcPts[TM],MATCH(TableWRRanks32[[#This Row],[Player]],TableWRCalcPts[PLAYER],0)),"")</f>
        <v/>
      </c>
      <c r="AG193" t="str">
        <f>IFERROR(INDEX(TableWRCalcPts[BYE],MATCH(TableWRRanks32[[#This Row],[Player]],TableWRCalcPts[PLAYER],0)),"")</f>
        <v/>
      </c>
      <c r="AH193" s="83" t="str">
        <f>IFERROR((VLOOKUP(TableWRRanks32[[#This Row],[Player]],WR!B:O,4,FALSE)),"")</f>
        <v/>
      </c>
      <c r="AI193" s="83" t="str">
        <f>IFERROR((VLOOKUP(TableWRRanks32[[#This Row],[Player]],WR!B:O,5,FALSE)),"")</f>
        <v/>
      </c>
      <c r="AJ193" s="83" t="str">
        <f>IFERROR((VLOOKUP(TableWRRanks32[[#This Row],[Player]],WR!B:O,6,FALSE)),"")</f>
        <v/>
      </c>
      <c r="AK193" s="83" t="str">
        <f>IFERROR((VLOOKUP(TableWRRanks32[[#This Row],[Player]],WR!B:O,7,FALSE)),"")</f>
        <v/>
      </c>
      <c r="AL193" s="83" t="str">
        <f>IFERROR((VLOOKUP(TableWRRanks32[[#This Row],[Player]],WR!B:O,8,FALSE)),"")</f>
        <v/>
      </c>
      <c r="AM193" s="83" t="str">
        <f>IFERROR((VLOOKUP(TableWRRanks32[[#This Row],[Player]],WR!B:O,9,FALSE)),"")</f>
        <v/>
      </c>
      <c r="AN193" s="57" t="str">
        <f>IFERROR((IFERROR(INDEX(TableWRCalcPts[Custom],MATCH(TableWRRanks32[[#This Row],[RK]],TableWRCalcPts[RK],0)),"")),"")</f>
        <v/>
      </c>
      <c r="AO19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4" spans="30:41" x14ac:dyDescent="0.2">
      <c r="AD194">
        <v>193</v>
      </c>
      <c r="AE194" t="str">
        <f>IFERROR(INDEX(TableWRCalcPts[PLAYER],MATCH(TableWRRanks32[[#This Row],[RK]],TableWRCalcPts[RK],0)),"")</f>
        <v/>
      </c>
      <c r="AF194" t="str">
        <f>IFERROR(INDEX(TableWRCalcPts[TM],MATCH(TableWRRanks32[[#This Row],[Player]],TableWRCalcPts[PLAYER],0)),"")</f>
        <v/>
      </c>
      <c r="AG194" t="str">
        <f>IFERROR(INDEX(TableWRCalcPts[BYE],MATCH(TableWRRanks32[[#This Row],[Player]],TableWRCalcPts[PLAYER],0)),"")</f>
        <v/>
      </c>
      <c r="AH194" s="83" t="str">
        <f>IFERROR((VLOOKUP(TableWRRanks32[[#This Row],[Player]],WR!B:O,4,FALSE)),"")</f>
        <v/>
      </c>
      <c r="AI194" s="83" t="str">
        <f>IFERROR((VLOOKUP(TableWRRanks32[[#This Row],[Player]],WR!B:O,5,FALSE)),"")</f>
        <v/>
      </c>
      <c r="AJ194" s="83" t="str">
        <f>IFERROR((VLOOKUP(TableWRRanks32[[#This Row],[Player]],WR!B:O,6,FALSE)),"")</f>
        <v/>
      </c>
      <c r="AK194" s="83" t="str">
        <f>IFERROR((VLOOKUP(TableWRRanks32[[#This Row],[Player]],WR!B:O,7,FALSE)),"")</f>
        <v/>
      </c>
      <c r="AL194" s="83" t="str">
        <f>IFERROR((VLOOKUP(TableWRRanks32[[#This Row],[Player]],WR!B:O,8,FALSE)),"")</f>
        <v/>
      </c>
      <c r="AM194" s="83" t="str">
        <f>IFERROR((VLOOKUP(TableWRRanks32[[#This Row],[Player]],WR!B:O,9,FALSE)),"")</f>
        <v/>
      </c>
      <c r="AN194" s="57" t="str">
        <f>IFERROR((IFERROR(INDEX(TableWRCalcPts[Custom],MATCH(TableWRRanks32[[#This Row],[RK]],TableWRCalcPts[RK],0)),"")),"")</f>
        <v/>
      </c>
      <c r="AO19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5" spans="30:41" x14ac:dyDescent="0.2">
      <c r="AD195">
        <v>194</v>
      </c>
      <c r="AE195" t="str">
        <f>IFERROR(INDEX(TableWRCalcPts[PLAYER],MATCH(TableWRRanks32[[#This Row],[RK]],TableWRCalcPts[RK],0)),"")</f>
        <v/>
      </c>
      <c r="AF195" t="str">
        <f>IFERROR(INDEX(TableWRCalcPts[TM],MATCH(TableWRRanks32[[#This Row],[Player]],TableWRCalcPts[PLAYER],0)),"")</f>
        <v/>
      </c>
      <c r="AG195" t="str">
        <f>IFERROR(INDEX(TableWRCalcPts[BYE],MATCH(TableWRRanks32[[#This Row],[Player]],TableWRCalcPts[PLAYER],0)),"")</f>
        <v/>
      </c>
      <c r="AH195" s="83" t="str">
        <f>IFERROR((VLOOKUP(TableWRRanks32[[#This Row],[Player]],WR!B:O,4,FALSE)),"")</f>
        <v/>
      </c>
      <c r="AI195" s="83" t="str">
        <f>IFERROR((VLOOKUP(TableWRRanks32[[#This Row],[Player]],WR!B:O,5,FALSE)),"")</f>
        <v/>
      </c>
      <c r="AJ195" s="83" t="str">
        <f>IFERROR((VLOOKUP(TableWRRanks32[[#This Row],[Player]],WR!B:O,6,FALSE)),"")</f>
        <v/>
      </c>
      <c r="AK195" s="83" t="str">
        <f>IFERROR((VLOOKUP(TableWRRanks32[[#This Row],[Player]],WR!B:O,7,FALSE)),"")</f>
        <v/>
      </c>
      <c r="AL195" s="83" t="str">
        <f>IFERROR((VLOOKUP(TableWRRanks32[[#This Row],[Player]],WR!B:O,8,FALSE)),"")</f>
        <v/>
      </c>
      <c r="AM195" s="83" t="str">
        <f>IFERROR((VLOOKUP(TableWRRanks32[[#This Row],[Player]],WR!B:O,9,FALSE)),"")</f>
        <v/>
      </c>
      <c r="AN195" s="57" t="str">
        <f>IFERROR((IFERROR(INDEX(TableWRCalcPts[Custom],MATCH(TableWRRanks32[[#This Row],[RK]],TableWRCalcPts[RK],0)),"")),"")</f>
        <v/>
      </c>
      <c r="AO19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6" spans="30:41" x14ac:dyDescent="0.2">
      <c r="AD196">
        <v>195</v>
      </c>
      <c r="AE196" t="str">
        <f>IFERROR(INDEX(TableWRCalcPts[PLAYER],MATCH(TableWRRanks32[[#This Row],[RK]],TableWRCalcPts[RK],0)),"")</f>
        <v/>
      </c>
      <c r="AF196" t="str">
        <f>IFERROR(INDEX(TableWRCalcPts[TM],MATCH(TableWRRanks32[[#This Row],[Player]],TableWRCalcPts[PLAYER],0)),"")</f>
        <v/>
      </c>
      <c r="AG196" t="str">
        <f>IFERROR(INDEX(TableWRCalcPts[BYE],MATCH(TableWRRanks32[[#This Row],[Player]],TableWRCalcPts[PLAYER],0)),"")</f>
        <v/>
      </c>
      <c r="AH196" s="83" t="str">
        <f>IFERROR((VLOOKUP(TableWRRanks32[[#This Row],[Player]],WR!B:O,4,FALSE)),"")</f>
        <v/>
      </c>
      <c r="AI196" s="83" t="str">
        <f>IFERROR((VLOOKUP(TableWRRanks32[[#This Row],[Player]],WR!B:O,5,FALSE)),"")</f>
        <v/>
      </c>
      <c r="AJ196" s="83" t="str">
        <f>IFERROR((VLOOKUP(TableWRRanks32[[#This Row],[Player]],WR!B:O,6,FALSE)),"")</f>
        <v/>
      </c>
      <c r="AK196" s="83" t="str">
        <f>IFERROR((VLOOKUP(TableWRRanks32[[#This Row],[Player]],WR!B:O,7,FALSE)),"")</f>
        <v/>
      </c>
      <c r="AL196" s="83" t="str">
        <f>IFERROR((VLOOKUP(TableWRRanks32[[#This Row],[Player]],WR!B:O,8,FALSE)),"")</f>
        <v/>
      </c>
      <c r="AM196" s="83" t="str">
        <f>IFERROR((VLOOKUP(TableWRRanks32[[#This Row],[Player]],WR!B:O,9,FALSE)),"")</f>
        <v/>
      </c>
      <c r="AN196" s="57" t="str">
        <f>IFERROR((IFERROR(INDEX(TableWRCalcPts[Custom],MATCH(TableWRRanks32[[#This Row],[RK]],TableWRCalcPts[RK],0)),"")),"")</f>
        <v/>
      </c>
      <c r="AO19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7" spans="30:41" x14ac:dyDescent="0.2">
      <c r="AD197">
        <v>196</v>
      </c>
      <c r="AE197" t="str">
        <f>IFERROR(INDEX(TableWRCalcPts[PLAYER],MATCH(TableWRRanks32[[#This Row],[RK]],TableWRCalcPts[RK],0)),"")</f>
        <v/>
      </c>
      <c r="AF197" t="str">
        <f>IFERROR(INDEX(TableWRCalcPts[TM],MATCH(TableWRRanks32[[#This Row],[Player]],TableWRCalcPts[PLAYER],0)),"")</f>
        <v/>
      </c>
      <c r="AG197" t="str">
        <f>IFERROR(INDEX(TableWRCalcPts[BYE],MATCH(TableWRRanks32[[#This Row],[Player]],TableWRCalcPts[PLAYER],0)),"")</f>
        <v/>
      </c>
      <c r="AH197" s="83" t="str">
        <f>IFERROR((VLOOKUP(TableWRRanks32[[#This Row],[Player]],WR!B:O,4,FALSE)),"")</f>
        <v/>
      </c>
      <c r="AI197" s="83" t="str">
        <f>IFERROR((VLOOKUP(TableWRRanks32[[#This Row],[Player]],WR!B:O,5,FALSE)),"")</f>
        <v/>
      </c>
      <c r="AJ197" s="83" t="str">
        <f>IFERROR((VLOOKUP(TableWRRanks32[[#This Row],[Player]],WR!B:O,6,FALSE)),"")</f>
        <v/>
      </c>
      <c r="AK197" s="83" t="str">
        <f>IFERROR((VLOOKUP(TableWRRanks32[[#This Row],[Player]],WR!B:O,7,FALSE)),"")</f>
        <v/>
      </c>
      <c r="AL197" s="83" t="str">
        <f>IFERROR((VLOOKUP(TableWRRanks32[[#This Row],[Player]],WR!B:O,8,FALSE)),"")</f>
        <v/>
      </c>
      <c r="AM197" s="83" t="str">
        <f>IFERROR((VLOOKUP(TableWRRanks32[[#This Row],[Player]],WR!B:O,9,FALSE)),"")</f>
        <v/>
      </c>
      <c r="AN197" s="57" t="str">
        <f>IFERROR((IFERROR(INDEX(TableWRCalcPts[Custom],MATCH(TableWRRanks32[[#This Row],[RK]],TableWRCalcPts[RK],0)),"")),"")</f>
        <v/>
      </c>
      <c r="AO19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8" spans="30:41" x14ac:dyDescent="0.2">
      <c r="AD198">
        <v>197</v>
      </c>
      <c r="AE198" t="str">
        <f>IFERROR(INDEX(TableWRCalcPts[PLAYER],MATCH(TableWRRanks32[[#This Row],[RK]],TableWRCalcPts[RK],0)),"")</f>
        <v/>
      </c>
      <c r="AF198" t="str">
        <f>IFERROR(INDEX(TableWRCalcPts[TM],MATCH(TableWRRanks32[[#This Row],[Player]],TableWRCalcPts[PLAYER],0)),"")</f>
        <v/>
      </c>
      <c r="AG198" t="str">
        <f>IFERROR(INDEX(TableWRCalcPts[BYE],MATCH(TableWRRanks32[[#This Row],[Player]],TableWRCalcPts[PLAYER],0)),"")</f>
        <v/>
      </c>
      <c r="AH198" s="83" t="str">
        <f>IFERROR((VLOOKUP(TableWRRanks32[[#This Row],[Player]],WR!B:O,4,FALSE)),"")</f>
        <v/>
      </c>
      <c r="AI198" s="83" t="str">
        <f>IFERROR((VLOOKUP(TableWRRanks32[[#This Row],[Player]],WR!B:O,5,FALSE)),"")</f>
        <v/>
      </c>
      <c r="AJ198" s="83" t="str">
        <f>IFERROR((VLOOKUP(TableWRRanks32[[#This Row],[Player]],WR!B:O,6,FALSE)),"")</f>
        <v/>
      </c>
      <c r="AK198" s="83" t="str">
        <f>IFERROR((VLOOKUP(TableWRRanks32[[#This Row],[Player]],WR!B:O,7,FALSE)),"")</f>
        <v/>
      </c>
      <c r="AL198" s="83" t="str">
        <f>IFERROR((VLOOKUP(TableWRRanks32[[#This Row],[Player]],WR!B:O,8,FALSE)),"")</f>
        <v/>
      </c>
      <c r="AM198" s="83" t="str">
        <f>IFERROR((VLOOKUP(TableWRRanks32[[#This Row],[Player]],WR!B:O,9,FALSE)),"")</f>
        <v/>
      </c>
      <c r="AN198" s="57" t="str">
        <f>IFERROR((IFERROR(INDEX(TableWRCalcPts[Custom],MATCH(TableWRRanks32[[#This Row],[RK]],TableWRCalcPts[RK],0)),"")),"")</f>
        <v/>
      </c>
      <c r="AO19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9" spans="30:41" x14ac:dyDescent="0.2">
      <c r="AD199">
        <v>198</v>
      </c>
      <c r="AE199" t="str">
        <f>IFERROR(INDEX(TableWRCalcPts[PLAYER],MATCH(TableWRRanks32[[#This Row],[RK]],TableWRCalcPts[RK],0)),"")</f>
        <v/>
      </c>
      <c r="AF199" t="str">
        <f>IFERROR(INDEX(TableWRCalcPts[TM],MATCH(TableWRRanks32[[#This Row],[Player]],TableWRCalcPts[PLAYER],0)),"")</f>
        <v/>
      </c>
      <c r="AG199" t="str">
        <f>IFERROR(INDEX(TableWRCalcPts[BYE],MATCH(TableWRRanks32[[#This Row],[Player]],TableWRCalcPts[PLAYER],0)),"")</f>
        <v/>
      </c>
      <c r="AH199" s="83" t="str">
        <f>IFERROR((VLOOKUP(TableWRRanks32[[#This Row],[Player]],WR!B:O,4,FALSE)),"")</f>
        <v/>
      </c>
      <c r="AI199" s="83" t="str">
        <f>IFERROR((VLOOKUP(TableWRRanks32[[#This Row],[Player]],WR!B:O,5,FALSE)),"")</f>
        <v/>
      </c>
      <c r="AJ199" s="83" t="str">
        <f>IFERROR((VLOOKUP(TableWRRanks32[[#This Row],[Player]],WR!B:O,6,FALSE)),"")</f>
        <v/>
      </c>
      <c r="AK199" s="83" t="str">
        <f>IFERROR((VLOOKUP(TableWRRanks32[[#This Row],[Player]],WR!B:O,7,FALSE)),"")</f>
        <v/>
      </c>
      <c r="AL199" s="83" t="str">
        <f>IFERROR((VLOOKUP(TableWRRanks32[[#This Row],[Player]],WR!B:O,8,FALSE)),"")</f>
        <v/>
      </c>
      <c r="AM199" s="83" t="str">
        <f>IFERROR((VLOOKUP(TableWRRanks32[[#This Row],[Player]],WR!B:O,9,FALSE)),"")</f>
        <v/>
      </c>
      <c r="AN199" s="57" t="str">
        <f>IFERROR((IFERROR(INDEX(TableWRCalcPts[Custom],MATCH(TableWRRanks32[[#This Row],[RK]],TableWRCalcPts[RK],0)),"")),"")</f>
        <v/>
      </c>
      <c r="AO19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0" spans="30:41" x14ac:dyDescent="0.2">
      <c r="AD200">
        <v>199</v>
      </c>
      <c r="AE200" t="str">
        <f>IFERROR(INDEX(TableWRCalcPts[PLAYER],MATCH(TableWRRanks32[[#This Row],[RK]],TableWRCalcPts[RK],0)),"")</f>
        <v/>
      </c>
      <c r="AF200" t="str">
        <f>IFERROR(INDEX(TableWRCalcPts[TM],MATCH(TableWRRanks32[[#This Row],[Player]],TableWRCalcPts[PLAYER],0)),"")</f>
        <v/>
      </c>
      <c r="AG200" t="str">
        <f>IFERROR(INDEX(TableWRCalcPts[BYE],MATCH(TableWRRanks32[[#This Row],[Player]],TableWRCalcPts[PLAYER],0)),"")</f>
        <v/>
      </c>
      <c r="AH200" s="83" t="str">
        <f>IFERROR((VLOOKUP(TableWRRanks32[[#This Row],[Player]],WR!B:O,4,FALSE)),"")</f>
        <v/>
      </c>
      <c r="AI200" s="83" t="str">
        <f>IFERROR((VLOOKUP(TableWRRanks32[[#This Row],[Player]],WR!B:O,5,FALSE)),"")</f>
        <v/>
      </c>
      <c r="AJ200" s="83" t="str">
        <f>IFERROR((VLOOKUP(TableWRRanks32[[#This Row],[Player]],WR!B:O,6,FALSE)),"")</f>
        <v/>
      </c>
      <c r="AK200" s="83" t="str">
        <f>IFERROR((VLOOKUP(TableWRRanks32[[#This Row],[Player]],WR!B:O,7,FALSE)),"")</f>
        <v/>
      </c>
      <c r="AL200" s="83" t="str">
        <f>IFERROR((VLOOKUP(TableWRRanks32[[#This Row],[Player]],WR!B:O,8,FALSE)),"")</f>
        <v/>
      </c>
      <c r="AM200" s="83" t="str">
        <f>IFERROR((VLOOKUP(TableWRRanks32[[#This Row],[Player]],WR!B:O,9,FALSE)),"")</f>
        <v/>
      </c>
      <c r="AN200" s="57" t="str">
        <f>IFERROR((IFERROR(INDEX(TableWRCalcPts[Custom],MATCH(TableWRRanks32[[#This Row],[RK]],TableWRCalcPts[RK],0)),"")),"")</f>
        <v/>
      </c>
      <c r="AO20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1" spans="30:41" x14ac:dyDescent="0.2">
      <c r="AD201">
        <v>200</v>
      </c>
      <c r="AE201" t="str">
        <f>IFERROR(INDEX(TableWRCalcPts[PLAYER],MATCH(TableWRRanks32[[#This Row],[RK]],TableWRCalcPts[RK],0)),"")</f>
        <v/>
      </c>
      <c r="AF201" t="str">
        <f>IFERROR(INDEX(TableWRCalcPts[TM],MATCH(TableWRRanks32[[#This Row],[Player]],TableWRCalcPts[PLAYER],0)),"")</f>
        <v/>
      </c>
      <c r="AG201" t="str">
        <f>IFERROR(INDEX(TableWRCalcPts[BYE],MATCH(TableWRRanks32[[#This Row],[Player]],TableWRCalcPts[PLAYER],0)),"")</f>
        <v/>
      </c>
      <c r="AH201" s="83" t="str">
        <f>IFERROR((VLOOKUP(TableWRRanks32[[#This Row],[Player]],WR!B:O,4,FALSE)),"")</f>
        <v/>
      </c>
      <c r="AI201" s="83" t="str">
        <f>IFERROR((VLOOKUP(TableWRRanks32[[#This Row],[Player]],WR!B:O,5,FALSE)),"")</f>
        <v/>
      </c>
      <c r="AJ201" s="83" t="str">
        <f>IFERROR((VLOOKUP(TableWRRanks32[[#This Row],[Player]],WR!B:O,6,FALSE)),"")</f>
        <v/>
      </c>
      <c r="AK201" s="83" t="str">
        <f>IFERROR((VLOOKUP(TableWRRanks32[[#This Row],[Player]],WR!B:O,7,FALSE)),"")</f>
        <v/>
      </c>
      <c r="AL201" s="83" t="str">
        <f>IFERROR((VLOOKUP(TableWRRanks32[[#This Row],[Player]],WR!B:O,8,FALSE)),"")</f>
        <v/>
      </c>
      <c r="AM201" s="83" t="str">
        <f>IFERROR((VLOOKUP(TableWRRanks32[[#This Row],[Player]],WR!B:O,9,FALSE)),"")</f>
        <v/>
      </c>
      <c r="AN201" s="57" t="str">
        <f>IFERROR((IFERROR(INDEX(TableWRCalcPts[Custom],MATCH(TableWRRanks32[[#This Row],[RK]],TableWRCalcPts[RK],0)),"")),"")</f>
        <v/>
      </c>
      <c r="AO20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2" spans="30:41" x14ac:dyDescent="0.2">
      <c r="AD202">
        <v>201</v>
      </c>
      <c r="AE202" t="str">
        <f>IFERROR(INDEX(TableWRCalcPts[PLAYER],MATCH(TableWRRanks32[[#This Row],[RK]],TableWRCalcPts[RK],0)),"")</f>
        <v/>
      </c>
      <c r="AF202" t="str">
        <f>IFERROR(INDEX(TableWRCalcPts[TM],MATCH(TableWRRanks32[[#This Row],[Player]],TableWRCalcPts[PLAYER],0)),"")</f>
        <v/>
      </c>
      <c r="AG202" t="str">
        <f>IFERROR(INDEX(TableWRCalcPts[BYE],MATCH(TableWRRanks32[[#This Row],[Player]],TableWRCalcPts[PLAYER],0)),"")</f>
        <v/>
      </c>
      <c r="AH202" s="83" t="str">
        <f>IFERROR((VLOOKUP(TableWRRanks32[[#This Row],[Player]],WR!B:O,4,FALSE)),"")</f>
        <v/>
      </c>
      <c r="AI202" s="83" t="str">
        <f>IFERROR((VLOOKUP(TableWRRanks32[[#This Row],[Player]],WR!B:O,5,FALSE)),"")</f>
        <v/>
      </c>
      <c r="AJ202" s="83" t="str">
        <f>IFERROR((VLOOKUP(TableWRRanks32[[#This Row],[Player]],WR!B:O,6,FALSE)),"")</f>
        <v/>
      </c>
      <c r="AK202" s="83" t="str">
        <f>IFERROR((VLOOKUP(TableWRRanks32[[#This Row],[Player]],WR!B:O,7,FALSE)),"")</f>
        <v/>
      </c>
      <c r="AL202" s="83" t="str">
        <f>IFERROR((VLOOKUP(TableWRRanks32[[#This Row],[Player]],WR!B:O,8,FALSE)),"")</f>
        <v/>
      </c>
      <c r="AM202" s="83" t="str">
        <f>IFERROR((VLOOKUP(TableWRRanks32[[#This Row],[Player]],WR!B:O,9,FALSE)),"")</f>
        <v/>
      </c>
      <c r="AN202" s="57" t="str">
        <f>IFERROR((IFERROR(INDEX(TableWRCalcPts[Custom],MATCH(TableWRRanks32[[#This Row],[RK]],TableWRCalcPts[RK],0)),"")),"")</f>
        <v/>
      </c>
      <c r="AO20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3" spans="30:41" x14ac:dyDescent="0.2">
      <c r="AD203">
        <v>202</v>
      </c>
      <c r="AE203" t="str">
        <f>IFERROR(INDEX(TableWRCalcPts[PLAYER],MATCH(TableWRRanks32[[#This Row],[RK]],TableWRCalcPts[RK],0)),"")</f>
        <v/>
      </c>
      <c r="AF203" t="str">
        <f>IFERROR(INDEX(TableWRCalcPts[TM],MATCH(TableWRRanks32[[#This Row],[Player]],TableWRCalcPts[PLAYER],0)),"")</f>
        <v/>
      </c>
      <c r="AG203" t="str">
        <f>IFERROR(INDEX(TableWRCalcPts[BYE],MATCH(TableWRRanks32[[#This Row],[Player]],TableWRCalcPts[PLAYER],0)),"")</f>
        <v/>
      </c>
      <c r="AH203" s="83" t="str">
        <f>IFERROR((VLOOKUP(TableWRRanks32[[#This Row],[Player]],WR!B:O,4,FALSE)),"")</f>
        <v/>
      </c>
      <c r="AI203" s="83" t="str">
        <f>IFERROR((VLOOKUP(TableWRRanks32[[#This Row],[Player]],WR!B:O,5,FALSE)),"")</f>
        <v/>
      </c>
      <c r="AJ203" s="83" t="str">
        <f>IFERROR((VLOOKUP(TableWRRanks32[[#This Row],[Player]],WR!B:O,6,FALSE)),"")</f>
        <v/>
      </c>
      <c r="AK203" s="83" t="str">
        <f>IFERROR((VLOOKUP(TableWRRanks32[[#This Row],[Player]],WR!B:O,7,FALSE)),"")</f>
        <v/>
      </c>
      <c r="AL203" s="83" t="str">
        <f>IFERROR((VLOOKUP(TableWRRanks32[[#This Row],[Player]],WR!B:O,8,FALSE)),"")</f>
        <v/>
      </c>
      <c r="AM203" s="83" t="str">
        <f>IFERROR((VLOOKUP(TableWRRanks32[[#This Row],[Player]],WR!B:O,9,FALSE)),"")</f>
        <v/>
      </c>
      <c r="AN203" s="57" t="str">
        <f>IFERROR((IFERROR(INDEX(TableWRCalcPts[Custom],MATCH(TableWRRanks32[[#This Row],[RK]],TableWRCalcPts[RK],0)),"")),"")</f>
        <v/>
      </c>
      <c r="AO20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4" spans="30:41" x14ac:dyDescent="0.2">
      <c r="AD204">
        <v>203</v>
      </c>
      <c r="AE204" t="str">
        <f>IFERROR(INDEX(TableWRCalcPts[PLAYER],MATCH(TableWRRanks32[[#This Row],[RK]],TableWRCalcPts[RK],0)),"")</f>
        <v/>
      </c>
      <c r="AF204" t="str">
        <f>IFERROR(INDEX(TableWRCalcPts[TM],MATCH(TableWRRanks32[[#This Row],[Player]],TableWRCalcPts[PLAYER],0)),"")</f>
        <v/>
      </c>
      <c r="AG204" t="str">
        <f>IFERROR(INDEX(TableWRCalcPts[BYE],MATCH(TableWRRanks32[[#This Row],[Player]],TableWRCalcPts[PLAYER],0)),"")</f>
        <v/>
      </c>
      <c r="AH204" s="83" t="str">
        <f>IFERROR((VLOOKUP(TableWRRanks32[[#This Row],[Player]],WR!B:O,4,FALSE)),"")</f>
        <v/>
      </c>
      <c r="AI204" s="83" t="str">
        <f>IFERROR((VLOOKUP(TableWRRanks32[[#This Row],[Player]],WR!B:O,5,FALSE)),"")</f>
        <v/>
      </c>
      <c r="AJ204" s="83" t="str">
        <f>IFERROR((VLOOKUP(TableWRRanks32[[#This Row],[Player]],WR!B:O,6,FALSE)),"")</f>
        <v/>
      </c>
      <c r="AK204" s="83" t="str">
        <f>IFERROR((VLOOKUP(TableWRRanks32[[#This Row],[Player]],WR!B:O,7,FALSE)),"")</f>
        <v/>
      </c>
      <c r="AL204" s="83" t="str">
        <f>IFERROR((VLOOKUP(TableWRRanks32[[#This Row],[Player]],WR!B:O,8,FALSE)),"")</f>
        <v/>
      </c>
      <c r="AM204" s="83" t="str">
        <f>IFERROR((VLOOKUP(TableWRRanks32[[#This Row],[Player]],WR!B:O,9,FALSE)),"")</f>
        <v/>
      </c>
      <c r="AN204" s="57" t="str">
        <f>IFERROR((IFERROR(INDEX(TableWRCalcPts[Custom],MATCH(TableWRRanks32[[#This Row],[RK]],TableWRCalcPts[RK],0)),"")),"")</f>
        <v/>
      </c>
      <c r="AO20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5" spans="30:41" x14ac:dyDescent="0.2">
      <c r="AD205">
        <v>204</v>
      </c>
      <c r="AE205" t="str">
        <f>IFERROR(INDEX(TableWRCalcPts[PLAYER],MATCH(TableWRRanks32[[#This Row],[RK]],TableWRCalcPts[RK],0)),"")</f>
        <v/>
      </c>
      <c r="AF205" t="str">
        <f>IFERROR(INDEX(TableWRCalcPts[TM],MATCH(TableWRRanks32[[#This Row],[Player]],TableWRCalcPts[PLAYER],0)),"")</f>
        <v/>
      </c>
      <c r="AG205" t="str">
        <f>IFERROR(INDEX(TableWRCalcPts[BYE],MATCH(TableWRRanks32[[#This Row],[Player]],TableWRCalcPts[PLAYER],0)),"")</f>
        <v/>
      </c>
      <c r="AH205" s="83" t="str">
        <f>IFERROR((VLOOKUP(TableWRRanks32[[#This Row],[Player]],WR!B:O,4,FALSE)),"")</f>
        <v/>
      </c>
      <c r="AI205" s="83" t="str">
        <f>IFERROR((VLOOKUP(TableWRRanks32[[#This Row],[Player]],WR!B:O,5,FALSE)),"")</f>
        <v/>
      </c>
      <c r="AJ205" s="83" t="str">
        <f>IFERROR((VLOOKUP(TableWRRanks32[[#This Row],[Player]],WR!B:O,6,FALSE)),"")</f>
        <v/>
      </c>
      <c r="AK205" s="83" t="str">
        <f>IFERROR((VLOOKUP(TableWRRanks32[[#This Row],[Player]],WR!B:O,7,FALSE)),"")</f>
        <v/>
      </c>
      <c r="AL205" s="83" t="str">
        <f>IFERROR((VLOOKUP(TableWRRanks32[[#This Row],[Player]],WR!B:O,8,FALSE)),"")</f>
        <v/>
      </c>
      <c r="AM205" s="83" t="str">
        <f>IFERROR((VLOOKUP(TableWRRanks32[[#This Row],[Player]],WR!B:O,9,FALSE)),"")</f>
        <v/>
      </c>
      <c r="AN205" s="57" t="str">
        <f>IFERROR((IFERROR(INDEX(TableWRCalcPts[Custom],MATCH(TableWRRanks32[[#This Row],[RK]],TableWRCalcPts[RK],0)),"")),"")</f>
        <v/>
      </c>
      <c r="AO20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6" spans="30:41" x14ac:dyDescent="0.2">
      <c r="AD206">
        <v>205</v>
      </c>
      <c r="AE206" t="str">
        <f>IFERROR(INDEX(TableWRCalcPts[PLAYER],MATCH(TableWRRanks32[[#This Row],[RK]],TableWRCalcPts[RK],0)),"")</f>
        <v/>
      </c>
      <c r="AF206" t="str">
        <f>IFERROR(INDEX(TableWRCalcPts[TM],MATCH(TableWRRanks32[[#This Row],[Player]],TableWRCalcPts[PLAYER],0)),"")</f>
        <v/>
      </c>
      <c r="AG206" t="str">
        <f>IFERROR(INDEX(TableWRCalcPts[BYE],MATCH(TableWRRanks32[[#This Row],[Player]],TableWRCalcPts[PLAYER],0)),"")</f>
        <v/>
      </c>
      <c r="AH206" s="83" t="str">
        <f>IFERROR((VLOOKUP(TableWRRanks32[[#This Row],[Player]],WR!B:O,4,FALSE)),"")</f>
        <v/>
      </c>
      <c r="AI206" s="83" t="str">
        <f>IFERROR((VLOOKUP(TableWRRanks32[[#This Row],[Player]],WR!B:O,5,FALSE)),"")</f>
        <v/>
      </c>
      <c r="AJ206" s="83" t="str">
        <f>IFERROR((VLOOKUP(TableWRRanks32[[#This Row],[Player]],WR!B:O,6,FALSE)),"")</f>
        <v/>
      </c>
      <c r="AK206" s="83" t="str">
        <f>IFERROR((VLOOKUP(TableWRRanks32[[#This Row],[Player]],WR!B:O,7,FALSE)),"")</f>
        <v/>
      </c>
      <c r="AL206" s="83" t="str">
        <f>IFERROR((VLOOKUP(TableWRRanks32[[#This Row],[Player]],WR!B:O,8,FALSE)),"")</f>
        <v/>
      </c>
      <c r="AM206" s="83" t="str">
        <f>IFERROR((VLOOKUP(TableWRRanks32[[#This Row],[Player]],WR!B:O,9,FALSE)),"")</f>
        <v/>
      </c>
      <c r="AN206" s="57" t="str">
        <f>IFERROR((IFERROR(INDEX(TableWRCalcPts[Custom],MATCH(TableWRRanks32[[#This Row],[RK]],TableWRCalcPts[RK],0)),"")),"")</f>
        <v/>
      </c>
      <c r="AO20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7" spans="30:41" x14ac:dyDescent="0.2">
      <c r="AD207">
        <v>206</v>
      </c>
      <c r="AE207" t="str">
        <f>IFERROR(INDEX(TableWRCalcPts[PLAYER],MATCH(TableWRRanks32[[#This Row],[RK]],TableWRCalcPts[RK],0)),"")</f>
        <v/>
      </c>
      <c r="AF207" t="str">
        <f>IFERROR(INDEX(TableWRCalcPts[TM],MATCH(TableWRRanks32[[#This Row],[Player]],TableWRCalcPts[PLAYER],0)),"")</f>
        <v/>
      </c>
      <c r="AG207" t="str">
        <f>IFERROR(INDEX(TableWRCalcPts[BYE],MATCH(TableWRRanks32[[#This Row],[Player]],TableWRCalcPts[PLAYER],0)),"")</f>
        <v/>
      </c>
      <c r="AH207" s="83" t="str">
        <f>IFERROR((VLOOKUP(TableWRRanks32[[#This Row],[Player]],WR!B:O,4,FALSE)),"")</f>
        <v/>
      </c>
      <c r="AI207" s="83" t="str">
        <f>IFERROR((VLOOKUP(TableWRRanks32[[#This Row],[Player]],WR!B:O,5,FALSE)),"")</f>
        <v/>
      </c>
      <c r="AJ207" s="83" t="str">
        <f>IFERROR((VLOOKUP(TableWRRanks32[[#This Row],[Player]],WR!B:O,6,FALSE)),"")</f>
        <v/>
      </c>
      <c r="AK207" s="83" t="str">
        <f>IFERROR((VLOOKUP(TableWRRanks32[[#This Row],[Player]],WR!B:O,7,FALSE)),"")</f>
        <v/>
      </c>
      <c r="AL207" s="83" t="str">
        <f>IFERROR((VLOOKUP(TableWRRanks32[[#This Row],[Player]],WR!B:O,8,FALSE)),"")</f>
        <v/>
      </c>
      <c r="AM207" s="83" t="str">
        <f>IFERROR((VLOOKUP(TableWRRanks32[[#This Row],[Player]],WR!B:O,9,FALSE)),"")</f>
        <v/>
      </c>
      <c r="AN207" s="57" t="str">
        <f>IFERROR((IFERROR(INDEX(TableWRCalcPts[Custom],MATCH(TableWRRanks32[[#This Row],[RK]],TableWRCalcPts[RK],0)),"")),"")</f>
        <v/>
      </c>
      <c r="AO20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8" spans="30:41" x14ac:dyDescent="0.2">
      <c r="AD208">
        <v>207</v>
      </c>
      <c r="AE208" t="str">
        <f>IFERROR(INDEX(TableWRCalcPts[PLAYER],MATCH(TableWRRanks32[[#This Row],[RK]],TableWRCalcPts[RK],0)),"")</f>
        <v/>
      </c>
      <c r="AF208" t="str">
        <f>IFERROR(INDEX(TableWRCalcPts[TM],MATCH(TableWRRanks32[[#This Row],[Player]],TableWRCalcPts[PLAYER],0)),"")</f>
        <v/>
      </c>
      <c r="AG208" t="str">
        <f>IFERROR(INDEX(TableWRCalcPts[BYE],MATCH(TableWRRanks32[[#This Row],[Player]],TableWRCalcPts[PLAYER],0)),"")</f>
        <v/>
      </c>
      <c r="AH208" s="83" t="str">
        <f>IFERROR((VLOOKUP(TableWRRanks32[[#This Row],[Player]],WR!B:O,4,FALSE)),"")</f>
        <v/>
      </c>
      <c r="AI208" s="83" t="str">
        <f>IFERROR((VLOOKUP(TableWRRanks32[[#This Row],[Player]],WR!B:O,5,FALSE)),"")</f>
        <v/>
      </c>
      <c r="AJ208" s="83" t="str">
        <f>IFERROR((VLOOKUP(TableWRRanks32[[#This Row],[Player]],WR!B:O,6,FALSE)),"")</f>
        <v/>
      </c>
      <c r="AK208" s="83" t="str">
        <f>IFERROR((VLOOKUP(TableWRRanks32[[#This Row],[Player]],WR!B:O,7,FALSE)),"")</f>
        <v/>
      </c>
      <c r="AL208" s="83" t="str">
        <f>IFERROR((VLOOKUP(TableWRRanks32[[#This Row],[Player]],WR!B:O,8,FALSE)),"")</f>
        <v/>
      </c>
      <c r="AM208" s="83" t="str">
        <f>IFERROR((VLOOKUP(TableWRRanks32[[#This Row],[Player]],WR!B:O,9,FALSE)),"")</f>
        <v/>
      </c>
      <c r="AN208" s="57" t="str">
        <f>IFERROR((IFERROR(INDEX(TableWRCalcPts[Custom],MATCH(TableWRRanks32[[#This Row],[RK]],TableWRCalcPts[RK],0)),"")),"")</f>
        <v/>
      </c>
      <c r="AO20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9" spans="30:41" x14ac:dyDescent="0.2">
      <c r="AD209">
        <v>208</v>
      </c>
      <c r="AE209" t="str">
        <f>IFERROR(INDEX(TableWRCalcPts[PLAYER],MATCH(TableWRRanks32[[#This Row],[RK]],TableWRCalcPts[RK],0)),"")</f>
        <v/>
      </c>
      <c r="AF209" t="str">
        <f>IFERROR(INDEX(TableWRCalcPts[TM],MATCH(TableWRRanks32[[#This Row],[Player]],TableWRCalcPts[PLAYER],0)),"")</f>
        <v/>
      </c>
      <c r="AG209" t="str">
        <f>IFERROR(INDEX(TableWRCalcPts[BYE],MATCH(TableWRRanks32[[#This Row],[Player]],TableWRCalcPts[PLAYER],0)),"")</f>
        <v/>
      </c>
      <c r="AH209" s="83" t="str">
        <f>IFERROR((VLOOKUP(TableWRRanks32[[#This Row],[Player]],WR!B:O,4,FALSE)),"")</f>
        <v/>
      </c>
      <c r="AI209" s="83" t="str">
        <f>IFERROR((VLOOKUP(TableWRRanks32[[#This Row],[Player]],WR!B:O,5,FALSE)),"")</f>
        <v/>
      </c>
      <c r="AJ209" s="83" t="str">
        <f>IFERROR((VLOOKUP(TableWRRanks32[[#This Row],[Player]],WR!B:O,6,FALSE)),"")</f>
        <v/>
      </c>
      <c r="AK209" s="83" t="str">
        <f>IFERROR((VLOOKUP(TableWRRanks32[[#This Row],[Player]],WR!B:O,7,FALSE)),"")</f>
        <v/>
      </c>
      <c r="AL209" s="83" t="str">
        <f>IFERROR((VLOOKUP(TableWRRanks32[[#This Row],[Player]],WR!B:O,8,FALSE)),"")</f>
        <v/>
      </c>
      <c r="AM209" s="83" t="str">
        <f>IFERROR((VLOOKUP(TableWRRanks32[[#This Row],[Player]],WR!B:O,9,FALSE)),"")</f>
        <v/>
      </c>
      <c r="AN209" s="57" t="str">
        <f>IFERROR((IFERROR(INDEX(TableWRCalcPts[Custom],MATCH(TableWRRanks32[[#This Row],[RK]],TableWRCalcPts[RK],0)),"")),"")</f>
        <v/>
      </c>
      <c r="AO20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0" spans="30:41" x14ac:dyDescent="0.2">
      <c r="AD210">
        <v>209</v>
      </c>
      <c r="AE210" t="str">
        <f>IFERROR(INDEX(TableWRCalcPts[PLAYER],MATCH(TableWRRanks32[[#This Row],[RK]],TableWRCalcPts[RK],0)),"")</f>
        <v/>
      </c>
      <c r="AF210" t="str">
        <f>IFERROR(INDEX(TableWRCalcPts[TM],MATCH(TableWRRanks32[[#This Row],[Player]],TableWRCalcPts[PLAYER],0)),"")</f>
        <v/>
      </c>
      <c r="AG210" t="str">
        <f>IFERROR(INDEX(TableWRCalcPts[BYE],MATCH(TableWRRanks32[[#This Row],[Player]],TableWRCalcPts[PLAYER],0)),"")</f>
        <v/>
      </c>
      <c r="AH210" s="83" t="str">
        <f>IFERROR((VLOOKUP(TableWRRanks32[[#This Row],[Player]],WR!B:O,4,FALSE)),"")</f>
        <v/>
      </c>
      <c r="AI210" s="83" t="str">
        <f>IFERROR((VLOOKUP(TableWRRanks32[[#This Row],[Player]],WR!B:O,5,FALSE)),"")</f>
        <v/>
      </c>
      <c r="AJ210" s="83" t="str">
        <f>IFERROR((VLOOKUP(TableWRRanks32[[#This Row],[Player]],WR!B:O,6,FALSE)),"")</f>
        <v/>
      </c>
      <c r="AK210" s="83" t="str">
        <f>IFERROR((VLOOKUP(TableWRRanks32[[#This Row],[Player]],WR!B:O,7,FALSE)),"")</f>
        <v/>
      </c>
      <c r="AL210" s="83" t="str">
        <f>IFERROR((VLOOKUP(TableWRRanks32[[#This Row],[Player]],WR!B:O,8,FALSE)),"")</f>
        <v/>
      </c>
      <c r="AM210" s="83" t="str">
        <f>IFERROR((VLOOKUP(TableWRRanks32[[#This Row],[Player]],WR!B:O,9,FALSE)),"")</f>
        <v/>
      </c>
      <c r="AN210" s="57" t="str">
        <f>IFERROR((IFERROR(INDEX(TableWRCalcPts[Custom],MATCH(TableWRRanks32[[#This Row],[RK]],TableWRCalcPts[RK],0)),"")),"")</f>
        <v/>
      </c>
      <c r="AO21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1" spans="30:41" x14ac:dyDescent="0.2">
      <c r="AD211">
        <v>210</v>
      </c>
      <c r="AE211" t="str">
        <f>IFERROR(INDEX(TableWRCalcPts[PLAYER],MATCH(TableWRRanks32[[#This Row],[RK]],TableWRCalcPts[RK],0)),"")</f>
        <v/>
      </c>
      <c r="AF211" t="str">
        <f>IFERROR(INDEX(TableWRCalcPts[TM],MATCH(TableWRRanks32[[#This Row],[Player]],TableWRCalcPts[PLAYER],0)),"")</f>
        <v/>
      </c>
      <c r="AG211" t="str">
        <f>IFERROR(INDEX(TableWRCalcPts[BYE],MATCH(TableWRRanks32[[#This Row],[Player]],TableWRCalcPts[PLAYER],0)),"")</f>
        <v/>
      </c>
      <c r="AH211" s="83" t="str">
        <f>IFERROR((VLOOKUP(TableWRRanks32[[#This Row],[Player]],WR!B:O,4,FALSE)),"")</f>
        <v/>
      </c>
      <c r="AI211" s="83" t="str">
        <f>IFERROR((VLOOKUP(TableWRRanks32[[#This Row],[Player]],WR!B:O,5,FALSE)),"")</f>
        <v/>
      </c>
      <c r="AJ211" s="83" t="str">
        <f>IFERROR((VLOOKUP(TableWRRanks32[[#This Row],[Player]],WR!B:O,6,FALSE)),"")</f>
        <v/>
      </c>
      <c r="AK211" s="83" t="str">
        <f>IFERROR((VLOOKUP(TableWRRanks32[[#This Row],[Player]],WR!B:O,7,FALSE)),"")</f>
        <v/>
      </c>
      <c r="AL211" s="83" t="str">
        <f>IFERROR((VLOOKUP(TableWRRanks32[[#This Row],[Player]],WR!B:O,8,FALSE)),"")</f>
        <v/>
      </c>
      <c r="AM211" s="83" t="str">
        <f>IFERROR((VLOOKUP(TableWRRanks32[[#This Row],[Player]],WR!B:O,9,FALSE)),"")</f>
        <v/>
      </c>
      <c r="AN211" s="57" t="str">
        <f>IFERROR((IFERROR(INDEX(TableWRCalcPts[Custom],MATCH(TableWRRanks32[[#This Row],[RK]],TableWRCalcPts[RK],0)),"")),"")</f>
        <v/>
      </c>
      <c r="AO21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2" spans="30:41" x14ac:dyDescent="0.2">
      <c r="AD212">
        <v>211</v>
      </c>
      <c r="AE212" t="str">
        <f>IFERROR(INDEX(TableWRCalcPts[PLAYER],MATCH(TableWRRanks32[[#This Row],[RK]],TableWRCalcPts[RK],0)),"")</f>
        <v/>
      </c>
      <c r="AF212" t="str">
        <f>IFERROR(INDEX(TableWRCalcPts[TM],MATCH(TableWRRanks32[[#This Row],[Player]],TableWRCalcPts[PLAYER],0)),"")</f>
        <v/>
      </c>
      <c r="AG212" t="str">
        <f>IFERROR(INDEX(TableWRCalcPts[BYE],MATCH(TableWRRanks32[[#This Row],[Player]],TableWRCalcPts[PLAYER],0)),"")</f>
        <v/>
      </c>
      <c r="AH212" s="83" t="str">
        <f>IFERROR((VLOOKUP(TableWRRanks32[[#This Row],[Player]],WR!B:O,4,FALSE)),"")</f>
        <v/>
      </c>
      <c r="AI212" s="83" t="str">
        <f>IFERROR((VLOOKUP(TableWRRanks32[[#This Row],[Player]],WR!B:O,5,FALSE)),"")</f>
        <v/>
      </c>
      <c r="AJ212" s="83" t="str">
        <f>IFERROR((VLOOKUP(TableWRRanks32[[#This Row],[Player]],WR!B:O,6,FALSE)),"")</f>
        <v/>
      </c>
      <c r="AK212" s="83" t="str">
        <f>IFERROR((VLOOKUP(TableWRRanks32[[#This Row],[Player]],WR!B:O,7,FALSE)),"")</f>
        <v/>
      </c>
      <c r="AL212" s="83" t="str">
        <f>IFERROR((VLOOKUP(TableWRRanks32[[#This Row],[Player]],WR!B:O,8,FALSE)),"")</f>
        <v/>
      </c>
      <c r="AM212" s="83" t="str">
        <f>IFERROR((VLOOKUP(TableWRRanks32[[#This Row],[Player]],WR!B:O,9,FALSE)),"")</f>
        <v/>
      </c>
      <c r="AN212" s="57" t="str">
        <f>IFERROR((IFERROR(INDEX(TableWRCalcPts[Custom],MATCH(TableWRRanks32[[#This Row],[RK]],TableWRCalcPts[RK],0)),"")),"")</f>
        <v/>
      </c>
      <c r="AO21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3" spans="30:41" x14ac:dyDescent="0.2">
      <c r="AD213">
        <v>212</v>
      </c>
      <c r="AE213" t="str">
        <f>IFERROR(INDEX(TableWRCalcPts[PLAYER],MATCH(TableWRRanks32[[#This Row],[RK]],TableWRCalcPts[RK],0)),"")</f>
        <v/>
      </c>
      <c r="AF213" t="str">
        <f>IFERROR(INDEX(TableWRCalcPts[TM],MATCH(TableWRRanks32[[#This Row],[Player]],TableWRCalcPts[PLAYER],0)),"")</f>
        <v/>
      </c>
      <c r="AG213" t="str">
        <f>IFERROR(INDEX(TableWRCalcPts[BYE],MATCH(TableWRRanks32[[#This Row],[Player]],TableWRCalcPts[PLAYER],0)),"")</f>
        <v/>
      </c>
      <c r="AH213" s="83" t="str">
        <f>IFERROR((VLOOKUP(TableWRRanks32[[#This Row],[Player]],WR!B:O,4,FALSE)),"")</f>
        <v/>
      </c>
      <c r="AI213" s="83" t="str">
        <f>IFERROR((VLOOKUP(TableWRRanks32[[#This Row],[Player]],WR!B:O,5,FALSE)),"")</f>
        <v/>
      </c>
      <c r="AJ213" s="83" t="str">
        <f>IFERROR((VLOOKUP(TableWRRanks32[[#This Row],[Player]],WR!B:O,6,FALSE)),"")</f>
        <v/>
      </c>
      <c r="AK213" s="83" t="str">
        <f>IFERROR((VLOOKUP(TableWRRanks32[[#This Row],[Player]],WR!B:O,7,FALSE)),"")</f>
        <v/>
      </c>
      <c r="AL213" s="83" t="str">
        <f>IFERROR((VLOOKUP(TableWRRanks32[[#This Row],[Player]],WR!B:O,8,FALSE)),"")</f>
        <v/>
      </c>
      <c r="AM213" s="83" t="str">
        <f>IFERROR((VLOOKUP(TableWRRanks32[[#This Row],[Player]],WR!B:O,9,FALSE)),"")</f>
        <v/>
      </c>
      <c r="AN213" s="57" t="str">
        <f>IFERROR((IFERROR(INDEX(TableWRCalcPts[Custom],MATCH(TableWRRanks32[[#This Row],[RK]],TableWRCalcPts[RK],0)),"")),"")</f>
        <v/>
      </c>
      <c r="AO21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4" spans="30:41" x14ac:dyDescent="0.2">
      <c r="AD214">
        <v>213</v>
      </c>
      <c r="AE214" t="str">
        <f>IFERROR(INDEX(TableWRCalcPts[PLAYER],MATCH(TableWRRanks32[[#This Row],[RK]],TableWRCalcPts[RK],0)),"")</f>
        <v/>
      </c>
      <c r="AF214" t="str">
        <f>IFERROR(INDEX(TableWRCalcPts[TM],MATCH(TableWRRanks32[[#This Row],[Player]],TableWRCalcPts[PLAYER],0)),"")</f>
        <v/>
      </c>
      <c r="AG214" t="str">
        <f>IFERROR(INDEX(TableWRCalcPts[BYE],MATCH(TableWRRanks32[[#This Row],[Player]],TableWRCalcPts[PLAYER],0)),"")</f>
        <v/>
      </c>
      <c r="AH214" s="83" t="str">
        <f>IFERROR((VLOOKUP(TableWRRanks32[[#This Row],[Player]],WR!B:O,4,FALSE)),"")</f>
        <v/>
      </c>
      <c r="AI214" s="83" t="str">
        <f>IFERROR((VLOOKUP(TableWRRanks32[[#This Row],[Player]],WR!B:O,5,FALSE)),"")</f>
        <v/>
      </c>
      <c r="AJ214" s="83" t="str">
        <f>IFERROR((VLOOKUP(TableWRRanks32[[#This Row],[Player]],WR!B:O,6,FALSE)),"")</f>
        <v/>
      </c>
      <c r="AK214" s="83" t="str">
        <f>IFERROR((VLOOKUP(TableWRRanks32[[#This Row],[Player]],WR!B:O,7,FALSE)),"")</f>
        <v/>
      </c>
      <c r="AL214" s="83" t="str">
        <f>IFERROR((VLOOKUP(TableWRRanks32[[#This Row],[Player]],WR!B:O,8,FALSE)),"")</f>
        <v/>
      </c>
      <c r="AM214" s="83" t="str">
        <f>IFERROR((VLOOKUP(TableWRRanks32[[#This Row],[Player]],WR!B:O,9,FALSE)),"")</f>
        <v/>
      </c>
      <c r="AN214" s="57" t="str">
        <f>IFERROR((IFERROR(INDEX(TableWRCalcPts[Custom],MATCH(TableWRRanks32[[#This Row],[RK]],TableWRCalcPts[RK],0)),"")),"")</f>
        <v/>
      </c>
      <c r="AO21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5" spans="30:41" x14ac:dyDescent="0.2">
      <c r="AD215">
        <v>214</v>
      </c>
      <c r="AE215" t="str">
        <f>IFERROR(INDEX(TableWRCalcPts[PLAYER],MATCH(TableWRRanks32[[#This Row],[RK]],TableWRCalcPts[RK],0)),"")</f>
        <v/>
      </c>
      <c r="AF215" t="str">
        <f>IFERROR(INDEX(TableWRCalcPts[TM],MATCH(TableWRRanks32[[#This Row],[Player]],TableWRCalcPts[PLAYER],0)),"")</f>
        <v/>
      </c>
      <c r="AG215" t="str">
        <f>IFERROR(INDEX(TableWRCalcPts[BYE],MATCH(TableWRRanks32[[#This Row],[Player]],TableWRCalcPts[PLAYER],0)),"")</f>
        <v/>
      </c>
      <c r="AH215" s="83" t="str">
        <f>IFERROR((VLOOKUP(TableWRRanks32[[#This Row],[Player]],WR!B:O,4,FALSE)),"")</f>
        <v/>
      </c>
      <c r="AI215" s="83" t="str">
        <f>IFERROR((VLOOKUP(TableWRRanks32[[#This Row],[Player]],WR!B:O,5,FALSE)),"")</f>
        <v/>
      </c>
      <c r="AJ215" s="83" t="str">
        <f>IFERROR((VLOOKUP(TableWRRanks32[[#This Row],[Player]],WR!B:O,6,FALSE)),"")</f>
        <v/>
      </c>
      <c r="AK215" s="83" t="str">
        <f>IFERROR((VLOOKUP(TableWRRanks32[[#This Row],[Player]],WR!B:O,7,FALSE)),"")</f>
        <v/>
      </c>
      <c r="AL215" s="83" t="str">
        <f>IFERROR((VLOOKUP(TableWRRanks32[[#This Row],[Player]],WR!B:O,8,FALSE)),"")</f>
        <v/>
      </c>
      <c r="AM215" s="83" t="str">
        <f>IFERROR((VLOOKUP(TableWRRanks32[[#This Row],[Player]],WR!B:O,9,FALSE)),"")</f>
        <v/>
      </c>
      <c r="AN215" s="57" t="str">
        <f>IFERROR((IFERROR(INDEX(TableWRCalcPts[Custom],MATCH(TableWRRanks32[[#This Row],[RK]],TableWRCalcPts[RK],0)),"")),"")</f>
        <v/>
      </c>
      <c r="AO21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6" spans="30:41" x14ac:dyDescent="0.2">
      <c r="AD216">
        <v>215</v>
      </c>
      <c r="AE216" t="str">
        <f>IFERROR(INDEX(TableWRCalcPts[PLAYER],MATCH(TableWRRanks32[[#This Row],[RK]],TableWRCalcPts[RK],0)),"")</f>
        <v/>
      </c>
      <c r="AF216" t="str">
        <f>IFERROR(INDEX(TableWRCalcPts[TM],MATCH(TableWRRanks32[[#This Row],[Player]],TableWRCalcPts[PLAYER],0)),"")</f>
        <v/>
      </c>
      <c r="AG216" t="str">
        <f>IFERROR(INDEX(TableWRCalcPts[BYE],MATCH(TableWRRanks32[[#This Row],[Player]],TableWRCalcPts[PLAYER],0)),"")</f>
        <v/>
      </c>
      <c r="AH216" s="83" t="str">
        <f>IFERROR((VLOOKUP(TableWRRanks32[[#This Row],[Player]],WR!B:O,4,FALSE)),"")</f>
        <v/>
      </c>
      <c r="AI216" s="83" t="str">
        <f>IFERROR((VLOOKUP(TableWRRanks32[[#This Row],[Player]],WR!B:O,5,FALSE)),"")</f>
        <v/>
      </c>
      <c r="AJ216" s="83" t="str">
        <f>IFERROR((VLOOKUP(TableWRRanks32[[#This Row],[Player]],WR!B:O,6,FALSE)),"")</f>
        <v/>
      </c>
      <c r="AK216" s="83" t="str">
        <f>IFERROR((VLOOKUP(TableWRRanks32[[#This Row],[Player]],WR!B:O,7,FALSE)),"")</f>
        <v/>
      </c>
      <c r="AL216" s="83" t="str">
        <f>IFERROR((VLOOKUP(TableWRRanks32[[#This Row],[Player]],WR!B:O,8,FALSE)),"")</f>
        <v/>
      </c>
      <c r="AM216" s="83" t="str">
        <f>IFERROR((VLOOKUP(TableWRRanks32[[#This Row],[Player]],WR!B:O,9,FALSE)),"")</f>
        <v/>
      </c>
      <c r="AN216" s="57" t="str">
        <f>IFERROR((IFERROR(INDEX(TableWRCalcPts[Custom],MATCH(TableWRRanks32[[#This Row],[RK]],TableWRCalcPts[RK],0)),"")),"")</f>
        <v/>
      </c>
      <c r="AO21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7" spans="30:41" x14ac:dyDescent="0.2">
      <c r="AD217">
        <v>216</v>
      </c>
      <c r="AE217" t="str">
        <f>IFERROR(INDEX(TableWRCalcPts[PLAYER],MATCH(TableWRRanks32[[#This Row],[RK]],TableWRCalcPts[RK],0)),"")</f>
        <v/>
      </c>
      <c r="AF217" t="str">
        <f>IFERROR(INDEX(TableWRCalcPts[TM],MATCH(TableWRRanks32[[#This Row],[Player]],TableWRCalcPts[PLAYER],0)),"")</f>
        <v/>
      </c>
      <c r="AG217" t="str">
        <f>IFERROR(INDEX(TableWRCalcPts[BYE],MATCH(TableWRRanks32[[#This Row],[Player]],TableWRCalcPts[PLAYER],0)),"")</f>
        <v/>
      </c>
      <c r="AH217" s="83" t="str">
        <f>IFERROR((VLOOKUP(TableWRRanks32[[#This Row],[Player]],WR!B:O,4,FALSE)),"")</f>
        <v/>
      </c>
      <c r="AI217" s="83" t="str">
        <f>IFERROR((VLOOKUP(TableWRRanks32[[#This Row],[Player]],WR!B:O,5,FALSE)),"")</f>
        <v/>
      </c>
      <c r="AJ217" s="83" t="str">
        <f>IFERROR((VLOOKUP(TableWRRanks32[[#This Row],[Player]],WR!B:O,6,FALSE)),"")</f>
        <v/>
      </c>
      <c r="AK217" s="83" t="str">
        <f>IFERROR((VLOOKUP(TableWRRanks32[[#This Row],[Player]],WR!B:O,7,FALSE)),"")</f>
        <v/>
      </c>
      <c r="AL217" s="83" t="str">
        <f>IFERROR((VLOOKUP(TableWRRanks32[[#This Row],[Player]],WR!B:O,8,FALSE)),"")</f>
        <v/>
      </c>
      <c r="AM217" s="83" t="str">
        <f>IFERROR((VLOOKUP(TableWRRanks32[[#This Row],[Player]],WR!B:O,9,FALSE)),"")</f>
        <v/>
      </c>
      <c r="AN217" s="57" t="str">
        <f>IFERROR((IFERROR(INDEX(TableWRCalcPts[Custom],MATCH(TableWRRanks32[[#This Row],[RK]],TableWRCalcPts[RK],0)),"")),"")</f>
        <v/>
      </c>
      <c r="AO21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8" spans="30:41" x14ac:dyDescent="0.2">
      <c r="AD218">
        <v>217</v>
      </c>
      <c r="AE218" t="str">
        <f>IFERROR(INDEX(TableWRCalcPts[PLAYER],MATCH(TableWRRanks32[[#This Row],[RK]],TableWRCalcPts[RK],0)),"")</f>
        <v/>
      </c>
      <c r="AF218" t="str">
        <f>IFERROR(INDEX(TableWRCalcPts[TM],MATCH(TableWRRanks32[[#This Row],[Player]],TableWRCalcPts[PLAYER],0)),"")</f>
        <v/>
      </c>
      <c r="AG218" t="str">
        <f>IFERROR(INDEX(TableWRCalcPts[BYE],MATCH(TableWRRanks32[[#This Row],[Player]],TableWRCalcPts[PLAYER],0)),"")</f>
        <v/>
      </c>
      <c r="AH218" s="83" t="str">
        <f>IFERROR((VLOOKUP(TableWRRanks32[[#This Row],[Player]],WR!B:O,4,FALSE)),"")</f>
        <v/>
      </c>
      <c r="AI218" s="83" t="str">
        <f>IFERROR((VLOOKUP(TableWRRanks32[[#This Row],[Player]],WR!B:O,5,FALSE)),"")</f>
        <v/>
      </c>
      <c r="AJ218" s="83" t="str">
        <f>IFERROR((VLOOKUP(TableWRRanks32[[#This Row],[Player]],WR!B:O,6,FALSE)),"")</f>
        <v/>
      </c>
      <c r="AK218" s="83" t="str">
        <f>IFERROR((VLOOKUP(TableWRRanks32[[#This Row],[Player]],WR!B:O,7,FALSE)),"")</f>
        <v/>
      </c>
      <c r="AL218" s="83" t="str">
        <f>IFERROR((VLOOKUP(TableWRRanks32[[#This Row],[Player]],WR!B:O,8,FALSE)),"")</f>
        <v/>
      </c>
      <c r="AM218" s="83" t="str">
        <f>IFERROR((VLOOKUP(TableWRRanks32[[#This Row],[Player]],WR!B:O,9,FALSE)),"")</f>
        <v/>
      </c>
      <c r="AN218" s="57" t="str">
        <f>IFERROR((IFERROR(INDEX(TableWRCalcPts[Custom],MATCH(TableWRRanks32[[#This Row],[RK]],TableWRCalcPts[RK],0)),"")),"")</f>
        <v/>
      </c>
      <c r="AO21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9" spans="30:41" x14ac:dyDescent="0.2">
      <c r="AD219">
        <v>218</v>
      </c>
      <c r="AE219" t="str">
        <f>IFERROR(INDEX(TableWRCalcPts[PLAYER],MATCH(TableWRRanks32[[#This Row],[RK]],TableWRCalcPts[RK],0)),"")</f>
        <v/>
      </c>
      <c r="AF219" t="str">
        <f>IFERROR(INDEX(TableWRCalcPts[TM],MATCH(TableWRRanks32[[#This Row],[Player]],TableWRCalcPts[PLAYER],0)),"")</f>
        <v/>
      </c>
      <c r="AG219" t="str">
        <f>IFERROR(INDEX(TableWRCalcPts[BYE],MATCH(TableWRRanks32[[#This Row],[Player]],TableWRCalcPts[PLAYER],0)),"")</f>
        <v/>
      </c>
      <c r="AH219" s="83" t="str">
        <f>IFERROR((VLOOKUP(TableWRRanks32[[#This Row],[Player]],WR!B:O,4,FALSE)),"")</f>
        <v/>
      </c>
      <c r="AI219" s="83" t="str">
        <f>IFERROR((VLOOKUP(TableWRRanks32[[#This Row],[Player]],WR!B:O,5,FALSE)),"")</f>
        <v/>
      </c>
      <c r="AJ219" s="83" t="str">
        <f>IFERROR((VLOOKUP(TableWRRanks32[[#This Row],[Player]],WR!B:O,6,FALSE)),"")</f>
        <v/>
      </c>
      <c r="AK219" s="83" t="str">
        <f>IFERROR((VLOOKUP(TableWRRanks32[[#This Row],[Player]],WR!B:O,7,FALSE)),"")</f>
        <v/>
      </c>
      <c r="AL219" s="83" t="str">
        <f>IFERROR((VLOOKUP(TableWRRanks32[[#This Row],[Player]],WR!B:O,8,FALSE)),"")</f>
        <v/>
      </c>
      <c r="AM219" s="83" t="str">
        <f>IFERROR((VLOOKUP(TableWRRanks32[[#This Row],[Player]],WR!B:O,9,FALSE)),"")</f>
        <v/>
      </c>
      <c r="AN219" s="57" t="str">
        <f>IFERROR((IFERROR(INDEX(TableWRCalcPts[Custom],MATCH(TableWRRanks32[[#This Row],[RK]],TableWRCalcPts[RK],0)),"")),"")</f>
        <v/>
      </c>
      <c r="AO21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20" spans="30:41" x14ac:dyDescent="0.2">
      <c r="AD220">
        <v>219</v>
      </c>
      <c r="AE220" t="str">
        <f>IFERROR(INDEX(TableWRCalcPts[PLAYER],MATCH(TableWRRanks32[[#This Row],[RK]],TableWRCalcPts[RK],0)),"")</f>
        <v/>
      </c>
      <c r="AF220" t="str">
        <f>IFERROR(INDEX(TableWRCalcPts[TM],MATCH(TableWRRanks32[[#This Row],[Player]],TableWRCalcPts[PLAYER],0)),"")</f>
        <v/>
      </c>
      <c r="AG220" t="str">
        <f>IFERROR(INDEX(TableWRCalcPts[BYE],MATCH(TableWRRanks32[[#This Row],[Player]],TableWRCalcPts[PLAYER],0)),"")</f>
        <v/>
      </c>
      <c r="AH220" s="83" t="str">
        <f>IFERROR((VLOOKUP(TableWRRanks32[[#This Row],[Player]],WR!B:O,4,FALSE)),"")</f>
        <v/>
      </c>
      <c r="AI220" s="83" t="str">
        <f>IFERROR((VLOOKUP(TableWRRanks32[[#This Row],[Player]],WR!B:O,5,FALSE)),"")</f>
        <v/>
      </c>
      <c r="AJ220" s="83" t="str">
        <f>IFERROR((VLOOKUP(TableWRRanks32[[#This Row],[Player]],WR!B:O,6,FALSE)),"")</f>
        <v/>
      </c>
      <c r="AK220" s="83" t="str">
        <f>IFERROR((VLOOKUP(TableWRRanks32[[#This Row],[Player]],WR!B:O,7,FALSE)),"")</f>
        <v/>
      </c>
      <c r="AL220" s="83" t="str">
        <f>IFERROR((VLOOKUP(TableWRRanks32[[#This Row],[Player]],WR!B:O,8,FALSE)),"")</f>
        <v/>
      </c>
      <c r="AM220" s="83" t="str">
        <f>IFERROR((VLOOKUP(TableWRRanks32[[#This Row],[Player]],WR!B:O,9,FALSE)),"")</f>
        <v/>
      </c>
      <c r="AN220" s="57" t="str">
        <f>IFERROR((IFERROR(INDEX(TableWRCalcPts[Custom],MATCH(TableWRRanks32[[#This Row],[RK]],TableWRCalcPts[RK],0)),"")),"")</f>
        <v/>
      </c>
      <c r="AO22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21" spans="30:41" x14ac:dyDescent="0.2">
      <c r="AD221">
        <v>220</v>
      </c>
      <c r="AE221" t="str">
        <f>IFERROR(INDEX(TableWRCalcPts[PLAYER],MATCH(TableWRRanks32[[#This Row],[RK]],TableWRCalcPts[RK],0)),"")</f>
        <v/>
      </c>
      <c r="AF221" t="str">
        <f>IFERROR(INDEX(TableWRCalcPts[TM],MATCH(TableWRRanks32[[#This Row],[Player]],TableWRCalcPts[PLAYER],0)),"")</f>
        <v/>
      </c>
      <c r="AG221" t="str">
        <f>IFERROR(INDEX(TableWRCalcPts[BYE],MATCH(TableWRRanks32[[#This Row],[Player]],TableWRCalcPts[PLAYER],0)),"")</f>
        <v/>
      </c>
      <c r="AH221" s="83" t="str">
        <f>IFERROR((VLOOKUP(TableWRRanks32[[#This Row],[Player]],WR!B:O,4,FALSE)),"")</f>
        <v/>
      </c>
      <c r="AI221" s="83" t="str">
        <f>IFERROR((VLOOKUP(TableWRRanks32[[#This Row],[Player]],WR!B:O,5,FALSE)),"")</f>
        <v/>
      </c>
      <c r="AJ221" s="83" t="str">
        <f>IFERROR((VLOOKUP(TableWRRanks32[[#This Row],[Player]],WR!B:O,6,FALSE)),"")</f>
        <v/>
      </c>
      <c r="AK221" s="83" t="str">
        <f>IFERROR((VLOOKUP(TableWRRanks32[[#This Row],[Player]],WR!B:O,7,FALSE)),"")</f>
        <v/>
      </c>
      <c r="AL221" s="83" t="str">
        <f>IFERROR((VLOOKUP(TableWRRanks32[[#This Row],[Player]],WR!B:O,8,FALSE)),"")</f>
        <v/>
      </c>
      <c r="AM221" s="83" t="str">
        <f>IFERROR((VLOOKUP(TableWRRanks32[[#This Row],[Player]],WR!B:O,9,FALSE)),"")</f>
        <v/>
      </c>
      <c r="AN221" s="57" t="str">
        <f>IFERROR((IFERROR(INDEX(TableWRCalcPts[Custom],MATCH(TableWRRanks32[[#This Row],[RK]],TableWRCalcPts[RK],0)),"")),"")</f>
        <v/>
      </c>
      <c r="AO22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</sheetData>
  <sheetProtection sheet="1" objects="1" scenarios="1" sort="0" autoFilter="0"/>
  <protectedRanges>
    <protectedRange sqref="A1:AZ239" name="QBRanks"/>
  </protectedRanges>
  <phoneticPr fontId="19" type="noConversion"/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08EC-336D-4D08-961A-CD8DE66441FB}">
  <sheetPr>
    <tabColor rgb="FFFFD69F"/>
  </sheetPr>
  <dimension ref="A1:AZ221"/>
  <sheetViews>
    <sheetView showGridLines="0" zoomScale="85" zoomScaleNormal="85" workbookViewId="0">
      <selection activeCell="B15" sqref="B15"/>
    </sheetView>
  </sheetViews>
  <sheetFormatPr baseColWidth="10" defaultColWidth="9" defaultRowHeight="14" x14ac:dyDescent="0.2"/>
  <cols>
    <col min="1" max="1" width="3.59765625" bestFit="1" customWidth="1"/>
    <col min="2" max="2" width="19.59765625" bestFit="1" customWidth="1"/>
    <col min="3" max="3" width="5.19921875" bestFit="1" customWidth="1"/>
    <col min="4" max="4" width="4.19921875" bestFit="1" customWidth="1"/>
    <col min="5" max="12" width="6.796875" style="83" customWidth="1"/>
    <col min="13" max="13" width="7.796875" bestFit="1" customWidth="1"/>
    <col min="14" max="14" width="5.796875" bestFit="1" customWidth="1"/>
    <col min="15" max="15" width="5.796875" customWidth="1"/>
    <col min="16" max="16" width="4.19921875" bestFit="1" customWidth="1"/>
    <col min="17" max="17" width="22.19921875" bestFit="1" customWidth="1"/>
    <col min="18" max="18" width="5.19921875" bestFit="1" customWidth="1"/>
    <col min="19" max="19" width="4.19921875" bestFit="1" customWidth="1"/>
    <col min="20" max="26" width="6.796875" style="83" customWidth="1"/>
    <col min="27" max="27" width="7.796875" bestFit="1" customWidth="1"/>
    <col min="28" max="28" width="5.796875" bestFit="1" customWidth="1"/>
    <col min="29" max="29" width="5.796875" customWidth="1"/>
    <col min="30" max="30" width="4.19921875" bestFit="1" customWidth="1"/>
    <col min="31" max="31" width="25.59765625" bestFit="1" customWidth="1"/>
    <col min="32" max="32" width="5.19921875" bestFit="1" customWidth="1"/>
    <col min="33" max="33" width="4.19921875" bestFit="1" customWidth="1"/>
    <col min="34" max="39" width="6.796875" style="83" customWidth="1"/>
    <col min="40" max="40" width="7.796875" bestFit="1" customWidth="1"/>
    <col min="41" max="41" width="5.796875" bestFit="1" customWidth="1"/>
    <col min="42" max="42" width="5.796875" customWidth="1"/>
    <col min="43" max="43" width="4.19921875" bestFit="1" customWidth="1"/>
    <col min="44" max="44" width="21.3984375" bestFit="1" customWidth="1"/>
    <col min="45" max="45" width="5.19921875" bestFit="1" customWidth="1"/>
    <col min="46" max="46" width="4.19921875" customWidth="1"/>
    <col min="47" max="50" width="6.796875" style="83" customWidth="1"/>
    <col min="51" max="51" width="7.796875" bestFit="1" customWidth="1"/>
    <col min="52" max="52" width="5.796875" bestFit="1" customWidth="1"/>
  </cols>
  <sheetData>
    <row r="1" spans="1:52" s="6" customFormat="1" ht="45" x14ac:dyDescent="0.2">
      <c r="A1" s="130" t="s">
        <v>142</v>
      </c>
      <c r="B1" s="130" t="s">
        <v>340</v>
      </c>
      <c r="C1" s="130" t="s">
        <v>92</v>
      </c>
      <c r="D1" s="130" t="s">
        <v>128</v>
      </c>
      <c r="E1" s="131" t="s">
        <v>225</v>
      </c>
      <c r="F1" s="131" t="s">
        <v>1</v>
      </c>
      <c r="G1" s="131" t="s">
        <v>228</v>
      </c>
      <c r="H1" s="131" t="s">
        <v>243</v>
      </c>
      <c r="I1" s="131" t="s">
        <v>2</v>
      </c>
      <c r="J1" s="131" t="s">
        <v>244</v>
      </c>
      <c r="K1" s="131" t="s">
        <v>232</v>
      </c>
      <c r="L1" s="131" t="s">
        <v>245</v>
      </c>
      <c r="M1" s="130" t="s">
        <v>123</v>
      </c>
      <c r="N1" s="130" t="s">
        <v>310</v>
      </c>
      <c r="O1" s="128"/>
      <c r="P1" s="130" t="s">
        <v>142</v>
      </c>
      <c r="Q1" s="130" t="s">
        <v>340</v>
      </c>
      <c r="R1" s="130" t="s">
        <v>92</v>
      </c>
      <c r="S1" s="130" t="s">
        <v>128</v>
      </c>
      <c r="T1" s="131" t="s">
        <v>244</v>
      </c>
      <c r="U1" s="131" t="s">
        <v>232</v>
      </c>
      <c r="V1" s="131" t="s">
        <v>245</v>
      </c>
      <c r="W1" s="131" t="s">
        <v>479</v>
      </c>
      <c r="X1" s="131" t="s">
        <v>4</v>
      </c>
      <c r="Y1" s="131" t="s">
        <v>238</v>
      </c>
      <c r="Z1" s="131" t="s">
        <v>246</v>
      </c>
      <c r="AA1" s="130" t="s">
        <v>123</v>
      </c>
      <c r="AB1" s="130" t="s">
        <v>310</v>
      </c>
      <c r="AC1" s="128"/>
      <c r="AD1" s="130" t="s">
        <v>142</v>
      </c>
      <c r="AE1" s="130" t="s">
        <v>340</v>
      </c>
      <c r="AF1" s="130" t="s">
        <v>92</v>
      </c>
      <c r="AG1" s="130" t="s">
        <v>128</v>
      </c>
      <c r="AH1" s="131" t="s">
        <v>232</v>
      </c>
      <c r="AI1" s="131" t="s">
        <v>245</v>
      </c>
      <c r="AJ1" s="131" t="s">
        <v>479</v>
      </c>
      <c r="AK1" s="131" t="s">
        <v>4</v>
      </c>
      <c r="AL1" s="131" t="s">
        <v>238</v>
      </c>
      <c r="AM1" s="131" t="s">
        <v>246</v>
      </c>
      <c r="AN1" s="130" t="s">
        <v>123</v>
      </c>
      <c r="AO1" s="130" t="s">
        <v>310</v>
      </c>
      <c r="AP1" s="128"/>
      <c r="AQ1" s="130" t="s">
        <v>142</v>
      </c>
      <c r="AR1" s="130" t="s">
        <v>340</v>
      </c>
      <c r="AS1" s="130" t="s">
        <v>92</v>
      </c>
      <c r="AT1" s="130" t="s">
        <v>128</v>
      </c>
      <c r="AU1" s="131" t="s">
        <v>479</v>
      </c>
      <c r="AV1" s="131" t="s">
        <v>4</v>
      </c>
      <c r="AW1" s="131" t="s">
        <v>238</v>
      </c>
      <c r="AX1" s="131" t="s">
        <v>246</v>
      </c>
      <c r="AY1" s="130" t="s">
        <v>123</v>
      </c>
      <c r="AZ1" s="130" t="s">
        <v>310</v>
      </c>
    </row>
    <row r="2" spans="1:52" x14ac:dyDescent="0.2">
      <c r="A2">
        <v>1</v>
      </c>
      <c r="B2" t="str">
        <f>VLOOKUP(TableQBRanks3040[[#This Row],[RK]],Rankings!A:T,3,FALSE)</f>
        <v>Josh Allen</v>
      </c>
      <c r="C2" t="str">
        <f>IFERROR(INDEX(TableQBCalcPts[TM],MATCH(TableQBRanks3040[[#This Row],[Player]],TableQBCalcPts[PLAYER],0)),"")</f>
        <v>BUF</v>
      </c>
      <c r="D2">
        <f>IFERROR(INDEX(TableQBCalcPts[BYE],MATCH(TableQBRanks3040[[#This Row],[Player]],TableQBCalcPts[PLAYER],0)),"")</f>
        <v>13</v>
      </c>
      <c r="E2" s="83">
        <f>VLOOKUP(TableQBRanks3040[[#This Row],[Player]],QB!B:O,4,FALSE)</f>
        <v>613.57823999999994</v>
      </c>
      <c r="F2" s="83">
        <f>VLOOKUP(TableQBRanks3040[[#This Row],[Player]],QB!B:O,5,FALSE)</f>
        <v>396.37154303999995</v>
      </c>
      <c r="G2" s="83">
        <f>VLOOKUP(TableQBRanks3040[[#This Row],[Player]],QB!B:O,6,FALSE)</f>
        <v>4439.3612820479993</v>
      </c>
      <c r="H2" s="83">
        <f>VLOOKUP(TableQBRanks3040[[#This Row],[Player]],QB!B:O,7,FALSE)</f>
        <v>30.065333759999998</v>
      </c>
      <c r="I2" s="83">
        <f>VLOOKUP(TableQBRanks3040[[#This Row],[Player]],QB!B:O,8,FALSE)</f>
        <v>8.7201739468799992</v>
      </c>
      <c r="J2" s="83">
        <f>VLOOKUP(TableQBRanks3040[[#This Row],[Player]],QB!B:O,9,FALSE)</f>
        <v>116.24587520000003</v>
      </c>
      <c r="K2" s="83">
        <f>VLOOKUP(TableQBRanks3040[[#This Row],[Player]],QB!B:O,10,FALSE)</f>
        <v>599.82871603200022</v>
      </c>
      <c r="L2" s="83">
        <f>VLOOKUP(TableQBRanks3040[[#This Row],[Player]],QB!B:O,11,FALSE)</f>
        <v>7.788473638400002</v>
      </c>
      <c r="M2" s="57">
        <f>VLOOKUP(TableQBRanks3040[[#This Row],[Player]],QB!B:O,13,FALSE)</f>
        <v>395.82932580863996</v>
      </c>
      <c r="N2" s="125">
        <f>IF(VLOOKUP(TableQBRanks3040[[#This Row],[RK]],'Ranks w Proj'!$A:$N,14,FALSE)&lt;0,0,VLOOKUP(TableQBRanks3040[[#This Row],[RK]],'Ranks w Proj'!$A:$N,14,FALSE))</f>
        <v>37.902701833023727</v>
      </c>
      <c r="P2">
        <v>1</v>
      </c>
      <c r="Q2" t="str">
        <f>VLOOKUP(TableRBRanks3141[[#This Row],[RK]],Rankings!A:T,8,FALSE)</f>
        <v>Christian McCaffrey</v>
      </c>
      <c r="R2" t="str">
        <f>IFERROR(INDEX(TableRBCalcPts[TM],MATCH(TableRBRanks3141[[#This Row],[Player]],TableRBCalcPts[PLAYER],0)),"")</f>
        <v>SF</v>
      </c>
      <c r="S2">
        <f>IFERROR(INDEX(TableRBCalcPts[BYE],MATCH(TableRBRanks3141[[#This Row],[Player]],TableRBCalcPts[PLAYER],0)),"")</f>
        <v>9</v>
      </c>
      <c r="T2" s="83">
        <f>VLOOKUP(TableRBRanks3141[[#This Row],[Player]],RB!B:O,4,FALSE)</f>
        <v>219.44071799999998</v>
      </c>
      <c r="U2" s="83">
        <f>VLOOKUP(TableRBRanks3141[[#This Row],[Player]],RB!B:O,5,FALSE)</f>
        <v>1059.89866794</v>
      </c>
      <c r="V2" s="83">
        <f>VLOOKUP(TableRBRanks3141[[#This Row],[Player]],RB!B:O,6,FALSE)</f>
        <v>11.849798771999998</v>
      </c>
      <c r="W2" s="83">
        <f>VLOOKUP(TableRBRanks3141[[#This Row],[Player]],RB!B:O,7,FALSE)</f>
        <v>90.530773199999985</v>
      </c>
      <c r="X2" s="83">
        <f>VLOOKUP(TableRBRanks3141[[#This Row],[Player]],RB!B:O,8,FALSE)</f>
        <v>72.424618559999985</v>
      </c>
      <c r="Y2" s="83">
        <f>VLOOKUP(TableRBRanks3141[[#This Row],[Player]],RB!B:O,9,FALSE)</f>
        <v>600.4000878623998</v>
      </c>
      <c r="Z2" s="83">
        <f>VLOOKUP(TableRBRanks3141[[#This Row],[Player]],RB!B:O,10,FALSE)</f>
        <v>4.8524494435199994</v>
      </c>
      <c r="AA2" s="57">
        <f>VLOOKUP(TableRBRanks3141[[#This Row],[Player]],RB!B:O,14,FALSE)</f>
        <v>302.45567415335995</v>
      </c>
      <c r="AB2" s="125">
        <f>IF(VLOOKUP(TableRBRanks3141[[#This Row],[RK]],'Ranks w Proj'!$P:$AB,13,FALSE)&lt;0,0,VLOOKUP(TableRBRanks3141[[#This Row],[RK]],'Ranks w Proj'!$P:$AB,13,FALSE))</f>
        <v>78.644628258216443</v>
      </c>
      <c r="AD2">
        <v>1</v>
      </c>
      <c r="AE2" t="str">
        <f>VLOOKUP(TableWRRanks3242[[#This Row],[RK]],Rankings!A:T,13,FALSE)</f>
        <v>Tyreek Hill</v>
      </c>
      <c r="AF2" t="str">
        <f>IFERROR(INDEX(TableWRCalcPts[TM],MATCH(TableWRRanks3242[[#This Row],[Player]],TableWRCalcPts[PLAYER],0)),"")</f>
        <v>MIA</v>
      </c>
      <c r="AG2">
        <f>IFERROR(INDEX(TableWRCalcPts[BYE],MATCH(TableWRRanks3242[[#This Row],[Player]],TableWRCalcPts[PLAYER],0)),"")</f>
        <v>10</v>
      </c>
      <c r="AH2" s="83">
        <f>VLOOKUP(TableWRRanks3242[[#This Row],[Player]],WR!B:O,4,FALSE)</f>
        <v>33.541405128000001</v>
      </c>
      <c r="AI2" s="83">
        <f>VLOOKUP(TableWRRanks3242[[#This Row],[Player]],WR!B:O,5,FALSE)</f>
        <v>0.3158324400000001</v>
      </c>
      <c r="AJ2" s="83">
        <f>VLOOKUP(TableWRRanks3242[[#This Row],[Player]],WR!B:O,6,FALSE)</f>
        <v>158.3091216</v>
      </c>
      <c r="AK2" s="83">
        <f>VLOOKUP(TableWRRanks3242[[#This Row],[Player]],WR!B:O,7,FALSE)</f>
        <v>106.7003479584</v>
      </c>
      <c r="AL2" s="83">
        <f>VLOOKUP(TableWRRanks3242[[#This Row],[Player]],WR!B:O,8,FALSE)</f>
        <v>1572.7631289068161</v>
      </c>
      <c r="AM2" s="83">
        <f>VLOOKUP(TableWRRanks3242[[#This Row],[Player]],WR!B:O,9,FALSE)</f>
        <v>10.0298327080896</v>
      </c>
      <c r="AN2" s="57">
        <f>VLOOKUP(TableWRRanks3242[[#This Row],[Player]],WR!B:O,13,FALSE)</f>
        <v>276.05461827121923</v>
      </c>
      <c r="AO2" s="125">
        <f>IF(VLOOKUP(TableWRRanks3242[[#This Row],[RK]],'Ranks w Proj'!AD:AO,12,FALSE)&lt;0,0,VLOOKUP(TableWRRanks3242[[#This Row],[RK]],'Ranks w Proj'!AD:AO,12,FALSE))</f>
        <v>42.595265005543823</v>
      </c>
      <c r="AQ2">
        <v>1</v>
      </c>
      <c r="AR2" t="str">
        <f>VLOOKUP(TableTERanks3343[[#This Row],[RK]],Rankings!A:T,18,FALSE)</f>
        <v>Sam LaPorta</v>
      </c>
      <c r="AS2" t="str">
        <f>IFERROR(INDEX(TableTECalcPts[TM],MATCH(TableTERanks3343[[#This Row],[Player]],TableTECalcPts[PLAYER],0)),"")</f>
        <v>DET</v>
      </c>
      <c r="AT2">
        <f>IFERROR(INDEX(TableTECalcPts[BYE],MATCH(TableTERanks3343[[#This Row],[Player]],TableTECalcPts[PLAYER],0)),"")</f>
        <v>9</v>
      </c>
      <c r="AU2" s="83">
        <f>VLOOKUP(TableTERanks3343[[#This Row],[Player]],TE!B:O,4,FALSE)</f>
        <v>121.49829299999996</v>
      </c>
      <c r="AV2" s="83">
        <f>VLOOKUP(TableTERanks3343[[#This Row],[Player]],TE!B:O,5,FALSE)</f>
        <v>86.263788029999972</v>
      </c>
      <c r="AW2" s="83">
        <f>VLOOKUP(TableTERanks3343[[#This Row],[Player]],TE!B:O,6,FALSE)</f>
        <v>898.00603339229974</v>
      </c>
      <c r="AX2" s="83">
        <f>VLOOKUP(TableTERanks3343[[#This Row],[Player]],TE!B:O,7,FALSE)</f>
        <v>8.4538512269399977</v>
      </c>
      <c r="AY2" s="57">
        <f>VLOOKUP(TableTERanks3343[[#This Row],[Player]],TE!B:O,11,FALSE)</f>
        <v>183.65560471586994</v>
      </c>
      <c r="AZ2" s="125">
        <f>IF(VLOOKUP(TableTERanks3343[[#This Row],[RK]],'Ranks w Proj'!AQ:AZ,10,FALSE)&lt;0,0,VLOOKUP(TableTERanks3343[[#This Row],[RK]],'Ranks w Proj'!AQ:AZ,10,FALSE))</f>
        <v>21.14303665689577</v>
      </c>
    </row>
    <row r="3" spans="1:52" x14ac:dyDescent="0.2">
      <c r="A3">
        <v>2</v>
      </c>
      <c r="B3" t="str">
        <f>VLOOKUP(TableQBRanks3040[[#This Row],[RK]],Rankings!A:T,3,FALSE)</f>
        <v>Jalen Hurts</v>
      </c>
      <c r="C3" t="str">
        <f>IFERROR(INDEX(TableQBCalcPts[TM],MATCH(TableQBRanks3040[[#This Row],[Player]],TableQBCalcPts[PLAYER],0)),"")</f>
        <v>PHI</v>
      </c>
      <c r="D3">
        <f>IFERROR(INDEX(TableQBCalcPts[BYE],MATCH(TableQBRanks3040[[#This Row],[Player]],TableQBCalcPts[PLAYER],0)),"")</f>
        <v>10</v>
      </c>
      <c r="E3" s="83">
        <f>VLOOKUP(TableQBRanks3040[[#This Row],[Player]],QB!B:O,4,FALSE)</f>
        <v>557.84736000000009</v>
      </c>
      <c r="F3" s="83">
        <f>VLOOKUP(TableQBRanks3040[[#This Row],[Player]],QB!B:O,5,FALSE)</f>
        <v>367.06356288000006</v>
      </c>
      <c r="G3" s="83">
        <f>VLOOKUP(TableQBRanks3040[[#This Row],[Player]],QB!B:O,6,FALSE)</f>
        <v>4210.5861297964811</v>
      </c>
      <c r="H3" s="83">
        <f>VLOOKUP(TableQBRanks3040[[#This Row],[Player]],QB!B:O,7,FALSE)</f>
        <v>24.545283840000003</v>
      </c>
      <c r="I3" s="83">
        <f>VLOOKUP(TableQBRanks3040[[#This Row],[Player]],QB!B:O,8,FALSE)</f>
        <v>7.3412712576000017</v>
      </c>
      <c r="J3" s="83">
        <f>VLOOKUP(TableQBRanks3040[[#This Row],[Player]],QB!B:O,9,FALSE)</f>
        <v>127.97184959999998</v>
      </c>
      <c r="K3" s="83">
        <f>VLOOKUP(TableQBRanks3040[[#This Row],[Player]],QB!B:O,10,FALSE)</f>
        <v>574.59360470399997</v>
      </c>
      <c r="L3" s="83">
        <f>VLOOKUP(TableQBRanks3040[[#This Row],[Player]],QB!B:O,11,FALSE)</f>
        <v>9.4699168703999987</v>
      </c>
      <c r="M3" s="57">
        <f>VLOOKUP(TableQBRanks3040[[#This Row],[Player]],QB!B:O,13,FALSE)</f>
        <v>373.54217098705925</v>
      </c>
      <c r="N3" s="125">
        <f>IF(VLOOKUP(TableQBRanks3040[[#This Row],[RK]],'Ranks w Proj'!$A:$N,14,FALSE)&lt;0,0,VLOOKUP(TableQBRanks3040[[#This Row],[RK]],'Ranks w Proj'!$A:$N,14,FALSE))</f>
        <v>27.101225625791997</v>
      </c>
      <c r="P3">
        <v>2</v>
      </c>
      <c r="Q3" t="str">
        <f>VLOOKUP(TableRBRanks3141[[#This Row],[RK]],Rankings!A:T,8,FALSE)</f>
        <v>Bijan Robinson</v>
      </c>
      <c r="R3" t="str">
        <f>IFERROR(INDEX(TableRBCalcPts[TM],MATCH(TableRBRanks3141[[#This Row],[Player]],TableRBCalcPts[PLAYER],0)),"")</f>
        <v>ATL</v>
      </c>
      <c r="S3">
        <f>IFERROR(INDEX(TableRBCalcPts[BYE],MATCH(TableRBRanks3141[[#This Row],[Player]],TableRBCalcPts[PLAYER],0)),"")</f>
        <v>11</v>
      </c>
      <c r="T3" s="83">
        <f>VLOOKUP(TableRBRanks3141[[#This Row],[Player]],RB!B:O,4,FALSE)</f>
        <v>262.51071840000003</v>
      </c>
      <c r="U3" s="83">
        <f>VLOOKUP(TableRBRanks3141[[#This Row],[Player]],RB!B:O,5,FALSE)</f>
        <v>1197.0488759039999</v>
      </c>
      <c r="V3" s="83">
        <f>VLOOKUP(TableRBRanks3141[[#This Row],[Player]],RB!B:O,6,FALSE)</f>
        <v>9.9754072992000005</v>
      </c>
      <c r="W3" s="83">
        <f>VLOOKUP(TableRBRanks3141[[#This Row],[Player]],RB!B:O,7,FALSE)</f>
        <v>51.76211039999999</v>
      </c>
      <c r="X3" s="83">
        <f>VLOOKUP(TableRBRanks3141[[#This Row],[Player]],RB!B:O,8,FALSE)</f>
        <v>38.562772247999995</v>
      </c>
      <c r="Y3" s="83">
        <f>VLOOKUP(TableRBRanks3141[[#This Row],[Player]],RB!B:O,9,FALSE)</f>
        <v>322.38477599327996</v>
      </c>
      <c r="Z3" s="83">
        <f>VLOOKUP(TableRBRanks3141[[#This Row],[Player]],RB!B:O,10,FALSE)</f>
        <v>2.3523291071279995</v>
      </c>
      <c r="AA3" s="57">
        <f>VLOOKUP(TableRBRanks3141[[#This Row],[Player]],RB!B:O,14,FALSE)</f>
        <v>245.19116975169601</v>
      </c>
      <c r="AB3" s="125">
        <f>IF(VLOOKUP(TableRBRanks3141[[#This Row],[RK]],'Ranks w Proj'!$P:$AB,13,FALSE)&lt;0,0,VLOOKUP(TableRBRanks3141[[#This Row],[RK]],'Ranks w Proj'!$P:$AB,13,FALSE))</f>
        <v>60.22494583509333</v>
      </c>
      <c r="AD3">
        <v>2</v>
      </c>
      <c r="AE3" t="str">
        <f>VLOOKUP(TableWRRanks3242[[#This Row],[RK]],Rankings!A:T,13,FALSE)</f>
        <v>CeeDee Lamb</v>
      </c>
      <c r="AF3" t="str">
        <f>IFERROR(INDEX(TableWRCalcPts[TM],MATCH(TableWRRanks3242[[#This Row],[Player]],TableWRCalcPts[PLAYER],0)),"")</f>
        <v>DAL</v>
      </c>
      <c r="AG3">
        <f>IFERROR(INDEX(TableWRCalcPts[BYE],MATCH(TableWRRanks3242[[#This Row],[Player]],TableWRCalcPts[PLAYER],0)),"")</f>
        <v>7</v>
      </c>
      <c r="AH3" s="83">
        <f>VLOOKUP(TableWRRanks3242[[#This Row],[Player]],WR!B:O,4,FALSE)</f>
        <v>78.801206903999997</v>
      </c>
      <c r="AI3" s="83">
        <f>VLOOKUP(TableWRRanks3242[[#This Row],[Player]],WR!B:O,5,FALSE)</f>
        <v>0.73620504720000002</v>
      </c>
      <c r="AJ3" s="83">
        <f>VLOOKUP(TableWRRanks3242[[#This Row],[Player]],WR!B:O,6,FALSE)</f>
        <v>146.35978559999995</v>
      </c>
      <c r="AK3" s="83">
        <f>VLOOKUP(TableWRRanks3242[[#This Row],[Player]],WR!B:O,7,FALSE)</f>
        <v>101.72005099199995</v>
      </c>
      <c r="AL3" s="83">
        <f>VLOOKUP(TableWRRanks3242[[#This Row],[Player]],WR!B:O,8,FALSE)</f>
        <v>1315.2402593265595</v>
      </c>
      <c r="AM3" s="83">
        <f>VLOOKUP(TableWRRanks3242[[#This Row],[Player]],WR!B:O,9,FALSE)</f>
        <v>9.6634048442399951</v>
      </c>
      <c r="AN3" s="57">
        <f>VLOOKUP(TableWRRanks3242[[#This Row],[Player]],WR!B:O,13,FALSE)</f>
        <v>252.66183146769589</v>
      </c>
      <c r="AO3" s="125">
        <f>IF(VLOOKUP(TableWRRanks3242[[#This Row],[RK]],'Ranks w Proj'!AD:AO,12,FALSE)&lt;0,0,VLOOKUP(TableWRRanks3242[[#This Row],[RK]],'Ranks w Proj'!AD:AO,12,FALSE))</f>
        <v>35.026657363026871</v>
      </c>
      <c r="AQ3">
        <v>2</v>
      </c>
      <c r="AR3" t="str">
        <f>VLOOKUP(TableTERanks3343[[#This Row],[RK]],Rankings!A:T,18,FALSE)</f>
        <v>Travis Kelce</v>
      </c>
      <c r="AS3" t="str">
        <f>IFERROR(INDEX(TableTECalcPts[TM],MATCH(TableTERanks3343[[#This Row],[Player]],TableTECalcPts[PLAYER],0)),"")</f>
        <v>KC</v>
      </c>
      <c r="AT3">
        <f>IFERROR(INDEX(TableTECalcPts[BYE],MATCH(TableTERanks3343[[#This Row],[Player]],TableTECalcPts[PLAYER],0)),"")</f>
        <v>10</v>
      </c>
      <c r="AU3" s="83">
        <f>VLOOKUP(TableTERanks3343[[#This Row],[Player]],TE!B:O,4,FALSE)</f>
        <v>122.91551999999994</v>
      </c>
      <c r="AV3" s="83">
        <f>VLOOKUP(TableTERanks3343[[#This Row],[Player]],TE!B:O,5,FALSE)</f>
        <v>91.326231359999952</v>
      </c>
      <c r="AW3" s="83">
        <f>VLOOKUP(TableTERanks3343[[#This Row],[Player]],TE!B:O,6,FALSE)</f>
        <v>974.4508886111995</v>
      </c>
      <c r="AX3" s="83">
        <f>VLOOKUP(TableTERanks3343[[#This Row],[Player]],TE!B:O,7,FALSE)</f>
        <v>7.945382128319995</v>
      </c>
      <c r="AY3" s="57">
        <f>VLOOKUP(TableTERanks3343[[#This Row],[Player]],TE!B:O,11,FALSE)</f>
        <v>190.78049731103991</v>
      </c>
      <c r="AZ3" s="125">
        <f>IF(VLOOKUP(TableTERanks3343[[#This Row],[RK]],'Ranks w Proj'!AQ:AZ,10,FALSE)&lt;0,0,VLOOKUP(TableTERanks3343[[#This Row],[RK]],'Ranks w Proj'!AQ:AZ,10,FALSE))</f>
        <v>18.608596447577018</v>
      </c>
    </row>
    <row r="4" spans="1:52" x14ac:dyDescent="0.2">
      <c r="A4">
        <v>3</v>
      </c>
      <c r="B4" t="str">
        <f>VLOOKUP(TableQBRanks3040[[#This Row],[RK]],Rankings!A:T,3,FALSE)</f>
        <v>Lamar Jackson</v>
      </c>
      <c r="C4" t="str">
        <f>IFERROR(INDEX(TableQBCalcPts[TM],MATCH(TableQBRanks3040[[#This Row],[Player]],TableQBCalcPts[PLAYER],0)),"")</f>
        <v>BAL</v>
      </c>
      <c r="D4">
        <f>IFERROR(INDEX(TableQBCalcPts[BYE],MATCH(TableQBRanks3040[[#This Row],[Player]],TableQBCalcPts[PLAYER],0)),"")</f>
        <v>13</v>
      </c>
      <c r="E4" s="83">
        <f>VLOOKUP(TableQBRanks3040[[#This Row],[Player]],QB!B:O,4,FALSE)</f>
        <v>513.14440000000002</v>
      </c>
      <c r="F4" s="83">
        <f>VLOOKUP(TableQBRanks3040[[#This Row],[Player]],QB!B:O,5,FALSE)</f>
        <v>339.18844840000003</v>
      </c>
      <c r="G4" s="83">
        <f>VLOOKUP(TableQBRanks3040[[#This Row],[Player]],QB!B:O,6,FALSE)</f>
        <v>3929.1589862656001</v>
      </c>
      <c r="H4" s="83">
        <f>VLOOKUP(TableQBRanks3040[[#This Row],[Player]],QB!B:O,7,FALSE)</f>
        <v>26.683508799999998</v>
      </c>
      <c r="I4" s="83">
        <f>VLOOKUP(TableQBRanks3040[[#This Row],[Player]],QB!B:O,8,FALSE)</f>
        <v>6.7837689680000004</v>
      </c>
      <c r="J4" s="83">
        <f>VLOOKUP(TableQBRanks3040[[#This Row],[Player]],QB!B:O,9,FALSE)</f>
        <v>147.03669120000001</v>
      </c>
      <c r="K4" s="83">
        <f>VLOOKUP(TableQBRanks3040[[#This Row],[Player]],QB!B:O,10,FALSE)</f>
        <v>858.694276608</v>
      </c>
      <c r="L4" s="83">
        <f>VLOOKUP(TableQBRanks3040[[#This Row],[Player]],QB!B:O,11,FALSE)</f>
        <v>5.4403575744000001</v>
      </c>
      <c r="M4" s="57">
        <f>VLOOKUP(TableQBRanks3040[[#This Row],[Player]],QB!B:O,13,FALSE)</f>
        <v>375.62819878982395</v>
      </c>
      <c r="N4" s="125">
        <f>IF(VLOOKUP(TableQBRanks3040[[#This Row],[RK]],'Ranks w Proj'!$A:$N,14,FALSE)&lt;0,0,VLOOKUP(TableQBRanks3040[[#This Row],[RK]],'Ranks w Proj'!$A:$N,14,FALSE))</f>
        <v>26.665605808195664</v>
      </c>
      <c r="P4">
        <v>3</v>
      </c>
      <c r="Q4" t="str">
        <f>VLOOKUP(TableRBRanks3141[[#This Row],[RK]],Rankings!A:T,8,FALSE)</f>
        <v>Breece Hall</v>
      </c>
      <c r="R4" t="str">
        <f>IFERROR(INDEX(TableRBCalcPts[TM],MATCH(TableRBRanks3141[[#This Row],[Player]],TableRBCalcPts[PLAYER],0)),"")</f>
        <v>NYJ</v>
      </c>
      <c r="S4">
        <f>IFERROR(INDEX(TableRBCalcPts[BYE],MATCH(TableRBRanks3141[[#This Row],[Player]],TableRBCalcPts[PLAYER],0)),"")</f>
        <v>7</v>
      </c>
      <c r="T4" s="83">
        <f>VLOOKUP(TableRBRanks3141[[#This Row],[Player]],RB!B:O,4,FALSE)</f>
        <v>241.62470360000006</v>
      </c>
      <c r="U4" s="83">
        <f>VLOOKUP(TableRBRanks3141[[#This Row],[Player]],RB!B:O,5,FALSE)</f>
        <v>1101.8086484160001</v>
      </c>
      <c r="V4" s="83">
        <f>VLOOKUP(TableRBRanks3141[[#This Row],[Player]],RB!B:O,6,FALSE)</f>
        <v>9.4233634404000028</v>
      </c>
      <c r="W4" s="83">
        <f>VLOOKUP(TableRBRanks3141[[#This Row],[Player]],RB!B:O,7,FALSE)</f>
        <v>74.06398999999999</v>
      </c>
      <c r="X4" s="83">
        <f>VLOOKUP(TableRBRanks3141[[#This Row],[Player]],RB!B:O,8,FALSE)</f>
        <v>58.066168159999997</v>
      </c>
      <c r="Y4" s="83">
        <f>VLOOKUP(TableRBRanks3141[[#This Row],[Player]],RB!B:O,9,FALSE)</f>
        <v>452.91611164799997</v>
      </c>
      <c r="Z4" s="83">
        <f>VLOOKUP(TableRBRanks3141[[#This Row],[Player]],RB!B:O,10,FALSE)</f>
        <v>2.6710437353599996</v>
      </c>
      <c r="AA4" s="57">
        <f>VLOOKUP(TableRBRanks3141[[#This Row],[Player]],RB!B:O,14,FALSE)</f>
        <v>257.07200314096002</v>
      </c>
      <c r="AB4" s="125">
        <f>IF(VLOOKUP(TableRBRanks3141[[#This Row],[RK]],'Ranks w Proj'!$P:$AB,13,FALSE)&lt;0,0,VLOOKUP(TableRBRanks3141[[#This Row],[RK]],'Ranks w Proj'!$P:$AB,13,FALSE))</f>
        <v>59.833480554918665</v>
      </c>
      <c r="AD4">
        <v>3</v>
      </c>
      <c r="AE4" t="str">
        <f>VLOOKUP(TableWRRanks3242[[#This Row],[RK]],Rankings!A:T,13,FALSE)</f>
        <v>Justin Jefferson</v>
      </c>
      <c r="AF4" t="str">
        <f>IFERROR(INDEX(TableWRCalcPts[TM],MATCH(TableWRRanks3242[[#This Row],[Player]],TableWRCalcPts[PLAYER],0)),"")</f>
        <v>MIN</v>
      </c>
      <c r="AG4">
        <f>IFERROR(INDEX(TableWRCalcPts[BYE],MATCH(TableWRRanks3242[[#This Row],[Player]],TableWRCalcPts[PLAYER],0)),"")</f>
        <v>13</v>
      </c>
      <c r="AH4" s="83">
        <f>VLOOKUP(TableWRRanks3242[[#This Row],[Player]],WR!B:O,4,FALSE)</f>
        <v>17.335964799999999</v>
      </c>
      <c r="AI4" s="83">
        <f>VLOOKUP(TableWRRanks3242[[#This Row],[Player]],WR!B:O,5,FALSE)</f>
        <v>9.9536639999999996E-2</v>
      </c>
      <c r="AJ4" s="83">
        <f>VLOOKUP(TableWRRanks3242[[#This Row],[Player]],WR!B:O,6,FALSE)</f>
        <v>161.74704</v>
      </c>
      <c r="AK4" s="83">
        <f>VLOOKUP(TableWRRanks3242[[#This Row],[Player]],WR!B:O,7,FALSE)</f>
        <v>104.3268408</v>
      </c>
      <c r="AL4" s="83">
        <f>VLOOKUP(TableWRRanks3242[[#This Row],[Player]],WR!B:O,8,FALSE)</f>
        <v>1443.8834766719999</v>
      </c>
      <c r="AM4" s="83">
        <f>VLOOKUP(TableWRRanks3242[[#This Row],[Player]],WR!B:O,9,FALSE)</f>
        <v>7.6158593783999997</v>
      </c>
      <c r="AN4" s="57">
        <f>VLOOKUP(TableWRRanks3242[[#This Row],[Player]],WR!B:O,13,FALSE)</f>
        <v>244.5777406576</v>
      </c>
      <c r="AO4" s="125">
        <f>IF(VLOOKUP(TableWRRanks3242[[#This Row],[RK]],'Ranks w Proj'!AD:AO,12,FALSE)&lt;0,0,VLOOKUP(TableWRRanks3242[[#This Row],[RK]],'Ranks w Proj'!AD:AO,12,FALSE))</f>
        <v>34.401798781910564</v>
      </c>
      <c r="AQ4">
        <v>3</v>
      </c>
      <c r="AR4" t="str">
        <f>VLOOKUP(TableTERanks3343[[#This Row],[RK]],Rankings!A:T,18,FALSE)</f>
        <v>Mark Andrews</v>
      </c>
      <c r="AS4" t="str">
        <f>IFERROR(INDEX(TableTECalcPts[TM],MATCH(TableTERanks3343[[#This Row],[Player]],TableTECalcPts[PLAYER],0)),"")</f>
        <v>BAL</v>
      </c>
      <c r="AT4">
        <f>IFERROR(INDEX(TableTECalcPts[BYE],MATCH(TableTERanks3343[[#This Row],[Player]],TableTECalcPts[PLAYER],0)),"")</f>
        <v>13</v>
      </c>
      <c r="AU4" s="83">
        <f>VLOOKUP(TableTERanks3343[[#This Row],[Player]],TE!B:O,4,FALSE)</f>
        <v>116.45677120000001</v>
      </c>
      <c r="AV4" s="83">
        <f>VLOOKUP(TableTERanks3343[[#This Row],[Player]],TE!B:O,5,FALSE)</f>
        <v>81.985566924799997</v>
      </c>
      <c r="AW4" s="83">
        <f>VLOOKUP(TableTERanks3343[[#This Row],[Player]],TE!B:O,6,FALSE)</f>
        <v>915.77878255001599</v>
      </c>
      <c r="AX4" s="83">
        <f>VLOOKUP(TableTERanks3343[[#This Row],[Player]],TE!B:O,7,FALSE)</f>
        <v>8.1985566924800004</v>
      </c>
      <c r="AY4" s="57">
        <f>VLOOKUP(TableTERanks3343[[#This Row],[Player]],TE!B:O,11,FALSE)</f>
        <v>181.76200187228162</v>
      </c>
      <c r="AZ4" s="125">
        <f>IF(VLOOKUP(TableTERanks3343[[#This Row],[RK]],'Ranks w Proj'!AQ:AZ,10,FALSE)&lt;0,0,VLOOKUP(TableTERanks3343[[#This Row],[RK]],'Ranks w Proj'!AQ:AZ,10,FALSE))</f>
        <v>17.935011109529391</v>
      </c>
    </row>
    <row r="5" spans="1:52" x14ac:dyDescent="0.2">
      <c r="A5">
        <v>4</v>
      </c>
      <c r="B5" t="str">
        <f>VLOOKUP(TableQBRanks3040[[#This Row],[RK]],Rankings!A:T,3,FALSE)</f>
        <v>Patrick Mahomes</v>
      </c>
      <c r="C5" t="str">
        <f>IFERROR(INDEX(TableQBCalcPts[TM],MATCH(TableQBRanks3040[[#This Row],[Player]],TableQBCalcPts[PLAYER],0)),"")</f>
        <v>KC</v>
      </c>
      <c r="D5">
        <f>IFERROR(INDEX(TableQBCalcPts[BYE],MATCH(TableQBRanks3040[[#This Row],[Player]],TableQBCalcPts[PLAYER],0)),"")</f>
        <v>10</v>
      </c>
      <c r="E5" s="83">
        <f>VLOOKUP(TableQBRanks3040[[#This Row],[Player]],QB!B:O,4,FALSE)</f>
        <v>636.76799999999992</v>
      </c>
      <c r="F5" s="83">
        <f>VLOOKUP(TableQBRanks3040[[#This Row],[Player]],QB!B:O,5,FALSE)</f>
        <v>425.99779199999995</v>
      </c>
      <c r="G5" s="83">
        <f>VLOOKUP(TableQBRanks3040[[#This Row],[Player]],QB!B:O,6,FALSE)</f>
        <v>4840.6129104959991</v>
      </c>
      <c r="H5" s="83">
        <f>VLOOKUP(TableQBRanks3040[[#This Row],[Player]],QB!B:O,7,FALSE)</f>
        <v>35.022239999999996</v>
      </c>
      <c r="I5" s="83">
        <f>VLOOKUP(TableQBRanks3040[[#This Row],[Player]],QB!B:O,8,FALSE)</f>
        <v>7.6679602559999989</v>
      </c>
      <c r="J5" s="83">
        <f>VLOOKUP(TableQBRanks3040[[#This Row],[Player]],QB!B:O,9,FALSE)</f>
        <v>58.831360000000011</v>
      </c>
      <c r="K5" s="83">
        <f>VLOOKUP(TableQBRanks3040[[#This Row],[Player]],QB!B:O,10,FALSE)</f>
        <v>318.86597120000005</v>
      </c>
      <c r="L5" s="83">
        <f>VLOOKUP(TableQBRanks3040[[#This Row],[Player]],QB!B:O,11,FALSE)</f>
        <v>1.4707840000000003</v>
      </c>
      <c r="M5" s="57">
        <f>VLOOKUP(TableQBRanks3040[[#This Row],[Player]],QB!B:O,13,FALSE)</f>
        <v>366.75681728383995</v>
      </c>
      <c r="N5" s="125">
        <f>IF(VLOOKUP(TableQBRanks3040[[#This Row],[RK]],'Ranks w Proj'!$A:$N,14,FALSE)&lt;0,0,VLOOKUP(TableQBRanks3040[[#This Row],[RK]],'Ranks w Proj'!$A:$N,14,FALSE))</f>
        <v>23.605615308359287</v>
      </c>
      <c r="P5">
        <v>4</v>
      </c>
      <c r="Q5" t="str">
        <f>VLOOKUP(TableRBRanks3141[[#This Row],[RK]],Rankings!A:T,8,FALSE)</f>
        <v>Jonathan Taylor</v>
      </c>
      <c r="R5" t="str">
        <f>IFERROR(INDEX(TableRBCalcPts[TM],MATCH(TableRBRanks3141[[#This Row],[Player]],TableRBCalcPts[PLAYER],0)),"")</f>
        <v>IND</v>
      </c>
      <c r="S5">
        <f>IFERROR(INDEX(TableRBCalcPts[BYE],MATCH(TableRBRanks3141[[#This Row],[Player]],TableRBCalcPts[PLAYER],0)),"")</f>
        <v>11</v>
      </c>
      <c r="T5" s="83">
        <f>VLOOKUP(TableRBRanks3141[[#This Row],[Player]],RB!B:O,4,FALSE)</f>
        <v>292.48295999999993</v>
      </c>
      <c r="U5" s="83">
        <f>VLOOKUP(TableRBRanks3141[[#This Row],[Player]],RB!B:O,5,FALSE)</f>
        <v>1316.1733199999996</v>
      </c>
      <c r="V5" s="83">
        <f>VLOOKUP(TableRBRanks3141[[#This Row],[Player]],RB!B:O,6,FALSE)</f>
        <v>11.114352479999997</v>
      </c>
      <c r="W5" s="83">
        <f>VLOOKUP(TableRBRanks3141[[#This Row],[Player]],RB!B:O,7,FALSE)</f>
        <v>53.662840000000003</v>
      </c>
      <c r="X5" s="83">
        <f>VLOOKUP(TableRBRanks3141[[#This Row],[Player]],RB!B:O,8,FALSE)</f>
        <v>39.38852456</v>
      </c>
      <c r="Y5" s="83">
        <f>VLOOKUP(TableRBRanks3141[[#This Row],[Player]],RB!B:O,9,FALSE)</f>
        <v>317.4715079536</v>
      </c>
      <c r="Z5" s="83">
        <f>VLOOKUP(TableRBRanks3141[[#This Row],[Player]],RB!B:O,10,FALSE)</f>
        <v>1.3785983596000002</v>
      </c>
      <c r="AA5" s="57">
        <f>VLOOKUP(TableRBRanks3141[[#This Row],[Player]],RB!B:O,14,FALSE)</f>
        <v>258.01645011296</v>
      </c>
      <c r="AB5" s="125">
        <f>IF(VLOOKUP(TableRBRanks3141[[#This Row],[RK]],'Ranks w Proj'!$P:$AB,13,FALSE)&lt;0,0,VLOOKUP(TableRBRanks3141[[#This Row],[RK]],'Ranks w Proj'!$P:$AB,13,FALSE))</f>
        <v>54.908975623119439</v>
      </c>
      <c r="AD5">
        <v>4</v>
      </c>
      <c r="AE5" t="str">
        <f>VLOOKUP(TableWRRanks3242[[#This Row],[RK]],Rankings!A:T,13,FALSE)</f>
        <v>Ja'Marr Chase</v>
      </c>
      <c r="AF5" t="str">
        <f>IFERROR(INDEX(TableWRCalcPts[TM],MATCH(TableWRRanks3242[[#This Row],[Player]],TableWRCalcPts[PLAYER],0)),"")</f>
        <v>CIN</v>
      </c>
      <c r="AG5">
        <f>IFERROR(INDEX(TableWRCalcPts[BYE],MATCH(TableWRRanks3242[[#This Row],[Player]],TableWRCalcPts[PLAYER],0)),"")</f>
        <v>7</v>
      </c>
      <c r="AH5" s="83">
        <f>VLOOKUP(TableWRRanks3242[[#This Row],[Player]],WR!B:O,4,FALSE)</f>
        <v>0</v>
      </c>
      <c r="AI5" s="83">
        <f>VLOOKUP(TableWRRanks3242[[#This Row],[Player]],WR!B:O,5,FALSE)</f>
        <v>0</v>
      </c>
      <c r="AJ5" s="83">
        <f>VLOOKUP(TableWRRanks3242[[#This Row],[Player]],WR!B:O,6,FALSE)</f>
        <v>155.89203000000001</v>
      </c>
      <c r="AK5" s="83">
        <f>VLOOKUP(TableWRRanks3242[[#This Row],[Player]],WR!B:O,7,FALSE)</f>
        <v>105.85068837000001</v>
      </c>
      <c r="AL5" s="83">
        <f>VLOOKUP(TableWRRanks3242[[#This Row],[Player]],WR!B:O,8,FALSE)</f>
        <v>1291.378398114</v>
      </c>
      <c r="AM5" s="83">
        <f>VLOOKUP(TableWRRanks3242[[#This Row],[Player]],WR!B:O,9,FALSE)</f>
        <v>9.5265619533000017</v>
      </c>
      <c r="AN5" s="57">
        <f>VLOOKUP(TableWRRanks3242[[#This Row],[Player]],WR!B:O,13,FALSE)</f>
        <v>239.22255571620002</v>
      </c>
      <c r="AO5" s="125">
        <f>IF(VLOOKUP(TableWRRanks3242[[#This Row],[RK]],'Ranks w Proj'!AD:AO,12,FALSE)&lt;0,0,VLOOKUP(TableWRRanks3242[[#This Row],[RK]],'Ranks w Proj'!AD:AO,12,FALSE))</f>
        <v>32.411094198108131</v>
      </c>
      <c r="AQ5">
        <v>4</v>
      </c>
      <c r="AR5" t="str">
        <f>VLOOKUP(TableTERanks3343[[#This Row],[RK]],Rankings!A:T,18,FALSE)</f>
        <v>Trey McBride</v>
      </c>
      <c r="AS5" t="str">
        <f>IFERROR(INDEX(TableTECalcPts[TM],MATCH(TableTERanks3343[[#This Row],[Player]],TableTECalcPts[PLAYER],0)),"")</f>
        <v>ARI</v>
      </c>
      <c r="AT5">
        <f>IFERROR(INDEX(TableTECalcPts[BYE],MATCH(TableTERanks3343[[#This Row],[Player]],TableTECalcPts[PLAYER],0)),"")</f>
        <v>14</v>
      </c>
      <c r="AU5" s="83">
        <f>VLOOKUP(TableTERanks3343[[#This Row],[Player]],TE!B:O,4,FALSE)</f>
        <v>120.88655250000001</v>
      </c>
      <c r="AV5" s="83">
        <f>VLOOKUP(TableTERanks3343[[#This Row],[Player]],TE!B:O,5,FALSE)</f>
        <v>88.126296772499998</v>
      </c>
      <c r="AW5" s="83">
        <f>VLOOKUP(TableTERanks3343[[#This Row],[Player]],TE!B:O,6,FALSE)</f>
        <v>899.76949004722508</v>
      </c>
      <c r="AX5" s="83">
        <f>VLOOKUP(TableTERanks3343[[#This Row],[Player]],TE!B:O,7,FALSE)</f>
        <v>5.7282092902124999</v>
      </c>
      <c r="AY5" s="57">
        <f>VLOOKUP(TableTERanks3343[[#This Row],[Player]],TE!B:O,11,FALSE)</f>
        <v>168.4093531322475</v>
      </c>
      <c r="AZ5" s="125">
        <f>IF(VLOOKUP(TableTERanks3343[[#This Row],[RK]],'Ranks w Proj'!AQ:AZ,10,FALSE)&lt;0,0,VLOOKUP(TableTERanks3343[[#This Row],[RK]],'Ranks w Proj'!AQ:AZ,10,FALSE))</f>
        <v>13.185256721569447</v>
      </c>
    </row>
    <row r="6" spans="1:52" x14ac:dyDescent="0.2">
      <c r="A6">
        <v>5</v>
      </c>
      <c r="B6" t="str">
        <f>VLOOKUP(TableQBRanks3040[[#This Row],[RK]],Rankings!A:T,3,FALSE)</f>
        <v>C.J. Stroud</v>
      </c>
      <c r="C6" t="str">
        <f>IFERROR(INDEX(TableQBCalcPts[TM],MATCH(TableQBRanks3040[[#This Row],[Player]],TableQBCalcPts[PLAYER],0)),"")</f>
        <v>HOU</v>
      </c>
      <c r="D6">
        <f>IFERROR(INDEX(TableQBCalcPts[BYE],MATCH(TableQBRanks3040[[#This Row],[Player]],TableQBCalcPts[PLAYER],0)),"")</f>
        <v>7</v>
      </c>
      <c r="E6" s="83">
        <f>VLOOKUP(TableQBRanks3040[[#This Row],[Player]],QB!B:O,4,FALSE)</f>
        <v>601.28639999999996</v>
      </c>
      <c r="F6" s="83">
        <f>VLOOKUP(TableQBRanks3040[[#This Row],[Player]],QB!B:O,5,FALSE)</f>
        <v>394.44387840000002</v>
      </c>
      <c r="G6" s="83">
        <f>VLOOKUP(TableQBRanks3040[[#This Row],[Player]],QB!B:O,6,FALSE)</f>
        <v>4654.4377651200002</v>
      </c>
      <c r="H6" s="83">
        <f>VLOOKUP(TableQBRanks3040[[#This Row],[Player]],QB!B:O,7,FALSE)</f>
        <v>31.266892799999997</v>
      </c>
      <c r="I6" s="83">
        <f>VLOOKUP(TableQBRanks3040[[#This Row],[Player]],QB!B:O,8,FALSE)</f>
        <v>5.9166581760000003</v>
      </c>
      <c r="J6" s="83">
        <f>VLOOKUP(TableQBRanks3040[[#This Row],[Player]],QB!B:O,9,FALSE)</f>
        <v>38.937600000000003</v>
      </c>
      <c r="K6" s="83">
        <f>VLOOKUP(TableQBRanks3040[[#This Row],[Player]],QB!B:O,10,FALSE)</f>
        <v>161.59104000000002</v>
      </c>
      <c r="L6" s="83">
        <f>VLOOKUP(TableQBRanks3040[[#This Row],[Player]],QB!B:O,11,FALSE)</f>
        <v>1.5575040000000002</v>
      </c>
      <c r="M6" s="57">
        <f>VLOOKUP(TableQBRanks3040[[#This Row],[Player]],QB!B:O,13,FALSE)</f>
        <v>330.83255162880005</v>
      </c>
      <c r="N6" s="125">
        <f>IF(VLOOKUP(TableQBRanks3040[[#This Row],[RK]],'Ranks w Proj'!$A:$N,14,FALSE)&lt;0,0,VLOOKUP(TableQBRanks3040[[#This Row],[RK]],'Ranks w Proj'!$A:$N,14,FALSE))</f>
        <v>18.380279997765967</v>
      </c>
      <c r="P6">
        <v>5</v>
      </c>
      <c r="Q6" t="str">
        <f>VLOOKUP(TableRBRanks3141[[#This Row],[RK]],Rankings!A:T,8,FALSE)</f>
        <v>Saquon Barkley</v>
      </c>
      <c r="R6" t="str">
        <f>IFERROR(INDEX(TableRBCalcPts[TM],MATCH(TableRBRanks3141[[#This Row],[Player]],TableRBCalcPts[PLAYER],0)),"")</f>
        <v>PHI</v>
      </c>
      <c r="S6">
        <f>IFERROR(INDEX(TableRBCalcPts[BYE],MATCH(TableRBRanks3141[[#This Row],[Player]],TableRBCalcPts[PLAYER],0)),"")</f>
        <v>10</v>
      </c>
      <c r="T6" s="83">
        <f>VLOOKUP(TableRBRanks3141[[#This Row],[Player]],RB!B:O,4,FALSE)</f>
        <v>251.11457280000002</v>
      </c>
      <c r="U6" s="83">
        <f>VLOOKUP(TableRBRanks3141[[#This Row],[Player]],RB!B:O,5,FALSE)</f>
        <v>1104.9041203200002</v>
      </c>
      <c r="V6" s="83">
        <f>VLOOKUP(TableRBRanks3141[[#This Row],[Player]],RB!B:O,6,FALSE)</f>
        <v>9.5423537663999998</v>
      </c>
      <c r="W6" s="83">
        <f>VLOOKUP(TableRBRanks3141[[#This Row],[Player]],RB!B:O,7,FALSE)</f>
        <v>61.363209600000005</v>
      </c>
      <c r="X6" s="83">
        <f>VLOOKUP(TableRBRanks3141[[#This Row],[Player]],RB!B:O,8,FALSE)</f>
        <v>46.758765715200006</v>
      </c>
      <c r="Y6" s="83">
        <f>VLOOKUP(TableRBRanks3141[[#This Row],[Player]],RB!B:O,9,FALSE)</f>
        <v>346.01486629248006</v>
      </c>
      <c r="Z6" s="83">
        <f>VLOOKUP(TableRBRanks3141[[#This Row],[Player]],RB!B:O,10,FALSE)</f>
        <v>1.7768330971776003</v>
      </c>
      <c r="AA6" s="57">
        <f>VLOOKUP(TableRBRanks3141[[#This Row],[Player]],RB!B:O,14,FALSE)</f>
        <v>236.38640270031365</v>
      </c>
      <c r="AB6" s="125">
        <f>IF(VLOOKUP(TableRBRanks3141[[#This Row],[RK]],'Ranks w Proj'!$P:$AB,13,FALSE)&lt;0,0,VLOOKUP(TableRBRanks3141[[#This Row],[RK]],'Ranks w Proj'!$P:$AB,13,FALSE))</f>
        <v>51.259474165834732</v>
      </c>
      <c r="AD6">
        <v>5</v>
      </c>
      <c r="AE6" t="str">
        <f>VLOOKUP(TableWRRanks3242[[#This Row],[RK]],Rankings!A:T,13,FALSE)</f>
        <v>Amon-Ra St. Brown</v>
      </c>
      <c r="AF6" t="str">
        <f>IFERROR(INDEX(TableWRCalcPts[TM],MATCH(TableWRRanks3242[[#This Row],[Player]],TableWRCalcPts[PLAYER],0)),"")</f>
        <v>DET</v>
      </c>
      <c r="AG6">
        <f>IFERROR(INDEX(TableWRCalcPts[BYE],MATCH(TableWRRanks3242[[#This Row],[Player]],TableWRCalcPts[PLAYER],0)),"")</f>
        <v>9</v>
      </c>
      <c r="AH6" s="83">
        <f>VLOOKUP(TableWRRanks3242[[#This Row],[Player]],WR!B:O,4,FALSE)</f>
        <v>123.26695878000001</v>
      </c>
      <c r="AI6" s="83">
        <f>VLOOKUP(TableWRRanks3242[[#This Row],[Player]],WR!B:O,5,FALSE)</f>
        <v>0.34874221200000005</v>
      </c>
      <c r="AJ6" s="83">
        <f>VLOOKUP(TableWRRanks3242[[#This Row],[Player]],WR!B:O,6,FALSE)</f>
        <v>151.13202299999998</v>
      </c>
      <c r="AK6" s="83">
        <f>VLOOKUP(TableWRRanks3242[[#This Row],[Player]],WR!B:O,7,FALSE)</f>
        <v>107.75713239899997</v>
      </c>
      <c r="AL6" s="83">
        <f>VLOOKUP(TableWRRanks3242[[#This Row],[Player]],WR!B:O,8,FALSE)</f>
        <v>1339.4211557195697</v>
      </c>
      <c r="AM6" s="83">
        <f>VLOOKUP(TableWRRanks3242[[#This Row],[Player]],WR!B:O,9,FALSE)</f>
        <v>8.0817849299249982</v>
      </c>
      <c r="AN6" s="57">
        <f>VLOOKUP(TableWRRanks3242[[#This Row],[Player]],WR!B:O,13,FALSE)</f>
        <v>250.73054050100694</v>
      </c>
      <c r="AO6" s="125">
        <f>IF(VLOOKUP(TableWRRanks3242[[#This Row],[RK]],'Ranks w Proj'!AD:AO,12,FALSE)&lt;0,0,VLOOKUP(TableWRRanks3242[[#This Row],[RK]],'Ranks w Proj'!AD:AO,12,FALSE))</f>
        <v>30.678453533488092</v>
      </c>
      <c r="AQ6">
        <v>5</v>
      </c>
      <c r="AR6" t="str">
        <f>VLOOKUP(TableTERanks3343[[#This Row],[RK]],Rankings!A:T,18,FALSE)</f>
        <v>George Kittle</v>
      </c>
      <c r="AS6" t="str">
        <f>IFERROR(INDEX(TableTECalcPts[TM],MATCH(TableTERanks3343[[#This Row],[Player]],TableTECalcPts[PLAYER],0)),"")</f>
        <v>SF</v>
      </c>
      <c r="AT6">
        <f>IFERROR(INDEX(TableTECalcPts[BYE],MATCH(TableTERanks3343[[#This Row],[Player]],TableTECalcPts[PLAYER],0)),"")</f>
        <v>9</v>
      </c>
      <c r="AU6" s="83">
        <f>VLOOKUP(TableTERanks3343[[#This Row],[Player]],TE!B:O,4,FALSE)</f>
        <v>90.530773199999985</v>
      </c>
      <c r="AV6" s="83">
        <f>VLOOKUP(TableTERanks3343[[#This Row],[Player]],TE!B:O,5,FALSE)</f>
        <v>65.544279796799984</v>
      </c>
      <c r="AW6" s="83">
        <f>VLOOKUP(TableTERanks3343[[#This Row],[Player]],TE!B:O,6,FALSE)</f>
        <v>869.11715010556782</v>
      </c>
      <c r="AX6" s="83">
        <f>VLOOKUP(TableTERanks3343[[#This Row],[Player]],TE!B:O,7,FALSE)</f>
        <v>5.898985181711998</v>
      </c>
      <c r="AY6" s="57">
        <f>VLOOKUP(TableTERanks3343[[#This Row],[Player]],TE!B:O,11,FALSE)</f>
        <v>155.07776599922877</v>
      </c>
      <c r="AZ6" s="125">
        <f>IF(VLOOKUP(TableTERanks3343[[#This Row],[RK]],'Ranks w Proj'!AQ:AZ,10,FALSE)&lt;0,0,VLOOKUP(TableTERanks3343[[#This Row],[RK]],'Ranks w Proj'!AQ:AZ,10,FALSE))</f>
        <v>10.847977119734036</v>
      </c>
    </row>
    <row r="7" spans="1:52" x14ac:dyDescent="0.2">
      <c r="A7">
        <v>6</v>
      </c>
      <c r="B7" t="str">
        <f>VLOOKUP(TableQBRanks3040[[#This Row],[RK]],Rankings!A:T,3,FALSE)</f>
        <v>Dak Prescott</v>
      </c>
      <c r="C7" t="str">
        <f>IFERROR(INDEX(TableQBCalcPts[TM],MATCH(TableQBRanks3040[[#This Row],[Player]],TableQBCalcPts[PLAYER],0)),"")</f>
        <v>DAL</v>
      </c>
      <c r="D7">
        <f>IFERROR(INDEX(TableQBCalcPts[BYE],MATCH(TableQBRanks3040[[#This Row],[Player]],TableQBCalcPts[PLAYER],0)),"")</f>
        <v>7</v>
      </c>
      <c r="E7" s="83">
        <f>VLOOKUP(TableQBRanks3040[[#This Row],[Player]],QB!B:O,4,FALSE)</f>
        <v>609.83243999999991</v>
      </c>
      <c r="F7" s="83">
        <f>VLOOKUP(TableQBRanks3040[[#This Row],[Player]],QB!B:O,5,FALSE)</f>
        <v>412.85656187999996</v>
      </c>
      <c r="G7" s="83">
        <f>VLOOKUP(TableQBRanks3040[[#This Row],[Player]],QB!B:O,6,FALSE)</f>
        <v>4582.7078368679995</v>
      </c>
      <c r="H7" s="83">
        <f>VLOOKUP(TableQBRanks3040[[#This Row],[Player]],QB!B:O,7,FALSE)</f>
        <v>32.321119319999994</v>
      </c>
      <c r="I7" s="83">
        <f>VLOOKUP(TableQBRanks3040[[#This Row],[Player]],QB!B:O,8,FALSE)</f>
        <v>7.8442746757199986</v>
      </c>
      <c r="J7" s="83">
        <f>VLOOKUP(TableQBRanks3040[[#This Row],[Player]],QB!B:O,9,FALSE)</f>
        <v>45.444756000000005</v>
      </c>
      <c r="K7" s="83">
        <f>VLOOKUP(TableQBRanks3040[[#This Row],[Player]],QB!B:O,10,FALSE)</f>
        <v>210.86366784000001</v>
      </c>
      <c r="L7" s="83">
        <f>VLOOKUP(TableQBRanks3040[[#This Row],[Player]],QB!B:O,11,FALSE)</f>
        <v>1.4087874360000001</v>
      </c>
      <c r="M7" s="57">
        <f>VLOOKUP(TableQBRanks3040[[#This Row],[Player]],QB!B:O,13,FALSE)</f>
        <v>334.28760747900003</v>
      </c>
      <c r="N7" s="125">
        <f>IF(VLOOKUP(TableQBRanks3040[[#This Row],[RK]],'Ranks w Proj'!$A:$N,14,FALSE)&lt;0,0,VLOOKUP(TableQBRanks3040[[#This Row],[RK]],'Ranks w Proj'!$A:$N,14,FALSE))</f>
        <v>16.990863260416425</v>
      </c>
      <c r="P7">
        <v>6</v>
      </c>
      <c r="Q7" t="str">
        <f>VLOOKUP(TableRBRanks3141[[#This Row],[RK]],Rankings!A:T,8,FALSE)</f>
        <v>Jahmyr Gibbs</v>
      </c>
      <c r="R7" t="str">
        <f>IFERROR(INDEX(TableRBCalcPts[TM],MATCH(TableRBRanks3141[[#This Row],[Player]],TableRBCalcPts[PLAYER],0)),"")</f>
        <v>DET</v>
      </c>
      <c r="S7">
        <f>IFERROR(INDEX(TableRBCalcPts[BYE],MATCH(TableRBRanks3141[[#This Row],[Player]],TableRBCalcPts[PLAYER],0)),"")</f>
        <v>9</v>
      </c>
      <c r="T7" s="83">
        <f>VLOOKUP(TableRBRanks3141[[#This Row],[Player]],RB!B:O,4,FALSE)</f>
        <v>187.78426800000003</v>
      </c>
      <c r="U7" s="83">
        <f>VLOOKUP(TableRBRanks3141[[#This Row],[Player]],RB!B:O,5,FALSE)</f>
        <v>905.12017176000018</v>
      </c>
      <c r="V7" s="83">
        <f>VLOOKUP(TableRBRanks3141[[#This Row],[Player]],RB!B:O,6,FALSE)</f>
        <v>8.262507792000001</v>
      </c>
      <c r="W7" s="83">
        <f>VLOOKUP(TableRBRanks3141[[#This Row],[Player]],RB!B:O,7,FALSE)</f>
        <v>71.120951999999974</v>
      </c>
      <c r="X7" s="83">
        <f>VLOOKUP(TableRBRanks3141[[#This Row],[Player]],RB!B:O,8,FALSE)</f>
        <v>53.340713999999977</v>
      </c>
      <c r="Y7" s="83">
        <f>VLOOKUP(TableRBRanks3141[[#This Row],[Player]],RB!B:O,9,FALSE)</f>
        <v>394.72128359999982</v>
      </c>
      <c r="Z7" s="83">
        <f>VLOOKUP(TableRBRanks3141[[#This Row],[Player]],RB!B:O,10,FALSE)</f>
        <v>2.4003321299999989</v>
      </c>
      <c r="AA7" s="57">
        <f>VLOOKUP(TableRBRanks3141[[#This Row],[Player]],RB!B:O,14,FALSE)</f>
        <v>220.63154206799999</v>
      </c>
      <c r="AB7" s="125">
        <f>IF(VLOOKUP(TableRBRanks3141[[#This Row],[RK]],'Ranks w Proj'!$P:$AB,13,FALSE)&lt;0,0,VLOOKUP(TableRBRanks3141[[#This Row],[RK]],'Ranks w Proj'!$P:$AB,13,FALSE))</f>
        <v>49.184026712418984</v>
      </c>
      <c r="AD7">
        <v>6</v>
      </c>
      <c r="AE7" t="str">
        <f>VLOOKUP(TableWRRanks3242[[#This Row],[RK]],Rankings!A:T,13,FALSE)</f>
        <v>A.J. Brown</v>
      </c>
      <c r="AF7" t="str">
        <f>IFERROR(INDEX(TableWRCalcPts[TM],MATCH(TableWRRanks3242[[#This Row],[Player]],TableWRCalcPts[PLAYER],0)),"")</f>
        <v>PHI</v>
      </c>
      <c r="AG7">
        <f>IFERROR(INDEX(TableWRCalcPts[BYE],MATCH(TableWRRanks3242[[#This Row],[Player]],TableWRCalcPts[PLAYER],0)),"")</f>
        <v>10</v>
      </c>
      <c r="AH7" s="83">
        <f>VLOOKUP(TableWRRanks3242[[#This Row],[Player]],WR!B:O,4,FALSE)</f>
        <v>0</v>
      </c>
      <c r="AI7" s="83">
        <f>VLOOKUP(TableWRRanks3242[[#This Row],[Player]],WR!B:O,5,FALSE)</f>
        <v>0</v>
      </c>
      <c r="AJ7" s="83">
        <f>VLOOKUP(TableWRRanks3242[[#This Row],[Player]],WR!B:O,6,FALSE)</f>
        <v>136.6726032</v>
      </c>
      <c r="AK7" s="83">
        <f>VLOOKUP(TableWRRanks3242[[#This Row],[Player]],WR!B:O,7,FALSE)</f>
        <v>86.240412619200001</v>
      </c>
      <c r="AL7" s="83">
        <f>VLOOKUP(TableWRRanks3242[[#This Row],[Player]],WR!B:O,8,FALSE)</f>
        <v>1237.5499210855201</v>
      </c>
      <c r="AM7" s="83">
        <f>VLOOKUP(TableWRRanks3242[[#This Row],[Player]],WR!B:O,9,FALSE)</f>
        <v>8.2790796114431995</v>
      </c>
      <c r="AN7" s="57">
        <f>VLOOKUP(TableWRRanks3242[[#This Row],[Player]],WR!B:O,13,FALSE)</f>
        <v>216.54967608681122</v>
      </c>
      <c r="AO7" s="125">
        <f>IF(VLOOKUP(TableWRRanks3242[[#This Row],[RK]],'Ranks w Proj'!AD:AO,12,FALSE)&lt;0,0,VLOOKUP(TableWRRanks3242[[#This Row],[RK]],'Ranks w Proj'!AD:AO,12,FALSE))</f>
        <v>27.487623583964446</v>
      </c>
      <c r="AQ7">
        <v>6</v>
      </c>
      <c r="AR7" t="str">
        <f>VLOOKUP(TableTERanks3343[[#This Row],[RK]],Rankings!A:T,18,FALSE)</f>
        <v>Kyle Pitts</v>
      </c>
      <c r="AS7" t="str">
        <f>IFERROR(INDEX(TableTECalcPts[TM],MATCH(TableTERanks3343[[#This Row],[Player]],TableTECalcPts[PLAYER],0)),"")</f>
        <v>ATL</v>
      </c>
      <c r="AT7">
        <f>IFERROR(INDEX(TableTECalcPts[BYE],MATCH(TableTERanks3343[[#This Row],[Player]],TableTECalcPts[PLAYER],0)),"")</f>
        <v>11</v>
      </c>
      <c r="AU7" s="83">
        <f>VLOOKUP(TableTERanks3343[[#This Row],[Player]],TE!B:O,4,FALSE)</f>
        <v>115.02691199999997</v>
      </c>
      <c r="AV7" s="83">
        <f>VLOOKUP(TableTERanks3343[[#This Row],[Player]],TE!B:O,5,FALSE)</f>
        <v>71.546739263999982</v>
      </c>
      <c r="AW7" s="83">
        <f>VLOOKUP(TableTERanks3343[[#This Row],[Player]],TE!B:O,6,FALSE)</f>
        <v>908.64358865279974</v>
      </c>
      <c r="AX7" s="83">
        <f>VLOOKUP(TableTERanks3343[[#This Row],[Player]],TE!B:O,7,FALSE)</f>
        <v>5.8668326196479983</v>
      </c>
      <c r="AY7" s="57">
        <f>VLOOKUP(TableTERanks3343[[#This Row],[Player]],TE!B:O,11,FALSE)</f>
        <v>161.83872421516796</v>
      </c>
      <c r="AZ7" s="125">
        <f>IF(VLOOKUP(TableTERanks3343[[#This Row],[RK]],'Ranks w Proj'!AQ:AZ,10,FALSE)&lt;0,0,VLOOKUP(TableTERanks3343[[#This Row],[RK]],'Ranks w Proj'!AQ:AZ,10,FALSE))</f>
        <v>8.4597655488337509</v>
      </c>
    </row>
    <row r="8" spans="1:52" x14ac:dyDescent="0.2">
      <c r="A8">
        <v>7</v>
      </c>
      <c r="B8" t="str">
        <f>VLOOKUP(TableQBRanks3040[[#This Row],[RK]],Rankings!A:T,3,FALSE)</f>
        <v>Anthony Richardson</v>
      </c>
      <c r="C8" t="str">
        <f>IFERROR(INDEX(TableQBCalcPts[TM],MATCH(TableQBRanks3040[[#This Row],[Player]],TableQBCalcPts[PLAYER],0)),"")</f>
        <v>IND</v>
      </c>
      <c r="D8">
        <f>IFERROR(INDEX(TableQBCalcPts[BYE],MATCH(TableQBRanks3040[[#This Row],[Player]],TableQBCalcPts[PLAYER],0)),"")</f>
        <v>11</v>
      </c>
      <c r="E8" s="83">
        <f>VLOOKUP(TableQBRanks3040[[#This Row],[Player]],QB!B:O,4,FALSE)</f>
        <v>520.20100000000002</v>
      </c>
      <c r="F8" s="83">
        <f>VLOOKUP(TableQBRanks3040[[#This Row],[Player]],QB!B:O,5,FALSE)</f>
        <v>321.484218</v>
      </c>
      <c r="G8" s="83">
        <f>VLOOKUP(TableQBRanks3040[[#This Row],[Player]],QB!B:O,6,FALSE)</f>
        <v>3680.9942960999997</v>
      </c>
      <c r="H8" s="83">
        <f>VLOOKUP(TableQBRanks3040[[#This Row],[Player]],QB!B:O,7,FALSE)</f>
        <v>20.808040000000002</v>
      </c>
      <c r="I8" s="83">
        <f>VLOOKUP(TableQBRanks3040[[#This Row],[Player]],QB!B:O,8,FALSE)</f>
        <v>6.1082001419999994</v>
      </c>
      <c r="J8" s="83">
        <f>VLOOKUP(TableQBRanks3040[[#This Row],[Player]],QB!B:O,9,FALSE)</f>
        <v>131.61733199999998</v>
      </c>
      <c r="K8" s="83">
        <f>VLOOKUP(TableQBRanks3040[[#This Row],[Player]],QB!B:O,10,FALSE)</f>
        <v>662.03517995999994</v>
      </c>
      <c r="L8" s="83">
        <f>VLOOKUP(TableQBRanks3040[[#This Row],[Player]],QB!B:O,11,FALSE)</f>
        <v>7.8970399199999983</v>
      </c>
      <c r="M8" s="57">
        <f>VLOOKUP(TableQBRanks3040[[#This Row],[Player]],QB!B:O,13,FALSE)</f>
        <v>337.949489218</v>
      </c>
      <c r="N8" s="125">
        <f>IF(VLOOKUP(TableQBRanks3040[[#This Row],[RK]],'Ranks w Proj'!$A:$N,14,FALSE)&lt;0,0,VLOOKUP(TableQBRanks3040[[#This Row],[RK]],'Ranks w Proj'!$A:$N,14,FALSE))</f>
        <v>16.176306412642973</v>
      </c>
      <c r="P8">
        <v>7</v>
      </c>
      <c r="Q8" t="str">
        <f>VLOOKUP(TableRBRanks3141[[#This Row],[RK]],Rankings!A:T,8,FALSE)</f>
        <v>Josh Jacobs</v>
      </c>
      <c r="R8" t="str">
        <f>IFERROR(INDEX(TableRBCalcPts[TM],MATCH(TableRBRanks3141[[#This Row],[Player]],TableRBCalcPts[PLAYER],0)),"")</f>
        <v>GB</v>
      </c>
      <c r="S8">
        <f>IFERROR(INDEX(TableRBCalcPts[BYE],MATCH(TableRBRanks3141[[#This Row],[Player]],TableRBCalcPts[PLAYER],0)),"")</f>
        <v>6</v>
      </c>
      <c r="T8" s="83">
        <f>VLOOKUP(TableRBRanks3141[[#This Row],[Player]],RB!B:O,4,FALSE)</f>
        <v>224.00839999999997</v>
      </c>
      <c r="U8" s="83">
        <f>VLOOKUP(TableRBRanks3141[[#This Row],[Player]],RB!B:O,5,FALSE)</f>
        <v>920.67452399999991</v>
      </c>
      <c r="V8" s="83">
        <f>VLOOKUP(TableRBRanks3141[[#This Row],[Player]],RB!B:O,6,FALSE)</f>
        <v>7.6162855999999994</v>
      </c>
      <c r="W8" s="83">
        <f>VLOOKUP(TableRBRanks3141[[#This Row],[Player]],RB!B:O,7,FALSE)</f>
        <v>51.318288000000003</v>
      </c>
      <c r="X8" s="83">
        <f>VLOOKUP(TableRBRanks3141[[#This Row],[Player]],RB!B:O,8,FALSE)</f>
        <v>39.155853744000005</v>
      </c>
      <c r="Y8" s="83">
        <f>VLOOKUP(TableRBRanks3141[[#This Row],[Player]],RB!B:O,9,FALSE)</f>
        <v>289.36175916816001</v>
      </c>
      <c r="Z8" s="83">
        <f>VLOOKUP(TableRBRanks3141[[#This Row],[Player]],RB!B:O,10,FALSE)</f>
        <v>1.5662341497600003</v>
      </c>
      <c r="AA8" s="57">
        <f>VLOOKUP(TableRBRanks3141[[#This Row],[Player]],RB!B:O,14,FALSE)</f>
        <v>195.67667368737602</v>
      </c>
      <c r="AB8" s="125">
        <f>IF(VLOOKUP(TableRBRanks3141[[#This Row],[RK]],'Ranks w Proj'!$P:$AB,13,FALSE)&lt;0,0,VLOOKUP(TableRBRanks3141[[#This Row],[RK]],'Ranks w Proj'!$P:$AB,13,FALSE))</f>
        <v>48.194920912620049</v>
      </c>
      <c r="AD8">
        <v>7</v>
      </c>
      <c r="AE8" t="str">
        <f>VLOOKUP(TableWRRanks3242[[#This Row],[RK]],Rankings!A:T,13,FALSE)</f>
        <v>Puka Nacua</v>
      </c>
      <c r="AF8" t="str">
        <f>IFERROR(INDEX(TableWRCalcPts[TM],MATCH(TableWRRanks3242[[#This Row],[Player]],TableWRCalcPts[PLAYER],0)),"")</f>
        <v>LAR</v>
      </c>
      <c r="AG8">
        <f>IFERROR(INDEX(TableWRCalcPts[BYE],MATCH(TableWRRanks3242[[#This Row],[Player]],TableWRCalcPts[PLAYER],0)),"")</f>
        <v>10</v>
      </c>
      <c r="AH8" s="83">
        <f>VLOOKUP(TableWRRanks3242[[#This Row],[Player]],WR!B:O,4,FALSE)</f>
        <v>90.244147895999987</v>
      </c>
      <c r="AI8" s="83">
        <f>VLOOKUP(TableWRRanks3242[[#This Row],[Player]],WR!B:O,5,FALSE)</f>
        <v>0.99849967559999997</v>
      </c>
      <c r="AJ8" s="83">
        <f>VLOOKUP(TableWRRanks3242[[#This Row],[Player]],WR!B:O,6,FALSE)</f>
        <v>138.86758759999995</v>
      </c>
      <c r="AK8" s="83">
        <f>VLOOKUP(TableWRRanks3242[[#This Row],[Player]],WR!B:O,7,FALSE)</f>
        <v>90.402799527599967</v>
      </c>
      <c r="AL8" s="83">
        <f>VLOOKUP(TableWRRanks3242[[#This Row],[Player]],WR!B:O,8,FALSE)</f>
        <v>1284.6237812871957</v>
      </c>
      <c r="AM8" s="83">
        <f>VLOOKUP(TableWRRanks3242[[#This Row],[Player]],WR!B:O,9,FALSE)</f>
        <v>6.7802099645699974</v>
      </c>
      <c r="AN8" s="57">
        <f>VLOOKUP(TableWRRanks3242[[#This Row],[Player]],WR!B:O,13,FALSE)</f>
        <v>229.36045052313952</v>
      </c>
      <c r="AO8" s="125">
        <f>IF(VLOOKUP(TableWRRanks3242[[#This Row],[RK]],'Ranks w Proj'!AD:AO,12,FALSE)&lt;0,0,VLOOKUP(TableWRRanks3242[[#This Row],[RK]],'Ranks w Proj'!AD:AO,12,FALSE))</f>
        <v>26.837390292530259</v>
      </c>
      <c r="AQ8">
        <v>7</v>
      </c>
      <c r="AR8" t="str">
        <f>VLOOKUP(TableTERanks3343[[#This Row],[RK]],Rankings!A:T,18,FALSE)</f>
        <v>Dalton Kincaid</v>
      </c>
      <c r="AS8" t="str">
        <f>IFERROR(INDEX(TableTECalcPts[TM],MATCH(TableTERanks3343[[#This Row],[Player]],TableTECalcPts[PLAYER],0)),"")</f>
        <v>BUF</v>
      </c>
      <c r="AT8">
        <f>IFERROR(INDEX(TableTECalcPts[BYE],MATCH(TableTERanks3343[[#This Row],[Player]],TableTECalcPts[PLAYER],0)),"")</f>
        <v>13</v>
      </c>
      <c r="AU8" s="83">
        <f>VLOOKUP(TableTERanks3343[[#This Row],[Player]],TE!B:O,4,FALSE)</f>
        <v>106.29158399999997</v>
      </c>
      <c r="AV8" s="83">
        <f>VLOOKUP(TableTERanks3343[[#This Row],[Player]],TE!B:O,5,FALSE)</f>
        <v>74.722983551999974</v>
      </c>
      <c r="AW8" s="83">
        <f>VLOOKUP(TableTERanks3343[[#This Row],[Player]],TE!B:O,6,FALSE)</f>
        <v>774.13010959871974</v>
      </c>
      <c r="AX8" s="83">
        <f>VLOOKUP(TableTERanks3343[[#This Row],[Player]],TE!B:O,7,FALSE)</f>
        <v>6.7250685196799971</v>
      </c>
      <c r="AY8" s="57">
        <f>VLOOKUP(TableTERanks3343[[#This Row],[Player]],TE!B:O,11,FALSE)</f>
        <v>155.12491385395197</v>
      </c>
      <c r="AZ8" s="125">
        <f>IF(VLOOKUP(TableTERanks3343[[#This Row],[RK]],'Ranks w Proj'!AQ:AZ,10,FALSE)&lt;0,0,VLOOKUP(TableTERanks3343[[#This Row],[RK]],'Ranks w Proj'!AQ:AZ,10,FALSE))</f>
        <v>8.4429942898712529</v>
      </c>
    </row>
    <row r="9" spans="1:52" x14ac:dyDescent="0.2">
      <c r="A9">
        <v>8</v>
      </c>
      <c r="B9" t="str">
        <f>VLOOKUP(TableQBRanks3040[[#This Row],[RK]],Rankings!A:T,3,FALSE)</f>
        <v>Joe Burrow</v>
      </c>
      <c r="C9" t="str">
        <f>IFERROR(INDEX(TableQBCalcPts[TM],MATCH(TableQBRanks3040[[#This Row],[Player]],TableQBCalcPts[PLAYER],0)),"")</f>
        <v>CIN</v>
      </c>
      <c r="D9">
        <f>IFERROR(INDEX(TableQBCalcPts[BYE],MATCH(TableQBRanks3040[[#This Row],[Player]],TableQBCalcPts[PLAYER],0)),"")</f>
        <v>7</v>
      </c>
      <c r="E9" s="83">
        <f>VLOOKUP(TableQBRanks3040[[#This Row],[Player]],QB!B:O,4,FALSE)</f>
        <v>604.47929999999997</v>
      </c>
      <c r="F9" s="83">
        <f>VLOOKUP(TableQBRanks3040[[#This Row],[Player]],QB!B:O,5,FALSE)</f>
        <v>408.62800679999998</v>
      </c>
      <c r="G9" s="83">
        <f>VLOOKUP(TableQBRanks3040[[#This Row],[Player]],QB!B:O,6,FALSE)</f>
        <v>4529.6414553780005</v>
      </c>
      <c r="H9" s="83">
        <f>VLOOKUP(TableQBRanks3040[[#This Row],[Player]],QB!B:O,7,FALSE)</f>
        <v>31.432923599999995</v>
      </c>
      <c r="I9" s="83">
        <f>VLOOKUP(TableQBRanks3040[[#This Row],[Player]],QB!B:O,8,FALSE)</f>
        <v>8.1725601359999995</v>
      </c>
      <c r="J9" s="83">
        <f>VLOOKUP(TableQBRanks3040[[#This Row],[Player]],QB!B:O,9,FALSE)</f>
        <v>55.114063199999997</v>
      </c>
      <c r="K9" s="83">
        <f>VLOOKUP(TableQBRanks3040[[#This Row],[Player]],QB!B:O,10,FALSE)</f>
        <v>193.45036183199997</v>
      </c>
      <c r="L9" s="83">
        <f>VLOOKUP(TableQBRanks3040[[#This Row],[Player]],QB!B:O,11,FALSE)</f>
        <v>2.2045625279999999</v>
      </c>
      <c r="M9" s="57">
        <f>VLOOKUP(TableQBRanks3040[[#This Row],[Player]],QB!B:O,13,FALSE)</f>
        <v>331.31720383031995</v>
      </c>
      <c r="N9" s="125">
        <f>IF(VLOOKUP(TableQBRanks3040[[#This Row],[RK]],'Ranks w Proj'!$A:$N,14,FALSE)&lt;0,0,VLOOKUP(TableQBRanks3040[[#This Row],[RK]],'Ranks w Proj'!$A:$N,14,FALSE))</f>
        <v>14.588303551072419</v>
      </c>
      <c r="P9">
        <v>8</v>
      </c>
      <c r="Q9" t="str">
        <f>VLOOKUP(TableRBRanks3141[[#This Row],[RK]],Rankings!A:T,8,FALSE)</f>
        <v>Derrick Henry</v>
      </c>
      <c r="R9" t="str">
        <f>IFERROR(INDEX(TableRBCalcPts[TM],MATCH(TableRBRanks3141[[#This Row],[Player]],TableRBCalcPts[PLAYER],0)),"")</f>
        <v>BAL</v>
      </c>
      <c r="S9">
        <f>IFERROR(INDEX(TableRBCalcPts[BYE],MATCH(TableRBRanks3141[[#This Row],[Player]],TableRBCalcPts[PLAYER],0)),"")</f>
        <v>13</v>
      </c>
      <c r="T9" s="83">
        <f>VLOOKUP(TableRBRanks3141[[#This Row],[Player]],RB!B:O,4,FALSE)</f>
        <v>246.81158879999995</v>
      </c>
      <c r="U9" s="83">
        <f>VLOOKUP(TableRBRanks3141[[#This Row],[Player]],RB!B:O,5,FALSE)</f>
        <v>1105.7159178239999</v>
      </c>
      <c r="V9" s="83">
        <f>VLOOKUP(TableRBRanks3141[[#This Row],[Player]],RB!B:O,6,FALSE)</f>
        <v>14.068260561599997</v>
      </c>
      <c r="W9" s="83">
        <f>VLOOKUP(TableRBRanks3141[[#This Row],[Player]],RB!B:O,7,FALSE)</f>
        <v>31.760937600000002</v>
      </c>
      <c r="X9" s="83">
        <f>VLOOKUP(TableRBRanks3141[[#This Row],[Player]],RB!B:O,8,FALSE)</f>
        <v>23.820703200000001</v>
      </c>
      <c r="Y9" s="83">
        <f>VLOOKUP(TableRBRanks3141[[#This Row],[Player]],RB!B:O,9,FALSE)</f>
        <v>187.707141216</v>
      </c>
      <c r="Z9" s="83">
        <f>VLOOKUP(TableRBRanks3141[[#This Row],[Player]],RB!B:O,10,FALSE)</f>
        <v>0.95282812800000005</v>
      </c>
      <c r="AA9" s="57">
        <f>VLOOKUP(TableRBRanks3141[[#This Row],[Player]],RB!B:O,14,FALSE)</f>
        <v>231.37918964159999</v>
      </c>
      <c r="AB9" s="125">
        <f>IF(VLOOKUP(TableRBRanks3141[[#This Row],[RK]],'Ranks w Proj'!$P:$AB,13,FALSE)&lt;0,0,VLOOKUP(TableRBRanks3141[[#This Row],[RK]],'Ranks w Proj'!$P:$AB,13,FALSE))</f>
        <v>44.729217714822894</v>
      </c>
      <c r="AD9">
        <v>8</v>
      </c>
      <c r="AE9" t="str">
        <f>VLOOKUP(TableWRRanks3242[[#This Row],[RK]],Rankings!A:T,13,FALSE)</f>
        <v>Brandon Aiyuk</v>
      </c>
      <c r="AF9" t="str">
        <f>IFERROR(INDEX(TableWRCalcPts[TM],MATCH(TableWRRanks3242[[#This Row],[Player]],TableWRCalcPts[PLAYER],0)),"")</f>
        <v>SF</v>
      </c>
      <c r="AG9">
        <f>IFERROR(INDEX(TableWRCalcPts[BYE],MATCH(TableWRRanks3242[[#This Row],[Player]],TableWRCalcPts[PLAYER],0)),"")</f>
        <v>9</v>
      </c>
      <c r="AH9" s="83">
        <f>VLOOKUP(TableWRRanks3242[[#This Row],[Player]],WR!B:O,4,FALSE)</f>
        <v>0</v>
      </c>
      <c r="AI9" s="83">
        <f>VLOOKUP(TableWRRanks3242[[#This Row],[Player]],WR!B:O,5,FALSE)</f>
        <v>0</v>
      </c>
      <c r="AJ9" s="83">
        <f>VLOOKUP(TableWRRanks3242[[#This Row],[Player]],WR!B:O,6,FALSE)</f>
        <v>117.15747119999997</v>
      </c>
      <c r="AK9" s="83">
        <f>VLOOKUP(TableWRRanks3242[[#This Row],[Player]],WR!B:O,7,FALSE)</f>
        <v>79.66708041599999</v>
      </c>
      <c r="AL9" s="83">
        <f>VLOOKUP(TableWRRanks3242[[#This Row],[Player]],WR!B:O,8,FALSE)</f>
        <v>1198.1928894566397</v>
      </c>
      <c r="AM9" s="83">
        <f>VLOOKUP(TableWRRanks3242[[#This Row],[Player]],WR!B:O,9,FALSE)</f>
        <v>8.3650434436799994</v>
      </c>
      <c r="AN9" s="57">
        <f>VLOOKUP(TableWRRanks3242[[#This Row],[Player]],WR!B:O,13,FALSE)</f>
        <v>209.84308981574395</v>
      </c>
      <c r="AO9" s="125">
        <f>IF(VLOOKUP(TableWRRanks3242[[#This Row],[RK]],'Ranks w Proj'!AD:AO,12,FALSE)&lt;0,0,VLOOKUP(TableWRRanks3242[[#This Row],[RK]],'Ranks w Proj'!AD:AO,12,FALSE))</f>
        <v>23.342767901752545</v>
      </c>
      <c r="AQ9">
        <v>8</v>
      </c>
      <c r="AR9" t="str">
        <f>VLOOKUP(TableTERanks3343[[#This Row],[RK]],Rankings!A:T,18,FALSE)</f>
        <v>Evan Engram</v>
      </c>
      <c r="AS9" t="str">
        <f>IFERROR(INDEX(TableTECalcPts[TM],MATCH(TableTERanks3343[[#This Row],[Player]],TableTECalcPts[PLAYER],0)),"")</f>
        <v>JAX</v>
      </c>
      <c r="AT9">
        <f>IFERROR(INDEX(TableTECalcPts[BYE],MATCH(TableTERanks3343[[#This Row],[Player]],TableTECalcPts[PLAYER],0)),"")</f>
        <v>9</v>
      </c>
      <c r="AU9" s="83">
        <f>VLOOKUP(TableTERanks3343[[#This Row],[Player]],TE!B:O,4,FALSE)</f>
        <v>108.76647599999997</v>
      </c>
      <c r="AV9" s="83">
        <f>VLOOKUP(TableTERanks3343[[#This Row],[Player]],TE!B:O,5,FALSE)</f>
        <v>79.617060431999974</v>
      </c>
      <c r="AW9" s="83">
        <f>VLOOKUP(TableTERanks3343[[#This Row],[Player]],TE!B:O,6,FALSE)</f>
        <v>745.21568564351969</v>
      </c>
      <c r="AX9" s="83">
        <f>VLOOKUP(TableTERanks3343[[#This Row],[Player]],TE!B:O,7,FALSE)</f>
        <v>4.7770236259199983</v>
      </c>
      <c r="AY9" s="57">
        <f>VLOOKUP(TableTERanks3343[[#This Row],[Player]],TE!B:O,11,FALSE)</f>
        <v>142.99224053587196</v>
      </c>
      <c r="AZ9" s="125">
        <f>IF(VLOOKUP(TableTERanks3343[[#This Row],[RK]],'Ranks w Proj'!AQ:AZ,10,FALSE)&lt;0,0,VLOOKUP(TableTERanks3343[[#This Row],[RK]],'Ranks w Proj'!AQ:AZ,10,FALSE))</f>
        <v>5.3292363726121863</v>
      </c>
    </row>
    <row r="10" spans="1:52" x14ac:dyDescent="0.2">
      <c r="A10">
        <v>9</v>
      </c>
      <c r="B10" t="str">
        <f>VLOOKUP(TableQBRanks3040[[#This Row],[RK]],Rankings!A:T,3,FALSE)</f>
        <v>Kyler Murray</v>
      </c>
      <c r="C10" t="str">
        <f>IFERROR(INDEX(TableQBCalcPts[TM],MATCH(TableQBRanks3040[[#This Row],[Player]],TableQBCalcPts[PLAYER],0)),"")</f>
        <v>ARI</v>
      </c>
      <c r="D10">
        <f>IFERROR(INDEX(TableQBCalcPts[BYE],MATCH(TableQBRanks3040[[#This Row],[Player]],TableQBCalcPts[PLAYER],0)),"")</f>
        <v>14</v>
      </c>
      <c r="E10" s="83">
        <f>VLOOKUP(TableQBRanks3040[[#This Row],[Player]],QB!B:O,4,FALSE)</f>
        <v>559.60424999999998</v>
      </c>
      <c r="F10" s="83">
        <f>VLOOKUP(TableQBRanks3040[[#This Row],[Player]],QB!B:O,5,FALSE)</f>
        <v>371.01761775</v>
      </c>
      <c r="G10" s="83">
        <f>VLOOKUP(TableQBRanks3040[[#This Row],[Player]],QB!B:O,6,FALSE)</f>
        <v>3951.3376290374999</v>
      </c>
      <c r="H10" s="83">
        <f>VLOOKUP(TableQBRanks3040[[#This Row],[Player]],QB!B:O,7,FALSE)</f>
        <v>22.384170000000001</v>
      </c>
      <c r="I10" s="83">
        <f>VLOOKUP(TableQBRanks3040[[#This Row],[Player]],QB!B:O,8,FALSE)</f>
        <v>7.4203523550000003</v>
      </c>
      <c r="J10" s="83">
        <f>VLOOKUP(TableQBRanks3040[[#This Row],[Player]],QB!B:O,9,FALSE)</f>
        <v>81.721710000000002</v>
      </c>
      <c r="K10" s="83">
        <f>VLOOKUP(TableQBRanks3040[[#This Row],[Player]],QB!B:O,10,FALSE)</f>
        <v>468.26539830000007</v>
      </c>
      <c r="L10" s="83">
        <f>VLOOKUP(TableQBRanks3040[[#This Row],[Player]],QB!B:O,11,FALSE)</f>
        <v>4.4946940500000006</v>
      </c>
      <c r="M10" s="57">
        <f>VLOOKUP(TableQBRanks3040[[#This Row],[Player]],QB!B:O,13,FALSE)</f>
        <v>313.96453693650005</v>
      </c>
      <c r="N10" s="125">
        <f>IF(VLOOKUP(TableQBRanks3040[[#This Row],[RK]],'Ranks w Proj'!$A:$N,14,FALSE)&lt;0,0,VLOOKUP(TableQBRanks3040[[#This Row],[RK]],'Ranks w Proj'!$A:$N,14,FALSE))</f>
        <v>14.362859922344606</v>
      </c>
      <c r="P10">
        <v>9</v>
      </c>
      <c r="Q10" t="str">
        <f>VLOOKUP(TableRBRanks3141[[#This Row],[RK]],Rankings!A:T,8,FALSE)</f>
        <v>Kyren Williams</v>
      </c>
      <c r="R10" t="str">
        <f>IFERROR(INDEX(TableRBCalcPts[TM],MATCH(TableRBRanks3141[[#This Row],[Player]],TableRBCalcPts[PLAYER],0)),"")</f>
        <v>LAR</v>
      </c>
      <c r="S10">
        <f>IFERROR(INDEX(TableRBCalcPts[BYE],MATCH(TableRBRanks3141[[#This Row],[Player]],TableRBCalcPts[PLAYER],0)),"")</f>
        <v>10</v>
      </c>
      <c r="T10" s="83">
        <f>VLOOKUP(TableRBRanks3141[[#This Row],[Player]],RB!B:O,4,FALSE)</f>
        <v>248.57164919999997</v>
      </c>
      <c r="U10" s="83">
        <f>VLOOKUP(TableRBRanks3141[[#This Row],[Player]],RB!B:O,5,FALSE)</f>
        <v>1135.972436844</v>
      </c>
      <c r="V10" s="83">
        <f>VLOOKUP(TableRBRanks3141[[#This Row],[Player]],RB!B:O,6,FALSE)</f>
        <v>10.440009266399999</v>
      </c>
      <c r="W10" s="83">
        <f>VLOOKUP(TableRBRanks3141[[#This Row],[Player]],RB!B:O,7,FALSE)</f>
        <v>48.301769599999986</v>
      </c>
      <c r="X10" s="83">
        <f>VLOOKUP(TableRBRanks3141[[#This Row],[Player]],RB!B:O,8,FALSE)</f>
        <v>34.390859955199986</v>
      </c>
      <c r="Y10" s="83">
        <f>VLOOKUP(TableRBRanks3141[[#This Row],[Player]],RB!B:O,9,FALSE)</f>
        <v>252.4289120711679</v>
      </c>
      <c r="Z10" s="83">
        <f>VLOOKUP(TableRBRanks3141[[#This Row],[Player]],RB!B:O,10,FALSE)</f>
        <v>1.7195429977599994</v>
      </c>
      <c r="AA10" s="57">
        <f>VLOOKUP(TableRBRanks3141[[#This Row],[Player]],RB!B:O,14,FALSE)</f>
        <v>228.99287845407679</v>
      </c>
      <c r="AB10" s="125">
        <f>IF(VLOOKUP(TableRBRanks3141[[#This Row],[RK]],'Ranks w Proj'!$P:$AB,13,FALSE)&lt;0,0,VLOOKUP(TableRBRanks3141[[#This Row],[RK]],'Ranks w Proj'!$P:$AB,13,FALSE))</f>
        <v>44.298997848217091</v>
      </c>
      <c r="AD10">
        <v>9</v>
      </c>
      <c r="AE10" t="str">
        <f>VLOOKUP(TableWRRanks3242[[#This Row],[RK]],Rankings!A:T,13,FALSE)</f>
        <v>Marvin Harrison</v>
      </c>
      <c r="AF10" t="str">
        <f>IFERROR(INDEX(TableWRCalcPts[TM],MATCH(TableWRRanks3242[[#This Row],[Player]],TableWRCalcPts[PLAYER],0)),"")</f>
        <v>ARI</v>
      </c>
      <c r="AG10">
        <f>IFERROR(INDEX(TableWRCalcPts[BYE],MATCH(TableWRRanks3242[[#This Row],[Player]],TableWRCalcPts[PLAYER],0)),"")</f>
        <v>14</v>
      </c>
      <c r="AH10" s="83">
        <f>VLOOKUP(TableWRRanks3242[[#This Row],[Player]],WR!B:O,4,FALSE)</f>
        <v>0</v>
      </c>
      <c r="AI10" s="83">
        <f>VLOOKUP(TableWRRanks3242[[#This Row],[Player]],WR!B:O,5,FALSE)</f>
        <v>0</v>
      </c>
      <c r="AJ10" s="83">
        <f>VLOOKUP(TableWRRanks3242[[#This Row],[Player]],WR!B:O,6,FALSE)</f>
        <v>141.52572000000001</v>
      </c>
      <c r="AK10" s="83">
        <f>VLOOKUP(TableWRRanks3242[[#This Row],[Player]],WR!B:O,7,FALSE)</f>
        <v>88.595100720000005</v>
      </c>
      <c r="AL10" s="83">
        <f>VLOOKUP(TableWRRanks3242[[#This Row],[Player]],WR!B:O,8,FALSE)</f>
        <v>1190.7181536768001</v>
      </c>
      <c r="AM10" s="83">
        <f>VLOOKUP(TableWRRanks3242[[#This Row],[Player]],WR!B:O,9,FALSE)</f>
        <v>6.9104178561600005</v>
      </c>
      <c r="AN10" s="57">
        <f>VLOOKUP(TableWRRanks3242[[#This Row],[Player]],WR!B:O,13,FALSE)</f>
        <v>204.83187286464002</v>
      </c>
      <c r="AO10" s="125">
        <f>IF(VLOOKUP(TableWRRanks3242[[#This Row],[RK]],'Ranks w Proj'!AD:AO,12,FALSE)&lt;0,0,VLOOKUP(TableWRRanks3242[[#This Row],[RK]],'Ranks w Proj'!AD:AO,12,FALSE))</f>
        <v>21.51752012493516</v>
      </c>
      <c r="AQ10">
        <v>9</v>
      </c>
      <c r="AR10" t="str">
        <f>VLOOKUP(TableTERanks3343[[#This Row],[RK]],Rankings!A:T,18,FALSE)</f>
        <v>David Njoku</v>
      </c>
      <c r="AS10" t="str">
        <f>IFERROR(INDEX(TableTECalcPts[TM],MATCH(TableTERanks3343[[#This Row],[Player]],TableTECalcPts[PLAYER],0)),"")</f>
        <v>CLE</v>
      </c>
      <c r="AT10">
        <f>IFERROR(INDEX(TableTECalcPts[BYE],MATCH(TableTERanks3343[[#This Row],[Player]],TableTECalcPts[PLAYER],0)),"")</f>
        <v>5</v>
      </c>
      <c r="AU10" s="83">
        <f>VLOOKUP(TableTERanks3343[[#This Row],[Player]],TE!B:O,4,FALSE)</f>
        <v>107.5305</v>
      </c>
      <c r="AV10" s="83">
        <f>VLOOKUP(TableTERanks3343[[#This Row],[Player]],TE!B:O,5,FALSE)</f>
        <v>72.798148500000011</v>
      </c>
      <c r="AW10" s="83">
        <f>VLOOKUP(TableTERanks3343[[#This Row],[Player]],TE!B:O,6,FALSE)</f>
        <v>749.82092955000019</v>
      </c>
      <c r="AX10" s="83">
        <f>VLOOKUP(TableTERanks3343[[#This Row],[Player]],TE!B:O,7,FALSE)</f>
        <v>5.8238518800000012</v>
      </c>
      <c r="AY10" s="57">
        <f>VLOOKUP(TableTERanks3343[[#This Row],[Player]],TE!B:O,11,FALSE)</f>
        <v>146.32427848500004</v>
      </c>
      <c r="AZ10" s="125">
        <f>IF(VLOOKUP(TableTERanks3343[[#This Row],[RK]],'Ranks w Proj'!AQ:AZ,10,FALSE)&lt;0,0,VLOOKUP(TableTERanks3343[[#This Row],[RK]],'Ranks w Proj'!AQ:AZ,10,FALSE))</f>
        <v>5.175266649214934</v>
      </c>
    </row>
    <row r="11" spans="1:52" x14ac:dyDescent="0.2">
      <c r="A11">
        <v>10</v>
      </c>
      <c r="B11" t="str">
        <f>VLOOKUP(TableQBRanks3040[[#This Row],[RK]],Rankings!A:T,3,FALSE)</f>
        <v>Jordan Love</v>
      </c>
      <c r="C11" t="str">
        <f>IFERROR(INDEX(TableQBCalcPts[TM],MATCH(TableQBRanks3040[[#This Row],[Player]],TableQBCalcPts[PLAYER],0)),"")</f>
        <v>GB</v>
      </c>
      <c r="D11">
        <f>IFERROR(INDEX(TableQBCalcPts[BYE],MATCH(TableQBRanks3040[[#This Row],[Player]],TableQBCalcPts[PLAYER],0)),"")</f>
        <v>6</v>
      </c>
      <c r="E11" s="83">
        <f>VLOOKUP(TableQBRanks3040[[#This Row],[Player]],QB!B:O,4,FALSE)</f>
        <v>576.02160000000003</v>
      </c>
      <c r="F11" s="83">
        <f>VLOOKUP(TableQBRanks3040[[#This Row],[Player]],QB!B:O,5,FALSE)</f>
        <v>380.75027760000006</v>
      </c>
      <c r="G11" s="83">
        <f>VLOOKUP(TableQBRanks3040[[#This Row],[Player]],QB!B:O,6,FALSE)</f>
        <v>4351.9756729680003</v>
      </c>
      <c r="H11" s="83">
        <f>VLOOKUP(TableQBRanks3040[[#This Row],[Player]],QB!B:O,7,FALSE)</f>
        <v>32.257209600000003</v>
      </c>
      <c r="I11" s="83">
        <f>VLOOKUP(TableQBRanks3040[[#This Row],[Player]],QB!B:O,8,FALSE)</f>
        <v>7.6150055520000013</v>
      </c>
      <c r="J11" s="83">
        <f>VLOOKUP(TableQBRanks3040[[#This Row],[Player]],QB!B:O,9,FALSE)</f>
        <v>49.281847999999997</v>
      </c>
      <c r="K11" s="83">
        <f>VLOOKUP(TableQBRanks3040[[#This Row],[Player]],QB!B:O,10,FALSE)</f>
        <v>219.79704207999998</v>
      </c>
      <c r="L11" s="83">
        <f>VLOOKUP(TableQBRanks3040[[#This Row],[Player]],QB!B:O,11,FALSE)</f>
        <v>1.5770191359999999</v>
      </c>
      <c r="M11" s="57">
        <f>VLOOKUP(TableQBRanks3040[[#This Row],[Player]],QB!B:O,13,FALSE)</f>
        <v>326.93467879072</v>
      </c>
      <c r="N11" s="125">
        <f>IF(VLOOKUP(TableQBRanks3040[[#This Row],[RK]],'Ranks w Proj'!$A:$N,14,FALSE)&lt;0,0,VLOOKUP(TableQBRanks3040[[#This Row],[RK]],'Ranks w Proj'!$A:$N,14,FALSE))</f>
        <v>13.426506902939611</v>
      </c>
      <c r="P11">
        <v>10</v>
      </c>
      <c r="Q11" t="str">
        <f>VLOOKUP(TableRBRanks3141[[#This Row],[RK]],Rankings!A:T,8,FALSE)</f>
        <v>Joe Mixon</v>
      </c>
      <c r="R11" t="str">
        <f>IFERROR(INDEX(TableRBCalcPts[TM],MATCH(TableRBRanks3141[[#This Row],[Player]],TableRBCalcPts[PLAYER],0)),"")</f>
        <v>HOU</v>
      </c>
      <c r="S11">
        <f>IFERROR(INDEX(TableRBCalcPts[BYE],MATCH(TableRBRanks3141[[#This Row],[Player]],TableRBCalcPts[PLAYER],0)),"")</f>
        <v>7</v>
      </c>
      <c r="T11" s="83">
        <f>VLOOKUP(TableRBRanks3141[[#This Row],[Player]],RB!B:O,4,FALSE)</f>
        <v>259.584</v>
      </c>
      <c r="U11" s="83">
        <f>VLOOKUP(TableRBRanks3141[[#This Row],[Player]],RB!B:O,5,FALSE)</f>
        <v>1090.2528</v>
      </c>
      <c r="V11" s="83">
        <f>VLOOKUP(TableRBRanks3141[[#This Row],[Player]],RB!B:O,6,FALSE)</f>
        <v>9.6046079999999989</v>
      </c>
      <c r="W11" s="83">
        <f>VLOOKUP(TableRBRanks3141[[#This Row],[Player]],RB!B:O,7,FALSE)</f>
        <v>46.426598399999996</v>
      </c>
      <c r="X11" s="83">
        <f>VLOOKUP(TableRBRanks3141[[#This Row],[Player]],RB!B:O,8,FALSE)</f>
        <v>35.794907366399997</v>
      </c>
      <c r="Y11" s="83">
        <f>VLOOKUP(TableRBRanks3141[[#This Row],[Player]],RB!B:O,9,FALSE)</f>
        <v>253.78589322777597</v>
      </c>
      <c r="Z11" s="83">
        <f>VLOOKUP(TableRBRanks3141[[#This Row],[Player]],RB!B:O,10,FALSE)</f>
        <v>1.6107708314879998</v>
      </c>
      <c r="AA11" s="57">
        <f>VLOOKUP(TableRBRanks3141[[#This Row],[Player]],RB!B:O,14,FALSE)</f>
        <v>219.5935959949056</v>
      </c>
      <c r="AB11" s="125">
        <f>IF(VLOOKUP(TableRBRanks3141[[#This Row],[RK]],'Ranks w Proj'!$P:$AB,13,FALSE)&lt;0,0,VLOOKUP(TableRBRanks3141[[#This Row],[RK]],'Ranks w Proj'!$P:$AB,13,FALSE))</f>
        <v>43.295586672962905</v>
      </c>
      <c r="AD11">
        <v>10</v>
      </c>
      <c r="AE11" t="str">
        <f>VLOOKUP(TableWRRanks3242[[#This Row],[RK]],Rankings!A:T,13,FALSE)</f>
        <v>Mike Evans</v>
      </c>
      <c r="AF11" t="str">
        <f>IFERROR(INDEX(TableWRCalcPts[TM],MATCH(TableWRRanks3242[[#This Row],[Player]],TableWRCalcPts[PLAYER],0)),"")</f>
        <v>TB</v>
      </c>
      <c r="AG11">
        <f>IFERROR(INDEX(TableWRCalcPts[BYE],MATCH(TableWRRanks3242[[#This Row],[Player]],TableWRCalcPts[PLAYER],0)),"")</f>
        <v>5</v>
      </c>
      <c r="AH11" s="83">
        <f>VLOOKUP(TableWRRanks3242[[#This Row],[Player]],WR!B:O,4,FALSE)</f>
        <v>0</v>
      </c>
      <c r="AI11" s="83">
        <f>VLOOKUP(TableWRRanks3242[[#This Row],[Player]],WR!B:O,5,FALSE)</f>
        <v>0</v>
      </c>
      <c r="AJ11" s="83">
        <f>VLOOKUP(TableWRRanks3242[[#This Row],[Player]],WR!B:O,6,FALSE)</f>
        <v>130.47120239999998</v>
      </c>
      <c r="AK11" s="83">
        <f>VLOOKUP(TableWRRanks3242[[#This Row],[Player]],WR!B:O,7,FALSE)</f>
        <v>76.195182201599991</v>
      </c>
      <c r="AL11" s="83">
        <f>VLOOKUP(TableWRRanks3242[[#This Row],[Player]],WR!B:O,8,FALSE)</f>
        <v>1156.6428658202879</v>
      </c>
      <c r="AM11" s="83">
        <f>VLOOKUP(TableWRRanks3242[[#This Row],[Player]],WR!B:O,9,FALSE)</f>
        <v>9.5243977751999989</v>
      </c>
      <c r="AN11" s="57">
        <f>VLOOKUP(TableWRRanks3242[[#This Row],[Player]],WR!B:O,13,FALSE)</f>
        <v>210.90826433402879</v>
      </c>
      <c r="AO11" s="125">
        <f>IF(VLOOKUP(TableWRRanks3242[[#This Row],[RK]],'Ranks w Proj'!AD:AO,12,FALSE)&lt;0,0,VLOOKUP(TableWRRanks3242[[#This Row],[RK]],'Ranks w Proj'!AD:AO,12,FALSE))</f>
        <v>21.172888761967727</v>
      </c>
      <c r="AQ11">
        <v>10</v>
      </c>
      <c r="AR11" t="str">
        <f>VLOOKUP(TableTERanks3343[[#This Row],[RK]],Rankings!A:T,18,FALSE)</f>
        <v>Jake Ferguson</v>
      </c>
      <c r="AS11" t="str">
        <f>IFERROR(INDEX(TableTECalcPts[TM],MATCH(TableTERanks3343[[#This Row],[Player]],TableTECalcPts[PLAYER],0)),"")</f>
        <v>DAL</v>
      </c>
      <c r="AT11">
        <f>IFERROR(INDEX(TableTECalcPts[BYE],MATCH(TableTERanks3343[[#This Row],[Player]],TableTECalcPts[PLAYER],0)),"")</f>
        <v>7</v>
      </c>
      <c r="AU11" s="83">
        <f>VLOOKUP(TableTERanks3343[[#This Row],[Player]],TE!B:O,4,FALSE)</f>
        <v>97.573190399999959</v>
      </c>
      <c r="AV11" s="83">
        <f>VLOOKUP(TableTERanks3343[[#This Row],[Player]],TE!B:O,5,FALSE)</f>
        <v>69.472111564799974</v>
      </c>
      <c r="AW11" s="83">
        <f>VLOOKUP(TableTERanks3343[[#This Row],[Player]],TE!B:O,6,FALSE)</f>
        <v>736.40438258687971</v>
      </c>
      <c r="AX11" s="83">
        <f>VLOOKUP(TableTERanks3343[[#This Row],[Player]],TE!B:O,7,FALSE)</f>
        <v>6.2524900408319972</v>
      </c>
      <c r="AY11" s="57">
        <f>VLOOKUP(TableTERanks3343[[#This Row],[Player]],TE!B:O,11,FALSE)</f>
        <v>145.89143428607994</v>
      </c>
      <c r="AZ11" s="125">
        <f>IF(VLOOKUP(TableTERanks3343[[#This Row],[RK]],'Ranks w Proj'!AQ:AZ,10,FALSE)&lt;0,0,VLOOKUP(TableTERanks3343[[#This Row],[RK]],'Ranks w Proj'!AQ:AZ,10,FALSE))</f>
        <v>4.143976265958643</v>
      </c>
    </row>
    <row r="12" spans="1:52" x14ac:dyDescent="0.2">
      <c r="A12">
        <v>11</v>
      </c>
      <c r="B12" t="str">
        <f>VLOOKUP(TableQBRanks3040[[#This Row],[RK]],Rankings!A:T,3,FALSE)</f>
        <v>Brock Purdy</v>
      </c>
      <c r="C12" t="str">
        <f>IFERROR(INDEX(TableQBCalcPts[TM],MATCH(TableQBRanks3040[[#This Row],[Player]],TableQBCalcPts[PLAYER],0)),"")</f>
        <v>SF</v>
      </c>
      <c r="D12">
        <f>IFERROR(INDEX(TableQBCalcPts[BYE],MATCH(TableQBRanks3040[[#This Row],[Player]],TableQBCalcPts[PLAYER],0)),"")</f>
        <v>9</v>
      </c>
      <c r="E12" s="83">
        <f>VLOOKUP(TableQBRanks3040[[#This Row],[Player]],QB!B:O,4,FALSE)</f>
        <v>532.53395999999998</v>
      </c>
      <c r="F12" s="83">
        <f>VLOOKUP(TableQBRanks3040[[#This Row],[Player]],QB!B:O,5,FALSE)</f>
        <v>362.65562676000002</v>
      </c>
      <c r="G12" s="83">
        <f>VLOOKUP(TableQBRanks3040[[#This Row],[Player]],QB!B:O,6,FALSE)</f>
        <v>4482.4235467536</v>
      </c>
      <c r="H12" s="83">
        <f>VLOOKUP(TableQBRanks3040[[#This Row],[Player]],QB!B:O,7,FALSE)</f>
        <v>30.354435720000001</v>
      </c>
      <c r="I12" s="83">
        <f>VLOOKUP(TableQBRanks3040[[#This Row],[Player]],QB!B:O,8,FALSE)</f>
        <v>7.9784237887199998</v>
      </c>
      <c r="J12" s="83">
        <f>VLOOKUP(TableQBRanks3040[[#This Row],[Player]],QB!B:O,9,FALSE)</f>
        <v>39.011683199999993</v>
      </c>
      <c r="K12" s="83">
        <f>VLOOKUP(TableQBRanks3040[[#This Row],[Player]],QB!B:O,10,FALSE)</f>
        <v>122.88680207999998</v>
      </c>
      <c r="L12" s="83">
        <f>VLOOKUP(TableQBRanks3040[[#This Row],[Player]],QB!B:O,11,FALSE)</f>
        <v>1.0533154463999999</v>
      </c>
      <c r="M12" s="57">
        <f>VLOOKUP(TableQBRanks3040[[#This Row],[Player]],QB!B:O,13,FALSE)</f>
        <v>311.34483384782396</v>
      </c>
      <c r="N12" s="125">
        <f>IF(VLOOKUP(TableQBRanks3040[[#This Row],[RK]],'Ranks w Proj'!$A:$N,14,FALSE)&lt;0,0,VLOOKUP(TableQBRanks3040[[#This Row],[RK]],'Ranks w Proj'!$A:$N,14,FALSE))</f>
        <v>10.854490518939526</v>
      </c>
      <c r="P12">
        <v>11</v>
      </c>
      <c r="Q12" t="str">
        <f>VLOOKUP(TableRBRanks3141[[#This Row],[RK]],Rankings!A:T,8,FALSE)</f>
        <v>Isiah Pacheco</v>
      </c>
      <c r="R12" t="str">
        <f>IFERROR(INDEX(TableRBCalcPts[TM],MATCH(TableRBRanks3141[[#This Row],[Player]],TableRBCalcPts[PLAYER],0)),"")</f>
        <v>KC</v>
      </c>
      <c r="S12">
        <f>IFERROR(INDEX(TableRBCalcPts[BYE],MATCH(TableRBRanks3141[[#This Row],[Player]],TableRBCalcPts[PLAYER],0)),"")</f>
        <v>10</v>
      </c>
      <c r="T12" s="83">
        <f>VLOOKUP(TableRBRanks3141[[#This Row],[Player]],RB!B:O,4,FALSE)</f>
        <v>247.93215999999998</v>
      </c>
      <c r="U12" s="83">
        <f>VLOOKUP(TableRBRanks3141[[#This Row],[Player]],RB!B:O,5,FALSE)</f>
        <v>1110.7360768000001</v>
      </c>
      <c r="V12" s="83">
        <f>VLOOKUP(TableRBRanks3141[[#This Row],[Player]],RB!B:O,6,FALSE)</f>
        <v>8.9255577599999985</v>
      </c>
      <c r="W12" s="83">
        <f>VLOOKUP(TableRBRanks3141[[#This Row],[Player]],RB!B:O,7,FALSE)</f>
        <v>44.123519999999992</v>
      </c>
      <c r="X12" s="83">
        <f>VLOOKUP(TableRBRanks3141[[#This Row],[Player]],RB!B:O,8,FALSE)</f>
        <v>36.490151039999994</v>
      </c>
      <c r="Y12" s="83">
        <f>VLOOKUP(TableRBRanks3141[[#This Row],[Player]],RB!B:O,9,FALSE)</f>
        <v>244.48401196799998</v>
      </c>
      <c r="Z12" s="83">
        <f>VLOOKUP(TableRBRanks3141[[#This Row],[Player]],RB!B:O,10,FALSE)</f>
        <v>1.6420567967999997</v>
      </c>
      <c r="AA12" s="57">
        <f>VLOOKUP(TableRBRanks3141[[#This Row],[Player]],RB!B:O,14,FALSE)</f>
        <v>217.17277173760002</v>
      </c>
      <c r="AB12" s="125">
        <f>IF(VLOOKUP(TableRBRanks3141[[#This Row],[RK]],'Ranks w Proj'!$P:$AB,13,FALSE)&lt;0,0,VLOOKUP(TableRBRanks3141[[#This Row],[RK]],'Ranks w Proj'!$P:$AB,13,FALSE))</f>
        <v>39.980226731720137</v>
      </c>
      <c r="AD12">
        <v>11</v>
      </c>
      <c r="AE12" t="str">
        <f>VLOOKUP(TableWRRanks3242[[#This Row],[RK]],Rankings!A:T,13,FALSE)</f>
        <v>Davante Adams</v>
      </c>
      <c r="AF12" t="str">
        <f>IFERROR(INDEX(TableWRCalcPts[TM],MATCH(TableWRRanks3242[[#This Row],[Player]],TableWRCalcPts[PLAYER],0)),"")</f>
        <v>LV</v>
      </c>
      <c r="AG12">
        <f>IFERROR(INDEX(TableWRCalcPts[BYE],MATCH(TableWRRanks3242[[#This Row],[Player]],TableWRCalcPts[PLAYER],0)),"")</f>
        <v>13</v>
      </c>
      <c r="AH12" s="83">
        <f>VLOOKUP(TableWRRanks3242[[#This Row],[Player]],WR!B:O,4,FALSE)</f>
        <v>0</v>
      </c>
      <c r="AI12" s="83">
        <f>VLOOKUP(TableWRRanks3242[[#This Row],[Player]],WR!B:O,5,FALSE)</f>
        <v>0</v>
      </c>
      <c r="AJ12" s="83">
        <f>VLOOKUP(TableWRRanks3242[[#This Row],[Player]],WR!B:O,6,FALSE)</f>
        <v>145.65249999999997</v>
      </c>
      <c r="AK12" s="83">
        <f>VLOOKUP(TableWRRanks3242[[#This Row],[Player]],WR!B:O,7,FALSE)</f>
        <v>86.808889999999977</v>
      </c>
      <c r="AL12" s="83">
        <f>VLOOKUP(TableWRRanks3242[[#This Row],[Player]],WR!B:O,8,FALSE)</f>
        <v>989.62134599999979</v>
      </c>
      <c r="AM12" s="83">
        <f>VLOOKUP(TableWRRanks3242[[#This Row],[Player]],WR!B:O,9,FALSE)</f>
        <v>6.5106667499999977</v>
      </c>
      <c r="AN12" s="57">
        <f>VLOOKUP(TableWRRanks3242[[#This Row],[Player]],WR!B:O,13,FALSE)</f>
        <v>181.43058009999996</v>
      </c>
      <c r="AO12" s="125">
        <f>IF(VLOOKUP(TableWRRanks3242[[#This Row],[RK]],'Ranks w Proj'!AD:AO,12,FALSE)&lt;0,0,VLOOKUP(TableWRRanks3242[[#This Row],[RK]],'Ranks w Proj'!AD:AO,12,FALSE))</f>
        <v>19.666573292351472</v>
      </c>
      <c r="AQ12">
        <v>11</v>
      </c>
      <c r="AR12" t="str">
        <f>VLOOKUP(TableTERanks3343[[#This Row],[RK]],Rankings!A:T,18,FALSE)</f>
        <v>Dallas Goedert</v>
      </c>
      <c r="AS12" t="str">
        <f>IFERROR(INDEX(TableTECalcPts[TM],MATCH(TableTERanks3343[[#This Row],[Player]],TableTECalcPts[PLAYER],0)),"")</f>
        <v>PHI</v>
      </c>
      <c r="AT12">
        <f>IFERROR(INDEX(TableTECalcPts[BYE],MATCH(TableTERanks3343[[#This Row],[Player]],TableTECalcPts[PLAYER],0)),"")</f>
        <v>10</v>
      </c>
      <c r="AU12" s="83">
        <f>VLOOKUP(TableTERanks3343[[#This Row],[Player]],TE!B:O,4,FALSE)</f>
        <v>97.623288000000002</v>
      </c>
      <c r="AV12" s="83">
        <f>VLOOKUP(TableTERanks3343[[#This Row],[Player]],TE!B:O,5,FALSE)</f>
        <v>67.84818516</v>
      </c>
      <c r="AW12" s="83">
        <f>VLOOKUP(TableTERanks3343[[#This Row],[Player]],TE!B:O,6,FALSE)</f>
        <v>751.07940972120002</v>
      </c>
      <c r="AX12" s="83">
        <f>VLOOKUP(TableTERanks3343[[#This Row],[Player]],TE!B:O,7,FALSE)</f>
        <v>3.7316501837999998</v>
      </c>
      <c r="AY12" s="57">
        <f>VLOOKUP(TableTERanks3343[[#This Row],[Player]],TE!B:O,11,FALSE)</f>
        <v>131.42193465491999</v>
      </c>
      <c r="AZ12" s="125">
        <f>IF(VLOOKUP(TableTERanks3343[[#This Row],[RK]],'Ranks w Proj'!AQ:AZ,10,FALSE)&lt;0,0,VLOOKUP(TableTERanks3343[[#This Row],[RK]],'Ranks w Proj'!AQ:AZ,10,FALSE))</f>
        <v>2.8230229494726516E-2</v>
      </c>
    </row>
    <row r="13" spans="1:52" x14ac:dyDescent="0.2">
      <c r="A13">
        <v>12</v>
      </c>
      <c r="B13" t="str">
        <f>VLOOKUP(TableQBRanks3040[[#This Row],[RK]],Rankings!A:T,3,FALSE)</f>
        <v>Jayden Daniels</v>
      </c>
      <c r="C13" t="str">
        <f>IFERROR(INDEX(TableQBCalcPts[TM],MATCH(TableQBRanks3040[[#This Row],[Player]],TableQBCalcPts[PLAYER],0)),"")</f>
        <v>WSH</v>
      </c>
      <c r="D13">
        <f>IFERROR(INDEX(TableQBCalcPts[BYE],MATCH(TableQBRanks3040[[#This Row],[Player]],TableQBCalcPts[PLAYER],0)),"")</f>
        <v>14</v>
      </c>
      <c r="E13" s="83">
        <f>VLOOKUP(TableQBRanks3040[[#This Row],[Player]],QB!B:O,4,FALSE)</f>
        <v>546.42669999999998</v>
      </c>
      <c r="F13" s="83">
        <f>VLOOKUP(TableQBRanks3040[[#This Row],[Player]],QB!B:O,5,FALSE)</f>
        <v>344.7952477</v>
      </c>
      <c r="G13" s="83">
        <f>VLOOKUP(TableQBRanks3040[[#This Row],[Player]],QB!B:O,6,FALSE)</f>
        <v>3796.1956771770001</v>
      </c>
      <c r="H13" s="83">
        <f>VLOOKUP(TableQBRanks3040[[#This Row],[Player]],QB!B:O,7,FALSE)</f>
        <v>20.217787899999998</v>
      </c>
      <c r="I13" s="83">
        <f>VLOOKUP(TableQBRanks3040[[#This Row],[Player]],QB!B:O,8,FALSE)</f>
        <v>7.2407002017000002</v>
      </c>
      <c r="J13" s="83">
        <f>VLOOKUP(TableQBRanks3040[[#This Row],[Player]],QB!B:O,9,FALSE)</f>
        <v>120.697486</v>
      </c>
      <c r="K13" s="83">
        <f>VLOOKUP(TableQBRanks3040[[#This Row],[Player]],QB!B:O,10,FALSE)</f>
        <v>715.73609197999997</v>
      </c>
      <c r="L13" s="83">
        <f>VLOOKUP(TableQBRanks3040[[#This Row],[Player]],QB!B:O,11,FALSE)</f>
        <v>5.672781842</v>
      </c>
      <c r="M13" s="57">
        <f>VLOOKUP(TableQBRanks3040[[#This Row],[Player]],QB!B:O,13,FALSE)</f>
        <v>331.08857873538</v>
      </c>
      <c r="N13" s="125">
        <f>IF(VLOOKUP(TableQBRanks3040[[#This Row],[RK]],'Ranks w Proj'!$A:$N,14,FALSE)&lt;0,0,VLOOKUP(TableQBRanks3040[[#This Row],[RK]],'Ranks w Proj'!$A:$N,14,FALSE))</f>
        <v>10.306580349233636</v>
      </c>
      <c r="P13">
        <v>12</v>
      </c>
      <c r="Q13" t="str">
        <f>VLOOKUP(TableRBRanks3141[[#This Row],[RK]],Rankings!A:T,8,FALSE)</f>
        <v>Rachaad White</v>
      </c>
      <c r="R13" t="str">
        <f>IFERROR(INDEX(TableRBCalcPts[TM],MATCH(TableRBRanks3141[[#This Row],[Player]],TableRBCalcPts[PLAYER],0)),"")</f>
        <v>TB</v>
      </c>
      <c r="S13">
        <f>IFERROR(INDEX(TableRBCalcPts[BYE],MATCH(TableRBRanks3141[[#This Row],[Player]],TableRBCalcPts[PLAYER],0)),"")</f>
        <v>5</v>
      </c>
      <c r="T13" s="83">
        <f>VLOOKUP(TableRBRanks3141[[#This Row],[Player]],RB!B:O,4,FALSE)</f>
        <v>216.33643080000004</v>
      </c>
      <c r="U13" s="83">
        <f>VLOOKUP(TableRBRanks3141[[#This Row],[Player]],RB!B:O,5,FALSE)</f>
        <v>886.97936628000014</v>
      </c>
      <c r="V13" s="83">
        <f>VLOOKUP(TableRBRanks3141[[#This Row],[Player]],RB!B:O,6,FALSE)</f>
        <v>6.4900929240000007</v>
      </c>
      <c r="W13" s="83">
        <f>VLOOKUP(TableRBRanks3141[[#This Row],[Player]],RB!B:O,7,FALSE)</f>
        <v>62.270346599999996</v>
      </c>
      <c r="X13" s="83">
        <f>VLOOKUP(TableRBRanks3141[[#This Row],[Player]],RB!B:O,8,FALSE)</f>
        <v>50.812602825599996</v>
      </c>
      <c r="Y13" s="83">
        <f>VLOOKUP(TableRBRanks3141[[#This Row],[Player]],RB!B:O,9,FALSE)</f>
        <v>416.66334316991993</v>
      </c>
      <c r="Z13" s="83">
        <f>VLOOKUP(TableRBRanks3141[[#This Row],[Player]],RB!B:O,10,FALSE)</f>
        <v>2.0325041130239998</v>
      </c>
      <c r="AA13" s="57">
        <f>VLOOKUP(TableRBRanks3141[[#This Row],[Player]],RB!B:O,14,FALSE)</f>
        <v>206.90615457993601</v>
      </c>
      <c r="AB13" s="125">
        <f>IF(VLOOKUP(TableRBRanks3141[[#This Row],[RK]],'Ranks w Proj'!$P:$AB,13,FALSE)&lt;0,0,VLOOKUP(TableRBRanks3141[[#This Row],[RK]],'Ranks w Proj'!$P:$AB,13,FALSE))</f>
        <v>39.947367954320896</v>
      </c>
      <c r="AD13">
        <v>12</v>
      </c>
      <c r="AE13" t="str">
        <f>VLOOKUP(TableWRRanks3242[[#This Row],[RK]],Rankings!A:T,13,FALSE)</f>
        <v>Deebo Samuel</v>
      </c>
      <c r="AF13" t="str">
        <f>IFERROR(INDEX(TableWRCalcPts[TM],MATCH(TableWRRanks3242[[#This Row],[Player]],TableWRCalcPts[PLAYER],0)),"")</f>
        <v>SF</v>
      </c>
      <c r="AG13">
        <f>IFERROR(INDEX(TableWRCalcPts[BYE],MATCH(TableWRRanks3242[[#This Row],[Player]],TableWRCalcPts[PLAYER],0)),"")</f>
        <v>9</v>
      </c>
      <c r="AH13" s="83">
        <f>VLOOKUP(TableWRRanks3242[[#This Row],[Player]],WR!B:O,4,FALSE)</f>
        <v>281.323000476</v>
      </c>
      <c r="AI13" s="83">
        <f>VLOOKUP(TableWRRanks3242[[#This Row],[Player]],WR!B:O,5,FALSE)</f>
        <v>5.3104653755999998</v>
      </c>
      <c r="AJ13" s="83">
        <f>VLOOKUP(TableWRRanks3242[[#This Row],[Player]],WR!B:O,6,FALSE)</f>
        <v>101.18145239999998</v>
      </c>
      <c r="AK13" s="83">
        <f>VLOOKUP(TableWRRanks3242[[#This Row],[Player]],WR!B:O,7,FALSE)</f>
        <v>67.892754560399993</v>
      </c>
      <c r="AL13" s="83">
        <f>VLOOKUP(TableWRRanks3242[[#This Row],[Player]],WR!B:O,8,FALSE)</f>
        <v>967.47175248569988</v>
      </c>
      <c r="AM13" s="83">
        <f>VLOOKUP(TableWRRanks3242[[#This Row],[Player]],WR!B:O,9,FALSE)</f>
        <v>6.1103479104359995</v>
      </c>
      <c r="AN13" s="57">
        <f>VLOOKUP(TableWRRanks3242[[#This Row],[Player]],WR!B:O,13,FALSE)</f>
        <v>227.35073229258597</v>
      </c>
      <c r="AO13" s="125">
        <f>IF(VLOOKUP(TableWRRanks3242[[#This Row],[RK]],'Ranks w Proj'!AD:AO,12,FALSE)&lt;0,0,VLOOKUP(TableWRRanks3242[[#This Row],[RK]],'Ranks w Proj'!AD:AO,12,FALSE))</f>
        <v>19.551537050733252</v>
      </c>
      <c r="AQ13">
        <v>12</v>
      </c>
      <c r="AR13" t="str">
        <f>VLOOKUP(TableTERanks3343[[#This Row],[RK]],Rankings!A:T,18,FALSE)</f>
        <v>T.J. Hockenson</v>
      </c>
      <c r="AS13" t="str">
        <f>IFERROR(INDEX(TableTECalcPts[TM],MATCH(TableTERanks3343[[#This Row],[Player]],TableTECalcPts[PLAYER],0)),"")</f>
        <v>MIN</v>
      </c>
      <c r="AT13">
        <f>IFERROR(INDEX(TableTECalcPts[BYE],MATCH(TableTERanks3343[[#This Row],[Player]],TableTECalcPts[PLAYER],0)),"")</f>
        <v>13</v>
      </c>
      <c r="AU13" s="83">
        <f>VLOOKUP(TableTERanks3343[[#This Row],[Player]],TE!B:O,4,FALSE)</f>
        <v>99.536639999999991</v>
      </c>
      <c r="AV13" s="83">
        <f>VLOOKUP(TableTERanks3343[[#This Row],[Player]],TE!B:O,5,FALSE)</f>
        <v>65.495109119999995</v>
      </c>
      <c r="AW13" s="83">
        <f>VLOOKUP(TableTERanks3343[[#This Row],[Player]],TE!B:O,6,FALSE)</f>
        <v>623.51343882239996</v>
      </c>
      <c r="AX13" s="83">
        <f>VLOOKUP(TableTERanks3343[[#This Row],[Player]],TE!B:O,7,FALSE)</f>
        <v>4.5846576384000004</v>
      </c>
      <c r="AY13" s="57">
        <f>VLOOKUP(TableTERanks3343[[#This Row],[Player]],TE!B:O,11,FALSE)</f>
        <v>122.60684427264</v>
      </c>
      <c r="AZ13" s="125">
        <f>IF(VLOOKUP(TableTERanks3343[[#This Row],[RK]],'Ranks w Proj'!AQ:AZ,10,FALSE)&lt;0,0,VLOOKUP(TableTERanks3343[[#This Row],[RK]],'Ranks w Proj'!AQ:AZ,10,FALSE))</f>
        <v>0</v>
      </c>
    </row>
    <row r="14" spans="1:52" x14ac:dyDescent="0.2">
      <c r="A14">
        <v>13</v>
      </c>
      <c r="B14" t="str">
        <f>VLOOKUP(TableQBRanks3040[[#This Row],[RK]],Rankings!A:T,3,FALSE)</f>
        <v>Kirk Cousins</v>
      </c>
      <c r="C14" t="str">
        <f>IFERROR(INDEX(TableQBCalcPts[TM],MATCH(TableQBRanks3040[[#This Row],[Player]],TableQBCalcPts[PLAYER],0)),"")</f>
        <v>ATL</v>
      </c>
      <c r="D14">
        <f>IFERROR(INDEX(TableQBCalcPts[BYE],MATCH(TableQBRanks3040[[#This Row],[Player]],TableQBCalcPts[PLAYER],0)),"")</f>
        <v>11</v>
      </c>
      <c r="E14" s="83">
        <f>VLOOKUP(TableQBRanks3040[[#This Row],[Player]],QB!B:O,4,FALSE)</f>
        <v>575.13455999999996</v>
      </c>
      <c r="F14" s="83">
        <f>VLOOKUP(TableQBRanks3040[[#This Row],[Player]],QB!B:O,5,FALSE)</f>
        <v>378.43854047999997</v>
      </c>
      <c r="G14" s="83">
        <f>VLOOKUP(TableQBRanks3040[[#This Row],[Player]],QB!B:O,6,FALSE)</f>
        <v>4257.4335803999993</v>
      </c>
      <c r="H14" s="83">
        <f>VLOOKUP(TableQBRanks3040[[#This Row],[Player]],QB!B:O,7,FALSE)</f>
        <v>29.331862559999998</v>
      </c>
      <c r="I14" s="83">
        <f>VLOOKUP(TableQBRanks3040[[#This Row],[Player]],QB!B:O,8,FALSE)</f>
        <v>7.1903322691199989</v>
      </c>
      <c r="J14" s="83">
        <f>VLOOKUP(TableQBRanks3040[[#This Row],[Player]],QB!B:O,9,FALSE)</f>
        <v>25.820726400000002</v>
      </c>
      <c r="K14" s="83">
        <f>VLOOKUP(TableQBRanks3040[[#This Row],[Player]],QB!B:O,10,FALSE)</f>
        <v>72.298033919999995</v>
      </c>
      <c r="L14" s="83">
        <f>VLOOKUP(TableQBRanks3040[[#This Row],[Player]],QB!B:O,11,FALSE)</f>
        <v>1.4201399520000002</v>
      </c>
      <c r="M14" s="57">
        <f>VLOOKUP(TableQBRanks3040[[#This Row],[Player]],QB!B:O,13,FALSE)</f>
        <v>296.18510429087996</v>
      </c>
      <c r="N14" s="125">
        <f>IF(VLOOKUP(TableQBRanks3040[[#This Row],[RK]],'Ranks w Proj'!$A:$N,14,FALSE)&lt;0,0,VLOOKUP(TableQBRanks3040[[#This Row],[RK]],'Ranks w Proj'!$A:$N,14,FALSE))</f>
        <v>9.5724980396214807</v>
      </c>
      <c r="P14">
        <v>13</v>
      </c>
      <c r="Q14" t="str">
        <f>VLOOKUP(TableRBRanks3141[[#This Row],[RK]],Rankings!A:T,8,FALSE)</f>
        <v>De'Von Achane</v>
      </c>
      <c r="R14" t="str">
        <f>IFERROR(INDEX(TableRBCalcPts[TM],MATCH(TableRBRanks3141[[#This Row],[Player]],TableRBCalcPts[PLAYER],0)),"")</f>
        <v>MIA</v>
      </c>
      <c r="S14">
        <f>IFERROR(INDEX(TableRBCalcPts[BYE],MATCH(TableRBRanks3141[[#This Row],[Player]],TableRBCalcPts[PLAYER],0)),"")</f>
        <v>10</v>
      </c>
      <c r="T14" s="83">
        <f>VLOOKUP(TableRBRanks3141[[#This Row],[Player]],RB!B:O,4,FALSE)</f>
        <v>147.38847200000001</v>
      </c>
      <c r="U14" s="83">
        <f>VLOOKUP(TableRBRanks3141[[#This Row],[Player]],RB!B:O,5,FALSE)</f>
        <v>744.31178360000001</v>
      </c>
      <c r="V14" s="83">
        <f>VLOOKUP(TableRBRanks3141[[#This Row],[Player]],RB!B:O,6,FALSE)</f>
        <v>7.3694236000000011</v>
      </c>
      <c r="W14" s="83">
        <f>VLOOKUP(TableRBRanks3141[[#This Row],[Player]],RB!B:O,7,FALSE)</f>
        <v>73.291259999999994</v>
      </c>
      <c r="X14" s="83">
        <f>VLOOKUP(TableRBRanks3141[[#This Row],[Player]],RB!B:O,8,FALSE)</f>
        <v>53.502619799999991</v>
      </c>
      <c r="Y14" s="83">
        <f>VLOOKUP(TableRBRanks3141[[#This Row],[Player]],RB!B:O,9,FALSE)</f>
        <v>429.09101079599992</v>
      </c>
      <c r="Z14" s="83">
        <f>VLOOKUP(TableRBRanks3141[[#This Row],[Player]],RB!B:O,10,FALSE)</f>
        <v>3.4776702869999996</v>
      </c>
      <c r="AA14" s="57">
        <f>VLOOKUP(TableRBRanks3141[[#This Row],[Player]],RB!B:O,14,FALSE)</f>
        <v>209.1741526616</v>
      </c>
      <c r="AB14" s="125">
        <f>IF(VLOOKUP(TableRBRanks3141[[#This Row],[RK]],'Ranks w Proj'!$P:$AB,13,FALSE)&lt;0,0,VLOOKUP(TableRBRanks3141[[#This Row],[RK]],'Ranks w Proj'!$P:$AB,13,FALSE))</f>
        <v>39.040160713408831</v>
      </c>
      <c r="AD14">
        <v>13</v>
      </c>
      <c r="AE14" t="str">
        <f>VLOOKUP(TableWRRanks3242[[#This Row],[RK]],Rankings!A:T,13,FALSE)</f>
        <v>Garrett Wilson</v>
      </c>
      <c r="AF14" t="str">
        <f>IFERROR(INDEX(TableWRCalcPts[TM],MATCH(TableWRRanks3242[[#This Row],[Player]],TableWRCalcPts[PLAYER],0)),"")</f>
        <v>NYJ</v>
      </c>
      <c r="AG14">
        <f>IFERROR(INDEX(TableWRCalcPts[BYE],MATCH(TableWRRanks3242[[#This Row],[Player]],TableWRCalcPts[PLAYER],0)),"")</f>
        <v>7</v>
      </c>
      <c r="AH14" s="83">
        <f>VLOOKUP(TableWRRanks3242[[#This Row],[Player]],WR!B:O,4,FALSE)</f>
        <v>0</v>
      </c>
      <c r="AI14" s="83">
        <f>VLOOKUP(TableWRRanks3242[[#This Row],[Player]],WR!B:O,5,FALSE)</f>
        <v>0</v>
      </c>
      <c r="AJ14" s="83">
        <f>VLOOKUP(TableWRRanks3242[[#This Row],[Player]],WR!B:O,6,FALSE)</f>
        <v>136.27774159999998</v>
      </c>
      <c r="AK14" s="83">
        <f>VLOOKUP(TableWRRanks3242[[#This Row],[Player]],WR!B:O,7,FALSE)</f>
        <v>83.401977859199988</v>
      </c>
      <c r="AL14" s="83">
        <f>VLOOKUP(TableWRRanks3242[[#This Row],[Player]],WR!B:O,8,FALSE)</f>
        <v>1068.3793363763518</v>
      </c>
      <c r="AM14" s="83">
        <f>VLOOKUP(TableWRRanks3242[[#This Row],[Player]],WR!B:O,9,FALSE)</f>
        <v>7.5061780073279989</v>
      </c>
      <c r="AN14" s="57">
        <f>VLOOKUP(TableWRRanks3242[[#This Row],[Player]],WR!B:O,13,FALSE)</f>
        <v>193.57599061120317</v>
      </c>
      <c r="AO14" s="125">
        <f>IF(VLOOKUP(TableWRRanks3242[[#This Row],[RK]],'Ranks w Proj'!AD:AO,12,FALSE)&lt;0,0,VLOOKUP(TableWRRanks3242[[#This Row],[RK]],'Ranks w Proj'!AD:AO,12,FALSE))</f>
        <v>18.478323547325459</v>
      </c>
      <c r="AQ14">
        <v>13</v>
      </c>
      <c r="AR14" t="str">
        <f>VLOOKUP(TableTERanks3343[[#This Row],[RK]],Rankings!A:T,18,FALSE)</f>
        <v>Brock Bowers</v>
      </c>
      <c r="AS14" t="str">
        <f>IFERROR(INDEX(TableTECalcPts[TM],MATCH(TableTERanks3343[[#This Row],[Player]],TableTECalcPts[PLAYER],0)),"")</f>
        <v>LV</v>
      </c>
      <c r="AT14">
        <f>IFERROR(INDEX(TableTECalcPts[BYE],MATCH(TableTERanks3343[[#This Row],[Player]],TableTECalcPts[PLAYER],0)),"")</f>
        <v>13</v>
      </c>
      <c r="AU14" s="83">
        <f>VLOOKUP(TableTERanks3343[[#This Row],[Player]],TE!B:O,4,FALSE)</f>
        <v>93.217599999999976</v>
      </c>
      <c r="AV14" s="83">
        <f>VLOOKUP(TableTERanks3343[[#This Row],[Player]],TE!B:O,5,FALSE)</f>
        <v>63.481185599999989</v>
      </c>
      <c r="AW14" s="83">
        <f>VLOOKUP(TableTERanks3343[[#This Row],[Player]],TE!B:O,6,FALSE)</f>
        <v>740.82543595199991</v>
      </c>
      <c r="AX14" s="83">
        <f>VLOOKUP(TableTERanks3343[[#This Row],[Player]],TE!B:O,7,FALSE)</f>
        <v>4.2532394351999994</v>
      </c>
      <c r="AY14" s="57">
        <f>VLOOKUP(TableTERanks3343[[#This Row],[Player]],TE!B:O,11,FALSE)</f>
        <v>131.34257300639999</v>
      </c>
      <c r="AZ14" s="125">
        <f>IF(VLOOKUP(TableTERanks3343[[#This Row],[RK]],'Ranks w Proj'!AQ:AZ,10,FALSE)&lt;0,0,VLOOKUP(TableTERanks3343[[#This Row],[RK]],'Ranks w Proj'!AQ:AZ,10,FALSE))</f>
        <v>0</v>
      </c>
    </row>
    <row r="15" spans="1:52" x14ac:dyDescent="0.2">
      <c r="A15">
        <v>14</v>
      </c>
      <c r="B15" t="str">
        <f>VLOOKUP(TableQBRanks3040[[#This Row],[RK]],Rankings!A:T,3,FALSE)</f>
        <v>Caleb Williams</v>
      </c>
      <c r="C15" t="str">
        <f>IFERROR(INDEX(TableQBCalcPts[TM],MATCH(TableQBRanks3040[[#This Row],[Player]],TableQBCalcPts[PLAYER],0)),"")</f>
        <v>CHI</v>
      </c>
      <c r="D15">
        <f>IFERROR(INDEX(TableQBCalcPts[BYE],MATCH(TableQBRanks3040[[#This Row],[Player]],TableQBCalcPts[PLAYER],0)),"")</f>
        <v>13</v>
      </c>
      <c r="E15" s="83">
        <f>VLOOKUP(TableQBRanks3040[[#This Row],[Player]],QB!B:O,4,FALSE)</f>
        <v>566.80848000000003</v>
      </c>
      <c r="F15" s="83">
        <f>VLOOKUP(TableQBRanks3040[[#This Row],[Player]],QB!B:O,5,FALSE)</f>
        <v>360.49019328000003</v>
      </c>
      <c r="G15" s="83">
        <f>VLOOKUP(TableQBRanks3040[[#This Row],[Player]],QB!B:O,6,FALSE)</f>
        <v>4062.7244782656003</v>
      </c>
      <c r="H15" s="83">
        <f>VLOOKUP(TableQBRanks3040[[#This Row],[Player]],QB!B:O,7,FALSE)</f>
        <v>26.07319008</v>
      </c>
      <c r="I15" s="83">
        <f>VLOOKUP(TableQBRanks3040[[#This Row],[Player]],QB!B:O,8,FALSE)</f>
        <v>7.2098038656000005</v>
      </c>
      <c r="J15" s="83">
        <f>VLOOKUP(TableQBRanks3040[[#This Row],[Player]],QB!B:O,9,FALSE)</f>
        <v>68.446727999999993</v>
      </c>
      <c r="K15" s="83">
        <f>VLOOKUP(TableQBRanks3040[[#This Row],[Player]],QB!B:O,10,FALSE)</f>
        <v>348.39384551999996</v>
      </c>
      <c r="L15" s="83">
        <f>VLOOKUP(TableQBRanks3040[[#This Row],[Player]],QB!B:O,11,FALSE)</f>
        <v>3.9699102239999999</v>
      </c>
      <c r="M15" s="57">
        <f>VLOOKUP(TableQBRanks3040[[#This Row],[Player]],QB!B:O,13,FALSE)</f>
        <v>318.25078148102403</v>
      </c>
      <c r="N15" s="125">
        <f>IF(VLOOKUP(TableQBRanks3040[[#This Row],[RK]],'Ranks w Proj'!$A:$N,14,FALSE)&lt;0,0,VLOOKUP(TableQBRanks3040[[#This Row],[RK]],'Ranks w Proj'!$A:$N,14,FALSE))</f>
        <v>7.7491953159564577</v>
      </c>
      <c r="P15">
        <v>14</v>
      </c>
      <c r="Q15" t="str">
        <f>VLOOKUP(TableRBRanks3141[[#This Row],[RK]],Rankings!A:T,8,FALSE)</f>
        <v>Travis Etienne</v>
      </c>
      <c r="R15" t="str">
        <f>IFERROR(INDEX(TableRBCalcPts[TM],MATCH(TableRBRanks3141[[#This Row],[Player]],TableRBCalcPts[PLAYER],0)),"")</f>
        <v>JAX</v>
      </c>
      <c r="S15">
        <f>IFERROR(INDEX(TableRBCalcPts[BYE],MATCH(TableRBRanks3141[[#This Row],[Player]],TableRBCalcPts[PLAYER],0)),"")</f>
        <v>9</v>
      </c>
      <c r="T15" s="83">
        <f>VLOOKUP(TableRBRanks3141[[#This Row],[Player]],RB!B:O,4,FALSE)</f>
        <v>214.33090000000001</v>
      </c>
      <c r="U15" s="83">
        <f>VLOOKUP(TableRBRanks3141[[#This Row],[Player]],RB!B:O,5,FALSE)</f>
        <v>893.75985300000002</v>
      </c>
      <c r="V15" s="83">
        <f>VLOOKUP(TableRBRanks3141[[#This Row],[Player]],RB!B:O,6,FALSE)</f>
        <v>8.7875669000000016</v>
      </c>
      <c r="W15" s="83">
        <f>VLOOKUP(TableRBRanks3141[[#This Row],[Player]],RB!B:O,7,FALSE)</f>
        <v>42.298073999999993</v>
      </c>
      <c r="X15" s="83">
        <f>VLOOKUP(TableRBRanks3141[[#This Row],[Player]],RB!B:O,8,FALSE)</f>
        <v>32.992497719999996</v>
      </c>
      <c r="Y15" s="83">
        <f>VLOOKUP(TableRBRanks3141[[#This Row],[Player]],RB!B:O,9,FALSE)</f>
        <v>264.92975669159995</v>
      </c>
      <c r="Z15" s="83">
        <f>VLOOKUP(TableRBRanks3141[[#This Row],[Player]],RB!B:O,10,FALSE)</f>
        <v>0.98977493159999985</v>
      </c>
      <c r="AA15" s="57">
        <f>VLOOKUP(TableRBRanks3141[[#This Row],[Player]],RB!B:O,14,FALSE)</f>
        <v>191.02926081876004</v>
      </c>
      <c r="AB15" s="125">
        <f>IF(VLOOKUP(TableRBRanks3141[[#This Row],[RK]],'Ranks w Proj'!$P:$AB,13,FALSE)&lt;0,0,VLOOKUP(TableRBRanks3141[[#This Row],[RK]],'Ranks w Proj'!$P:$AB,13,FALSE))</f>
        <v>35.470267511924121</v>
      </c>
      <c r="AD15">
        <v>14</v>
      </c>
      <c r="AE15" t="str">
        <f>VLOOKUP(TableWRRanks3242[[#This Row],[RK]],Rankings!A:T,13,FALSE)</f>
        <v>Chris Olave</v>
      </c>
      <c r="AF15" t="str">
        <f>IFERROR(INDEX(TableWRCalcPts[TM],MATCH(TableWRRanks3242[[#This Row],[Player]],TableWRCalcPts[PLAYER],0)),"")</f>
        <v>NO</v>
      </c>
      <c r="AG15">
        <f>IFERROR(INDEX(TableWRCalcPts[BYE],MATCH(TableWRRanks3242[[#This Row],[Player]],TableWRCalcPts[PLAYER],0)),"")</f>
        <v>11</v>
      </c>
      <c r="AH15" s="83">
        <f>VLOOKUP(TableWRRanks3242[[#This Row],[Player]],WR!B:O,4,FALSE)</f>
        <v>0</v>
      </c>
      <c r="AI15" s="83">
        <f>VLOOKUP(TableWRRanks3242[[#This Row],[Player]],WR!B:O,5,FALSE)</f>
        <v>0</v>
      </c>
      <c r="AJ15" s="83">
        <f>VLOOKUP(TableWRRanks3242[[#This Row],[Player]],WR!B:O,6,FALSE)</f>
        <v>130.73824240399998</v>
      </c>
      <c r="AK15" s="83">
        <f>VLOOKUP(TableWRRanks3242[[#This Row],[Player]],WR!B:O,7,FALSE)</f>
        <v>81.972877987307982</v>
      </c>
      <c r="AL15" s="83">
        <f>VLOOKUP(TableWRRanks3242[[#This Row],[Player]],WR!B:O,8,FALSE)</f>
        <v>1127.1270723254847</v>
      </c>
      <c r="AM15" s="83">
        <f>VLOOKUP(TableWRRanks3242[[#This Row],[Player]],WR!B:O,9,FALSE)</f>
        <v>6.0659929710607905</v>
      </c>
      <c r="AN15" s="57">
        <f>VLOOKUP(TableWRRanks3242[[#This Row],[Player]],WR!B:O,13,FALSE)</f>
        <v>190.09510405256719</v>
      </c>
      <c r="AO15" s="125">
        <f>IF(VLOOKUP(TableWRRanks3242[[#This Row],[RK]],'Ranks w Proj'!AD:AO,12,FALSE)&lt;0,0,VLOOKUP(TableWRRanks3242[[#This Row],[RK]],'Ranks w Proj'!AD:AO,12,FALSE))</f>
        <v>18.287811699602202</v>
      </c>
      <c r="AQ15">
        <v>14</v>
      </c>
      <c r="AR15" t="str">
        <f>VLOOKUP(TableTERanks3343[[#This Row],[RK]],Rankings!A:T,18,FALSE)</f>
        <v>Pat Freiermuth</v>
      </c>
      <c r="AS15" t="str">
        <f>IFERROR(INDEX(TableTECalcPts[TM],MATCH(TableTERanks3343[[#This Row],[Player]],TableTECalcPts[PLAYER],0)),"")</f>
        <v>PIT</v>
      </c>
      <c r="AT15">
        <f>IFERROR(INDEX(TableTECalcPts[BYE],MATCH(TableTERanks3343[[#This Row],[Player]],TableTECalcPts[PLAYER],0)),"")</f>
        <v>6</v>
      </c>
      <c r="AU15" s="83">
        <f>VLOOKUP(TableTERanks3343[[#This Row],[Player]],TE!B:O,4,FALSE)</f>
        <v>83.127764999999997</v>
      </c>
      <c r="AV15" s="83">
        <f>VLOOKUP(TableTERanks3343[[#This Row],[Player]],TE!B:O,5,FALSE)</f>
        <v>57.690668909999992</v>
      </c>
      <c r="AW15" s="83">
        <f>VLOOKUP(TableTERanks3343[[#This Row],[Player]],TE!B:O,6,FALSE)</f>
        <v>566.52236869619992</v>
      </c>
      <c r="AX15" s="83">
        <f>VLOOKUP(TableTERanks3343[[#This Row],[Player]],TE!B:O,7,FALSE)</f>
        <v>4.2691094993399989</v>
      </c>
      <c r="AY15" s="57">
        <f>VLOOKUP(TableTERanks3343[[#This Row],[Player]],TE!B:O,11,FALSE)</f>
        <v>111.11222832065999</v>
      </c>
      <c r="AZ15" s="125">
        <f>IF(VLOOKUP(TableTERanks3343[[#This Row],[RK]],'Ranks w Proj'!AQ:AZ,10,FALSE)&lt;0,0,VLOOKUP(TableTERanks3343[[#This Row],[RK]],'Ranks w Proj'!AQ:AZ,10,FALSE))</f>
        <v>0</v>
      </c>
    </row>
    <row r="16" spans="1:52" x14ac:dyDescent="0.2">
      <c r="A16">
        <v>15</v>
      </c>
      <c r="B16" t="str">
        <f>VLOOKUP(TableQBRanks3040[[#This Row],[RK]],Rankings!A:T,3,FALSE)</f>
        <v>Justin Herbert</v>
      </c>
      <c r="C16" t="str">
        <f>IFERROR(INDEX(TableQBCalcPts[TM],MATCH(TableQBRanks3040[[#This Row],[Player]],TableQBCalcPts[PLAYER],0)),"")</f>
        <v>LAC</v>
      </c>
      <c r="D16">
        <f>IFERROR(INDEX(TableQBCalcPts[BYE],MATCH(TableQBRanks3040[[#This Row],[Player]],TableQBCalcPts[PLAYER],0)),"")</f>
        <v>5</v>
      </c>
      <c r="E16" s="83">
        <f>VLOOKUP(TableQBRanks3040[[#This Row],[Player]],QB!B:O,4,FALSE)</f>
        <v>564.05943000000002</v>
      </c>
      <c r="F16" s="83">
        <f>VLOOKUP(TableQBRanks3040[[#This Row],[Player]],QB!B:O,5,FALSE)</f>
        <v>368.89486722000004</v>
      </c>
      <c r="G16" s="83">
        <f>VLOOKUP(TableQBRanks3040[[#This Row],[Player]],QB!B:O,6,FALSE)</f>
        <v>4078.8705468515404</v>
      </c>
      <c r="H16" s="83">
        <f>VLOOKUP(TableQBRanks3040[[#This Row],[Player]],QB!B:O,7,FALSE)</f>
        <v>26.510793210000003</v>
      </c>
      <c r="I16" s="83">
        <f>VLOOKUP(TableQBRanks3040[[#This Row],[Player]],QB!B:O,8,FALSE)</f>
        <v>5.9023178755200005</v>
      </c>
      <c r="J16" s="83">
        <f>VLOOKUP(TableQBRanks3040[[#This Row],[Player]],QB!B:O,9,FALSE)</f>
        <v>67.398539600000007</v>
      </c>
      <c r="K16" s="83">
        <f>VLOOKUP(TableQBRanks3040[[#This Row],[Player]],QB!B:O,10,FALSE)</f>
        <v>297.901545032</v>
      </c>
      <c r="L16" s="83">
        <f>VLOOKUP(TableQBRanks3040[[#This Row],[Player]],QB!B:O,11,FALSE)</f>
        <v>2.6959415840000003</v>
      </c>
      <c r="M16" s="57">
        <f>VLOOKUP(TableQBRanks3040[[#This Row],[Player]],QB!B:O,13,FALSE)</f>
        <v>309.26148084574157</v>
      </c>
      <c r="N16" s="125">
        <f>IF(VLOOKUP(TableQBRanks3040[[#This Row],[RK]],'Ranks w Proj'!$A:$N,14,FALSE)&lt;0,0,VLOOKUP(TableQBRanks3040[[#This Row],[RK]],'Ranks w Proj'!$A:$N,14,FALSE))</f>
        <v>7.2188341157345119</v>
      </c>
      <c r="P16">
        <v>15</v>
      </c>
      <c r="Q16" t="str">
        <f>VLOOKUP(TableRBRanks3141[[#This Row],[RK]],Rankings!A:T,8,FALSE)</f>
        <v>Aaron Jones</v>
      </c>
      <c r="R16" t="str">
        <f>IFERROR(INDEX(TableRBCalcPts[TM],MATCH(TableRBRanks3141[[#This Row],[Player]],TableRBCalcPts[PLAYER],0)),"")</f>
        <v>MIN</v>
      </c>
      <c r="S16">
        <f>IFERROR(INDEX(TableRBCalcPts[BYE],MATCH(TableRBRanks3141[[#This Row],[Player]],TableRBCalcPts[PLAYER],0)),"")</f>
        <v>13</v>
      </c>
      <c r="T16" s="83">
        <f>VLOOKUP(TableRBRanks3141[[#This Row],[Player]],RB!B:O,4,FALSE)</f>
        <v>211.51536000000004</v>
      </c>
      <c r="U16" s="83">
        <f>VLOOKUP(TableRBRanks3141[[#This Row],[Player]],RB!B:O,5,FALSE)</f>
        <v>951.81912000000023</v>
      </c>
      <c r="V16" s="83">
        <f>VLOOKUP(TableRBRanks3141[[#This Row],[Player]],RB!B:O,6,FALSE)</f>
        <v>7.403037600000002</v>
      </c>
      <c r="W16" s="83">
        <f>VLOOKUP(TableRBRanks3141[[#This Row],[Player]],RB!B:O,7,FALSE)</f>
        <v>62.2104</v>
      </c>
      <c r="X16" s="83">
        <f>VLOOKUP(TableRBRanks3141[[#This Row],[Player]],RB!B:O,8,FALSE)</f>
        <v>45.600223200000002</v>
      </c>
      <c r="Y16" s="83">
        <f>VLOOKUP(TableRBRanks3141[[#This Row],[Player]],RB!B:O,9,FALSE)</f>
        <v>354.76973649600001</v>
      </c>
      <c r="Z16" s="83">
        <f>VLOOKUP(TableRBRanks3141[[#This Row],[Player]],RB!B:O,10,FALSE)</f>
        <v>1.8696091512000002</v>
      </c>
      <c r="AA16" s="57">
        <f>VLOOKUP(TableRBRanks3141[[#This Row],[Player]],RB!B:O,14,FALSE)</f>
        <v>209.09487775680006</v>
      </c>
      <c r="AB16" s="125">
        <f>IF(VLOOKUP(TableRBRanks3141[[#This Row],[RK]],'Ranks w Proj'!$P:$AB,13,FALSE)&lt;0,0,VLOOKUP(TableRBRanks3141[[#This Row],[RK]],'Ranks w Proj'!$P:$AB,13,FALSE))</f>
        <v>34.38563588125961</v>
      </c>
      <c r="AD16">
        <v>15</v>
      </c>
      <c r="AE16" t="str">
        <f>VLOOKUP(TableWRRanks3242[[#This Row],[RK]],Rankings!A:T,13,FALSE)</f>
        <v>Drake London</v>
      </c>
      <c r="AF16" t="str">
        <f>IFERROR(INDEX(TableWRCalcPts[TM],MATCH(TableWRRanks3242[[#This Row],[Player]],TableWRCalcPts[PLAYER],0)),"")</f>
        <v>ATL</v>
      </c>
      <c r="AG16">
        <f>IFERROR(INDEX(TableWRCalcPts[BYE],MATCH(TableWRRanks3242[[#This Row],[Player]],TableWRCalcPts[PLAYER],0)),"")</f>
        <v>11</v>
      </c>
      <c r="AH16" s="83">
        <f>VLOOKUP(TableWRRanks3242[[#This Row],[Player]],WR!B:O,4,FALSE)</f>
        <v>0</v>
      </c>
      <c r="AI16" s="83">
        <f>VLOOKUP(TableWRRanks3242[[#This Row],[Player]],WR!B:O,5,FALSE)</f>
        <v>0</v>
      </c>
      <c r="AJ16" s="83">
        <f>VLOOKUP(TableWRRanks3242[[#This Row],[Player]],WR!B:O,6,FALSE)</f>
        <v>129.40527599999996</v>
      </c>
      <c r="AK16" s="83">
        <f>VLOOKUP(TableWRRanks3242[[#This Row],[Player]],WR!B:O,7,FALSE)</f>
        <v>84.242834675999973</v>
      </c>
      <c r="AL16" s="83">
        <f>VLOOKUP(TableWRRanks3242[[#This Row],[Player]],WR!B:O,8,FALSE)</f>
        <v>1078.3082838527996</v>
      </c>
      <c r="AM16" s="83">
        <f>VLOOKUP(TableWRRanks3242[[#This Row],[Player]],WR!B:O,9,FALSE)</f>
        <v>7.7503407901919976</v>
      </c>
      <c r="AN16" s="57">
        <f>VLOOKUP(TableWRRanks3242[[#This Row],[Player]],WR!B:O,13,FALSE)</f>
        <v>196.45429046443195</v>
      </c>
      <c r="AO16" s="125">
        <f>IF(VLOOKUP(TableWRRanks3242[[#This Row],[RK]],'Ranks w Proj'!AD:AO,12,FALSE)&lt;0,0,VLOOKUP(TableWRRanks3242[[#This Row],[RK]],'Ranks w Proj'!AD:AO,12,FALSE))</f>
        <v>17.963068519683642</v>
      </c>
      <c r="AQ16">
        <v>15</v>
      </c>
      <c r="AR16" t="str">
        <f>VLOOKUP(TableTERanks3343[[#This Row],[RK]],Rankings!A:T,18,FALSE)</f>
        <v>Hunter Henry</v>
      </c>
      <c r="AS16" t="str">
        <f>IFERROR(INDEX(TableTECalcPts[TM],MATCH(TableTERanks3343[[#This Row],[Player]],TableTECalcPts[PLAYER],0)),"")</f>
        <v>NE</v>
      </c>
      <c r="AT16">
        <f>IFERROR(INDEX(TableTECalcPts[BYE],MATCH(TableTERanks3343[[#This Row],[Player]],TableTECalcPts[PLAYER],0)),"")</f>
        <v>11</v>
      </c>
      <c r="AU16" s="83">
        <f>VLOOKUP(TableTERanks3343[[#This Row],[Player]],TE!B:O,4,FALSE)</f>
        <v>73.694784799999994</v>
      </c>
      <c r="AV16" s="83">
        <f>VLOOKUP(TableTERanks3343[[#This Row],[Player]],TE!B:O,5,FALSE)</f>
        <v>47.3857466264</v>
      </c>
      <c r="AW16" s="83">
        <f>VLOOKUP(TableTERanks3343[[#This Row],[Player]],TE!B:O,6,FALSE)</f>
        <v>498.02419704346397</v>
      </c>
      <c r="AX16" s="83">
        <f>VLOOKUP(TableTERanks3343[[#This Row],[Player]],TE!B:O,7,FALSE)</f>
        <v>3.8856312233648</v>
      </c>
      <c r="AY16" s="57">
        <f>VLOOKUP(TableTERanks3343[[#This Row],[Player]],TE!B:O,11,FALSE)</f>
        <v>96.809080357735198</v>
      </c>
      <c r="AZ16" s="125">
        <f>IF(VLOOKUP(TableTERanks3343[[#This Row],[RK]],'Ranks w Proj'!AQ:AZ,10,FALSE)&lt;0,0,VLOOKUP(TableTERanks3343[[#This Row],[RK]],'Ranks w Proj'!AQ:AZ,10,FALSE))</f>
        <v>0</v>
      </c>
    </row>
    <row r="17" spans="1:52" x14ac:dyDescent="0.2">
      <c r="A17">
        <v>16</v>
      </c>
      <c r="B17" t="str">
        <f>VLOOKUP(TableQBRanks3040[[#This Row],[RK]],Rankings!A:T,3,FALSE)</f>
        <v>Trevor Lawrence</v>
      </c>
      <c r="C17" t="str">
        <f>IFERROR(INDEX(TableQBCalcPts[TM],MATCH(TableQBRanks3040[[#This Row],[Player]],TableQBCalcPts[PLAYER],0)),"")</f>
        <v>JAX</v>
      </c>
      <c r="D17">
        <f>IFERROR(INDEX(TableQBCalcPts[BYE],MATCH(TableQBRanks3040[[#This Row],[Player]],TableQBCalcPts[PLAYER],0)),"")</f>
        <v>9</v>
      </c>
      <c r="E17" s="83">
        <f>VLOOKUP(TableQBRanks3040[[#This Row],[Player]],QB!B:O,4,FALSE)</f>
        <v>610.42409999999995</v>
      </c>
      <c r="F17" s="83">
        <f>VLOOKUP(TableQBRanks3040[[#This Row],[Player]],QB!B:O,5,FALSE)</f>
        <v>396.775665</v>
      </c>
      <c r="G17" s="83">
        <f>VLOOKUP(TableQBRanks3040[[#This Row],[Player]],QB!B:O,6,FALSE)</f>
        <v>4407.3840868200004</v>
      </c>
      <c r="H17" s="83">
        <f>VLOOKUP(TableQBRanks3040[[#This Row],[Player]],QB!B:O,7,FALSE)</f>
        <v>25.0273881</v>
      </c>
      <c r="I17" s="83">
        <f>VLOOKUP(TableQBRanks3040[[#This Row],[Player]],QB!B:O,8,FALSE)</f>
        <v>8.332288965</v>
      </c>
      <c r="J17" s="83">
        <f>VLOOKUP(TableQBRanks3040[[#This Row],[Player]],QB!B:O,9,FALSE)</f>
        <v>60.01265200000001</v>
      </c>
      <c r="K17" s="83">
        <f>VLOOKUP(TableQBRanks3040[[#This Row],[Player]],QB!B:O,10,FALSE)</f>
        <v>282.05946440000008</v>
      </c>
      <c r="L17" s="83">
        <f>VLOOKUP(TableQBRanks3040[[#This Row],[Player]],QB!B:O,11,FALSE)</f>
        <v>2.2204681240000004</v>
      </c>
      <c r="M17" s="57">
        <f>VLOOKUP(TableQBRanks3040[[#This Row],[Player]],QB!B:O,13,FALSE)</f>
        <v>309.60138209180002</v>
      </c>
      <c r="N17" s="125">
        <f>IF(VLOOKUP(TableQBRanks3040[[#This Row],[RK]],'Ranks w Proj'!$A:$N,14,FALSE)&lt;0,0,VLOOKUP(TableQBRanks3040[[#This Row],[RK]],'Ranks w Proj'!$A:$N,14,FALSE))</f>
        <v>5.9768423327885722</v>
      </c>
      <c r="P17">
        <v>16</v>
      </c>
      <c r="Q17" t="str">
        <f>VLOOKUP(TableRBRanks3141[[#This Row],[RK]],Rankings!A:T,8,FALSE)</f>
        <v>Alvin Kamara</v>
      </c>
      <c r="R17" t="str">
        <f>IFERROR(INDEX(TableRBCalcPts[TM],MATCH(TableRBRanks3141[[#This Row],[Player]],TableRBCalcPts[PLAYER],0)),"")</f>
        <v>NO</v>
      </c>
      <c r="S17">
        <f>IFERROR(INDEX(TableRBCalcPts[BYE],MATCH(TableRBRanks3141[[#This Row],[Player]],TableRBCalcPts[PLAYER],0)),"")</f>
        <v>11</v>
      </c>
      <c r="T17" s="83">
        <f>VLOOKUP(TableRBRanks3141[[#This Row],[Player]],RB!B:O,4,FALSE)</f>
        <v>175.91235200000003</v>
      </c>
      <c r="U17" s="83">
        <f>VLOOKUP(TableRBRanks3141[[#This Row],[Player]],RB!B:O,5,FALSE)</f>
        <v>687.81729632000008</v>
      </c>
      <c r="V17" s="83">
        <f>VLOOKUP(TableRBRanks3141[[#This Row],[Player]],RB!B:O,6,FALSE)</f>
        <v>5.4532829120000006</v>
      </c>
      <c r="W17" s="83">
        <f>VLOOKUP(TableRBRanks3141[[#This Row],[Player]],RB!B:O,7,FALSE)</f>
        <v>72.323283031999992</v>
      </c>
      <c r="X17" s="83">
        <f>VLOOKUP(TableRBRanks3141[[#This Row],[Player]],RB!B:O,8,FALSE)</f>
        <v>59.305092086239988</v>
      </c>
      <c r="Y17" s="83">
        <f>VLOOKUP(TableRBRanks3141[[#This Row],[Player]],RB!B:O,9,FALSE)</f>
        <v>409.20513539505595</v>
      </c>
      <c r="Z17" s="83">
        <f>VLOOKUP(TableRBRanks3141[[#This Row],[Player]],RB!B:O,10,FALSE)</f>
        <v>2.3722036834495994</v>
      </c>
      <c r="AA17" s="57">
        <f>VLOOKUP(TableRBRanks3141[[#This Row],[Player]],RB!B:O,14,FALSE)</f>
        <v>186.30770878732321</v>
      </c>
      <c r="AB17" s="125">
        <f>IF(VLOOKUP(TableRBRanks3141[[#This Row],[RK]],'Ranks w Proj'!$P:$AB,13,FALSE)&lt;0,0,VLOOKUP(TableRBRanks3141[[#This Row],[RK]],'Ranks w Proj'!$P:$AB,13,FALSE))</f>
        <v>32.459322562844797</v>
      </c>
      <c r="AD17">
        <v>16</v>
      </c>
      <c r="AE17" t="str">
        <f>VLOOKUP(TableWRRanks3242[[#This Row],[RK]],Rankings!A:T,13,FALSE)</f>
        <v>Stefon Diggs</v>
      </c>
      <c r="AF17" t="str">
        <f>IFERROR(INDEX(TableWRCalcPts[TM],MATCH(TableWRRanks3242[[#This Row],[Player]],TableWRCalcPts[PLAYER],0)),"")</f>
        <v>HOU</v>
      </c>
      <c r="AG17">
        <f>IFERROR(INDEX(TableWRCalcPts[BYE],MATCH(TableWRRanks3242[[#This Row],[Player]],TableWRCalcPts[PLAYER],0)),"")</f>
        <v>7</v>
      </c>
      <c r="AH17" s="83">
        <f>VLOOKUP(TableWRRanks3242[[#This Row],[Player]],WR!B:O,4,FALSE)</f>
        <v>21.718527999999999</v>
      </c>
      <c r="AI17" s="83">
        <f>VLOOKUP(TableWRRanks3242[[#This Row],[Player]],WR!B:O,5,FALSE)</f>
        <v>6.4896000000000009E-2</v>
      </c>
      <c r="AJ17" s="83">
        <f>VLOOKUP(TableWRRanks3242[[#This Row],[Player]],WR!B:O,6,FALSE)</f>
        <v>122.018624</v>
      </c>
      <c r="AK17" s="83">
        <f>VLOOKUP(TableWRRanks3242[[#This Row],[Player]],WR!B:O,7,FALSE)</f>
        <v>81.752478080000003</v>
      </c>
      <c r="AL17" s="83">
        <f>VLOOKUP(TableWRRanks3242[[#This Row],[Player]],WR!B:O,8,FALSE)</f>
        <v>978.57716261760004</v>
      </c>
      <c r="AM17" s="83">
        <f>VLOOKUP(TableWRRanks3242[[#This Row],[Player]],WR!B:O,9,FALSE)</f>
        <v>6.7037032025600007</v>
      </c>
      <c r="AN17" s="57">
        <f>VLOOKUP(TableWRRanks3242[[#This Row],[Player]],WR!B:O,13,FALSE)</f>
        <v>181.51740331712003</v>
      </c>
      <c r="AO17" s="125">
        <f>IF(VLOOKUP(TableWRRanks3242[[#This Row],[RK]],'Ranks w Proj'!AD:AO,12,FALSE)&lt;0,0,VLOOKUP(TableWRRanks3242[[#This Row],[RK]],'Ranks w Proj'!AD:AO,12,FALSE))</f>
        <v>16.841016294374281</v>
      </c>
      <c r="AQ17">
        <v>16</v>
      </c>
      <c r="AR17" t="str">
        <f>VLOOKUP(TableTERanks3343[[#This Row],[RK]],Rankings!A:T,18,FALSE)</f>
        <v>Luke Musgrave</v>
      </c>
      <c r="AS17" t="str">
        <f>IFERROR(INDEX(TableTECalcPts[TM],MATCH(TableTERanks3343[[#This Row],[Player]],TableTECalcPts[PLAYER],0)),"")</f>
        <v>GB</v>
      </c>
      <c r="AT17">
        <f>IFERROR(INDEX(TableTECalcPts[BYE],MATCH(TableTERanks3343[[#This Row],[Player]],TableTECalcPts[PLAYER],0)),"")</f>
        <v>6</v>
      </c>
      <c r="AU17" s="83">
        <f>VLOOKUP(TableTERanks3343[[#This Row],[Player]],TE!B:O,4,FALSE)</f>
        <v>68.424384000000003</v>
      </c>
      <c r="AV17" s="83">
        <f>VLOOKUP(TableTERanks3343[[#This Row],[Player]],TE!B:O,5,FALSE)</f>
        <v>48.718161408</v>
      </c>
      <c r="AW17" s="83">
        <f>VLOOKUP(TableTERanks3343[[#This Row],[Player]],TE!B:O,6,FALSE)</f>
        <v>536.87413871616002</v>
      </c>
      <c r="AX17" s="83">
        <f>VLOOKUP(TableTERanks3343[[#This Row],[Player]],TE!B:O,7,FALSE)</f>
        <v>3.6538621056</v>
      </c>
      <c r="AY17" s="57">
        <f>VLOOKUP(TableTERanks3343[[#This Row],[Player]],TE!B:O,11,FALSE)</f>
        <v>99.969667209216013</v>
      </c>
      <c r="AZ17" s="125">
        <f>IF(VLOOKUP(TableTERanks3343[[#This Row],[RK]],'Ranks w Proj'!AQ:AZ,10,FALSE)&lt;0,0,VLOOKUP(TableTERanks3343[[#This Row],[RK]],'Ranks w Proj'!AQ:AZ,10,FALSE))</f>
        <v>0</v>
      </c>
    </row>
    <row r="18" spans="1:52" x14ac:dyDescent="0.2">
      <c r="A18">
        <v>17</v>
      </c>
      <c r="B18" t="str">
        <f>VLOOKUP(TableQBRanks3040[[#This Row],[RK]],Rankings!A:T,3,FALSE)</f>
        <v>Jared Goff</v>
      </c>
      <c r="C18" t="str">
        <f>IFERROR(INDEX(TableQBCalcPts[TM],MATCH(TableQBRanks3040[[#This Row],[Player]],TableQBCalcPts[PLAYER],0)),"")</f>
        <v>DET</v>
      </c>
      <c r="D18">
        <f>IFERROR(INDEX(TableQBCalcPts[BYE],MATCH(TableQBRanks3040[[#This Row],[Player]],TableQBCalcPts[PLAYER],0)),"")</f>
        <v>9</v>
      </c>
      <c r="E18" s="83">
        <f>VLOOKUP(TableQBRanks3040[[#This Row],[Player]],QB!B:O,4,FALSE)</f>
        <v>592.67459999999994</v>
      </c>
      <c r="F18" s="83">
        <f>VLOOKUP(TableQBRanks3040[[#This Row],[Player]],QB!B:O,5,FALSE)</f>
        <v>399.46268040000001</v>
      </c>
      <c r="G18" s="83">
        <f>VLOOKUP(TableQBRanks3040[[#This Row],[Player]],QB!B:O,6,FALSE)</f>
        <v>4505.9390349119994</v>
      </c>
      <c r="H18" s="83">
        <f>VLOOKUP(TableQBRanks3040[[#This Row],[Player]],QB!B:O,7,FALSE)</f>
        <v>30.226404599999995</v>
      </c>
      <c r="I18" s="83">
        <f>VLOOKUP(TableQBRanks3040[[#This Row],[Player]],QB!B:O,8,FALSE)</f>
        <v>6.7908655668000009</v>
      </c>
      <c r="J18" s="83">
        <f>VLOOKUP(TableQBRanks3040[[#This Row],[Player]],QB!B:O,9,FALSE)</f>
        <v>31.297378000000009</v>
      </c>
      <c r="K18" s="83">
        <f>VLOOKUP(TableQBRanks3040[[#This Row],[Player]],QB!B:O,10,FALSE)</f>
        <v>56.961227960000016</v>
      </c>
      <c r="L18" s="83">
        <f>VLOOKUP(TableQBRanks3040[[#This Row],[Player]],QB!B:O,11,FALSE)</f>
        <v>1.0328134740000003</v>
      </c>
      <c r="M18" s="57">
        <f>VLOOKUP(TableQBRanks3040[[#This Row],[Player]],QB!B:O,13,FALSE)</f>
        <v>306.24531786967998</v>
      </c>
      <c r="N18" s="125">
        <f>IF(VLOOKUP(TableQBRanks3040[[#This Row],[RK]],'Ranks w Proj'!$A:$N,14,FALSE)&lt;0,0,VLOOKUP(TableQBRanks3040[[#This Row],[RK]],'Ranks w Proj'!$A:$N,14,FALSE))</f>
        <v>5.4125811742677525</v>
      </c>
      <c r="P18">
        <v>17</v>
      </c>
      <c r="Q18" t="str">
        <f>VLOOKUP(TableRBRanks3141[[#This Row],[RK]],Rankings!A:T,8,FALSE)</f>
        <v>Kenneth Walker</v>
      </c>
      <c r="R18" t="str">
        <f>IFERROR(INDEX(TableRBCalcPts[TM],MATCH(TableRBRanks3141[[#This Row],[Player]],TableRBCalcPts[PLAYER],0)),"")</f>
        <v>SEA</v>
      </c>
      <c r="S18">
        <f>IFERROR(INDEX(TableRBCalcPts[BYE],MATCH(TableRBRanks3141[[#This Row],[Player]],TableRBCalcPts[PLAYER],0)),"")</f>
        <v>5</v>
      </c>
      <c r="T18" s="83">
        <f>VLOOKUP(TableRBRanks3141[[#This Row],[Player]],RB!B:O,4,FALSE)</f>
        <v>228.64274160000005</v>
      </c>
      <c r="U18" s="83">
        <f>VLOOKUP(TableRBRanks3141[[#This Row],[Player]],RB!B:O,5,FALSE)</f>
        <v>1006.0280630400003</v>
      </c>
      <c r="V18" s="83">
        <f>VLOOKUP(TableRBRanks3141[[#This Row],[Player]],RB!B:O,6,FALSE)</f>
        <v>8.4597814392000021</v>
      </c>
      <c r="W18" s="83">
        <f>VLOOKUP(TableRBRanks3141[[#This Row],[Player]],RB!B:O,7,FALSE)</f>
        <v>34.828945199999993</v>
      </c>
      <c r="X18" s="83">
        <f>VLOOKUP(TableRBRanks3141[[#This Row],[Player]],RB!B:O,8,FALSE)</f>
        <v>26.853116749199994</v>
      </c>
      <c r="Y18" s="83">
        <f>VLOOKUP(TableRBRanks3141[[#This Row],[Player]],RB!B:O,9,FALSE)</f>
        <v>210.52843531372795</v>
      </c>
      <c r="Z18" s="83">
        <f>VLOOKUP(TableRBRanks3141[[#This Row],[Player]],RB!B:O,10,FALSE)</f>
        <v>0.80559350247599981</v>
      </c>
      <c r="AA18" s="57">
        <f>VLOOKUP(TableRBRanks3141[[#This Row],[Player]],RB!B:O,14,FALSE)</f>
        <v>190.67445786002884</v>
      </c>
      <c r="AB18" s="125">
        <f>IF(VLOOKUP(TableRBRanks3141[[#This Row],[RK]],'Ranks w Proj'!$P:$AB,13,FALSE)&lt;0,0,VLOOKUP(TableRBRanks3141[[#This Row],[RK]],'Ranks w Proj'!$P:$AB,13,FALSE))</f>
        <v>32.312259737970273</v>
      </c>
      <c r="AD18">
        <v>17</v>
      </c>
      <c r="AE18" t="str">
        <f>VLOOKUP(TableWRRanks3242[[#This Row],[RK]],Rankings!A:T,13,FALSE)</f>
        <v>DK Metcalf</v>
      </c>
      <c r="AF18" t="str">
        <f>IFERROR(INDEX(TableWRCalcPts[TM],MATCH(TableWRRanks3242[[#This Row],[Player]],TableWRCalcPts[PLAYER],0)),"")</f>
        <v>SEA</v>
      </c>
      <c r="AG18">
        <f>IFERROR(INDEX(TableWRCalcPts[BYE],MATCH(TableWRRanks3242[[#This Row],[Player]],TableWRCalcPts[PLAYER],0)),"")</f>
        <v>5</v>
      </c>
      <c r="AH18" s="83">
        <f>VLOOKUP(TableWRRanks3242[[#This Row],[Player]],WR!B:O,4,FALSE)</f>
        <v>0</v>
      </c>
      <c r="AI18" s="83">
        <f>VLOOKUP(TableWRRanks3242[[#This Row],[Player]],WR!B:O,5,FALSE)</f>
        <v>0</v>
      </c>
      <c r="AJ18" s="83">
        <f>VLOOKUP(TableWRRanks3242[[#This Row],[Player]],WR!B:O,6,FALSE)</f>
        <v>121.90130819999997</v>
      </c>
      <c r="AK18" s="83">
        <f>VLOOKUP(TableWRRanks3242[[#This Row],[Player]],WR!B:O,7,FALSE)</f>
        <v>72.409377070799977</v>
      </c>
      <c r="AL18" s="83">
        <f>VLOOKUP(TableWRRanks3242[[#This Row],[Player]],WR!B:O,8,FALSE)</f>
        <v>1124.5176259095235</v>
      </c>
      <c r="AM18" s="83">
        <f>VLOOKUP(TableWRRanks3242[[#This Row],[Player]],WR!B:O,9,FALSE)</f>
        <v>8.5443064943543963</v>
      </c>
      <c r="AN18" s="57">
        <f>VLOOKUP(TableWRRanks3242[[#This Row],[Player]],WR!B:O,13,FALSE)</f>
        <v>199.92229009247873</v>
      </c>
      <c r="AO18" s="125">
        <f>IF(VLOOKUP(TableWRRanks3242[[#This Row],[RK]],'Ranks w Proj'!AD:AO,12,FALSE)&lt;0,0,VLOOKUP(TableWRRanks3242[[#This Row],[RK]],'Ranks w Proj'!AD:AO,12,FALSE))</f>
        <v>15.909758191200286</v>
      </c>
      <c r="AQ18">
        <v>17</v>
      </c>
      <c r="AR18" t="str">
        <f>VLOOKUP(TableTERanks3343[[#This Row],[RK]],Rankings!A:T,18,FALSE)</f>
        <v>Cole Kmet</v>
      </c>
      <c r="AS18" t="str">
        <f>IFERROR(INDEX(TableTECalcPts[TM],MATCH(TableTERanks3343[[#This Row],[Player]],TableTECalcPts[PLAYER],0)),"")</f>
        <v>CHI</v>
      </c>
      <c r="AT18">
        <f>IFERROR(INDEX(TableTECalcPts[BYE],MATCH(TableTERanks3343[[#This Row],[Player]],TableTECalcPts[PLAYER],0)),"")</f>
        <v>13</v>
      </c>
      <c r="AU18" s="83">
        <f>VLOOKUP(TableTERanks3343[[#This Row],[Player]],TE!B:O,4,FALSE)</f>
        <v>85.021271999999982</v>
      </c>
      <c r="AV18" s="83">
        <f>VLOOKUP(TableTERanks3343[[#This Row],[Player]],TE!B:O,5,FALSE)</f>
        <v>56.964252239999993</v>
      </c>
      <c r="AW18" s="83">
        <f>VLOOKUP(TableTERanks3343[[#This Row],[Player]],TE!B:O,6,FALSE)</f>
        <v>575.33894762399996</v>
      </c>
      <c r="AX18" s="83">
        <f>VLOOKUP(TableTERanks3343[[#This Row],[Player]],TE!B:O,7,FALSE)</f>
        <v>4.5571401791999993</v>
      </c>
      <c r="AY18" s="57">
        <f>VLOOKUP(TableTERanks3343[[#This Row],[Player]],TE!B:O,11,FALSE)</f>
        <v>113.3588619576</v>
      </c>
      <c r="AZ18" s="125">
        <f>IF(VLOOKUP(TableTERanks3343[[#This Row],[RK]],'Ranks w Proj'!AQ:AZ,10,FALSE)&lt;0,0,VLOOKUP(TableTERanks3343[[#This Row],[RK]],'Ranks w Proj'!AQ:AZ,10,FALSE))</f>
        <v>0</v>
      </c>
    </row>
    <row r="19" spans="1:52" x14ac:dyDescent="0.2">
      <c r="A19">
        <v>18</v>
      </c>
      <c r="B19" t="str">
        <f>VLOOKUP(TableQBRanks3040[[#This Row],[RK]],Rankings!A:T,3,FALSE)</f>
        <v>Aaron Rodgers</v>
      </c>
      <c r="C19" t="str">
        <f>IFERROR(INDEX(TableQBCalcPts[TM],MATCH(TableQBRanks3040[[#This Row],[Player]],TableQBCalcPts[PLAYER],0)),"")</f>
        <v>NYJ</v>
      </c>
      <c r="D19">
        <f>IFERROR(INDEX(TableQBCalcPts[BYE],MATCH(TableQBRanks3040[[#This Row],[Player]],TableQBCalcPts[PLAYER],0)),"")</f>
        <v>7</v>
      </c>
      <c r="E19" s="83">
        <f>VLOOKUP(TableQBRanks3040[[#This Row],[Player]],QB!B:O,4,FALSE)</f>
        <v>592.51191999999992</v>
      </c>
      <c r="F19" s="83">
        <f>VLOOKUP(TableQBRanks3040[[#This Row],[Player]],QB!B:O,5,FALSE)</f>
        <v>382.17018839999997</v>
      </c>
      <c r="G19" s="83">
        <f>VLOOKUP(TableQBRanks3040[[#This Row],[Player]],QB!B:O,6,FALSE)</f>
        <v>4314.7014270359996</v>
      </c>
      <c r="H19" s="83">
        <f>VLOOKUP(TableQBRanks3040[[#This Row],[Player]],QB!B:O,7,FALSE)</f>
        <v>29.625595999999998</v>
      </c>
      <c r="I19" s="83">
        <f>VLOOKUP(TableQBRanks3040[[#This Row],[Player]],QB!B:O,8,FALSE)</f>
        <v>6.1147230144</v>
      </c>
      <c r="J19" s="83">
        <f>VLOOKUP(TableQBRanks3040[[#This Row],[Player]],QB!B:O,9,FALSE)</f>
        <v>31.034365600000008</v>
      </c>
      <c r="K19" s="83">
        <f>VLOOKUP(TableQBRanks3040[[#This Row],[Player]],QB!B:O,10,FALSE)</f>
        <v>93.413440456000018</v>
      </c>
      <c r="L19" s="83">
        <f>VLOOKUP(TableQBRanks3040[[#This Row],[Player]],QB!B:O,11,FALSE)</f>
        <v>0.83792787120000023</v>
      </c>
      <c r="M19" s="57">
        <f>VLOOKUP(TableQBRanks3040[[#This Row],[Player]],QB!B:O,13,FALSE)</f>
        <v>299.34462933983997</v>
      </c>
      <c r="N19" s="125">
        <f>IF(VLOOKUP(TableQBRanks3040[[#This Row],[RK]],'Ranks w Proj'!$A:$N,14,FALSE)&lt;0,0,VLOOKUP(TableQBRanks3040[[#This Row],[RK]],'Ranks w Proj'!$A:$N,14,FALSE))</f>
        <v>4.9262972509720262</v>
      </c>
      <c r="P19">
        <v>18</v>
      </c>
      <c r="Q19" t="str">
        <f>VLOOKUP(TableRBRanks3141[[#This Row],[RK]],Rankings!A:T,8,FALSE)</f>
        <v>James Cook</v>
      </c>
      <c r="R19" t="str">
        <f>IFERROR(INDEX(TableRBCalcPts[TM],MATCH(TableRBRanks3141[[#This Row],[Player]],TableRBCalcPts[PLAYER],0)),"")</f>
        <v>BUF</v>
      </c>
      <c r="S19">
        <f>IFERROR(INDEX(TableRBCalcPts[BYE],MATCH(TableRBRanks3141[[#This Row],[Player]],TableRBCalcPts[PLAYER],0)),"")</f>
        <v>13</v>
      </c>
      <c r="T19" s="83">
        <f>VLOOKUP(TableRBRanks3141[[#This Row],[Player]],RB!B:O,4,FALSE)</f>
        <v>178.83980800000003</v>
      </c>
      <c r="U19" s="83">
        <f>VLOOKUP(TableRBRanks3141[[#This Row],[Player]],RB!B:O,5,FALSE)</f>
        <v>804.77913600000011</v>
      </c>
      <c r="V19" s="83">
        <f>VLOOKUP(TableRBRanks3141[[#This Row],[Player]],RB!B:O,6,FALSE)</f>
        <v>5.365194240000001</v>
      </c>
      <c r="W19" s="83">
        <f>VLOOKUP(TableRBRanks3141[[#This Row],[Player]],RB!B:O,7,FALSE)</f>
        <v>54.664243199999987</v>
      </c>
      <c r="X19" s="83">
        <f>VLOOKUP(TableRBRanks3141[[#This Row],[Player]],RB!B:O,8,FALSE)</f>
        <v>40.779525427199992</v>
      </c>
      <c r="Y19" s="83">
        <f>VLOOKUP(TableRBRanks3141[[#This Row],[Player]],RB!B:O,9,FALSE)</f>
        <v>345.40258036838395</v>
      </c>
      <c r="Z19" s="83">
        <f>VLOOKUP(TableRBRanks3141[[#This Row],[Player]],RB!B:O,10,FALSE)</f>
        <v>2.0389762713599997</v>
      </c>
      <c r="AA19" s="57">
        <f>VLOOKUP(TableRBRanks3141[[#This Row],[Player]],RB!B:O,14,FALSE)</f>
        <v>179.83295741859843</v>
      </c>
      <c r="AB19" s="125">
        <f>IF(VLOOKUP(TableRBRanks3141[[#This Row],[RK]],'Ranks w Proj'!$P:$AB,13,FALSE)&lt;0,0,VLOOKUP(TableRBRanks3141[[#This Row],[RK]],'Ranks w Proj'!$P:$AB,13,FALSE))</f>
        <v>32.032130476668257</v>
      </c>
      <c r="AD19">
        <v>18</v>
      </c>
      <c r="AE19" t="str">
        <f>VLOOKUP(TableWRRanks3242[[#This Row],[RK]],Rankings!A:T,13,FALSE)</f>
        <v>Tee Higgins</v>
      </c>
      <c r="AF19" t="str">
        <f>IFERROR(INDEX(TableWRCalcPts[TM],MATCH(TableWRRanks3242[[#This Row],[Player]],TableWRCalcPts[PLAYER],0)),"")</f>
        <v>CIN</v>
      </c>
      <c r="AG19">
        <f>IFERROR(INDEX(TableWRCalcPts[BYE],MATCH(TableWRRanks3242[[#This Row],[Player]],TableWRCalcPts[PLAYER],0)),"")</f>
        <v>7</v>
      </c>
      <c r="AH19" s="83">
        <f>VLOOKUP(TableWRRanks3242[[#This Row],[Player]],WR!B:O,4,FALSE)</f>
        <v>0</v>
      </c>
      <c r="AI19" s="83">
        <f>VLOOKUP(TableWRRanks3242[[#This Row],[Player]],WR!B:O,5,FALSE)</f>
        <v>0</v>
      </c>
      <c r="AJ19" s="83">
        <f>VLOOKUP(TableWRRanks3242[[#This Row],[Player]],WR!B:O,6,FALSE)</f>
        <v>130.9493052</v>
      </c>
      <c r="AK19" s="83">
        <f>VLOOKUP(TableWRRanks3242[[#This Row],[Player]],WR!B:O,7,FALSE)</f>
        <v>84.069453938400002</v>
      </c>
      <c r="AL19" s="83">
        <f>VLOOKUP(TableWRRanks3242[[#This Row],[Player]],WR!B:O,8,FALSE)</f>
        <v>1134.9376281684001</v>
      </c>
      <c r="AM19" s="83">
        <f>VLOOKUP(TableWRRanks3242[[#This Row],[Player]],WR!B:O,9,FALSE)</f>
        <v>7.5662508544560003</v>
      </c>
      <c r="AN19" s="57">
        <f>VLOOKUP(TableWRRanks3242[[#This Row],[Player]],WR!B:O,13,FALSE)</f>
        <v>200.92599491277602</v>
      </c>
      <c r="AO19" s="125">
        <f>IF(VLOOKUP(TableWRRanks3242[[#This Row],[RK]],'Ranks w Proj'!AD:AO,12,FALSE)&lt;0,0,VLOOKUP(TableWRRanks3242[[#This Row],[RK]],'Ranks w Proj'!AD:AO,12,FALSE))</f>
        <v>15.340131198464096</v>
      </c>
      <c r="AQ19">
        <v>18</v>
      </c>
      <c r="AR19" t="str">
        <f>VLOOKUP(TableTERanks3343[[#This Row],[RK]],Rankings!A:T,18,FALSE)</f>
        <v>Cade Otton</v>
      </c>
      <c r="AS19" t="str">
        <f>IFERROR(INDEX(TableTECalcPts[TM],MATCH(TableTERanks3343[[#This Row],[Player]],TableTECalcPts[PLAYER],0)),"")</f>
        <v>TB</v>
      </c>
      <c r="AT19">
        <f>IFERROR(INDEX(TableTECalcPts[BYE],MATCH(TableTERanks3343[[#This Row],[Player]],TableTECalcPts[PLAYER],0)),"")</f>
        <v>5</v>
      </c>
      <c r="AU19" s="83">
        <f>VLOOKUP(TableTERanks3343[[#This Row],[Player]],TE!B:O,4,FALSE)</f>
        <v>68.200855799999999</v>
      </c>
      <c r="AV19" s="83">
        <f>VLOOKUP(TableTERanks3343[[#This Row],[Player]],TE!B:O,5,FALSE)</f>
        <v>44.671560548999999</v>
      </c>
      <c r="AW19" s="83">
        <f>VLOOKUP(TableTERanks3343[[#This Row],[Player]],TE!B:O,6,FALSE)</f>
        <v>450.73604593940996</v>
      </c>
      <c r="AX19" s="83">
        <f>VLOOKUP(TableTERanks3343[[#This Row],[Player]],TE!B:O,7,FALSE)</f>
        <v>3.3503670411749997</v>
      </c>
      <c r="AY19" s="57">
        <f>VLOOKUP(TableTERanks3343[[#This Row],[Player]],TE!B:O,11,FALSE)</f>
        <v>87.511587115490997</v>
      </c>
      <c r="AZ19" s="125">
        <f>IF(VLOOKUP(TableTERanks3343[[#This Row],[RK]],'Ranks w Proj'!AQ:AZ,10,FALSE)&lt;0,0,VLOOKUP(TableTERanks3343[[#This Row],[RK]],'Ranks w Proj'!AQ:AZ,10,FALSE))</f>
        <v>0</v>
      </c>
    </row>
    <row r="20" spans="1:52" x14ac:dyDescent="0.2">
      <c r="A20">
        <v>19</v>
      </c>
      <c r="B20" t="str">
        <f>VLOOKUP(TableQBRanks3040[[#This Row],[RK]],Rankings!A:T,3,FALSE)</f>
        <v>Tua Tagovailoa</v>
      </c>
      <c r="C20" t="str">
        <f>IFERROR(INDEX(TableQBCalcPts[TM],MATCH(TableQBRanks3040[[#This Row],[Player]],TableQBCalcPts[PLAYER],0)),"")</f>
        <v>MIA</v>
      </c>
      <c r="D20">
        <f>IFERROR(INDEX(TableQBCalcPts[BYE],MATCH(TableQBRanks3040[[#This Row],[Player]],TableQBCalcPts[PLAYER],0)),"")</f>
        <v>10</v>
      </c>
      <c r="E20" s="83">
        <f>VLOOKUP(TableQBRanks3040[[#This Row],[Player]],QB!B:O,4,FALSE)</f>
        <v>580.3471199999999</v>
      </c>
      <c r="F20" s="83">
        <f>VLOOKUP(TableQBRanks3040[[#This Row],[Player]],QB!B:O,5,FALSE)</f>
        <v>392.89500023999994</v>
      </c>
      <c r="G20" s="83">
        <f>VLOOKUP(TableQBRanks3040[[#This Row],[Player]],QB!B:O,6,FALSE)</f>
        <v>4636.1610028319992</v>
      </c>
      <c r="H20" s="83">
        <f>VLOOKUP(TableQBRanks3040[[#This Row],[Player]],QB!B:O,7,FALSE)</f>
        <v>28.437008879999997</v>
      </c>
      <c r="I20" s="83">
        <f>VLOOKUP(TableQBRanks3040[[#This Row],[Player]],QB!B:O,8,FALSE)</f>
        <v>8.6436900052799981</v>
      </c>
      <c r="J20" s="83">
        <f>VLOOKUP(TableQBRanks3040[[#This Row],[Player]],QB!B:O,9,FALSE)</f>
        <v>33.688793600000004</v>
      </c>
      <c r="K20" s="83">
        <f>VLOOKUP(TableQBRanks3040[[#This Row],[Player]],QB!B:O,10,FALSE)</f>
        <v>86.58019955200001</v>
      </c>
      <c r="L20" s="83">
        <f>VLOOKUP(TableQBRanks3040[[#This Row],[Player]],QB!B:O,11,FALSE)</f>
        <v>0.50533190400000005</v>
      </c>
      <c r="M20" s="57">
        <f>VLOOKUP(TableQBRanks3040[[#This Row],[Player]],QB!B:O,13,FALSE)</f>
        <v>302.2407970072</v>
      </c>
      <c r="N20" s="125">
        <f>IF(VLOOKUP(TableQBRanks3040[[#This Row],[RK]],'Ranks w Proj'!$A:$N,14,FALSE)&lt;0,0,VLOOKUP(TableQBRanks3040[[#This Row],[RK]],'Ranks w Proj'!$A:$N,14,FALSE))</f>
        <v>3.8786114801852283</v>
      </c>
      <c r="P20">
        <v>19</v>
      </c>
      <c r="Q20" t="str">
        <f>VLOOKUP(TableRBRanks3141[[#This Row],[RK]],Rankings!A:T,8,FALSE)</f>
        <v>James Conner</v>
      </c>
      <c r="R20" t="str">
        <f>IFERROR(INDEX(TableRBCalcPts[TM],MATCH(TableRBRanks3141[[#This Row],[Player]],TableRBCalcPts[PLAYER],0)),"")</f>
        <v>ARI</v>
      </c>
      <c r="S20">
        <f>IFERROR(INDEX(TableRBCalcPts[BYE],MATCH(TableRBRanks3141[[#This Row],[Player]],TableRBCalcPts[PLAYER],0)),"")</f>
        <v>14</v>
      </c>
      <c r="T20" s="83">
        <f>VLOOKUP(TableRBRanks3141[[#This Row],[Player]],RB!B:O,4,FALSE)</f>
        <v>195.224085</v>
      </c>
      <c r="U20" s="83">
        <f>VLOOKUP(TableRBRanks3141[[#This Row],[Player]],RB!B:O,5,FALSE)</f>
        <v>862.89045569999996</v>
      </c>
      <c r="V20" s="83">
        <f>VLOOKUP(TableRBRanks3141[[#This Row],[Player]],RB!B:O,6,FALSE)</f>
        <v>6.832842975000001</v>
      </c>
      <c r="W20" s="83">
        <f>VLOOKUP(TableRBRanks3141[[#This Row],[Player]],RB!B:O,7,FALSE)</f>
        <v>50.123692500000004</v>
      </c>
      <c r="X20" s="83">
        <f>VLOOKUP(TableRBRanks3141[[#This Row],[Player]],RB!B:O,8,FALSE)</f>
        <v>40.499943540000004</v>
      </c>
      <c r="Y20" s="83">
        <f>VLOOKUP(TableRBRanks3141[[#This Row],[Player]],RB!B:O,9,FALSE)</f>
        <v>271.34962171800004</v>
      </c>
      <c r="Z20" s="83">
        <f>VLOOKUP(TableRBRanks3141[[#This Row],[Player]],RB!B:O,10,FALSE)</f>
        <v>1.4579979674400001</v>
      </c>
      <c r="AA20" s="57">
        <f>VLOOKUP(TableRBRanks3141[[#This Row],[Player]],RB!B:O,14,FALSE)</f>
        <v>183.41902516644001</v>
      </c>
      <c r="AB20" s="125">
        <f>IF(VLOOKUP(TableRBRanks3141[[#This Row],[RK]],'Ranks w Proj'!$P:$AB,13,FALSE)&lt;0,0,VLOOKUP(TableRBRanks3141[[#This Row],[RK]],'Ranks w Proj'!$P:$AB,13,FALSE))</f>
        <v>30.577233619671368</v>
      </c>
      <c r="AD20">
        <v>19</v>
      </c>
      <c r="AE20" t="str">
        <f>VLOOKUP(TableWRRanks3242[[#This Row],[RK]],Rankings!A:T,13,FALSE)</f>
        <v>Jaylen Waddle</v>
      </c>
      <c r="AF20" t="str">
        <f>IFERROR(INDEX(TableWRCalcPts[TM],MATCH(TableWRRanks3242[[#This Row],[Player]],TableWRCalcPts[PLAYER],0)),"")</f>
        <v>MIA</v>
      </c>
      <c r="AG20">
        <f>IFERROR(INDEX(TableWRCalcPts[BYE],MATCH(TableWRRanks3242[[#This Row],[Player]],TableWRCalcPts[PLAYER],0)),"")</f>
        <v>10</v>
      </c>
      <c r="AH20" s="83">
        <f>VLOOKUP(TableWRRanks3242[[#This Row],[Player]],WR!B:O,4,FALSE)</f>
        <v>10.190860064000001</v>
      </c>
      <c r="AI20" s="83">
        <f>VLOOKUP(TableWRRanks3242[[#This Row],[Player]],WR!B:O,5,FALSE)</f>
        <v>8.632753360000002E-2</v>
      </c>
      <c r="AJ20" s="83">
        <f>VLOOKUP(TableWRRanks3242[[#This Row],[Player]],WR!B:O,6,FALSE)</f>
        <v>128.99261759999999</v>
      </c>
      <c r="AK20" s="83">
        <f>VLOOKUP(TableWRRanks3242[[#This Row],[Player]],WR!B:O,7,FALSE)</f>
        <v>86.683039027199996</v>
      </c>
      <c r="AL20" s="83">
        <f>VLOOKUP(TableWRRanks3242[[#This Row],[Player]],WR!B:O,8,FALSE)</f>
        <v>1207.4947336488958</v>
      </c>
      <c r="AM20" s="83">
        <f>VLOOKUP(TableWRRanks3242[[#This Row],[Player]],WR!B:O,9,FALSE)</f>
        <v>5.9811296928768005</v>
      </c>
      <c r="AN20" s="57">
        <f>VLOOKUP(TableWRRanks3242[[#This Row],[Player]],WR!B:O,13,FALSE)</f>
        <v>201.51482224375039</v>
      </c>
      <c r="AO20" s="125">
        <f>IF(VLOOKUP(TableWRRanks3242[[#This Row],[RK]],'Ranks w Proj'!AD:AO,12,FALSE)&lt;0,0,VLOOKUP(TableWRRanks3242[[#This Row],[RK]],'Ranks w Proj'!AD:AO,12,FALSE))</f>
        <v>15.069578711931007</v>
      </c>
      <c r="AQ20">
        <v>19</v>
      </c>
      <c r="AR20" t="str">
        <f>VLOOKUP(TableTERanks3343[[#This Row],[RK]],Rankings!A:T,18,FALSE)</f>
        <v>Dalton Schultz</v>
      </c>
      <c r="AS20" t="str">
        <f>IFERROR(INDEX(TableTECalcPts[TM],MATCH(TableTERanks3343[[#This Row],[Player]],TableTECalcPts[PLAYER],0)),"")</f>
        <v>HOU</v>
      </c>
      <c r="AT20">
        <f>IFERROR(INDEX(TableTECalcPts[BYE],MATCH(TableTERanks3343[[#This Row],[Player]],TableTECalcPts[PLAYER],0)),"")</f>
        <v>7</v>
      </c>
      <c r="AU20" s="83">
        <f>VLOOKUP(TableTERanks3343[[#This Row],[Player]],TE!B:O,4,FALSE)</f>
        <v>61.306918399999994</v>
      </c>
      <c r="AV20" s="83">
        <f>VLOOKUP(TableTERanks3343[[#This Row],[Player]],TE!B:O,5,FALSE)</f>
        <v>41.8113183488</v>
      </c>
      <c r="AW20" s="83">
        <f>VLOOKUP(TableTERanks3343[[#This Row],[Player]],TE!B:O,6,FALSE)</f>
        <v>450.72601180006399</v>
      </c>
      <c r="AX20" s="83">
        <f>VLOOKUP(TableTERanks3343[[#This Row],[Player]],TE!B:O,7,FALSE)</f>
        <v>3.4703394229504001</v>
      </c>
      <c r="AY20" s="57">
        <f>VLOOKUP(TableTERanks3343[[#This Row],[Player]],TE!B:O,11,FALSE)</f>
        <v>86.800296892108804</v>
      </c>
      <c r="AZ20" s="125">
        <f>IF(VLOOKUP(TableTERanks3343[[#This Row],[RK]],'Ranks w Proj'!AQ:AZ,10,FALSE)&lt;0,0,VLOOKUP(TableTERanks3343[[#This Row],[RK]],'Ranks w Proj'!AQ:AZ,10,FALSE))</f>
        <v>0</v>
      </c>
    </row>
    <row r="21" spans="1:52" x14ac:dyDescent="0.2">
      <c r="A21">
        <v>20</v>
      </c>
      <c r="B21" t="str">
        <f>VLOOKUP(TableQBRanks3040[[#This Row],[RK]],Rankings!A:T,3,FALSE)</f>
        <v>Matthew Stafford</v>
      </c>
      <c r="C21" t="str">
        <f>IFERROR(INDEX(TableQBCalcPts[TM],MATCH(TableQBRanks3040[[#This Row],[Player]],TableQBCalcPts[PLAYER],0)),"")</f>
        <v>LAR</v>
      </c>
      <c r="D21">
        <f>IFERROR(INDEX(TableQBCalcPts[BYE],MATCH(TableQBRanks3040[[#This Row],[Player]],TableQBCalcPts[PLAYER],0)),"")</f>
        <v>10</v>
      </c>
      <c r="E21" s="83">
        <f>VLOOKUP(TableQBRanks3040[[#This Row],[Player]],QB!B:O,4,FALSE)</f>
        <v>591.45023999999989</v>
      </c>
      <c r="F21" s="83">
        <f>VLOOKUP(TableQBRanks3040[[#This Row],[Player]],QB!B:O,5,FALSE)</f>
        <v>379.71105407999994</v>
      </c>
      <c r="G21" s="83">
        <f>VLOOKUP(TableQBRanks3040[[#This Row],[Player]],QB!B:O,6,FALSE)</f>
        <v>4491.2223476582394</v>
      </c>
      <c r="H21" s="83">
        <f>VLOOKUP(TableQBRanks3040[[#This Row],[Player]],QB!B:O,7,FALSE)</f>
        <v>28.389611519999995</v>
      </c>
      <c r="I21" s="83">
        <f>VLOOKUP(TableQBRanks3040[[#This Row],[Player]],QB!B:O,8,FALSE)</f>
        <v>7.9739321356799993</v>
      </c>
      <c r="J21" s="83">
        <f>VLOOKUP(TableQBRanks3040[[#This Row],[Player]],QB!B:O,9,FALSE)</f>
        <v>21.065394000000001</v>
      </c>
      <c r="K21" s="83">
        <f>VLOOKUP(TableQBRanks3040[[#This Row],[Player]],QB!B:O,10,FALSE)</f>
        <v>44.658635280000006</v>
      </c>
      <c r="L21" s="83">
        <f>VLOOKUP(TableQBRanks3040[[#This Row],[Player]],QB!B:O,11,FALSE)</f>
        <v>0.21065394000000001</v>
      </c>
      <c r="M21" s="57">
        <f>VLOOKUP(TableQBRanks3040[[#This Row],[Player]],QB!B:O,13,FALSE)</f>
        <v>290.96319501864951</v>
      </c>
      <c r="N21" s="125">
        <f>IF(VLOOKUP(TableQBRanks3040[[#This Row],[RK]],'Ranks w Proj'!$A:$N,14,FALSE)&lt;0,0,VLOOKUP(TableQBRanks3040[[#This Row],[RK]],'Ranks w Proj'!$A:$N,14,FALSE))</f>
        <v>3.4459749722154447</v>
      </c>
      <c r="P21">
        <v>20</v>
      </c>
      <c r="Q21" t="str">
        <f>VLOOKUP(TableRBRanks3141[[#This Row],[RK]],Rankings!A:T,8,FALSE)</f>
        <v>Zamir White</v>
      </c>
      <c r="R21" t="str">
        <f>IFERROR(INDEX(TableRBCalcPts[TM],MATCH(TableRBRanks3141[[#This Row],[Player]],TableRBCalcPts[PLAYER],0)),"")</f>
        <v>LV</v>
      </c>
      <c r="S21">
        <f>IFERROR(INDEX(TableRBCalcPts[BYE],MATCH(TableRBRanks3141[[#This Row],[Player]],TableRBCalcPts[PLAYER],0)),"")</f>
        <v>13</v>
      </c>
      <c r="T21" s="83">
        <f>VLOOKUP(TableRBRanks3141[[#This Row],[Player]],RB!B:O,4,FALSE)</f>
        <v>253.13400000000001</v>
      </c>
      <c r="U21" s="83">
        <f>VLOOKUP(TableRBRanks3141[[#This Row],[Player]],RB!B:O,5,FALSE)</f>
        <v>1070.7568200000001</v>
      </c>
      <c r="V21" s="83">
        <f>VLOOKUP(TableRBRanks3141[[#This Row],[Player]],RB!B:O,6,FALSE)</f>
        <v>7.5940200000000004</v>
      </c>
      <c r="W21" s="83">
        <f>VLOOKUP(TableRBRanks3141[[#This Row],[Player]],RB!B:O,7,FALSE)</f>
        <v>34.956599999999987</v>
      </c>
      <c r="X21" s="83">
        <f>VLOOKUP(TableRBRanks3141[[#This Row],[Player]],RB!B:O,8,FALSE)</f>
        <v>25.51831799999999</v>
      </c>
      <c r="Y21" s="83">
        <f>VLOOKUP(TableRBRanks3141[[#This Row],[Player]],RB!B:O,9,FALSE)</f>
        <v>197.00141495999992</v>
      </c>
      <c r="Z21" s="83">
        <f>VLOOKUP(TableRBRanks3141[[#This Row],[Player]],RB!B:O,10,FALSE)</f>
        <v>0.81658617599999972</v>
      </c>
      <c r="AA21" s="57">
        <f>VLOOKUP(TableRBRanks3141[[#This Row],[Player]],RB!B:O,14,FALSE)</f>
        <v>189.99861955200001</v>
      </c>
      <c r="AB21" s="125">
        <f>IF(VLOOKUP(TableRBRanks3141[[#This Row],[RK]],'Ranks w Proj'!$P:$AB,13,FALSE)&lt;0,0,VLOOKUP(TableRBRanks3141[[#This Row],[RK]],'Ranks w Proj'!$P:$AB,13,FALSE))</f>
        <v>30.502279188634354</v>
      </c>
      <c r="AD21">
        <v>20</v>
      </c>
      <c r="AE21" t="str">
        <f>VLOOKUP(TableWRRanks3242[[#This Row],[RK]],Rankings!A:T,13,FALSE)</f>
        <v>Nico Collins</v>
      </c>
      <c r="AF21" t="str">
        <f>IFERROR(INDEX(TableWRCalcPts[TM],MATCH(TableWRRanks3242[[#This Row],[Player]],TableWRCalcPts[PLAYER],0)),"")</f>
        <v>HOU</v>
      </c>
      <c r="AG21">
        <f>IFERROR(INDEX(TableWRCalcPts[BYE],MATCH(TableWRRanks3242[[#This Row],[Player]],TableWRCalcPts[PLAYER],0)),"")</f>
        <v>7</v>
      </c>
      <c r="AH21" s="83">
        <f>VLOOKUP(TableWRRanks3242[[#This Row],[Player]],WR!B:O,4,FALSE)</f>
        <v>0</v>
      </c>
      <c r="AI21" s="83">
        <f>VLOOKUP(TableWRRanks3242[[#This Row],[Player]],WR!B:O,5,FALSE)</f>
        <v>0</v>
      </c>
      <c r="AJ21" s="83">
        <f>VLOOKUP(TableWRRanks3242[[#This Row],[Player]],WR!B:O,6,FALSE)</f>
        <v>123.2090496</v>
      </c>
      <c r="AK21" s="83">
        <f>VLOOKUP(TableWRRanks3242[[#This Row],[Player]],WR!B:O,7,FALSE)</f>
        <v>79.839464140800004</v>
      </c>
      <c r="AL21" s="83">
        <f>VLOOKUP(TableWRRanks3242[[#This Row],[Player]],WR!B:O,8,FALSE)</f>
        <v>1173.64012286976</v>
      </c>
      <c r="AM21" s="83">
        <f>VLOOKUP(TableWRRanks3242[[#This Row],[Player]],WR!B:O,9,FALSE)</f>
        <v>7.9839464140800009</v>
      </c>
      <c r="AN21" s="57">
        <f>VLOOKUP(TableWRRanks3242[[#This Row],[Player]],WR!B:O,13,FALSE)</f>
        <v>205.18742284185601</v>
      </c>
      <c r="AO21" s="125">
        <f>IF(VLOOKUP(TableWRRanks3242[[#This Row],[RK]],'Ranks w Proj'!AD:AO,12,FALSE)&lt;0,0,VLOOKUP(TableWRRanks3242[[#This Row],[RK]],'Ranks w Proj'!AD:AO,12,FALSE))</f>
        <v>14.783536470303881</v>
      </c>
      <c r="AQ21">
        <v>20</v>
      </c>
      <c r="AR21" t="str">
        <f>VLOOKUP(TableTERanks3343[[#This Row],[RK]],Rankings!A:T,18,FALSE)</f>
        <v>Chigoziem Okonkwo</v>
      </c>
      <c r="AS21" t="str">
        <f>IFERROR(INDEX(TableTECalcPts[TM],MATCH(TableTERanks3343[[#This Row],[Player]],TableTECalcPts[PLAYER],0)),"")</f>
        <v>TEN</v>
      </c>
      <c r="AT21">
        <f>IFERROR(INDEX(TableTECalcPts[BYE],MATCH(TableTERanks3343[[#This Row],[Player]],TableTECalcPts[PLAYER],0)),"")</f>
        <v>7</v>
      </c>
      <c r="AU21" s="83">
        <f>VLOOKUP(TableTERanks3343[[#This Row],[Player]],TE!B:O,4,FALSE)</f>
        <v>79.175596499999969</v>
      </c>
      <c r="AV21" s="83">
        <f>VLOOKUP(TableTERanks3343[[#This Row],[Player]],TE!B:O,5,FALSE)</f>
        <v>53.047649654999979</v>
      </c>
      <c r="AW21" s="83">
        <f>VLOOKUP(TableTERanks3343[[#This Row],[Player]],TE!B:O,6,FALSE)</f>
        <v>576.62795174984979</v>
      </c>
      <c r="AX21" s="83">
        <f>VLOOKUP(TableTERanks3343[[#This Row],[Player]],TE!B:O,7,FALSE)</f>
        <v>3.6072401765399991</v>
      </c>
      <c r="AY21" s="57">
        <f>VLOOKUP(TableTERanks3343[[#This Row],[Player]],TE!B:O,11,FALSE)</f>
        <v>105.83006106172496</v>
      </c>
      <c r="AZ21" s="125">
        <f>IF(VLOOKUP(TableTERanks3343[[#This Row],[RK]],'Ranks w Proj'!AQ:AZ,10,FALSE)&lt;0,0,VLOOKUP(TableTERanks3343[[#This Row],[RK]],'Ranks w Proj'!AQ:AZ,10,FALSE))</f>
        <v>0</v>
      </c>
    </row>
    <row r="22" spans="1:52" x14ac:dyDescent="0.2">
      <c r="A22">
        <v>21</v>
      </c>
      <c r="B22" t="str">
        <f>VLOOKUP(TableQBRanks3040[[#This Row],[RK]],Rankings!A:T,3,FALSE)</f>
        <v>Deshaun Watson</v>
      </c>
      <c r="C22" t="str">
        <f>IFERROR(INDEX(TableQBCalcPts[TM],MATCH(TableQBRanks3040[[#This Row],[Player]],TableQBCalcPts[PLAYER],0)),"")</f>
        <v>CLE</v>
      </c>
      <c r="D22">
        <f>IFERROR(INDEX(TableQBCalcPts[BYE],MATCH(TableQBRanks3040[[#This Row],[Player]],TableQBCalcPts[PLAYER],0)),"")</f>
        <v>5</v>
      </c>
      <c r="E22" s="83">
        <f>VLOOKUP(TableQBRanks3040[[#This Row],[Player]],QB!B:O,4,FALSE)</f>
        <v>537.65250000000003</v>
      </c>
      <c r="F22" s="83">
        <f>VLOOKUP(TableQBRanks3040[[#This Row],[Player]],QB!B:O,5,FALSE)</f>
        <v>339.79638</v>
      </c>
      <c r="G22" s="83">
        <f>VLOOKUP(TableQBRanks3040[[#This Row],[Player]],QB!B:O,6,FALSE)</f>
        <v>3810.1368089399998</v>
      </c>
      <c r="H22" s="83">
        <f>VLOOKUP(TableQBRanks3040[[#This Row],[Player]],QB!B:O,7,FALSE)</f>
        <v>23.1190575</v>
      </c>
      <c r="I22" s="83">
        <f>VLOOKUP(TableQBRanks3040[[#This Row],[Player]],QB!B:O,8,FALSE)</f>
        <v>7.47552036</v>
      </c>
      <c r="J22" s="83">
        <f>VLOOKUP(TableQBRanks3040[[#This Row],[Player]],QB!B:O,9,FALSE)</f>
        <v>82.696074999999993</v>
      </c>
      <c r="K22" s="83">
        <f>VLOOKUP(TableQBRanks3040[[#This Row],[Player]],QB!B:O,10,FALSE)</f>
        <v>426.711747</v>
      </c>
      <c r="L22" s="83">
        <f>VLOOKUP(TableQBRanks3040[[#This Row],[Player]],QB!B:O,11,FALSE)</f>
        <v>2.1500979499999997</v>
      </c>
      <c r="M22" s="57">
        <f>VLOOKUP(TableQBRanks3040[[#This Row],[Player]],QB!B:O,13,FALSE)</f>
        <v>292.97794439760003</v>
      </c>
      <c r="N22" s="125">
        <f>IF(VLOOKUP(TableQBRanks3040[[#This Row],[RK]],'Ranks w Proj'!$A:$N,14,FALSE)&lt;0,0,VLOOKUP(TableQBRanks3040[[#This Row],[RK]],'Ranks w Proj'!$A:$N,14,FALSE))</f>
        <v>2.6565794358366315</v>
      </c>
      <c r="P22">
        <v>21</v>
      </c>
      <c r="Q22" t="str">
        <f>VLOOKUP(TableRBRanks3141[[#This Row],[RK]],Rankings!A:T,8,FALSE)</f>
        <v>Rhamondre Stevenson</v>
      </c>
      <c r="R22" t="str">
        <f>IFERROR(INDEX(TableRBCalcPts[TM],MATCH(TableRBRanks3141[[#This Row],[Player]],TableRBCalcPts[PLAYER],0)),"")</f>
        <v>NE</v>
      </c>
      <c r="S22">
        <f>IFERROR(INDEX(TableRBCalcPts[BYE],MATCH(TableRBRanks3141[[#This Row],[Player]],TableRBCalcPts[PLAYER],0)),"")</f>
        <v>11</v>
      </c>
      <c r="T22" s="83">
        <f>VLOOKUP(TableRBRanks3141[[#This Row],[Player]],RB!B:O,4,FALSE)</f>
        <v>217.33852000000002</v>
      </c>
      <c r="U22" s="83">
        <f>VLOOKUP(TableRBRanks3141[[#This Row],[Player]],RB!B:O,5,FALSE)</f>
        <v>964.98302880000017</v>
      </c>
      <c r="V22" s="83">
        <f>VLOOKUP(TableRBRanks3141[[#This Row],[Player]],RB!B:O,6,FALSE)</f>
        <v>6.73749412</v>
      </c>
      <c r="W22" s="83">
        <f>VLOOKUP(TableRBRanks3141[[#This Row],[Player]],RB!B:O,7,FALSE)</f>
        <v>56.688295999999987</v>
      </c>
      <c r="X22" s="83">
        <f>VLOOKUP(TableRBRanks3141[[#This Row],[Player]],RB!B:O,8,FALSE)</f>
        <v>41.38245607999999</v>
      </c>
      <c r="Y22" s="83">
        <f>VLOOKUP(TableRBRanks3141[[#This Row],[Player]],RB!B:O,9,FALSE)</f>
        <v>307.47164867439989</v>
      </c>
      <c r="Z22" s="83">
        <f>VLOOKUP(TableRBRanks3141[[#This Row],[Player]],RB!B:O,10,FALSE)</f>
        <v>1.6552982431999996</v>
      </c>
      <c r="AA22" s="57">
        <f>VLOOKUP(TableRBRanks3141[[#This Row],[Player]],RB!B:O,14,FALSE)</f>
        <v>198.29344996664003</v>
      </c>
      <c r="AB22" s="125">
        <f>IF(VLOOKUP(TableRBRanks3141[[#This Row],[RK]],'Ranks w Proj'!$P:$AB,13,FALSE)&lt;0,0,VLOOKUP(TableRBRanks3141[[#This Row],[RK]],'Ranks w Proj'!$P:$AB,13,FALSE))</f>
        <v>29.304944265117832</v>
      </c>
      <c r="AD22">
        <v>21</v>
      </c>
      <c r="AE22" t="str">
        <f>VLOOKUP(TableWRRanks3242[[#This Row],[RK]],Rankings!A:T,13,FALSE)</f>
        <v>DeVonta Smith</v>
      </c>
      <c r="AF22" t="str">
        <f>IFERROR(INDEX(TableWRCalcPts[TM],MATCH(TableWRRanks3242[[#This Row],[Player]],TableWRCalcPts[PLAYER],0)),"")</f>
        <v>PHI</v>
      </c>
      <c r="AG22">
        <f>IFERROR(INDEX(TableWRCalcPts[BYE],MATCH(TableWRRanks3242[[#This Row],[Player]],TableWRCalcPts[PLAYER],0)),"")</f>
        <v>10</v>
      </c>
      <c r="AH22" s="83">
        <f>VLOOKUP(TableWRRanks3242[[#This Row],[Player]],WR!B:O,4,FALSE)</f>
        <v>24.242214527999998</v>
      </c>
      <c r="AI22" s="83">
        <f>VLOOKUP(TableWRRanks3242[[#This Row],[Player]],WR!B:O,5,FALSE)</f>
        <v>7.2436896000000001E-2</v>
      </c>
      <c r="AJ22" s="83">
        <f>VLOOKUP(TableWRRanks3242[[#This Row],[Player]],WR!B:O,6,FALSE)</f>
        <v>122.72641920000001</v>
      </c>
      <c r="AK22" s="83">
        <f>VLOOKUP(TableWRRanks3242[[#This Row],[Player]],WR!B:O,7,FALSE)</f>
        <v>80.385804576000012</v>
      </c>
      <c r="AL22" s="83">
        <f>VLOOKUP(TableWRRanks3242[[#This Row],[Player]],WR!B:O,8,FALSE)</f>
        <v>1039.3884531676802</v>
      </c>
      <c r="AM22" s="83">
        <f>VLOOKUP(TableWRRanks3242[[#This Row],[Player]],WR!B:O,9,FALSE)</f>
        <v>6.189706952352001</v>
      </c>
      <c r="AN22" s="57">
        <f>VLOOKUP(TableWRRanks3242[[#This Row],[Player]],WR!B:O,13,FALSE)</f>
        <v>184.12883214768004</v>
      </c>
      <c r="AO22" s="125">
        <f>IF(VLOOKUP(TableWRRanks3242[[#This Row],[RK]],'Ranks w Proj'!AD:AO,12,FALSE)&lt;0,0,VLOOKUP(TableWRRanks3242[[#This Row],[RK]],'Ranks w Proj'!AD:AO,12,FALSE))</f>
        <v>14.460930502937886</v>
      </c>
      <c r="AQ22">
        <v>21</v>
      </c>
      <c r="AR22" t="str">
        <f>VLOOKUP(TableTERanks3343[[#This Row],[RK]],Rankings!A:T,18,FALSE)</f>
        <v>Taysom Hill</v>
      </c>
      <c r="AS22" t="str">
        <f>IFERROR(INDEX(TableTECalcPts[TM],MATCH(TableTERanks3343[[#This Row],[Player]],TableTECalcPts[PLAYER],0)),"")</f>
        <v>NO</v>
      </c>
      <c r="AT22">
        <f>IFERROR(INDEX(TableTECalcPts[BYE],MATCH(TableTERanks3343[[#This Row],[Player]],TableTECalcPts[PLAYER],0)),"")</f>
        <v>11</v>
      </c>
      <c r="AU22" s="83">
        <f>VLOOKUP(TableTERanks3343[[#This Row],[Player]],TE!B:O,4,FALSE)</f>
        <v>30.598312051999994</v>
      </c>
      <c r="AV22" s="83">
        <f>VLOOKUP(TableTERanks3343[[#This Row],[Player]],TE!B:O,5,FALSE)</f>
        <v>21.174031939983994</v>
      </c>
      <c r="AW22" s="83">
        <f>VLOOKUP(TableTERanks3343[[#This Row],[Player]],TE!B:O,6,FALSE)</f>
        <v>201.15330342984794</v>
      </c>
      <c r="AX22" s="83">
        <f>VLOOKUP(TableTERanks3343[[#This Row],[Player]],TE!B:O,7,FALSE)</f>
        <v>1.7362706190786876</v>
      </c>
      <c r="AY22" s="57">
        <f>VLOOKUP(TableTERanks3343[[#This Row],[Player]],TE!B:O,11,FALSE)</f>
        <v>109.30098272834891</v>
      </c>
      <c r="AZ22" s="125">
        <f>IF(VLOOKUP(TableTERanks3343[[#This Row],[RK]],'Ranks w Proj'!AQ:AZ,10,FALSE)&lt;0,0,VLOOKUP(TableTERanks3343[[#This Row],[RK]],'Ranks w Proj'!AQ:AZ,10,FALSE))</f>
        <v>0</v>
      </c>
    </row>
    <row r="23" spans="1:52" x14ac:dyDescent="0.2">
      <c r="A23">
        <v>22</v>
      </c>
      <c r="B23" t="str">
        <f>VLOOKUP(TableQBRanks3040[[#This Row],[RK]],Rankings!A:T,3,FALSE)</f>
        <v>Baker Mayfield</v>
      </c>
      <c r="C23" t="str">
        <f>IFERROR(INDEX(TableQBCalcPts[TM],MATCH(TableQBRanks3040[[#This Row],[Player]],TableQBCalcPts[PLAYER],0)),"")</f>
        <v>TB</v>
      </c>
      <c r="D23">
        <f>IFERROR(INDEX(TableQBCalcPts[BYE],MATCH(TableQBRanks3040[[#This Row],[Player]],TableQBCalcPts[PLAYER],0)),"")</f>
        <v>5</v>
      </c>
      <c r="E23" s="83">
        <f>VLOOKUP(TableQBRanks3040[[#This Row],[Player]],QB!B:O,4,FALSE)</f>
        <v>574.8963</v>
      </c>
      <c r="F23" s="83">
        <f>VLOOKUP(TableQBRanks3040[[#This Row],[Player]],QB!B:O,5,FALSE)</f>
        <v>366.78383939999998</v>
      </c>
      <c r="G23" s="83">
        <f>VLOOKUP(TableQBRanks3040[[#This Row],[Player]],QB!B:O,6,FALSE)</f>
        <v>4193.0728520207995</v>
      </c>
      <c r="H23" s="83">
        <f>VLOOKUP(TableQBRanks3040[[#This Row],[Player]],QB!B:O,7,FALSE)</f>
        <v>26.4452298</v>
      </c>
      <c r="I23" s="83">
        <f>VLOOKUP(TableQBRanks3040[[#This Row],[Player]],QB!B:O,8,FALSE)</f>
        <v>7.3356767879999998</v>
      </c>
      <c r="J23" s="83">
        <f>VLOOKUP(TableQBRanks3040[[#This Row],[Player]],QB!B:O,9,FALSE)</f>
        <v>46.660798800000002</v>
      </c>
      <c r="K23" s="83">
        <f>VLOOKUP(TableQBRanks3040[[#This Row],[Player]],QB!B:O,10,FALSE)</f>
        <v>137.64935646000001</v>
      </c>
      <c r="L23" s="83">
        <f>VLOOKUP(TableQBRanks3040[[#This Row],[Player]],QB!B:O,11,FALSE)</f>
        <v>0.79323357960000007</v>
      </c>
      <c r="M23" s="57">
        <f>VLOOKUP(TableQBRanks3040[[#This Row],[Player]],QB!B:O,13,FALSE)</f>
        <v>284.69249361643199</v>
      </c>
      <c r="N23" s="125">
        <f>IF(VLOOKUP(TableQBRanks3040[[#This Row],[RK]],'Ranks w Proj'!$A:$N,14,FALSE)&lt;0,0,VLOOKUP(TableQBRanks3040[[#This Row],[RK]],'Ranks w Proj'!$A:$N,14,FALSE))</f>
        <v>1.7441193726555853</v>
      </c>
      <c r="P23">
        <v>22</v>
      </c>
      <c r="Q23" t="str">
        <f>VLOOKUP(TableRBRanks3141[[#This Row],[RK]],Rankings!A:T,8,FALSE)</f>
        <v>D'Andre Swift</v>
      </c>
      <c r="R23" t="str">
        <f>IFERROR(INDEX(TableRBCalcPts[TM],MATCH(TableRBRanks3141[[#This Row],[Player]],TableRBCalcPts[PLAYER],0)),"")</f>
        <v>CHI</v>
      </c>
      <c r="S23">
        <f>IFERROR(INDEX(TableRBCalcPts[BYE],MATCH(TableRBRanks3141[[#This Row],[Player]],TableRBCalcPts[PLAYER],0)),"")</f>
        <v>13</v>
      </c>
      <c r="T23" s="83">
        <f>VLOOKUP(TableRBRanks3141[[#This Row],[Player]],RB!B:O,4,FALSE)</f>
        <v>200.77706879999997</v>
      </c>
      <c r="U23" s="83">
        <f>VLOOKUP(TableRBRanks3141[[#This Row],[Player]],RB!B:O,5,FALSE)</f>
        <v>877.39579065599992</v>
      </c>
      <c r="V23" s="83">
        <f>VLOOKUP(TableRBRanks3141[[#This Row],[Player]],RB!B:O,6,FALSE)</f>
        <v>7.0271974079999993</v>
      </c>
      <c r="W23" s="83">
        <f>VLOOKUP(TableRBRanks3141[[#This Row],[Player]],RB!B:O,7,FALSE)</f>
        <v>45.344678399999985</v>
      </c>
      <c r="X23" s="83">
        <f>VLOOKUP(TableRBRanks3141[[#This Row],[Player]],RB!B:O,8,FALSE)</f>
        <v>34.008508799999987</v>
      </c>
      <c r="Y23" s="83">
        <f>VLOOKUP(TableRBRanks3141[[#This Row],[Player]],RB!B:O,9,FALSE)</f>
        <v>258.46466687999987</v>
      </c>
      <c r="Z23" s="83">
        <f>VLOOKUP(TableRBRanks3141[[#This Row],[Player]],RB!B:O,10,FALSE)</f>
        <v>1.5303828959999994</v>
      </c>
      <c r="AA23" s="57">
        <f>VLOOKUP(TableRBRanks3141[[#This Row],[Player]],RB!B:O,14,FALSE)</f>
        <v>181.93578197759999</v>
      </c>
      <c r="AB23" s="125">
        <f>IF(VLOOKUP(TableRBRanks3141[[#This Row],[RK]],'Ranks w Proj'!$P:$AB,13,FALSE)&lt;0,0,VLOOKUP(TableRBRanks3141[[#This Row],[RK]],'Ranks w Proj'!$P:$AB,13,FALSE))</f>
        <v>29.01047913021031</v>
      </c>
      <c r="AD23">
        <v>22</v>
      </c>
      <c r="AE23" t="str">
        <f>VLOOKUP(TableWRRanks3242[[#This Row],[RK]],Rankings!A:T,13,FALSE)</f>
        <v>George Pickens</v>
      </c>
      <c r="AF23" t="str">
        <f>IFERROR(INDEX(TableWRCalcPts[TM],MATCH(TableWRRanks3242[[#This Row],[Player]],TableWRCalcPts[PLAYER],0)),"")</f>
        <v>PIT</v>
      </c>
      <c r="AG23">
        <f>IFERROR(INDEX(TableWRCalcPts[BYE],MATCH(TableWRRanks3242[[#This Row],[Player]],TableWRCalcPts[PLAYER],0)),"")</f>
        <v>6</v>
      </c>
      <c r="AH23" s="83">
        <f>VLOOKUP(TableWRRanks3242[[#This Row],[Player]],WR!B:O,4,FALSE)</f>
        <v>0</v>
      </c>
      <c r="AI23" s="83">
        <f>VLOOKUP(TableWRRanks3242[[#This Row],[Player]],WR!B:O,5,FALSE)</f>
        <v>0</v>
      </c>
      <c r="AJ23" s="83">
        <f>VLOOKUP(TableWRRanks3242[[#This Row],[Player]],WR!B:O,6,FALSE)</f>
        <v>129.37102499999997</v>
      </c>
      <c r="AK23" s="83">
        <f>VLOOKUP(TableWRRanks3242[[#This Row],[Player]],WR!B:O,7,FALSE)</f>
        <v>78.010728074999989</v>
      </c>
      <c r="AL23" s="83">
        <f>VLOOKUP(TableWRRanks3242[[#This Row],[Player]],WR!B:O,8,FALSE)</f>
        <v>1126.4749134029998</v>
      </c>
      <c r="AM23" s="83">
        <f>VLOOKUP(TableWRRanks3242[[#This Row],[Player]],WR!B:O,9,FALSE)</f>
        <v>6.2408582459999993</v>
      </c>
      <c r="AN23" s="57">
        <f>VLOOKUP(TableWRRanks3242[[#This Row],[Player]],WR!B:O,13,FALSE)</f>
        <v>189.09800485379998</v>
      </c>
      <c r="AO23" s="125">
        <f>IF(VLOOKUP(TableWRRanks3242[[#This Row],[RK]],'Ranks w Proj'!AD:AO,12,FALSE)&lt;0,0,VLOOKUP(TableWRRanks3242[[#This Row],[RK]],'Ranks w Proj'!AD:AO,12,FALSE))</f>
        <v>13.347055581017031</v>
      </c>
      <c r="AQ23">
        <v>22</v>
      </c>
      <c r="AR23" t="str">
        <f>VLOOKUP(TableTERanks3343[[#This Row],[RK]],Rankings!A:T,18,FALSE)</f>
        <v>Juwan Johnson</v>
      </c>
      <c r="AS23" t="str">
        <f>IFERROR(INDEX(TableTECalcPts[TM],MATCH(TableTERanks3343[[#This Row],[Player]],TableTECalcPts[PLAYER],0)),"")</f>
        <v>NO</v>
      </c>
      <c r="AT23">
        <f>IFERROR(INDEX(TableTECalcPts[BYE],MATCH(TableTERanks3343[[#This Row],[Player]],TableTECalcPts[PLAYER],0)),"")</f>
        <v>11</v>
      </c>
      <c r="AU23" s="83">
        <f>VLOOKUP(TableTERanks3343[[#This Row],[Player]],TE!B:O,4,FALSE)</f>
        <v>66.759953567999986</v>
      </c>
      <c r="AV23" s="83">
        <f>VLOOKUP(TableTERanks3343[[#This Row],[Player]],TE!B:O,5,FALSE)</f>
        <v>42.859890190655989</v>
      </c>
      <c r="AW23" s="83">
        <f>VLOOKUP(TableTERanks3343[[#This Row],[Player]],TE!B:O,6,FALSE)</f>
        <v>454.74343492285999</v>
      </c>
      <c r="AX23" s="83">
        <f>VLOOKUP(TableTERanks3343[[#This Row],[Player]],TE!B:O,7,FALSE)</f>
        <v>3.6002307760151031</v>
      </c>
      <c r="AY23" s="57">
        <f>VLOOKUP(TableTERanks3343[[#This Row],[Player]],TE!B:O,11,FALSE)</f>
        <v>88.505673243704607</v>
      </c>
      <c r="AZ23" s="125">
        <f>IF(VLOOKUP(TableTERanks3343[[#This Row],[RK]],'Ranks w Proj'!AQ:AZ,10,FALSE)&lt;0,0,VLOOKUP(TableTERanks3343[[#This Row],[RK]],'Ranks w Proj'!AQ:AZ,10,FALSE))</f>
        <v>0</v>
      </c>
    </row>
    <row r="24" spans="1:52" x14ac:dyDescent="0.2">
      <c r="A24">
        <v>23</v>
      </c>
      <c r="B24" t="str">
        <f>VLOOKUP(TableQBRanks3040[[#This Row],[RK]],Rankings!A:T,3,FALSE)</f>
        <v>Geno Smith</v>
      </c>
      <c r="C24" t="str">
        <f>IFERROR(INDEX(TableQBCalcPts[TM],MATCH(TableQBRanks3040[[#This Row],[Player]],TableQBCalcPts[PLAYER],0)),"")</f>
        <v>SEA</v>
      </c>
      <c r="D24">
        <f>IFERROR(INDEX(TableQBCalcPts[BYE],MATCH(TableQBRanks3040[[#This Row],[Player]],TableQBCalcPts[PLAYER],0)),"")</f>
        <v>5</v>
      </c>
      <c r="E24" s="83">
        <f>VLOOKUP(TableQBRanks3040[[#This Row],[Player]],QB!B:O,4,FALSE)</f>
        <v>533.09609999999998</v>
      </c>
      <c r="F24" s="83">
        <f>VLOOKUP(TableQBRanks3040[[#This Row],[Player]],QB!B:O,5,FALSE)</f>
        <v>352.90961820000001</v>
      </c>
      <c r="G24" s="83">
        <f>VLOOKUP(TableQBRanks3040[[#This Row],[Player]],QB!B:O,6,FALSE)</f>
        <v>3943.0591641486003</v>
      </c>
      <c r="H24" s="83">
        <f>VLOOKUP(TableQBRanks3040[[#This Row],[Player]],QB!B:O,7,FALSE)</f>
        <v>24.5224206</v>
      </c>
      <c r="I24" s="83">
        <f>VLOOKUP(TableQBRanks3040[[#This Row],[Player]],QB!B:O,8,FALSE)</f>
        <v>6.7052827457999999</v>
      </c>
      <c r="J24" s="83">
        <f>VLOOKUP(TableQBRanks3040[[#This Row],[Player]],QB!B:O,9,FALSE)</f>
        <v>43.969758000000006</v>
      </c>
      <c r="K24" s="83">
        <f>VLOOKUP(TableQBRanks3040[[#This Row],[Player]],QB!B:O,10,FALSE)</f>
        <v>198.74330616</v>
      </c>
      <c r="L24" s="83">
        <f>VLOOKUP(TableQBRanks3040[[#This Row],[Player]],QB!B:O,11,FALSE)</f>
        <v>1.5389415300000004</v>
      </c>
      <c r="M24" s="57">
        <f>VLOOKUP(TableQBRanks3040[[#This Row],[Player]],QB!B:O,13,FALSE)</f>
        <v>278.21474601614403</v>
      </c>
      <c r="N24" s="125">
        <f>IF(VLOOKUP(TableQBRanks3040[[#This Row],[RK]],'Ranks w Proj'!$A:$N,14,FALSE)&lt;0,0,VLOOKUP(TableQBRanks3040[[#This Row],[RK]],'Ranks w Proj'!$A:$N,14,FALSE))</f>
        <v>1.5882342026571465</v>
      </c>
      <c r="P24">
        <v>23</v>
      </c>
      <c r="Q24" t="str">
        <f>VLOOKUP(TableRBRanks3141[[#This Row],[RK]],Rankings!A:T,8,FALSE)</f>
        <v>David Montgomery</v>
      </c>
      <c r="R24" t="str">
        <f>IFERROR(INDEX(TableRBCalcPts[TM],MATCH(TableRBRanks3141[[#This Row],[Player]],TableRBCalcPts[PLAYER],0)),"")</f>
        <v>DET</v>
      </c>
      <c r="S24">
        <f>IFERROR(INDEX(TableRBCalcPts[BYE],MATCH(TableRBRanks3141[[#This Row],[Player]],TableRBCalcPts[PLAYER],0)),"")</f>
        <v>9</v>
      </c>
      <c r="T24" s="83">
        <f>VLOOKUP(TableRBRanks3141[[#This Row],[Player]],RB!B:O,4,FALSE)</f>
        <v>192.25532200000004</v>
      </c>
      <c r="U24" s="83">
        <f>VLOOKUP(TableRBRanks3141[[#This Row],[Player]],RB!B:O,5,FALSE)</f>
        <v>861.30384256000025</v>
      </c>
      <c r="V24" s="83">
        <f>VLOOKUP(TableRBRanks3141[[#This Row],[Player]],RB!B:O,6,FALSE)</f>
        <v>9.8050214220000012</v>
      </c>
      <c r="W24" s="83">
        <f>VLOOKUP(TableRBRanks3141[[#This Row],[Player]],RB!B:O,7,FALSE)</f>
        <v>23.706983999999995</v>
      </c>
      <c r="X24" s="83">
        <f>VLOOKUP(TableRBRanks3141[[#This Row],[Player]],RB!B:O,8,FALSE)</f>
        <v>17.377219271999994</v>
      </c>
      <c r="Y24" s="83">
        <f>VLOOKUP(TableRBRanks3141[[#This Row],[Player]],RB!B:O,9,FALSE)</f>
        <v>123.89957340935996</v>
      </c>
      <c r="Z24" s="83">
        <f>VLOOKUP(TableRBRanks3141[[#This Row],[Player]],RB!B:O,10,FALSE)</f>
        <v>0.52131657815999977</v>
      </c>
      <c r="AA24" s="57">
        <f>VLOOKUP(TableRBRanks3141[[#This Row],[Player]],RB!B:O,14,FALSE)</f>
        <v>169.16697923389603</v>
      </c>
      <c r="AB24" s="125">
        <f>IF(VLOOKUP(TableRBRanks3141[[#This Row],[RK]],'Ranks w Proj'!$P:$AB,13,FALSE)&lt;0,0,VLOOKUP(TableRBRanks3141[[#This Row],[RK]],'Ranks w Proj'!$P:$AB,13,FALSE))</f>
        <v>28.690152511106643</v>
      </c>
      <c r="AD24">
        <v>23</v>
      </c>
      <c r="AE24" t="str">
        <f>VLOOKUP(TableWRRanks3242[[#This Row],[RK]],Rankings!A:T,13,FALSE)</f>
        <v>DJ Moore</v>
      </c>
      <c r="AF24" t="str">
        <f>IFERROR(INDEX(TableWRCalcPts[TM],MATCH(TableWRRanks3242[[#This Row],[Player]],TableWRCalcPts[PLAYER],0)),"")</f>
        <v>CHI</v>
      </c>
      <c r="AG24">
        <f>IFERROR(INDEX(TableWRCalcPts[BYE],MATCH(TableWRRanks3242[[#This Row],[Player]],TableWRCalcPts[PLAYER],0)),"")</f>
        <v>13</v>
      </c>
      <c r="AH24" s="83">
        <f>VLOOKUP(TableWRRanks3242[[#This Row],[Player]],WR!B:O,4,FALSE)</f>
        <v>22.906838303999997</v>
      </c>
      <c r="AI24" s="83">
        <f>VLOOKUP(TableWRRanks3242[[#This Row],[Player]],WR!B:O,5,FALSE)</f>
        <v>0.22815575999999999</v>
      </c>
      <c r="AJ24" s="83">
        <f>VLOOKUP(TableWRRanks3242[[#This Row],[Player]],WR!B:O,6,FALSE)</f>
        <v>130.36595039999997</v>
      </c>
      <c r="AK24" s="83">
        <f>VLOOKUP(TableWRRanks3242[[#This Row],[Player]],WR!B:O,7,FALSE)</f>
        <v>78.871399991999979</v>
      </c>
      <c r="AL24" s="83">
        <f>VLOOKUP(TableWRRanks3242[[#This Row],[Player]],WR!B:O,8,FALSE)</f>
        <v>1100.2560298883996</v>
      </c>
      <c r="AM24" s="83">
        <f>VLOOKUP(TableWRRanks3242[[#This Row],[Player]],WR!B:O,9,FALSE)</f>
        <v>6.3097119993599984</v>
      </c>
      <c r="AN24" s="57">
        <f>VLOOKUP(TableWRRanks3242[[#This Row],[Player]],WR!B:O,13,FALSE)</f>
        <v>190.97919337139996</v>
      </c>
      <c r="AO24" s="125">
        <f>IF(VLOOKUP(TableWRRanks3242[[#This Row],[RK]],'Ranks w Proj'!AD:AO,12,FALSE)&lt;0,0,VLOOKUP(TableWRRanks3242[[#This Row],[RK]],'Ranks w Proj'!AD:AO,12,FALSE))</f>
        <v>12.853181976162903</v>
      </c>
      <c r="AQ24">
        <v>23</v>
      </c>
      <c r="AR24" t="str">
        <f>VLOOKUP(TableTERanks3343[[#This Row],[RK]],Rankings!A:T,18,FALSE)</f>
        <v>Tucker Kraft</v>
      </c>
      <c r="AS24" t="str">
        <f>IFERROR(INDEX(TableTECalcPts[TM],MATCH(TableTERanks3343[[#This Row],[Player]],TableTECalcPts[PLAYER],0)),"")</f>
        <v>GB</v>
      </c>
      <c r="AT24">
        <f>IFERROR(INDEX(TableTECalcPts[BYE],MATCH(TableTERanks3343[[#This Row],[Player]],TableTECalcPts[PLAYER],0)),"")</f>
        <v>6</v>
      </c>
      <c r="AU24" s="83">
        <f>VLOOKUP(TableTERanks3343[[#This Row],[Player]],TE!B:O,4,FALSE)</f>
        <v>45.616256</v>
      </c>
      <c r="AV24" s="83">
        <f>VLOOKUP(TableTERanks3343[[#This Row],[Player]],TE!B:O,5,FALSE)</f>
        <v>33.345483135999999</v>
      </c>
      <c r="AW24" s="83">
        <f>VLOOKUP(TableTERanks3343[[#This Row],[Player]],TE!B:O,6,FALSE)</f>
        <v>343.79193113216002</v>
      </c>
      <c r="AX24" s="83">
        <f>VLOOKUP(TableTERanks3343[[#This Row],[Player]],TE!B:O,7,FALSE)</f>
        <v>2.6676386508799999</v>
      </c>
      <c r="AY24" s="57">
        <f>VLOOKUP(TableTERanks3343[[#This Row],[Player]],TE!B:O,11,FALSE)</f>
        <v>67.057766586496001</v>
      </c>
      <c r="AZ24" s="125">
        <f>IF(VLOOKUP(TableTERanks3343[[#This Row],[RK]],'Ranks w Proj'!AQ:AZ,10,FALSE)&lt;0,0,VLOOKUP(TableTERanks3343[[#This Row],[RK]],'Ranks w Proj'!AQ:AZ,10,FALSE))</f>
        <v>0</v>
      </c>
    </row>
    <row r="25" spans="1:52" x14ac:dyDescent="0.2">
      <c r="A25">
        <v>24</v>
      </c>
      <c r="B25" t="str">
        <f>VLOOKUP(TableQBRanks3040[[#This Row],[RK]],Rankings!A:T,3,FALSE)</f>
        <v>J.J. McCarthy</v>
      </c>
      <c r="C25" t="str">
        <f>IFERROR(INDEX(TableQBCalcPts[TM],MATCH(TableQBRanks3040[[#This Row],[Player]],TableQBCalcPts[PLAYER],0)),"")</f>
        <v>MIN</v>
      </c>
      <c r="D25">
        <f>IFERROR(INDEX(TableQBCalcPts[BYE],MATCH(TableQBRanks3040[[#This Row],[Player]],TableQBCalcPts[PLAYER],0)),"")</f>
        <v>13</v>
      </c>
      <c r="E25" s="83">
        <f>VLOOKUP(TableQBRanks3040[[#This Row],[Player]],QB!B:O,4,FALSE)</f>
        <v>590.36400000000003</v>
      </c>
      <c r="F25" s="83">
        <f>VLOOKUP(TableQBRanks3040[[#This Row],[Player]],QB!B:O,5,FALSE)</f>
        <v>373.11004800000001</v>
      </c>
      <c r="G25" s="83">
        <f>VLOOKUP(TableQBRanks3040[[#This Row],[Player]],QB!B:O,6,FALSE)</f>
        <v>4139.6559825600007</v>
      </c>
      <c r="H25" s="83">
        <f>VLOOKUP(TableQBRanks3040[[#This Row],[Player]],QB!B:O,7,FALSE)</f>
        <v>24.204924000000002</v>
      </c>
      <c r="I25" s="83">
        <f>VLOOKUP(TableQBRanks3040[[#This Row],[Player]],QB!B:O,8,FALSE)</f>
        <v>9.3277511999999998</v>
      </c>
      <c r="J25" s="83">
        <f>VLOOKUP(TableQBRanks3040[[#This Row],[Player]],QB!B:O,9,FALSE)</f>
        <v>41.473600000000005</v>
      </c>
      <c r="K25" s="83">
        <f>VLOOKUP(TableQBRanks3040[[#This Row],[Player]],QB!B:O,10,FALSE)</f>
        <v>178.33648000000002</v>
      </c>
      <c r="L25" s="83">
        <f>VLOOKUP(TableQBRanks3040[[#This Row],[Player]],QB!B:O,11,FALSE)</f>
        <v>2.2810480000000002</v>
      </c>
      <c r="M25" s="57">
        <f>VLOOKUP(TableQBRanks3040[[#This Row],[Player]],QB!B:O,13,FALSE)</f>
        <v>284.59812010240006</v>
      </c>
      <c r="N25" s="125">
        <f>IF(VLOOKUP(TableQBRanks3040[[#This Row],[RK]],'Ranks w Proj'!$A:$N,14,FALSE)&lt;0,0,VLOOKUP(TableQBRanks3040[[#This Row],[RK]],'Ranks w Proj'!$A:$N,14,FALSE))</f>
        <v>0.40204785963838163</v>
      </c>
      <c r="P25">
        <v>24</v>
      </c>
      <c r="Q25" t="str">
        <f>VLOOKUP(TableRBRanks3141[[#This Row],[RK]],Rankings!A:T,8,FALSE)</f>
        <v>Raheem Mostert</v>
      </c>
      <c r="R25" t="str">
        <f>IFERROR(INDEX(TableRBCalcPts[TM],MATCH(TableRBRanks3141[[#This Row],[Player]],TableRBCalcPts[PLAYER],0)),"")</f>
        <v>MIA</v>
      </c>
      <c r="S25">
        <f>IFERROR(INDEX(TableRBCalcPts[BYE],MATCH(TableRBRanks3141[[#This Row],[Player]],TableRBCalcPts[PLAYER],0)),"")</f>
        <v>10</v>
      </c>
      <c r="T25" s="83">
        <f>VLOOKUP(TableRBRanks3141[[#This Row],[Player]],RB!B:O,4,FALSE)</f>
        <v>160.02176960000003</v>
      </c>
      <c r="U25" s="83">
        <f>VLOOKUP(TableRBRanks3141[[#This Row],[Player]],RB!B:O,5,FALSE)</f>
        <v>752.10231712000018</v>
      </c>
      <c r="V25" s="83">
        <f>VLOOKUP(TableRBRanks3141[[#This Row],[Player]],RB!B:O,6,FALSE)</f>
        <v>9.2812626368000029</v>
      </c>
      <c r="W25" s="83">
        <f>VLOOKUP(TableRBRanks3141[[#This Row],[Player]],RB!B:O,7,FALSE)</f>
        <v>26.384853599999996</v>
      </c>
      <c r="X25" s="83">
        <f>VLOOKUP(TableRBRanks3141[[#This Row],[Player]],RB!B:O,8,FALSE)</f>
        <v>19.735870492799997</v>
      </c>
      <c r="Y25" s="83">
        <f>VLOOKUP(TableRBRanks3141[[#This Row],[Player]],RB!B:O,9,FALSE)</f>
        <v>141.11147402351997</v>
      </c>
      <c r="Z25" s="83">
        <f>VLOOKUP(TableRBRanks3141[[#This Row],[Player]],RB!B:O,10,FALSE)</f>
        <v>1.1841522295679998</v>
      </c>
      <c r="AA25" s="57">
        <f>VLOOKUP(TableRBRanks3141[[#This Row],[Player]],RB!B:O,14,FALSE)</f>
        <v>161.98180355896005</v>
      </c>
      <c r="AB25" s="125">
        <f>IF(VLOOKUP(TableRBRanks3141[[#This Row],[RK]],'Ranks w Proj'!$P:$AB,13,FALSE)&lt;0,0,VLOOKUP(TableRBRanks3141[[#This Row],[RK]],'Ranks w Proj'!$P:$AB,13,FALSE))</f>
        <v>27.818549520623737</v>
      </c>
      <c r="AD25">
        <v>24</v>
      </c>
      <c r="AE25" t="str">
        <f>VLOOKUP(TableWRRanks3242[[#This Row],[RK]],Rankings!A:T,13,FALSE)</f>
        <v>Michael Pittman</v>
      </c>
      <c r="AF25" t="str">
        <f>IFERROR(INDEX(TableWRCalcPts[TM],MATCH(TableWRRanks3242[[#This Row],[Player]],TableWRCalcPts[PLAYER],0)),"")</f>
        <v>IND</v>
      </c>
      <c r="AG25">
        <f>IFERROR(INDEX(TableWRCalcPts[BYE],MATCH(TableWRRanks3242[[#This Row],[Player]],TableWRCalcPts[PLAYER],0)),"")</f>
        <v>11</v>
      </c>
      <c r="AH25" s="83">
        <f>VLOOKUP(TableWRRanks3242[[#This Row],[Player]],WR!B:O,4,FALSE)</f>
        <v>0</v>
      </c>
      <c r="AI25" s="83">
        <f>VLOOKUP(TableWRRanks3242[[#This Row],[Player]],WR!B:O,5,FALSE)</f>
        <v>0</v>
      </c>
      <c r="AJ25" s="83">
        <f>VLOOKUP(TableWRRanks3242[[#This Row],[Player]],WR!B:O,6,FALSE)</f>
        <v>121.81464680000001</v>
      </c>
      <c r="AK25" s="83">
        <f>VLOOKUP(TableWRRanks3242[[#This Row],[Player]],WR!B:O,7,FALSE)</f>
        <v>77.474115364799999</v>
      </c>
      <c r="AL25" s="83">
        <f>VLOOKUP(TableWRRanks3242[[#This Row],[Player]],WR!B:O,8,FALSE)</f>
        <v>910.32085553640002</v>
      </c>
      <c r="AM25" s="83">
        <f>VLOOKUP(TableWRRanks3242[[#This Row],[Player]],WR!B:O,9,FALSE)</f>
        <v>5.2682398448064003</v>
      </c>
      <c r="AN25" s="57">
        <f>VLOOKUP(TableWRRanks3242[[#This Row],[Player]],WR!B:O,13,FALSE)</f>
        <v>161.37858230487842</v>
      </c>
      <c r="AO25" s="125">
        <f>IF(VLOOKUP(TableWRRanks3242[[#This Row],[RK]],'Ranks w Proj'!AD:AO,12,FALSE)&lt;0,0,VLOOKUP(TableWRRanks3242[[#This Row],[RK]],'Ranks w Proj'!AD:AO,12,FALSE))</f>
        <v>12.5891807840362</v>
      </c>
      <c r="AQ25">
        <v>24</v>
      </c>
      <c r="AR25" t="str">
        <f>VLOOKUP(TableTERanks3343[[#This Row],[RK]],Rankings!A:T,18,FALSE)</f>
        <v>Tyler Higbee</v>
      </c>
      <c r="AS25" t="str">
        <f>IFERROR(INDEX(TableTECalcPts[TM],MATCH(TableTERanks3343[[#This Row],[Player]],TableTECalcPts[PLAYER],0)),"")</f>
        <v>LAR</v>
      </c>
      <c r="AT25">
        <f>IFERROR(INDEX(TableTECalcPts[BYE],MATCH(TableTERanks3343[[#This Row],[Player]],TableTECalcPts[PLAYER],0)),"")</f>
        <v>10</v>
      </c>
      <c r="AU25" s="83">
        <f>VLOOKUP(TableTERanks3343[[#This Row],[Player]],TE!B:O,4,FALSE)</f>
        <v>72.452654399999972</v>
      </c>
      <c r="AV25" s="83">
        <f>VLOOKUP(TableTERanks3343[[#This Row],[Player]],TE!B:O,5,FALSE)</f>
        <v>49.050447028799987</v>
      </c>
      <c r="AW25" s="83">
        <f>VLOOKUP(TableTERanks3343[[#This Row],[Player]],TE!B:O,6,FALSE)</f>
        <v>506.20061333721588</v>
      </c>
      <c r="AX25" s="83">
        <f>VLOOKUP(TableTERanks3343[[#This Row],[Player]],TE!B:O,7,FALSE)</f>
        <v>3.1882790568719992</v>
      </c>
      <c r="AY25" s="57">
        <f>VLOOKUP(TableTERanks3343[[#This Row],[Player]],TE!B:O,11,FALSE)</f>
        <v>94.274959189353581</v>
      </c>
      <c r="AZ25" s="125">
        <f>IF(VLOOKUP(TableTERanks3343[[#This Row],[RK]],'Ranks w Proj'!AQ:AZ,10,FALSE)&lt;0,0,VLOOKUP(TableTERanks3343[[#This Row],[RK]],'Ranks w Proj'!AQ:AZ,10,FALSE))</f>
        <v>0</v>
      </c>
    </row>
    <row r="26" spans="1:52" x14ac:dyDescent="0.2">
      <c r="A26">
        <v>25</v>
      </c>
      <c r="B26" t="str">
        <f>VLOOKUP(TableQBRanks3040[[#This Row],[RK]],Rankings!A:T,3,FALSE)</f>
        <v>Bryce Young</v>
      </c>
      <c r="C26" t="str">
        <f>IFERROR(INDEX(TableQBCalcPts[TM],MATCH(TableQBRanks3040[[#This Row],[Player]],TableQBCalcPts[PLAYER],0)),"")</f>
        <v>CAR</v>
      </c>
      <c r="D26">
        <f>IFERROR(INDEX(TableQBCalcPts[BYE],MATCH(TableQBRanks3040[[#This Row],[Player]],TableQBCalcPts[PLAYER],0)),"")</f>
        <v>7</v>
      </c>
      <c r="E26" s="83">
        <f>VLOOKUP(TableQBRanks3040[[#This Row],[Player]],QB!B:O,4,FALSE)</f>
        <v>561.44049999999993</v>
      </c>
      <c r="F26" s="83">
        <f>VLOOKUP(TableQBRanks3040[[#This Row],[Player]],QB!B:O,5,FALSE)</f>
        <v>352.58463399999994</v>
      </c>
      <c r="G26" s="83">
        <f>VLOOKUP(TableQBRanks3040[[#This Row],[Player]],QB!B:O,6,FALSE)</f>
        <v>3860.8017422999992</v>
      </c>
      <c r="H26" s="83">
        <f>VLOOKUP(TableQBRanks3040[[#This Row],[Player]],QB!B:O,7,FALSE)</f>
        <v>21.334738999999995</v>
      </c>
      <c r="I26" s="83">
        <f>VLOOKUP(TableQBRanks3040[[#This Row],[Player]],QB!B:O,8,FALSE)</f>
        <v>7.0516926799999986</v>
      </c>
      <c r="J26" s="83">
        <f>VLOOKUP(TableQBRanks3040[[#This Row],[Player]],QB!B:O,9,FALSE)</f>
        <v>55.738725000000002</v>
      </c>
      <c r="K26" s="83">
        <f>VLOOKUP(TableQBRanks3040[[#This Row],[Player]],QB!B:O,10,FALSE)</f>
        <v>325.51415400000002</v>
      </c>
      <c r="L26" s="83">
        <f>VLOOKUP(TableQBRanks3040[[#This Row],[Player]],QB!B:O,11,FALSE)</f>
        <v>2.0623328249999999</v>
      </c>
      <c r="M26" s="57">
        <f>VLOOKUP(TableQBRanks3040[[#This Row],[Player]],QB!B:O,13,FALSE)</f>
        <v>277.64474536199998</v>
      </c>
      <c r="N26" s="125">
        <f>IF(VLOOKUP(TableQBRanks3040[[#This Row],[RK]],'Ranks w Proj'!$A:$N,14,FALSE)&lt;0,0,VLOOKUP(TableQBRanks3040[[#This Row],[RK]],'Ranks w Proj'!$A:$N,14,FALSE))</f>
        <v>0.31565814663570663</v>
      </c>
      <c r="P26">
        <v>25</v>
      </c>
      <c r="Q26" t="str">
        <f>VLOOKUP(TableRBRanks3141[[#This Row],[RK]],Rankings!A:T,8,FALSE)</f>
        <v>Ezekiel Elliott</v>
      </c>
      <c r="R26" t="str">
        <f>IFERROR(INDEX(TableRBCalcPts[TM],MATCH(TableRBRanks3141[[#This Row],[Player]],TableRBCalcPts[PLAYER],0)),"")</f>
        <v>DAL</v>
      </c>
      <c r="S26">
        <f>IFERROR(INDEX(TableRBCalcPts[BYE],MATCH(TableRBRanks3141[[#This Row],[Player]],TableRBCalcPts[PLAYER],0)),"")</f>
        <v>7</v>
      </c>
      <c r="T26" s="83">
        <f>VLOOKUP(TableRBRanks3141[[#This Row],[Player]],RB!B:O,4,FALSE)</f>
        <v>209.04587760000004</v>
      </c>
      <c r="U26" s="83">
        <f>VLOOKUP(TableRBRanks3141[[#This Row],[Player]],RB!B:O,5,FALSE)</f>
        <v>861.26901571200017</v>
      </c>
      <c r="V26" s="83">
        <f>VLOOKUP(TableRBRanks3141[[#This Row],[Player]],RB!B:O,6,FALSE)</f>
        <v>8.3618351040000025</v>
      </c>
      <c r="W26" s="83">
        <f>VLOOKUP(TableRBRanks3141[[#This Row],[Player]],RB!B:O,7,FALSE)</f>
        <v>42.688270799999991</v>
      </c>
      <c r="X26" s="83">
        <f>VLOOKUP(TableRBRanks3141[[#This Row],[Player]],RB!B:O,8,FALSE)</f>
        <v>32.229644453999995</v>
      </c>
      <c r="Y26" s="83">
        <f>VLOOKUP(TableRBRanks3141[[#This Row],[Player]],RB!B:O,9,FALSE)</f>
        <v>235.27640451419995</v>
      </c>
      <c r="Z26" s="83">
        <f>VLOOKUP(TableRBRanks3141[[#This Row],[Player]],RB!B:O,10,FALSE)</f>
        <v>1.12803755589</v>
      </c>
      <c r="AA26" s="57">
        <f>VLOOKUP(TableRBRanks3141[[#This Row],[Player]],RB!B:O,14,FALSE)</f>
        <v>182.70860020896004</v>
      </c>
      <c r="AB26" s="125">
        <f>IF(VLOOKUP(TableRBRanks3141[[#This Row],[RK]],'Ranks w Proj'!$P:$AB,13,FALSE)&lt;0,0,VLOOKUP(TableRBRanks3141[[#This Row],[RK]],'Ranks w Proj'!$P:$AB,13,FALSE))</f>
        <v>27.784120745658331</v>
      </c>
      <c r="AD26">
        <v>25</v>
      </c>
      <c r="AE26" t="str">
        <f>VLOOKUP(TableWRRanks3242[[#This Row],[RK]],Rankings!A:T,13,FALSE)</f>
        <v>Cooper Kupp</v>
      </c>
      <c r="AF26" t="str">
        <f>IFERROR(INDEX(TableWRCalcPts[TM],MATCH(TableWRRanks3242[[#This Row],[Player]],TableWRCalcPts[PLAYER],0)),"")</f>
        <v>LAR</v>
      </c>
      <c r="AG26">
        <f>IFERROR(INDEX(TableWRCalcPts[BYE],MATCH(TableWRRanks3242[[#This Row],[Player]],TableWRCalcPts[PLAYER],0)),"")</f>
        <v>10</v>
      </c>
      <c r="AH26" s="83">
        <f>VLOOKUP(TableWRRanks3242[[#This Row],[Player]],WR!B:O,4,FALSE)</f>
        <v>0</v>
      </c>
      <c r="AI26" s="83">
        <f>VLOOKUP(TableWRRanks3242[[#This Row],[Player]],WR!B:O,5,FALSE)</f>
        <v>0</v>
      </c>
      <c r="AJ26" s="83">
        <f>VLOOKUP(TableWRRanks3242[[#This Row],[Player]],WR!B:O,6,FALSE)</f>
        <v>120.75442399999996</v>
      </c>
      <c r="AK26" s="83">
        <f>VLOOKUP(TableWRRanks3242[[#This Row],[Player]],WR!B:O,7,FALSE)</f>
        <v>77.282831359999975</v>
      </c>
      <c r="AL26" s="83">
        <f>VLOOKUP(TableWRRanks3242[[#This Row],[Player]],WR!B:O,8,FALSE)</f>
        <v>981.49195827199958</v>
      </c>
      <c r="AM26" s="83">
        <f>VLOOKUP(TableWRRanks3242[[#This Row],[Player]],WR!B:O,9,FALSE)</f>
        <v>6.9554548223999975</v>
      </c>
      <c r="AN26" s="57">
        <f>VLOOKUP(TableWRRanks3242[[#This Row],[Player]],WR!B:O,13,FALSE)</f>
        <v>178.52334044159994</v>
      </c>
      <c r="AO26" s="125">
        <f>IF(VLOOKUP(TableWRRanks3242[[#This Row],[RK]],'Ranks w Proj'!AD:AO,12,FALSE)&lt;0,0,VLOOKUP(TableWRRanks3242[[#This Row],[RK]],'Ranks w Proj'!AD:AO,12,FALSE))</f>
        <v>12.008268526095092</v>
      </c>
      <c r="AQ26">
        <v>25</v>
      </c>
      <c r="AR26" t="str">
        <f>VLOOKUP(TableTERanks3343[[#This Row],[RK]],Rankings!A:T,18,FALSE)</f>
        <v>Ja'Tavion Sanders</v>
      </c>
      <c r="AS26" t="str">
        <f>IFERROR(INDEX(TableTECalcPts[TM],MATCH(TableTERanks3343[[#This Row],[Player]],TableTECalcPts[PLAYER],0)),"")</f>
        <v>CAR</v>
      </c>
      <c r="AT26">
        <f>IFERROR(INDEX(TableTECalcPts[BYE],MATCH(TableTERanks3343[[#This Row],[Player]],TableTECalcPts[PLAYER],0)),"")</f>
        <v>7</v>
      </c>
      <c r="AU26" s="83">
        <f>VLOOKUP(TableTERanks3343[[#This Row],[Player]],TE!B:O,4,FALSE)</f>
        <v>46.333615999999992</v>
      </c>
      <c r="AV26" s="83">
        <f>VLOOKUP(TableTERanks3343[[#This Row],[Player]],TE!B:O,5,FALSE)</f>
        <v>29.329178927999994</v>
      </c>
      <c r="AW26" s="83">
        <f>VLOOKUP(TableTERanks3343[[#This Row],[Player]],TE!B:O,6,FALSE)</f>
        <v>313.82221452959993</v>
      </c>
      <c r="AX26" s="83">
        <f>VLOOKUP(TableTERanks3343[[#This Row],[Player]],TE!B:O,7,FALSE)</f>
        <v>2.1703592406719996</v>
      </c>
      <c r="AY26" s="57">
        <f>VLOOKUP(TableTERanks3343[[#This Row],[Player]],TE!B:O,11,FALSE)</f>
        <v>59.068966360991993</v>
      </c>
      <c r="AZ26" s="125">
        <f>IF(VLOOKUP(TableTERanks3343[[#This Row],[RK]],'Ranks w Proj'!AQ:AZ,10,FALSE)&lt;0,0,VLOOKUP(TableTERanks3343[[#This Row],[RK]],'Ranks w Proj'!AQ:AZ,10,FALSE))</f>
        <v>0</v>
      </c>
    </row>
    <row r="27" spans="1:52" x14ac:dyDescent="0.2">
      <c r="A27">
        <v>26</v>
      </c>
      <c r="B27" t="str">
        <f>VLOOKUP(TableQBRanks3040[[#This Row],[RK]],Rankings!A:T,3,FALSE)</f>
        <v>Derek Carr</v>
      </c>
      <c r="C27" t="str">
        <f>IFERROR(INDEX(TableQBCalcPts[TM],MATCH(TableQBRanks3040[[#This Row],[Player]],TableQBCalcPts[PLAYER],0)),"")</f>
        <v>NO</v>
      </c>
      <c r="D27">
        <f>IFERROR(INDEX(TableQBCalcPts[BYE],MATCH(TableQBRanks3040[[#This Row],[Player]],TableQBCalcPts[PLAYER],0)),"")</f>
        <v>11</v>
      </c>
      <c r="E27" s="83">
        <f>VLOOKUP(TableQBRanks3040[[#This Row],[Player]],QB!B:O,4,FALSE)</f>
        <v>555.98179999999991</v>
      </c>
      <c r="F27" s="83">
        <f>VLOOKUP(TableQBRanks3040[[#This Row],[Player]],QB!B:O,5,FALSE)</f>
        <v>369.72789699999998</v>
      </c>
      <c r="G27" s="83">
        <f>VLOOKUP(TableQBRanks3040[[#This Row],[Player]],QB!B:O,6,FALSE)</f>
        <v>4020.4211519780001</v>
      </c>
      <c r="H27" s="83">
        <f>VLOOKUP(TableQBRanks3040[[#This Row],[Player]],QB!B:O,7,FALSE)</f>
        <v>23.907217399999993</v>
      </c>
      <c r="I27" s="83">
        <f>VLOOKUP(TableQBRanks3040[[#This Row],[Player]],QB!B:O,8,FALSE)</f>
        <v>6.6551021459999991</v>
      </c>
      <c r="J27" s="83">
        <f>VLOOKUP(TableQBRanks3040[[#This Row],[Player]],QB!B:O,9,FALSE)</f>
        <v>21.989044000000003</v>
      </c>
      <c r="K27" s="83">
        <f>VLOOKUP(TableQBRanks3040[[#This Row],[Player]],QB!B:O,10,FALSE)</f>
        <v>57.391404840000007</v>
      </c>
      <c r="L27" s="83">
        <f>VLOOKUP(TableQBRanks3040[[#This Row],[Player]],QB!B:O,11,FALSE)</f>
        <v>0.35182470400000004</v>
      </c>
      <c r="M27" s="57">
        <f>VLOOKUP(TableQBRanks3040[[#This Row],[Player]],QB!B:O,13,FALSE)</f>
        <v>257.64070224111998</v>
      </c>
      <c r="N27" s="125">
        <f>IF(VLOOKUP(TableQBRanks3040[[#This Row],[RK]],'Ranks w Proj'!$A:$N,14,FALSE)&lt;0,0,VLOOKUP(TableQBRanks3040[[#This Row],[RK]],'Ranks w Proj'!$A:$N,14,FALSE))</f>
        <v>0</v>
      </c>
      <c r="P27">
        <v>26</v>
      </c>
      <c r="Q27" t="str">
        <f>VLOOKUP(TableRBRanks3141[[#This Row],[RK]],Rankings!A:T,8,FALSE)</f>
        <v>Javonte Williams</v>
      </c>
      <c r="R27" t="str">
        <f>IFERROR(INDEX(TableRBCalcPts[TM],MATCH(TableRBRanks3141[[#This Row],[Player]],TableRBCalcPts[PLAYER],0)),"")</f>
        <v>DEN</v>
      </c>
      <c r="S27">
        <f>IFERROR(INDEX(TableRBCalcPts[BYE],MATCH(TableRBRanks3141[[#This Row],[Player]],TableRBCalcPts[PLAYER],0)),"")</f>
        <v>9</v>
      </c>
      <c r="T27" s="83">
        <f>VLOOKUP(TableRBRanks3141[[#This Row],[Player]],RB!B:O,4,FALSE)</f>
        <v>184.59642600000001</v>
      </c>
      <c r="U27" s="83">
        <f>VLOOKUP(TableRBRanks3141[[#This Row],[Player]],RB!B:O,5,FALSE)</f>
        <v>762.38323937999996</v>
      </c>
      <c r="V27" s="83">
        <f>VLOOKUP(TableRBRanks3141[[#This Row],[Player]],RB!B:O,6,FALSE)</f>
        <v>6.0916820580000008</v>
      </c>
      <c r="W27" s="83">
        <f>VLOOKUP(TableRBRanks3141[[#This Row],[Player]],RB!B:O,7,FALSE)</f>
        <v>34.251881999999995</v>
      </c>
      <c r="X27" s="83">
        <f>VLOOKUP(TableRBRanks3141[[#This Row],[Player]],RB!B:O,8,FALSE)</f>
        <v>25.757415263999995</v>
      </c>
      <c r="Y27" s="83">
        <f>VLOOKUP(TableRBRanks3141[[#This Row],[Player]],RB!B:O,9,FALSE)</f>
        <v>156.60508480511999</v>
      </c>
      <c r="Z27" s="83">
        <f>VLOOKUP(TableRBRanks3141[[#This Row],[Player]],RB!B:O,10,FALSE)</f>
        <v>0.90150953423999991</v>
      </c>
      <c r="AA27" s="57">
        <f>VLOOKUP(TableRBRanks3141[[#This Row],[Player]],RB!B:O,14,FALSE)</f>
        <v>146.73668960395202</v>
      </c>
      <c r="AB27" s="125">
        <f>IF(VLOOKUP(TableRBRanks3141[[#This Row],[RK]],'Ranks w Proj'!$P:$AB,13,FALSE)&lt;0,0,VLOOKUP(TableRBRanks3141[[#This Row],[RK]],'Ranks w Proj'!$P:$AB,13,FALSE))</f>
        <v>23.397591793828802</v>
      </c>
      <c r="AD27">
        <v>26</v>
      </c>
      <c r="AE27" t="str">
        <f>VLOOKUP(TableWRRanks3242[[#This Row],[RK]],Rankings!A:T,13,FALSE)</f>
        <v>Amari Cooper</v>
      </c>
      <c r="AF27" t="str">
        <f>IFERROR(INDEX(TableWRCalcPts[TM],MATCH(TableWRRanks3242[[#This Row],[Player]],TableWRCalcPts[PLAYER],0)),"")</f>
        <v>CLE</v>
      </c>
      <c r="AG27">
        <f>IFERROR(INDEX(TableWRCalcPts[BYE],MATCH(TableWRRanks3242[[#This Row],[Player]],TableWRCalcPts[PLAYER],0)),"")</f>
        <v>5</v>
      </c>
      <c r="AH27" s="83">
        <f>VLOOKUP(TableWRRanks3242[[#This Row],[Player]],WR!B:O,4,FALSE)</f>
        <v>0</v>
      </c>
      <c r="AI27" s="83">
        <f>VLOOKUP(TableWRRanks3242[[#This Row],[Player]],WR!B:O,5,FALSE)</f>
        <v>0</v>
      </c>
      <c r="AJ27" s="83">
        <f>VLOOKUP(TableWRRanks3242[[#This Row],[Player]],WR!B:O,6,FALSE)</f>
        <v>129.03659999999999</v>
      </c>
      <c r="AK27" s="83">
        <f>VLOOKUP(TableWRRanks3242[[#This Row],[Player]],WR!B:O,7,FALSE)</f>
        <v>77.680033199999997</v>
      </c>
      <c r="AL27" s="83">
        <f>VLOOKUP(TableWRRanks3242[[#This Row],[Player]],WR!B:O,8,FALSE)</f>
        <v>1095.2884681199998</v>
      </c>
      <c r="AM27" s="83">
        <f>VLOOKUP(TableWRRanks3242[[#This Row],[Player]],WR!B:O,9,FALSE)</f>
        <v>6.2144026559999999</v>
      </c>
      <c r="AN27" s="57">
        <f>VLOOKUP(TableWRRanks3242[[#This Row],[Player]],WR!B:O,13,FALSE)</f>
        <v>185.65527934799999</v>
      </c>
      <c r="AO27" s="125">
        <f>IF(VLOOKUP(TableWRRanks3242[[#This Row],[RK]],'Ranks w Proj'!AD:AO,12,FALSE)&lt;0,0,VLOOKUP(TableWRRanks3242[[#This Row],[RK]],'Ranks w Proj'!AD:AO,12,FALSE))</f>
        <v>11.980177351231569</v>
      </c>
      <c r="AQ27">
        <v>26</v>
      </c>
      <c r="AR27" t="str">
        <f>VLOOKUP(TableTERanks3343[[#This Row],[RK]],Rankings!A:T,18,FALSE)</f>
        <v>Isaiah Likely</v>
      </c>
      <c r="AS27" t="str">
        <f>IFERROR(INDEX(TableTECalcPts[TM],MATCH(TableTERanks3343[[#This Row],[Player]],TableTECalcPts[PLAYER],0)),"")</f>
        <v>BAL</v>
      </c>
      <c r="AT27">
        <f>IFERROR(INDEX(TableTECalcPts[BYE],MATCH(TableTERanks3343[[#This Row],[Player]],TableTECalcPts[PLAYER],0)),"")</f>
        <v>13</v>
      </c>
      <c r="AU27" s="83">
        <f>VLOOKUP(TableTERanks3343[[#This Row],[Player]],TE!B:O,4,FALSE)</f>
        <v>37.054427200000006</v>
      </c>
      <c r="AV27" s="83">
        <f>VLOOKUP(TableTERanks3343[[#This Row],[Player]],TE!B:O,5,FALSE)</f>
        <v>26.123371176000003</v>
      </c>
      <c r="AW27" s="83">
        <f>VLOOKUP(TableTERanks3343[[#This Row],[Player]],TE!B:O,6,FALSE)</f>
        <v>283.17734354784005</v>
      </c>
      <c r="AX27" s="83">
        <f>VLOOKUP(TableTERanks3343[[#This Row],[Player]],TE!B:O,7,FALSE)</f>
        <v>2.35110340584</v>
      </c>
      <c r="AY27" s="57">
        <f>VLOOKUP(TableTERanks3343[[#This Row],[Player]],TE!B:O,11,FALSE)</f>
        <v>55.486040377824011</v>
      </c>
      <c r="AZ27" s="125">
        <f>IF(VLOOKUP(TableTERanks3343[[#This Row],[RK]],'Ranks w Proj'!AQ:AZ,10,FALSE)&lt;0,0,VLOOKUP(TableTERanks3343[[#This Row],[RK]],'Ranks w Proj'!AQ:AZ,10,FALSE))</f>
        <v>0</v>
      </c>
    </row>
    <row r="28" spans="1:52" x14ac:dyDescent="0.2">
      <c r="A28">
        <v>27</v>
      </c>
      <c r="B28" t="str">
        <f>VLOOKUP(TableQBRanks3040[[#This Row],[RK]],Rankings!A:T,3,FALSE)</f>
        <v>Will Levis</v>
      </c>
      <c r="C28" t="str">
        <f>IFERROR(INDEX(TableQBCalcPts[TM],MATCH(TableQBRanks3040[[#This Row],[Player]],TableQBCalcPts[PLAYER],0)),"")</f>
        <v>TEN</v>
      </c>
      <c r="D28">
        <f>IFERROR(INDEX(TableQBCalcPts[BYE],MATCH(TableQBRanks3040[[#This Row],[Player]],TableQBCalcPts[PLAYER],0)),"")</f>
        <v>7</v>
      </c>
      <c r="E28" s="83">
        <f>VLOOKUP(TableQBRanks3040[[#This Row],[Player]],QB!B:O,4,FALSE)</f>
        <v>568.53224999999986</v>
      </c>
      <c r="F28" s="83">
        <f>VLOOKUP(TableQBRanks3040[[#This Row],[Player]],QB!B:O,5,FALSE)</f>
        <v>352.48999499999991</v>
      </c>
      <c r="G28" s="83">
        <f>VLOOKUP(TableQBRanks3040[[#This Row],[Player]],QB!B:O,6,FALSE)</f>
        <v>4133.6501713649986</v>
      </c>
      <c r="H28" s="83">
        <f>VLOOKUP(TableQBRanks3040[[#This Row],[Player]],QB!B:O,7,FALSE)</f>
        <v>22.172757749999995</v>
      </c>
      <c r="I28" s="83">
        <f>VLOOKUP(TableQBRanks3040[[#This Row],[Player]],QB!B:O,8,FALSE)</f>
        <v>6.3448199099999982</v>
      </c>
      <c r="J28" s="83">
        <f>VLOOKUP(TableQBRanks3040[[#This Row],[Player]],QB!B:O,9,FALSE)</f>
        <v>41.605410000000006</v>
      </c>
      <c r="K28" s="83">
        <f>VLOOKUP(TableQBRanks3040[[#This Row],[Player]],QB!B:O,10,FALSE)</f>
        <v>143.95471860000001</v>
      </c>
      <c r="L28" s="83">
        <f>VLOOKUP(TableQBRanks3040[[#This Row],[Player]],QB!B:O,11,FALSE)</f>
        <v>1.7474272200000003</v>
      </c>
      <c r="M28" s="57">
        <f>VLOOKUP(TableQBRanks3040[[#This Row],[Player]],QB!B:O,13,FALSE)</f>
        <v>272.57225312459991</v>
      </c>
      <c r="N28" s="125">
        <f>IF(VLOOKUP(TableQBRanks3040[[#This Row],[RK]],'Ranks w Proj'!$A:$N,14,FALSE)&lt;0,0,VLOOKUP(TableQBRanks3040[[#This Row],[RK]],'Ranks w Proj'!$A:$N,14,FALSE))</f>
        <v>0</v>
      </c>
      <c r="P28">
        <v>27</v>
      </c>
      <c r="Q28" t="str">
        <f>VLOOKUP(TableRBRanks3141[[#This Row],[RK]],Rankings!A:T,8,FALSE)</f>
        <v>Gus Edwards</v>
      </c>
      <c r="R28" t="str">
        <f>IFERROR(INDEX(TableRBCalcPts[TM],MATCH(TableRBRanks3141[[#This Row],[Player]],TableRBCalcPts[PLAYER],0)),"")</f>
        <v>LAC</v>
      </c>
      <c r="S28">
        <f>IFERROR(INDEX(TableRBCalcPts[BYE],MATCH(TableRBRanks3141[[#This Row],[Player]],TableRBCalcPts[PLAYER],0)),"")</f>
        <v>5</v>
      </c>
      <c r="T28" s="83">
        <f>VLOOKUP(TableRBRanks3141[[#This Row],[Player]],RB!B:O,4,FALSE)</f>
        <v>207.00980019999997</v>
      </c>
      <c r="U28" s="83">
        <f>VLOOKUP(TableRBRanks3141[[#This Row],[Player]],RB!B:O,5,FALSE)</f>
        <v>877.72155284799987</v>
      </c>
      <c r="V28" s="83">
        <f>VLOOKUP(TableRBRanks3141[[#This Row],[Player]],RB!B:O,6,FALSE)</f>
        <v>8.2803920079999997</v>
      </c>
      <c r="W28" s="83">
        <f>VLOOKUP(TableRBRanks3141[[#This Row],[Player]],RB!B:O,7,FALSE)</f>
        <v>22.334474399999998</v>
      </c>
      <c r="X28" s="83">
        <f>VLOOKUP(TableRBRanks3141[[#This Row],[Player]],RB!B:O,8,FALSE)</f>
        <v>17.6219003016</v>
      </c>
      <c r="Y28" s="83">
        <f>VLOOKUP(TableRBRanks3141[[#This Row],[Player]],RB!B:O,9,FALSE)</f>
        <v>139.21301238264002</v>
      </c>
      <c r="Z28" s="83">
        <f>VLOOKUP(TableRBRanks3141[[#This Row],[Player]],RB!B:O,10,FALSE)</f>
        <v>0.70487601206399997</v>
      </c>
      <c r="AA28" s="57">
        <f>VLOOKUP(TableRBRanks3141[[#This Row],[Player]],RB!B:O,14,FALSE)</f>
        <v>164.41601479424801</v>
      </c>
      <c r="AB28" s="125">
        <f>IF(VLOOKUP(TableRBRanks3141[[#This Row],[RK]],'Ranks w Proj'!$P:$AB,13,FALSE)&lt;0,0,VLOOKUP(TableRBRanks3141[[#This Row],[RK]],'Ranks w Proj'!$P:$AB,13,FALSE))</f>
        <v>21.815754208110516</v>
      </c>
      <c r="AD28">
        <v>27</v>
      </c>
      <c r="AE28" t="str">
        <f>VLOOKUP(TableWRRanks3242[[#This Row],[RK]],Rankings!A:T,13,FALSE)</f>
        <v>Malik Nabers</v>
      </c>
      <c r="AF28" t="str">
        <f>IFERROR(INDEX(TableWRCalcPts[TM],MATCH(TableWRRanks3242[[#This Row],[Player]],TableWRCalcPts[PLAYER],0)),"")</f>
        <v>NYG</v>
      </c>
      <c r="AG28">
        <f>IFERROR(INDEX(TableWRCalcPts[BYE],MATCH(TableWRRanks3242[[#This Row],[Player]],TableWRCalcPts[PLAYER],0)),"")</f>
        <v>13</v>
      </c>
      <c r="AH28" s="83">
        <f>VLOOKUP(TableWRRanks3242[[#This Row],[Player]],WR!B:O,4,FALSE)</f>
        <v>0</v>
      </c>
      <c r="AI28" s="83">
        <f>VLOOKUP(TableWRRanks3242[[#This Row],[Player]],WR!B:O,5,FALSE)</f>
        <v>0</v>
      </c>
      <c r="AJ28" s="83">
        <f>VLOOKUP(TableWRRanks3242[[#This Row],[Player]],WR!B:O,6,FALSE)</f>
        <v>129.46866239999994</v>
      </c>
      <c r="AK28" s="83">
        <f>VLOOKUP(TableWRRanks3242[[#This Row],[Player]],WR!B:O,7,FALSE)</f>
        <v>83.248349923199967</v>
      </c>
      <c r="AL28" s="83">
        <f>VLOOKUP(TableWRRanks3242[[#This Row],[Player]],WR!B:O,8,FALSE)</f>
        <v>1067.2438460154235</v>
      </c>
      <c r="AM28" s="83">
        <f>VLOOKUP(TableWRRanks3242[[#This Row],[Player]],WR!B:O,9,FALSE)</f>
        <v>5.8273844946239981</v>
      </c>
      <c r="AN28" s="57">
        <f>VLOOKUP(TableWRRanks3242[[#This Row],[Player]],WR!B:O,13,FALSE)</f>
        <v>183.31286653088634</v>
      </c>
      <c r="AO28" s="125">
        <f>IF(VLOOKUP(TableWRRanks3242[[#This Row],[RK]],'Ranks w Proj'!AD:AO,12,FALSE)&lt;0,0,VLOOKUP(TableWRRanks3242[[#This Row],[RK]],'Ranks w Proj'!AD:AO,12,FALSE))</f>
        <v>11.77380253795271</v>
      </c>
      <c r="AQ28">
        <v>27</v>
      </c>
      <c r="AR28" t="str">
        <f>VLOOKUP(TableTERanks3343[[#This Row],[RK]],Rankings!A:T,18,FALSE)</f>
        <v>Daniel Bellinger</v>
      </c>
      <c r="AS28" t="str">
        <f>IFERROR(INDEX(TableTECalcPts[TM],MATCH(TableTERanks3343[[#This Row],[Player]],TableTECalcPts[PLAYER],0)),"")</f>
        <v>NYG</v>
      </c>
      <c r="AT28">
        <f>IFERROR(INDEX(TableTECalcPts[BYE],MATCH(TableTERanks3343[[#This Row],[Player]],TableTECalcPts[PLAYER],0)),"")</f>
        <v>13</v>
      </c>
      <c r="AU28" s="83">
        <f>VLOOKUP(TableTERanks3343[[#This Row],[Player]],TE!B:O,4,FALSE)</f>
        <v>76.504209599999982</v>
      </c>
      <c r="AV28" s="83">
        <f>VLOOKUP(TableTERanks3343[[#This Row],[Player]],TE!B:O,5,FALSE)</f>
        <v>53.093921462399983</v>
      </c>
      <c r="AW28" s="83">
        <f>VLOOKUP(TableTERanks3343[[#This Row],[Player]],TE!B:O,6,FALSE)</f>
        <v>453.95302850351987</v>
      </c>
      <c r="AX28" s="83">
        <f>VLOOKUP(TableTERanks3343[[#This Row],[Player]],TE!B:O,7,FALSE)</f>
        <v>2.6546960731199993</v>
      </c>
      <c r="AY28" s="57">
        <f>VLOOKUP(TableTERanks3343[[#This Row],[Player]],TE!B:O,11,FALSE)</f>
        <v>87.870440020271985</v>
      </c>
      <c r="AZ28" s="125">
        <f>IF(VLOOKUP(TableTERanks3343[[#This Row],[RK]],'Ranks w Proj'!AQ:AZ,10,FALSE)&lt;0,0,VLOOKUP(TableTERanks3343[[#This Row],[RK]],'Ranks w Proj'!AQ:AZ,10,FALSE))</f>
        <v>0</v>
      </c>
    </row>
    <row r="29" spans="1:52" x14ac:dyDescent="0.2">
      <c r="A29">
        <v>28</v>
      </c>
      <c r="B29" t="str">
        <f>VLOOKUP(TableQBRanks3040[[#This Row],[RK]],Rankings!A:T,3,FALSE)</f>
        <v>Drake Maye</v>
      </c>
      <c r="C29" t="str">
        <f>IFERROR(INDEX(TableQBCalcPts[TM],MATCH(TableQBRanks3040[[#This Row],[Player]],TableQBCalcPts[PLAYER],0)),"")</f>
        <v>NE</v>
      </c>
      <c r="D29">
        <f>IFERROR(INDEX(TableQBCalcPts[BYE],MATCH(TableQBRanks3040[[#This Row],[Player]],TableQBCalcPts[PLAYER],0)),"")</f>
        <v>11</v>
      </c>
      <c r="E29" s="83">
        <f>VLOOKUP(TableQBRanks3040[[#This Row],[Player]],QB!B:O,4,FALSE)</f>
        <v>477.22289999999998</v>
      </c>
      <c r="F29" s="83">
        <f>VLOOKUP(TableQBRanks3040[[#This Row],[Player]],QB!B:O,5,FALSE)</f>
        <v>297.30986669999999</v>
      </c>
      <c r="G29" s="83">
        <f>VLOOKUP(TableQBRanks3040[[#This Row],[Player]],QB!B:O,6,FALSE)</f>
        <v>3202.3245742257</v>
      </c>
      <c r="H29" s="83">
        <f>VLOOKUP(TableQBRanks3040[[#This Row],[Player]],QB!B:O,7,FALSE)</f>
        <v>18.134470199999999</v>
      </c>
      <c r="I29" s="83">
        <f>VLOOKUP(TableQBRanks3040[[#This Row],[Player]],QB!B:O,8,FALSE)</f>
        <v>5.3515776005999998</v>
      </c>
      <c r="J29" s="83">
        <f>VLOOKUP(TableQBRanks3040[[#This Row],[Player]],QB!B:O,9,FALSE)</f>
        <v>60.854785600000014</v>
      </c>
      <c r="K29" s="83">
        <f>VLOOKUP(TableQBRanks3040[[#This Row],[Player]],QB!B:O,10,FALSE)</f>
        <v>284.80039660800003</v>
      </c>
      <c r="L29" s="83">
        <f>VLOOKUP(TableQBRanks3040[[#This Row],[Player]],QB!B:O,11,FALSE)</f>
        <v>2.5559009952000009</v>
      </c>
      <c r="M29" s="57">
        <f>VLOOKUP(TableQBRanks3040[[#This Row],[Player]],QB!B:O,13,FALSE)</f>
        <v>239.09473180042801</v>
      </c>
      <c r="N29" s="125">
        <f>IF(VLOOKUP(TableQBRanks3040[[#This Row],[RK]],'Ranks w Proj'!$A:$N,14,FALSE)&lt;0,0,VLOOKUP(TableQBRanks3040[[#This Row],[RK]],'Ranks w Proj'!$A:$N,14,FALSE))</f>
        <v>0</v>
      </c>
      <c r="P29">
        <v>28</v>
      </c>
      <c r="Q29" t="str">
        <f>VLOOKUP(TableRBRanks3141[[#This Row],[RK]],Rankings!A:T,8,FALSE)</f>
        <v>Nick Chubb</v>
      </c>
      <c r="R29" t="str">
        <f>IFERROR(INDEX(TableRBCalcPts[TM],MATCH(TableRBRanks3141[[#This Row],[Player]],TableRBCalcPts[PLAYER],0)),"")</f>
        <v>CLE</v>
      </c>
      <c r="S29">
        <f>IFERROR(INDEX(TableRBCalcPts[BYE],MATCH(TableRBRanks3141[[#This Row],[Player]],TableRBCalcPts[PLAYER],0)),"")</f>
        <v>5</v>
      </c>
      <c r="T29" s="83">
        <f>VLOOKUP(TableRBRanks3141[[#This Row],[Player]],RB!B:O,4,FALSE)</f>
        <v>194.57900000000001</v>
      </c>
      <c r="U29" s="83">
        <f>VLOOKUP(TableRBRanks3141[[#This Row],[Player]],RB!B:O,5,FALSE)</f>
        <v>912.57551000000012</v>
      </c>
      <c r="V29" s="83">
        <f>VLOOKUP(TableRBRanks3141[[#This Row],[Player]],RB!B:O,6,FALSE)</f>
        <v>8.7560549999999999</v>
      </c>
      <c r="W29" s="83">
        <f>VLOOKUP(TableRBRanks3141[[#This Row],[Player]],RB!B:O,7,FALSE)</f>
        <v>37.635675000000006</v>
      </c>
      <c r="X29" s="83">
        <f>VLOOKUP(TableRBRanks3141[[#This Row],[Player]],RB!B:O,8,FALSE)</f>
        <v>29.242919475000004</v>
      </c>
      <c r="Y29" s="83">
        <f>VLOOKUP(TableRBRanks3141[[#This Row],[Player]],RB!B:O,9,FALSE)</f>
        <v>210.54902022000005</v>
      </c>
      <c r="Z29" s="83">
        <f>VLOOKUP(TableRBRanks3141[[#This Row],[Player]],RB!B:O,10,FALSE)</f>
        <v>1.1697167790000003</v>
      </c>
      <c r="AA29" s="57">
        <f>VLOOKUP(TableRBRanks3141[[#This Row],[Player]],RB!B:O,14,FALSE)</f>
        <v>186.48854343350001</v>
      </c>
      <c r="AB29" s="125">
        <f>IF(VLOOKUP(TableRBRanks3141[[#This Row],[RK]],'Ranks w Proj'!$P:$AB,13,FALSE)&lt;0,0,VLOOKUP(TableRBRanks3141[[#This Row],[RK]],'Ranks w Proj'!$P:$AB,13,FALSE))</f>
        <v>21.428357225234389</v>
      </c>
      <c r="AD29">
        <v>28</v>
      </c>
      <c r="AE29" t="str">
        <f>VLOOKUP(TableWRRanks3242[[#This Row],[RK]],Rankings!A:T,13,FALSE)</f>
        <v>DeAndre Hopkins</v>
      </c>
      <c r="AF29" t="str">
        <f>IFERROR(INDEX(TableWRCalcPts[TM],MATCH(TableWRRanks3242[[#This Row],[Player]],TableWRCalcPts[PLAYER],0)),"")</f>
        <v>TEN</v>
      </c>
      <c r="AG29">
        <f>IFERROR(INDEX(TableWRCalcPts[BYE],MATCH(TableWRRanks3242[[#This Row],[Player]],TableWRCalcPts[PLAYER],0)),"")</f>
        <v>7</v>
      </c>
      <c r="AH29" s="83">
        <f>VLOOKUP(TableWRRanks3242[[#This Row],[Player]],WR!B:O,4,FALSE)</f>
        <v>0</v>
      </c>
      <c r="AI29" s="83">
        <f>VLOOKUP(TableWRRanks3242[[#This Row],[Player]],WR!B:O,5,FALSE)</f>
        <v>0</v>
      </c>
      <c r="AJ29" s="83">
        <f>VLOOKUP(TableWRRanks3242[[#This Row],[Player]],WR!B:O,6,FALSE)</f>
        <v>134.89175699999996</v>
      </c>
      <c r="AK29" s="83">
        <f>VLOOKUP(TableWRRanks3242[[#This Row],[Player]],WR!B:O,7,FALSE)</f>
        <v>78.776786087999966</v>
      </c>
      <c r="AL29" s="83">
        <f>VLOOKUP(TableWRRanks3242[[#This Row],[Player]],WR!B:O,8,FALSE)</f>
        <v>1035.9147370571995</v>
      </c>
      <c r="AM29" s="83">
        <f>VLOOKUP(TableWRRanks3242[[#This Row],[Player]],WR!B:O,9,FALSE)</f>
        <v>6.3021428870399978</v>
      </c>
      <c r="AN29" s="57">
        <f>VLOOKUP(TableWRRanks3242[[#This Row],[Player]],WR!B:O,13,FALSE)</f>
        <v>180.79272407195992</v>
      </c>
      <c r="AO29" s="125">
        <f>IF(VLOOKUP(TableWRRanks3242[[#This Row],[RK]],'Ranks w Proj'!AD:AO,12,FALSE)&lt;0,0,VLOOKUP(TableWRRanks3242[[#This Row],[RK]],'Ranks w Proj'!AD:AO,12,FALSE))</f>
        <v>11.385240364205591</v>
      </c>
      <c r="AQ29">
        <v>28</v>
      </c>
      <c r="AR29" t="str">
        <f>VLOOKUP(TableTERanks3343[[#This Row],[RK]],Rankings!A:T,18,FALSE)</f>
        <v>Michael Mayer</v>
      </c>
      <c r="AS29" t="str">
        <f>IFERROR(INDEX(TableTECalcPts[TM],MATCH(TableTERanks3343[[#This Row],[Player]],TableTECalcPts[PLAYER],0)),"")</f>
        <v>LV</v>
      </c>
      <c r="AT29">
        <f>IFERROR(INDEX(TableTECalcPts[BYE],MATCH(TableTERanks3343[[#This Row],[Player]],TableTECalcPts[PLAYER],0)),"")</f>
        <v>13</v>
      </c>
      <c r="AU29" s="83">
        <f>VLOOKUP(TableTERanks3343[[#This Row],[Player]],TE!B:O,4,FALSE)</f>
        <v>46.608799999999988</v>
      </c>
      <c r="AV29" s="83">
        <f>VLOOKUP(TableTERanks3343[[#This Row],[Player]],TE!B:O,5,FALSE)</f>
        <v>31.227895999999994</v>
      </c>
      <c r="AW29" s="83">
        <f>VLOOKUP(TableTERanks3343[[#This Row],[Player]],TE!B:O,6,FALSE)</f>
        <v>343.50685599999991</v>
      </c>
      <c r="AX29" s="83">
        <f>VLOOKUP(TableTERanks3343[[#This Row],[Player]],TE!B:O,7,FALSE)</f>
        <v>1.8736737599999995</v>
      </c>
      <c r="AY29" s="57">
        <f>VLOOKUP(TableTERanks3343[[#This Row],[Player]],TE!B:O,11,FALSE)</f>
        <v>61.206676159999986</v>
      </c>
      <c r="AZ29" s="125">
        <f>IF(VLOOKUP(TableTERanks3343[[#This Row],[RK]],'Ranks w Proj'!AQ:AZ,10,FALSE)&lt;0,0,VLOOKUP(TableTERanks3343[[#This Row],[RK]],'Ranks w Proj'!AQ:AZ,10,FALSE))</f>
        <v>0</v>
      </c>
    </row>
    <row r="30" spans="1:52" x14ac:dyDescent="0.2">
      <c r="A30">
        <v>29</v>
      </c>
      <c r="B30" t="str">
        <f>VLOOKUP(TableQBRanks3040[[#This Row],[RK]],Rankings!A:T,3,FALSE)</f>
        <v>Daniel Jones</v>
      </c>
      <c r="C30" t="str">
        <f>IFERROR(INDEX(TableQBCalcPts[TM],MATCH(TableQBRanks3040[[#This Row],[Player]],TableQBCalcPts[PLAYER],0)),"")</f>
        <v>NYG</v>
      </c>
      <c r="D30">
        <f>IFERROR(INDEX(TableQBCalcPts[BYE],MATCH(TableQBRanks3040[[#This Row],[Player]],TableQBCalcPts[PLAYER],0)),"")</f>
        <v>13</v>
      </c>
      <c r="E30" s="83">
        <f>VLOOKUP(TableQBRanks3040[[#This Row],[Player]],QB!B:O,4,FALSE)</f>
        <v>450.37799999999993</v>
      </c>
      <c r="F30" s="83">
        <f>VLOOKUP(TableQBRanks3040[[#This Row],[Player]],QB!B:O,5,FALSE)</f>
        <v>298.60061399999995</v>
      </c>
      <c r="G30" s="83">
        <f>VLOOKUP(TableQBRanks3040[[#This Row],[Player]],QB!B:O,6,FALSE)</f>
        <v>3023.6298173639993</v>
      </c>
      <c r="H30" s="83">
        <f>VLOOKUP(TableQBRanks3040[[#This Row],[Player]],QB!B:O,7,FALSE)</f>
        <v>15.312851999999999</v>
      </c>
      <c r="I30" s="83">
        <f>VLOOKUP(TableQBRanks3040[[#This Row],[Player]],QB!B:O,8,FALSE)</f>
        <v>6.2706128939999992</v>
      </c>
      <c r="J30" s="83">
        <f>VLOOKUP(TableQBRanks3040[[#This Row],[Player]],QB!B:O,9,FALSE)</f>
        <v>65.781912000000005</v>
      </c>
      <c r="K30" s="83">
        <f>VLOOKUP(TableQBRanks3040[[#This Row],[Player]],QB!B:O,10,FALSE)</f>
        <v>335.48775119999999</v>
      </c>
      <c r="L30" s="83">
        <f>VLOOKUP(TableQBRanks3040[[#This Row],[Player]],QB!B:O,11,FALSE)</f>
        <v>2.1050211840000004</v>
      </c>
      <c r="M30" s="57">
        <f>VLOOKUP(TableQBRanks3040[[#This Row],[Player]],QB!B:O,13,FALSE)</f>
        <v>222.10489002455995</v>
      </c>
      <c r="N30" s="125">
        <f>IF(VLOOKUP(TableQBRanks3040[[#This Row],[RK]],'Ranks w Proj'!$A:$N,14,FALSE)&lt;0,0,VLOOKUP(TableQBRanks3040[[#This Row],[RK]],'Ranks w Proj'!$A:$N,14,FALSE))</f>
        <v>0</v>
      </c>
      <c r="P30">
        <v>29</v>
      </c>
      <c r="Q30" t="str">
        <f>VLOOKUP(TableRBRanks3141[[#This Row],[RK]],Rankings!A:T,8,FALSE)</f>
        <v>Tony Pollard</v>
      </c>
      <c r="R30" t="str">
        <f>IFERROR(INDEX(TableRBCalcPts[TM],MATCH(TableRBRanks3141[[#This Row],[Player]],TableRBCalcPts[PLAYER],0)),"")</f>
        <v>TEN</v>
      </c>
      <c r="S30">
        <f>IFERROR(INDEX(TableRBCalcPts[BYE],MATCH(TableRBRanks3141[[#This Row],[Player]],TableRBCalcPts[PLAYER],0)),"")</f>
        <v>7</v>
      </c>
      <c r="T30" s="83">
        <f>VLOOKUP(TableRBRanks3141[[#This Row],[Player]],RB!B:O,4,FALSE)</f>
        <v>187.224345</v>
      </c>
      <c r="U30" s="83">
        <f>VLOOKUP(TableRBRanks3141[[#This Row],[Player]],RB!B:O,5,FALSE)</f>
        <v>786.34224900000004</v>
      </c>
      <c r="V30" s="83">
        <f>VLOOKUP(TableRBRanks3141[[#This Row],[Player]],RB!B:O,6,FALSE)</f>
        <v>5.6167303500000001</v>
      </c>
      <c r="W30" s="83">
        <f>VLOOKUP(TableRBRanks3141[[#This Row],[Player]],RB!B:O,7,FALSE)</f>
        <v>41.054012999999991</v>
      </c>
      <c r="X30" s="83">
        <f>VLOOKUP(TableRBRanks3141[[#This Row],[Player]],RB!B:O,8,FALSE)</f>
        <v>31.488427970999993</v>
      </c>
      <c r="Y30" s="83">
        <f>VLOOKUP(TableRBRanks3141[[#This Row],[Player]],RB!B:O,9,FALSE)</f>
        <v>234.27390410423996</v>
      </c>
      <c r="Z30" s="83">
        <f>VLOOKUP(TableRBRanks3141[[#This Row],[Player]],RB!B:O,10,FALSE)</f>
        <v>1.1020949789849999</v>
      </c>
      <c r="AA30" s="57">
        <f>VLOOKUP(TableRBRanks3141[[#This Row],[Player]],RB!B:O,14,FALSE)</f>
        <v>158.11878126983396</v>
      </c>
      <c r="AB30" s="125">
        <f>IF(VLOOKUP(TableRBRanks3141[[#This Row],[RK]],'Ranks w Proj'!$P:$AB,13,FALSE)&lt;0,0,VLOOKUP(TableRBRanks3141[[#This Row],[RK]],'Ranks w Proj'!$P:$AB,13,FALSE))</f>
        <v>20.419397260856062</v>
      </c>
      <c r="AD30">
        <v>29</v>
      </c>
      <c r="AE30" t="str">
        <f>VLOOKUP(TableWRRanks3242[[#This Row],[RK]],Rankings!A:T,13,FALSE)</f>
        <v>Terry McLaurin</v>
      </c>
      <c r="AF30" t="str">
        <f>IFERROR(INDEX(TableWRCalcPts[TM],MATCH(TableWRRanks3242[[#This Row],[Player]],TableWRCalcPts[PLAYER],0)),"")</f>
        <v>WSH</v>
      </c>
      <c r="AG30">
        <f>IFERROR(INDEX(TableWRCalcPts[BYE],MATCH(TableWRRanks3242[[#This Row],[Player]],TableWRCalcPts[PLAYER],0)),"")</f>
        <v>14</v>
      </c>
      <c r="AH30" s="83">
        <f>VLOOKUP(TableWRRanks3242[[#This Row],[Player]],WR!B:O,4,FALSE)</f>
        <v>0</v>
      </c>
      <c r="AI30" s="83">
        <f>VLOOKUP(TableWRRanks3242[[#This Row],[Player]],WR!B:O,5,FALSE)</f>
        <v>0</v>
      </c>
      <c r="AJ30" s="83">
        <f>VLOOKUP(TableWRRanks3242[[#This Row],[Player]],WR!B:O,6,FALSE)</f>
        <v>127.0383947</v>
      </c>
      <c r="AK30" s="83">
        <f>VLOOKUP(TableWRRanks3242[[#This Row],[Player]],WR!B:O,7,FALSE)</f>
        <v>78.128612740500003</v>
      </c>
      <c r="AL30" s="83">
        <f>VLOOKUP(TableWRRanks3242[[#This Row],[Player]],WR!B:O,8,FALSE)</f>
        <v>1062.5491332708</v>
      </c>
      <c r="AM30" s="83">
        <f>VLOOKUP(TableWRRanks3242[[#This Row],[Player]],WR!B:O,9,FALSE)</f>
        <v>4.6095881516894996</v>
      </c>
      <c r="AN30" s="57">
        <f>VLOOKUP(TableWRRanks3242[[#This Row],[Player]],WR!B:O,13,FALSE)</f>
        <v>172.97674860746699</v>
      </c>
      <c r="AO30" s="125">
        <f>IF(VLOOKUP(TableWRRanks3242[[#This Row],[RK]],'Ranks w Proj'!AD:AO,12,FALSE)&lt;0,0,VLOOKUP(TableWRRanks3242[[#This Row],[RK]],'Ranks w Proj'!AD:AO,12,FALSE))</f>
        <v>11.039555933099352</v>
      </c>
      <c r="AQ30">
        <v>29</v>
      </c>
      <c r="AR30" t="str">
        <f>VLOOKUP(TableTERanks3343[[#This Row],[RK]],Rankings!A:T,18,FALSE)</f>
        <v>Tyler Conklin</v>
      </c>
      <c r="AS30" t="str">
        <f>IFERROR(INDEX(TableTECalcPts[TM],MATCH(TableTERanks3343[[#This Row],[Player]],TableTECalcPts[PLAYER],0)),"")</f>
        <v>NYJ</v>
      </c>
      <c r="AT30">
        <f>IFERROR(INDEX(TableTECalcPts[BYE],MATCH(TableTERanks3343[[#This Row],[Player]],TableTECalcPts[PLAYER],0)),"")</f>
        <v>7</v>
      </c>
      <c r="AU30" s="83">
        <f>VLOOKUP(TableTERanks3343[[#This Row],[Player]],TE!B:O,4,FALSE)</f>
        <v>59.251191999999996</v>
      </c>
      <c r="AV30" s="83">
        <f>VLOOKUP(TableTERanks3343[[#This Row],[Player]],TE!B:O,5,FALSE)</f>
        <v>41.949843935999994</v>
      </c>
      <c r="AW30" s="83">
        <f>VLOOKUP(TableTERanks3343[[#This Row],[Player]],TE!B:O,6,FALSE)</f>
        <v>435.01988161631988</v>
      </c>
      <c r="AX30" s="83">
        <f>VLOOKUP(TableTERanks3343[[#This Row],[Player]],TE!B:O,7,FALSE)</f>
        <v>3.0203887633919995</v>
      </c>
      <c r="AY30" s="57">
        <f>VLOOKUP(TableTERanks3343[[#This Row],[Player]],TE!B:O,11,FALSE)</f>
        <v>82.599242709983983</v>
      </c>
      <c r="AZ30" s="125">
        <f>IF(VLOOKUP(TableTERanks3343[[#This Row],[RK]],'Ranks w Proj'!AQ:AZ,10,FALSE)&lt;0,0,VLOOKUP(TableTERanks3343[[#This Row],[RK]],'Ranks w Proj'!AQ:AZ,10,FALSE))</f>
        <v>0</v>
      </c>
    </row>
    <row r="31" spans="1:52" x14ac:dyDescent="0.2">
      <c r="A31">
        <v>30</v>
      </c>
      <c r="B31" t="str">
        <f>VLOOKUP(TableQBRanks3040[[#This Row],[RK]],Rankings!A:T,3,FALSE)</f>
        <v>Bo Nix</v>
      </c>
      <c r="C31" t="str">
        <f>IFERROR(INDEX(TableQBCalcPts[TM],MATCH(TableQBRanks3040[[#This Row],[Player]],TableQBCalcPts[PLAYER],0)),"")</f>
        <v>DEN</v>
      </c>
      <c r="D31">
        <f>IFERROR(INDEX(TableQBCalcPts[BYE],MATCH(TableQBRanks3040[[#This Row],[Player]],TableQBCalcPts[PLAYER],0)),"")</f>
        <v>9</v>
      </c>
      <c r="E31" s="83">
        <f>VLOOKUP(TableQBRanks3040[[#This Row],[Player]],QB!B:O,4,FALSE)</f>
        <v>436.88625000000002</v>
      </c>
      <c r="F31" s="83">
        <f>VLOOKUP(TableQBRanks3040[[#This Row],[Player]],QB!B:O,5,FALSE)</f>
        <v>273.05390625000001</v>
      </c>
      <c r="G31" s="83">
        <f>VLOOKUP(TableQBRanks3040[[#This Row],[Player]],QB!B:O,6,FALSE)</f>
        <v>2968.0959609375</v>
      </c>
      <c r="H31" s="83">
        <f>VLOOKUP(TableQBRanks3040[[#This Row],[Player]],QB!B:O,7,FALSE)</f>
        <v>17.475450000000002</v>
      </c>
      <c r="I31" s="83">
        <f>VLOOKUP(TableQBRanks3040[[#This Row],[Player]],QB!B:O,8,FALSE)</f>
        <v>5.4610781250000002</v>
      </c>
      <c r="J31" s="83">
        <f>VLOOKUP(TableQBRanks3040[[#This Row],[Player]],QB!B:O,9,FALSE)</f>
        <v>30.766071000000007</v>
      </c>
      <c r="K31" s="83">
        <f>VLOOKUP(TableQBRanks3040[[#This Row],[Player]],QB!B:O,10,FALSE)</f>
        <v>123.37194471000002</v>
      </c>
      <c r="L31" s="83">
        <f>VLOOKUP(TableQBRanks3040[[#This Row],[Player]],QB!B:O,11,FALSE)</f>
        <v>0.92298213000000018</v>
      </c>
      <c r="M31" s="57">
        <f>VLOOKUP(TableQBRanks3040[[#This Row],[Player]],QB!B:O,13,FALSE)</f>
        <v>201.03964756350001</v>
      </c>
      <c r="N31" s="125">
        <f>IF(VLOOKUP(TableQBRanks3040[[#This Row],[RK]],'Ranks w Proj'!$A:$N,14,FALSE)&lt;0,0,VLOOKUP(TableQBRanks3040[[#This Row],[RK]],'Ranks w Proj'!$A:$N,14,FALSE))</f>
        <v>0</v>
      </c>
      <c r="P31">
        <v>30</v>
      </c>
      <c r="Q31" t="str">
        <f>VLOOKUP(TableRBRanks3141[[#This Row],[RK]],Rankings!A:T,8,FALSE)</f>
        <v>Austin Ekeler</v>
      </c>
      <c r="R31" t="str">
        <f>IFERROR(INDEX(TableRBCalcPts[TM],MATCH(TableRBRanks3141[[#This Row],[Player]],TableRBCalcPts[PLAYER],0)),"")</f>
        <v>WSH</v>
      </c>
      <c r="S31">
        <f>IFERROR(INDEX(TableRBCalcPts[BYE],MATCH(TableRBRanks3141[[#This Row],[Player]],TableRBCalcPts[PLAYER],0)),"")</f>
        <v>14</v>
      </c>
      <c r="T31" s="83">
        <f>VLOOKUP(TableRBRanks3141[[#This Row],[Player]],RB!B:O,4,FALSE)</f>
        <v>113.73416949999998</v>
      </c>
      <c r="U31" s="83">
        <f>VLOOKUP(TableRBRanks3141[[#This Row],[Player]],RB!B:O,5,FALSE)</f>
        <v>466.31009494999989</v>
      </c>
      <c r="V31" s="83">
        <f>VLOOKUP(TableRBRanks3141[[#This Row],[Player]],RB!B:O,6,FALSE)</f>
        <v>3.5257592544999992</v>
      </c>
      <c r="W31" s="83">
        <f>VLOOKUP(TableRBRanks3141[[#This Row],[Player]],RB!B:O,7,FALSE)</f>
        <v>65.513073500000004</v>
      </c>
      <c r="X31" s="83">
        <f>VLOOKUP(TableRBRanks3141[[#This Row],[Player]],RB!B:O,8,FALSE)</f>
        <v>49.396857419000007</v>
      </c>
      <c r="Y31" s="83">
        <f>VLOOKUP(TableRBRanks3141[[#This Row],[Player]],RB!B:O,9,FALSE)</f>
        <v>396.65676507457005</v>
      </c>
      <c r="Z31" s="83">
        <f>VLOOKUP(TableRBRanks3141[[#This Row],[Player]],RB!B:O,10,FALSE)</f>
        <v>1.7288900096650004</v>
      </c>
      <c r="AA31" s="57">
        <f>VLOOKUP(TableRBRanks3141[[#This Row],[Player]],RB!B:O,14,FALSE)</f>
        <v>142.52301029694701</v>
      </c>
      <c r="AB31" s="125">
        <f>IF(VLOOKUP(TableRBRanks3141[[#This Row],[RK]],'Ranks w Proj'!$P:$AB,13,FALSE)&lt;0,0,VLOOKUP(TableRBRanks3141[[#This Row],[RK]],'Ranks w Proj'!$P:$AB,13,FALSE))</f>
        <v>20.191252829680366</v>
      </c>
      <c r="AD31">
        <v>30</v>
      </c>
      <c r="AE31" t="str">
        <f>VLOOKUP(TableWRRanks3242[[#This Row],[RK]],Rankings!A:T,13,FALSE)</f>
        <v>Keenan Allen</v>
      </c>
      <c r="AF31" t="str">
        <f>IFERROR(INDEX(TableWRCalcPts[TM],MATCH(TableWRRanks3242[[#This Row],[Player]],TableWRCalcPts[PLAYER],0)),"")</f>
        <v>CHI</v>
      </c>
      <c r="AG31">
        <f>IFERROR(INDEX(TableWRCalcPts[BYE],MATCH(TableWRRanks3242[[#This Row],[Player]],TableWRCalcPts[PLAYER],0)),"")</f>
        <v>13</v>
      </c>
      <c r="AH31" s="83">
        <f>VLOOKUP(TableWRRanks3242[[#This Row],[Player]],WR!B:O,4,FALSE)</f>
        <v>0</v>
      </c>
      <c r="AI31" s="83">
        <f>VLOOKUP(TableWRRanks3242[[#This Row],[Player]],WR!B:O,5,FALSE)</f>
        <v>0</v>
      </c>
      <c r="AJ31" s="83">
        <f>VLOOKUP(TableWRRanks3242[[#This Row],[Player]],WR!B:O,6,FALSE)</f>
        <v>113.36169599999997</v>
      </c>
      <c r="AK31" s="83">
        <f>VLOOKUP(TableWRRanks3242[[#This Row],[Player]],WR!B:O,7,FALSE)</f>
        <v>73.685102399999977</v>
      </c>
      <c r="AL31" s="83">
        <f>VLOOKUP(TableWRRanks3242[[#This Row],[Player]],WR!B:O,8,FALSE)</f>
        <v>832.64165711999976</v>
      </c>
      <c r="AM31" s="83">
        <f>VLOOKUP(TableWRRanks3242[[#This Row],[Player]],WR!B:O,9,FALSE)</f>
        <v>5.1579571679999985</v>
      </c>
      <c r="AN31" s="57">
        <f>VLOOKUP(TableWRRanks3242[[#This Row],[Player]],WR!B:O,13,FALSE)</f>
        <v>151.05445991999994</v>
      </c>
      <c r="AO31" s="125">
        <f>IF(VLOOKUP(TableWRRanks3242[[#This Row],[RK]],'Ranks w Proj'!AD:AO,12,FALSE)&lt;0,0,VLOOKUP(TableWRRanks3242[[#This Row],[RK]],'Ranks w Proj'!AD:AO,12,FALSE))</f>
        <v>10.897117404170229</v>
      </c>
      <c r="AQ31">
        <v>30</v>
      </c>
      <c r="AR31" t="str">
        <f>VLOOKUP(TableTERanks3343[[#This Row],[RK]],Rankings!A:T,18,FALSE)</f>
        <v>Jonnu Smith</v>
      </c>
      <c r="AS31" t="str">
        <f>IFERROR(INDEX(TableTECalcPts[TM],MATCH(TableTERanks3343[[#This Row],[Player]],TableTECalcPts[PLAYER],0)),"")</f>
        <v>MIA</v>
      </c>
      <c r="AT31">
        <f>IFERROR(INDEX(TableTECalcPts[BYE],MATCH(TableTERanks3343[[#This Row],[Player]],TableTECalcPts[PLAYER],0)),"")</f>
        <v>10</v>
      </c>
      <c r="AU31" s="83">
        <f>VLOOKUP(TableTERanks3343[[#This Row],[Player]],TE!B:O,4,FALSE)</f>
        <v>49.838056799999997</v>
      </c>
      <c r="AV31" s="83">
        <f>VLOOKUP(TableTERanks3343[[#This Row],[Player]],TE!B:O,5,FALSE)</f>
        <v>33.939716680800004</v>
      </c>
      <c r="AW31" s="83">
        <f>VLOOKUP(TableTERanks3343[[#This Row],[Player]],TE!B:O,6,FALSE)</f>
        <v>370.28230898752804</v>
      </c>
      <c r="AX31" s="83">
        <f>VLOOKUP(TableTERanks3343[[#This Row],[Player]],TE!B:O,7,FALSE)</f>
        <v>2.5454787510600001</v>
      </c>
      <c r="AY31" s="57">
        <f>VLOOKUP(TableTERanks3343[[#This Row],[Player]],TE!B:O,11,FALSE)</f>
        <v>69.270961745512807</v>
      </c>
      <c r="AZ31" s="125">
        <f>IF(VLOOKUP(TableTERanks3343[[#This Row],[RK]],'Ranks w Proj'!AQ:AZ,10,FALSE)&lt;0,0,VLOOKUP(TableTERanks3343[[#This Row],[RK]],'Ranks w Proj'!AQ:AZ,10,FALSE))</f>
        <v>0</v>
      </c>
    </row>
    <row r="32" spans="1:52" x14ac:dyDescent="0.2">
      <c r="A32">
        <v>31</v>
      </c>
      <c r="B32" t="str">
        <f>VLOOKUP(TableQBRanks3040[[#This Row],[RK]],Rankings!A:T,3,FALSE)</f>
        <v>Russell Wilson</v>
      </c>
      <c r="C32" t="str">
        <f>IFERROR(INDEX(TableQBCalcPts[TM],MATCH(TableQBRanks3040[[#This Row],[Player]],TableQBCalcPts[PLAYER],0)),"")</f>
        <v>PIT</v>
      </c>
      <c r="D32">
        <f>IFERROR(INDEX(TableQBCalcPts[BYE],MATCH(TableQBRanks3040[[#This Row],[Player]],TableQBCalcPts[PLAYER],0)),"")</f>
        <v>6</v>
      </c>
      <c r="E32" s="83">
        <f>VLOOKUP(TableQBRanks3040[[#This Row],[Player]],QB!B:O,4,FALSE)</f>
        <v>393.22499999999997</v>
      </c>
      <c r="F32" s="83">
        <f>VLOOKUP(TableQBRanks3040[[#This Row],[Player]],QB!B:O,5,FALSE)</f>
        <v>254.8098</v>
      </c>
      <c r="G32" s="83">
        <f>VLOOKUP(TableQBRanks3040[[#This Row],[Player]],QB!B:O,6,FALSE)</f>
        <v>2757.5516555999998</v>
      </c>
      <c r="H32" s="83">
        <f>VLOOKUP(TableQBRanks3040[[#This Row],[Player]],QB!B:O,7,FALSE)</f>
        <v>16.908674999999999</v>
      </c>
      <c r="I32" s="83">
        <f>VLOOKUP(TableQBRanks3040[[#This Row],[Player]],QB!B:O,8,FALSE)</f>
        <v>4.5865763999999993</v>
      </c>
      <c r="J32" s="83">
        <f>VLOOKUP(TableQBRanks3040[[#This Row],[Player]],QB!B:O,9,FALSE)</f>
        <v>47.848500000000001</v>
      </c>
      <c r="K32" s="83">
        <f>VLOOKUP(TableQBRanks3040[[#This Row],[Player]],QB!B:O,10,FALSE)</f>
        <v>212.925825</v>
      </c>
      <c r="L32" s="83">
        <f>VLOOKUP(TableQBRanks3040[[#This Row],[Player]],QB!B:O,11,FALSE)</f>
        <v>1.1483640000000002</v>
      </c>
      <c r="M32" s="57">
        <f>VLOOKUP(TableQBRanks3040[[#This Row],[Player]],QB!B:O,13,FALSE)</f>
        <v>201.532956324</v>
      </c>
      <c r="N32" s="125">
        <f>IF(VLOOKUP(TableQBRanks3040[[#This Row],[RK]],'Ranks w Proj'!$A:$N,14,FALSE)&lt;0,0,VLOOKUP(TableQBRanks3040[[#This Row],[RK]],'Ranks w Proj'!$A:$N,14,FALSE))</f>
        <v>0</v>
      </c>
      <c r="P32">
        <v>31</v>
      </c>
      <c r="Q32" t="str">
        <f>VLOOKUP(TableRBRanks3141[[#This Row],[RK]],Rankings!A:T,8,FALSE)</f>
        <v>Zack Moss</v>
      </c>
      <c r="R32" t="str">
        <f>IFERROR(INDEX(TableRBCalcPts[TM],MATCH(TableRBRanks3141[[#This Row],[Player]],TableRBCalcPts[PLAYER],0)),"")</f>
        <v>CIN</v>
      </c>
      <c r="S32">
        <f>IFERROR(INDEX(TableRBCalcPts[BYE],MATCH(TableRBRanks3141[[#This Row],[Player]],TableRBCalcPts[PLAYER],0)),"")</f>
        <v>7</v>
      </c>
      <c r="T32" s="83">
        <f>VLOOKUP(TableRBRanks3141[[#This Row],[Player]],RB!B:O,4,FALSE)</f>
        <v>181.08906479999999</v>
      </c>
      <c r="U32" s="83">
        <f>VLOOKUP(TableRBRanks3141[[#This Row],[Player]],RB!B:O,5,FALSE)</f>
        <v>724.35625919999995</v>
      </c>
      <c r="V32" s="83">
        <f>VLOOKUP(TableRBRanks3141[[#This Row],[Player]],RB!B:O,6,FALSE)</f>
        <v>6.8813844623999998</v>
      </c>
      <c r="W32" s="83">
        <f>VLOOKUP(TableRBRanks3141[[#This Row],[Player]],RB!B:O,7,FALSE)</f>
        <v>43.649768400000006</v>
      </c>
      <c r="X32" s="83">
        <f>VLOOKUP(TableRBRanks3141[[#This Row],[Player]],RB!B:O,8,FALSE)</f>
        <v>34.570616572800006</v>
      </c>
      <c r="Y32" s="83">
        <f>VLOOKUP(TableRBRanks3141[[#This Row],[Player]],RB!B:O,9,FALSE)</f>
        <v>231.62313103776003</v>
      </c>
      <c r="Z32" s="83">
        <f>VLOOKUP(TableRBRanks3141[[#This Row],[Player]],RB!B:O,10,FALSE)</f>
        <v>1.2099715800480004</v>
      </c>
      <c r="AA32" s="57">
        <f>VLOOKUP(TableRBRanks3141[[#This Row],[Player]],RB!B:O,14,FALSE)</f>
        <v>161.43138356486401</v>
      </c>
      <c r="AB32" s="125">
        <f>IF(VLOOKUP(TableRBRanks3141[[#This Row],[RK]],'Ranks w Proj'!$P:$AB,13,FALSE)&lt;0,0,VLOOKUP(TableRBRanks3141[[#This Row],[RK]],'Ranks w Proj'!$P:$AB,13,FALSE))</f>
        <v>19.861629851475968</v>
      </c>
      <c r="AD32">
        <v>31</v>
      </c>
      <c r="AE32" t="str">
        <f>VLOOKUP(TableWRRanks3242[[#This Row],[RK]],Rankings!A:T,13,FALSE)</f>
        <v>Jayden Reed</v>
      </c>
      <c r="AF32" t="str">
        <f>IFERROR(INDEX(TableWRCalcPts[TM],MATCH(TableWRRanks3242[[#This Row],[Player]],TableWRCalcPts[PLAYER],0)),"")</f>
        <v>GB</v>
      </c>
      <c r="AG32">
        <f>IFERROR(INDEX(TableWRCalcPts[BYE],MATCH(TableWRRanks3242[[#This Row],[Player]],TableWRCalcPts[PLAYER],0)),"")</f>
        <v>6</v>
      </c>
      <c r="AH32" s="83">
        <f>VLOOKUP(TableWRRanks3242[[#This Row],[Player]],WR!B:O,4,FALSE)</f>
        <v>137.09314079999999</v>
      </c>
      <c r="AI32" s="83">
        <f>VLOOKUP(TableWRRanks3242[[#This Row],[Player]],WR!B:O,5,FALSE)</f>
        <v>1.2365263679999998</v>
      </c>
      <c r="AJ32" s="83">
        <f>VLOOKUP(TableWRRanks3242[[#This Row],[Player]],WR!B:O,6,FALSE)</f>
        <v>108.33860800000001</v>
      </c>
      <c r="AK32" s="83">
        <f>VLOOKUP(TableWRRanks3242[[#This Row],[Player]],WR!B:O,7,FALSE)</f>
        <v>72.478528752000003</v>
      </c>
      <c r="AL32" s="83">
        <f>VLOOKUP(TableWRRanks3242[[#This Row],[Player]],WR!B:O,8,FALSE)</f>
        <v>909.60553583760009</v>
      </c>
      <c r="AM32" s="83">
        <f>VLOOKUP(TableWRRanks3242[[#This Row],[Player]],WR!B:O,9,FALSE)</f>
        <v>7.2478528752000004</v>
      </c>
      <c r="AN32" s="57">
        <f>VLOOKUP(TableWRRanks3242[[#This Row],[Player]],WR!B:O,13,FALSE)</f>
        <v>191.81540749896001</v>
      </c>
      <c r="AO32" s="125">
        <f>IF(VLOOKUP(TableWRRanks3242[[#This Row],[RK]],'Ranks w Proj'!AD:AO,12,FALSE)&lt;0,0,VLOOKUP(TableWRRanks3242[[#This Row],[RK]],'Ranks w Proj'!AD:AO,12,FALSE))</f>
        <v>10.79344009980014</v>
      </c>
      <c r="AQ32">
        <v>31</v>
      </c>
      <c r="AR32" t="str">
        <f>VLOOKUP(TableTERanks3343[[#This Row],[RK]],Rankings!A:T,18,FALSE)</f>
        <v>Noah Fant</v>
      </c>
      <c r="AS32" t="str">
        <f>IFERROR(INDEX(TableTECalcPts[TM],MATCH(TableTERanks3343[[#This Row],[Player]],TableTECalcPts[PLAYER],0)),"")</f>
        <v>SEA</v>
      </c>
      <c r="AT32">
        <f>IFERROR(INDEX(TableTECalcPts[BYE],MATCH(TableTERanks3343[[#This Row],[Player]],TableTECalcPts[PLAYER],0)),"")</f>
        <v>5</v>
      </c>
      <c r="AU32" s="83">
        <f>VLOOKUP(TableTERanks3343[[#This Row],[Player]],TE!B:O,4,FALSE)</f>
        <v>58.048241999999995</v>
      </c>
      <c r="AV32" s="83">
        <f>VLOOKUP(TableTERanks3343[[#This Row],[Player]],TE!B:O,5,FALSE)</f>
        <v>40.22743170599999</v>
      </c>
      <c r="AW32" s="83">
        <f>VLOOKUP(TableTERanks3343[[#This Row],[Player]],TE!B:O,6,FALSE)</f>
        <v>429.22669630301988</v>
      </c>
      <c r="AX32" s="83">
        <f>VLOOKUP(TableTERanks3343[[#This Row],[Player]],TE!B:O,7,FALSE)</f>
        <v>2.4136459023599994</v>
      </c>
      <c r="AY32" s="57">
        <f>VLOOKUP(TableTERanks3343[[#This Row],[Player]],TE!B:O,11,FALSE)</f>
        <v>77.518260897461985</v>
      </c>
      <c r="AZ32" s="125">
        <f>IF(VLOOKUP(TableTERanks3343[[#This Row],[RK]],'Ranks w Proj'!AQ:AZ,10,FALSE)&lt;0,0,VLOOKUP(TableTERanks3343[[#This Row],[RK]],'Ranks w Proj'!AQ:AZ,10,FALSE))</f>
        <v>0</v>
      </c>
    </row>
    <row r="33" spans="1:52" x14ac:dyDescent="0.2">
      <c r="A33">
        <v>32</v>
      </c>
      <c r="B33" t="str">
        <f>VLOOKUP(TableQBRanks3040[[#This Row],[RK]],Rankings!A:T,3,FALSE)</f>
        <v>Gardner Minshew</v>
      </c>
      <c r="C33" t="str">
        <f>IFERROR(INDEX(TableQBCalcPts[TM],MATCH(TableQBRanks3040[[#This Row],[Player]],TableQBCalcPts[PLAYER],0)),"")</f>
        <v>LV</v>
      </c>
      <c r="D33">
        <f>IFERROR(INDEX(TableQBCalcPts[BYE],MATCH(TableQBRanks3040[[#This Row],[Player]],TableQBCalcPts[PLAYER],0)),"")</f>
        <v>13</v>
      </c>
      <c r="E33" s="83">
        <f>VLOOKUP(TableQBRanks3040[[#This Row],[Player]],QB!B:O,4,FALSE)</f>
        <v>356.7</v>
      </c>
      <c r="F33" s="83">
        <f>VLOOKUP(TableQBRanks3040[[#This Row],[Player]],QB!B:O,5,FALSE)</f>
        <v>226.50450000000001</v>
      </c>
      <c r="G33" s="83">
        <f>VLOOKUP(TableQBRanks3040[[#This Row],[Player]],QB!B:O,6,FALSE)</f>
        <v>2498.3446349999999</v>
      </c>
      <c r="H33" s="83">
        <f>VLOOKUP(TableQBRanks3040[[#This Row],[Player]],QB!B:O,7,FALSE)</f>
        <v>14.268000000000001</v>
      </c>
      <c r="I33" s="83">
        <f>VLOOKUP(TableQBRanks3040[[#This Row],[Player]],QB!B:O,8,FALSE)</f>
        <v>4.0770809999999997</v>
      </c>
      <c r="J33" s="83">
        <f>VLOOKUP(TableQBRanks3040[[#This Row],[Player]],QB!B:O,9,FALSE)</f>
        <v>16.875600000000002</v>
      </c>
      <c r="K33" s="83">
        <f>VLOOKUP(TableQBRanks3040[[#This Row],[Player]],QB!B:O,10,FALSE)</f>
        <v>54.339432000000009</v>
      </c>
      <c r="L33" s="83">
        <f>VLOOKUP(TableQBRanks3040[[#This Row],[Player]],QB!B:O,11,FALSE)</f>
        <v>0.67502400000000007</v>
      </c>
      <c r="M33" s="57">
        <f>VLOOKUP(TableQBRanks3040[[#This Row],[Player]],QB!B:O,13,FALSE)</f>
        <v>162.41279159999999</v>
      </c>
      <c r="N33" s="125">
        <f>IF(VLOOKUP(TableQBRanks3040[[#This Row],[RK]],'Ranks w Proj'!$A:$N,14,FALSE)&lt;0,0,VLOOKUP(TableQBRanks3040[[#This Row],[RK]],'Ranks w Proj'!$A:$N,14,FALSE))</f>
        <v>0</v>
      </c>
      <c r="P33">
        <v>32</v>
      </c>
      <c r="Q33" t="str">
        <f>VLOOKUP(TableRBRanks3141[[#This Row],[RK]],Rankings!A:T,8,FALSE)</f>
        <v>Najee Harris</v>
      </c>
      <c r="R33" t="str">
        <f>IFERROR(INDEX(TableRBCalcPts[TM],MATCH(TableRBRanks3141[[#This Row],[Player]],TableRBCalcPts[PLAYER],0)),"")</f>
        <v>PIT</v>
      </c>
      <c r="S33">
        <f>IFERROR(INDEX(TableRBCalcPts[BYE],MATCH(TableRBRanks3141[[#This Row],[Player]],TableRBCalcPts[PLAYER],0)),"")</f>
        <v>6</v>
      </c>
      <c r="T33" s="83">
        <f>VLOOKUP(TableRBRanks3141[[#This Row],[Player]],RB!B:O,4,FALSE)</f>
        <v>200.96369999999999</v>
      </c>
      <c r="U33" s="83">
        <f>VLOOKUP(TableRBRanks3141[[#This Row],[Player]],RB!B:O,5,FALSE)</f>
        <v>821.94153299999994</v>
      </c>
      <c r="V33" s="83">
        <f>VLOOKUP(TableRBRanks3141[[#This Row],[Player]],RB!B:O,6,FALSE)</f>
        <v>7.0337295000000006</v>
      </c>
      <c r="W33" s="83">
        <f>VLOOKUP(TableRBRanks3141[[#This Row],[Player]],RB!B:O,7,FALSE)</f>
        <v>28.62678</v>
      </c>
      <c r="X33" s="83">
        <f>VLOOKUP(TableRBRanks3141[[#This Row],[Player]],RB!B:O,8,FALSE)</f>
        <v>21.384204660000002</v>
      </c>
      <c r="Y33" s="83">
        <f>VLOOKUP(TableRBRanks3141[[#This Row],[Player]],RB!B:O,9,FALSE)</f>
        <v>133.00975298520001</v>
      </c>
      <c r="Z33" s="83">
        <f>VLOOKUP(TableRBRanks3141[[#This Row],[Player]],RB!B:O,10,FALSE)</f>
        <v>0.64152613980000006</v>
      </c>
      <c r="AA33" s="57">
        <f>VLOOKUP(TableRBRanks3141[[#This Row],[Player]],RB!B:O,14,FALSE)</f>
        <v>152.23876476732002</v>
      </c>
      <c r="AB33" s="125">
        <f>IF(VLOOKUP(TableRBRanks3141[[#This Row],[RK]],'Ranks w Proj'!$P:$AB,13,FALSE)&lt;0,0,VLOOKUP(TableRBRanks3141[[#This Row],[RK]],'Ranks w Proj'!$P:$AB,13,FALSE))</f>
        <v>18.818207201946375</v>
      </c>
      <c r="AD33">
        <v>32</v>
      </c>
      <c r="AE33" t="str">
        <f>VLOOKUP(TableWRRanks3242[[#This Row],[RK]],Rankings!A:T,13,FALSE)</f>
        <v>Christian Kirk</v>
      </c>
      <c r="AF33" t="str">
        <f>IFERROR(INDEX(TableWRCalcPts[TM],MATCH(TableWRRanks3242[[#This Row],[Player]],TableWRCalcPts[PLAYER],0)),"")</f>
        <v>JAX</v>
      </c>
      <c r="AG33">
        <f>IFERROR(INDEX(TableWRCalcPts[BYE],MATCH(TableWRRanks3242[[#This Row],[Player]],TableWRCalcPts[PLAYER],0)),"")</f>
        <v>9</v>
      </c>
      <c r="AH33" s="83">
        <f>VLOOKUP(TableWRRanks3242[[#This Row],[Player]],WR!B:O,4,FALSE)</f>
        <v>20.061372239999997</v>
      </c>
      <c r="AI33" s="83">
        <f>VLOOKUP(TableWRRanks3242[[#This Row],[Player]],WR!B:O,5,FALSE)</f>
        <v>0.102878832</v>
      </c>
      <c r="AJ33" s="83">
        <f>VLOOKUP(TableWRRanks3242[[#This Row],[Player]],WR!B:O,6,FALSE)</f>
        <v>126.89422199999994</v>
      </c>
      <c r="AK33" s="83">
        <f>VLOOKUP(TableWRRanks3242[[#This Row],[Player]],WR!B:O,7,FALSE)</f>
        <v>82.608138521999962</v>
      </c>
      <c r="AL33" s="83">
        <f>VLOOKUP(TableWRRanks3242[[#This Row],[Player]],WR!B:O,8,FALSE)</f>
        <v>1044.1668709180797</v>
      </c>
      <c r="AM33" s="83">
        <f>VLOOKUP(TableWRRanks3242[[#This Row],[Player]],WR!B:O,9,FALSE)</f>
        <v>4.9564883113199976</v>
      </c>
      <c r="AN33" s="57">
        <f>VLOOKUP(TableWRRanks3242[[#This Row],[Player]],WR!B:O,13,FALSE)</f>
        <v>178.08309643672794</v>
      </c>
      <c r="AO33" s="125">
        <f>IF(VLOOKUP(TableWRRanks3242[[#This Row],[RK]],'Ranks w Proj'!AD:AO,12,FALSE)&lt;0,0,VLOOKUP(TableWRRanks3242[[#This Row],[RK]],'Ranks w Proj'!AD:AO,12,FALSE))</f>
        <v>10.562105239870236</v>
      </c>
      <c r="AQ33">
        <v>32</v>
      </c>
      <c r="AR33" t="str">
        <f>VLOOKUP(TableTERanks3343[[#This Row],[RK]],Rankings!A:T,18,FALSE)</f>
        <v>Zach Ertz</v>
      </c>
      <c r="AS33" t="str">
        <f>IFERROR(INDEX(TableTECalcPts[TM],MATCH(TableTERanks3343[[#This Row],[Player]],TableTECalcPts[PLAYER],0)),"")</f>
        <v>WSH</v>
      </c>
      <c r="AT33">
        <f>IFERROR(INDEX(TableTECalcPts[BYE],MATCH(TableTERanks3343[[#This Row],[Player]],TableTECalcPts[PLAYER],0)),"")</f>
        <v>14</v>
      </c>
      <c r="AU33" s="83">
        <f>VLOOKUP(TableTERanks3343[[#This Row],[Player]],TE!B:O,4,FALSE)</f>
        <v>56.967889999999997</v>
      </c>
      <c r="AV33" s="83">
        <f>VLOOKUP(TableTERanks3343[[#This Row],[Player]],TE!B:O,5,FALSE)</f>
        <v>36.972160609999996</v>
      </c>
      <c r="AW33" s="83">
        <f>VLOOKUP(TableTERanks3343[[#This Row],[Player]],TE!B:O,6,FALSE)</f>
        <v>340.88332082419998</v>
      </c>
      <c r="AX33" s="83">
        <f>VLOOKUP(TableTERanks3343[[#This Row],[Player]],TE!B:O,7,FALSE)</f>
        <v>2.6619955639199997</v>
      </c>
      <c r="AY33" s="57">
        <f>VLOOKUP(TableTERanks3343[[#This Row],[Player]],TE!B:O,11,FALSE)</f>
        <v>68.546385770939992</v>
      </c>
      <c r="AZ33" s="125">
        <f>IF(VLOOKUP(TableTERanks3343[[#This Row],[RK]],'Ranks w Proj'!AQ:AZ,10,FALSE)&lt;0,0,VLOOKUP(TableTERanks3343[[#This Row],[RK]],'Ranks w Proj'!AQ:AZ,10,FALSE))</f>
        <v>0</v>
      </c>
    </row>
    <row r="34" spans="1:52" x14ac:dyDescent="0.2">
      <c r="A34">
        <v>33</v>
      </c>
      <c r="B34" t="str">
        <f>VLOOKUP(TableQBRanks3040[[#This Row],[RK]],Rankings!A:T,3,FALSE)</f>
        <v>Justin Fields</v>
      </c>
      <c r="C34" t="str">
        <f>IFERROR(INDEX(TableQBCalcPts[TM],MATCH(TableQBRanks3040[[#This Row],[Player]],TableQBCalcPts[PLAYER],0)),"")</f>
        <v>PIT</v>
      </c>
      <c r="D34">
        <f>IFERROR(INDEX(TableQBCalcPts[BYE],MATCH(TableQBRanks3040[[#This Row],[Player]],TableQBCalcPts[PLAYER],0)),"")</f>
        <v>6</v>
      </c>
      <c r="E34" s="83">
        <f>VLOOKUP(TableQBRanks3040[[#This Row],[Player]],QB!B:O,4,FALSE)</f>
        <v>168.52500000000001</v>
      </c>
      <c r="F34" s="83">
        <f>VLOOKUP(TableQBRanks3040[[#This Row],[Player]],QB!B:O,5,FALSE)</f>
        <v>104.316975</v>
      </c>
      <c r="G34" s="83">
        <f>VLOOKUP(TableQBRanks3040[[#This Row],[Player]],QB!B:O,6,FALSE)</f>
        <v>1189.4221489499998</v>
      </c>
      <c r="H34" s="83">
        <f>VLOOKUP(TableQBRanks3040[[#This Row],[Player]],QB!B:O,7,FALSE)</f>
        <v>6.9095250000000004</v>
      </c>
      <c r="I34" s="83">
        <f>VLOOKUP(TableQBRanks3040[[#This Row],[Player]],QB!B:O,8,FALSE)</f>
        <v>2.6079243750000001</v>
      </c>
      <c r="J34" s="83">
        <f>VLOOKUP(TableQBRanks3040[[#This Row],[Player]],QB!B:O,9,FALSE)</f>
        <v>33.493950000000005</v>
      </c>
      <c r="K34" s="83">
        <f>VLOOKUP(TableQBRanks3040[[#This Row],[Player]],QB!B:O,10,FALSE)</f>
        <v>190.58057550000004</v>
      </c>
      <c r="L34" s="83">
        <f>VLOOKUP(TableQBRanks3040[[#This Row],[Player]],QB!B:O,11,FALSE)</f>
        <v>1.5072277500000002</v>
      </c>
      <c r="M34" s="57">
        <f>VLOOKUP(TableQBRanks3040[[#This Row],[Player]],QB!B:O,13,FALSE)</f>
        <v>100.70848563300001</v>
      </c>
      <c r="N34" s="125">
        <f>IF(VLOOKUP(TableQBRanks3040[[#This Row],[RK]],'Ranks w Proj'!$A:$N,14,FALSE)&lt;0,0,VLOOKUP(TableQBRanks3040[[#This Row],[RK]],'Ranks w Proj'!$A:$N,14,FALSE))</f>
        <v>0</v>
      </c>
      <c r="P34">
        <v>33</v>
      </c>
      <c r="Q34" t="str">
        <f>VLOOKUP(TableRBRanks3141[[#This Row],[RK]],Rankings!A:T,8,FALSE)</f>
        <v>Brian Robinson</v>
      </c>
      <c r="R34" t="str">
        <f>IFERROR(INDEX(TableRBCalcPts[TM],MATCH(TableRBRanks3141[[#This Row],[Player]],TableRBCalcPts[PLAYER],0)),"")</f>
        <v>WSH</v>
      </c>
      <c r="S34">
        <f>IFERROR(INDEX(TableRBCalcPts[BYE],MATCH(TableRBRanks3141[[#This Row],[Player]],TableRBCalcPts[PLAYER],0)),"")</f>
        <v>14</v>
      </c>
      <c r="T34" s="83">
        <f>VLOOKUP(TableRBRanks3141[[#This Row],[Player]],RB!B:O,4,FALSE)</f>
        <v>208.89949499999997</v>
      </c>
      <c r="U34" s="83">
        <f>VLOOKUP(TableRBRanks3141[[#This Row],[Player]],RB!B:O,5,FALSE)</f>
        <v>883.64486384999998</v>
      </c>
      <c r="V34" s="83">
        <f>VLOOKUP(TableRBRanks3141[[#This Row],[Player]],RB!B:O,6,FALSE)</f>
        <v>6.6847838399999997</v>
      </c>
      <c r="W34" s="83">
        <f>VLOOKUP(TableRBRanks3141[[#This Row],[Player]],RB!B:O,7,FALSE)</f>
        <v>34.180733999999994</v>
      </c>
      <c r="X34" s="83">
        <f>VLOOKUP(TableRBRanks3141[[#This Row],[Player]],RB!B:O,8,FALSE)</f>
        <v>25.327923893999994</v>
      </c>
      <c r="Y34" s="83">
        <f>VLOOKUP(TableRBRanks3141[[#This Row],[Player]],RB!B:O,9,FALSE)</f>
        <v>195.02501398379997</v>
      </c>
      <c r="Z34" s="83">
        <f>VLOOKUP(TableRBRanks3141[[#This Row],[Player]],RB!B:O,10,FALSE)</f>
        <v>0.78516564071399986</v>
      </c>
      <c r="AA34" s="57">
        <f>VLOOKUP(TableRBRanks3141[[#This Row],[Player]],RB!B:O,14,FALSE)</f>
        <v>165.35064661466396</v>
      </c>
      <c r="AB34" s="125">
        <f>IF(VLOOKUP(TableRBRanks3141[[#This Row],[RK]],'Ranks w Proj'!$P:$AB,13,FALSE)&lt;0,0,VLOOKUP(TableRBRanks3141[[#This Row],[RK]],'Ranks w Proj'!$P:$AB,13,FALSE))</f>
        <v>17.70265851584174</v>
      </c>
      <c r="AD34">
        <v>33</v>
      </c>
      <c r="AE34" t="str">
        <f>VLOOKUP(TableWRRanks3242[[#This Row],[RK]],Rankings!A:T,13,FALSE)</f>
        <v>Jordan Addison</v>
      </c>
      <c r="AF34" t="str">
        <f>IFERROR(INDEX(TableWRCalcPts[TM],MATCH(TableWRRanks3242[[#This Row],[Player]],TableWRCalcPts[PLAYER],0)),"")</f>
        <v>MIN</v>
      </c>
      <c r="AG34">
        <f>IFERROR(INDEX(TableWRCalcPts[BYE],MATCH(TableWRRanks3242[[#This Row],[Player]],TableWRCalcPts[PLAYER],0)),"")</f>
        <v>13</v>
      </c>
      <c r="AH34" s="83">
        <f>VLOOKUP(TableWRRanks3242[[#This Row],[Player]],WR!B:O,4,FALSE)</f>
        <v>0</v>
      </c>
      <c r="AI34" s="83">
        <f>VLOOKUP(TableWRRanks3242[[#This Row],[Player]],WR!B:O,5,FALSE)</f>
        <v>0</v>
      </c>
      <c r="AJ34" s="83">
        <f>VLOOKUP(TableWRRanks3242[[#This Row],[Player]],WR!B:O,6,FALSE)</f>
        <v>130.64183999999997</v>
      </c>
      <c r="AK34" s="83">
        <f>VLOOKUP(TableWRRanks3242[[#This Row],[Player]],WR!B:O,7,FALSE)</f>
        <v>79.430238719999977</v>
      </c>
      <c r="AL34" s="83">
        <f>VLOOKUP(TableWRRanks3242[[#This Row],[Player]],WR!B:O,8,FALSE)</f>
        <v>1031.7988009727997</v>
      </c>
      <c r="AM34" s="83">
        <f>VLOOKUP(TableWRRanks3242[[#This Row],[Player]],WR!B:O,9,FALSE)</f>
        <v>6.1161283814399985</v>
      </c>
      <c r="AN34" s="57">
        <f>VLOOKUP(TableWRRanks3242[[#This Row],[Player]],WR!B:O,13,FALSE)</f>
        <v>179.59176974591995</v>
      </c>
      <c r="AO34" s="125">
        <f>IF(VLOOKUP(TableWRRanks3242[[#This Row],[RK]],'Ranks w Proj'!AD:AO,12,FALSE)&lt;0,0,VLOOKUP(TableWRRanks3242[[#This Row],[RK]],'Ranks w Proj'!AD:AO,12,FALSE))</f>
        <v>10.232779375371951</v>
      </c>
      <c r="AQ34">
        <v>33</v>
      </c>
      <c r="AR34" t="str">
        <f>VLOOKUP(TableTERanks3343[[#This Row],[RK]],Rankings!A:T,18,FALSE)</f>
        <v>Ben Sinnott</v>
      </c>
      <c r="AS34" t="str">
        <f>IFERROR(INDEX(TableTECalcPts[TM],MATCH(TableTERanks3343[[#This Row],[Player]],TableTECalcPts[PLAYER],0)),"")</f>
        <v>WSH</v>
      </c>
      <c r="AT34">
        <f>IFERROR(INDEX(TableTECalcPts[BYE],MATCH(TableTERanks3343[[#This Row],[Player]],TableTECalcPts[PLAYER],0)),"")</f>
        <v>14</v>
      </c>
      <c r="AU34" s="83">
        <f>VLOOKUP(TableTERanks3343[[#This Row],[Player]],TE!B:O,4,FALSE)</f>
        <v>37.029128499999999</v>
      </c>
      <c r="AV34" s="83">
        <f>VLOOKUP(TableTERanks3343[[#This Row],[Player]],TE!B:O,5,FALSE)</f>
        <v>24.142991781999999</v>
      </c>
      <c r="AW34" s="83">
        <f>VLOOKUP(TableTERanks3343[[#This Row],[Player]],TE!B:O,6,FALSE)</f>
        <v>256.39857272483999</v>
      </c>
      <c r="AX34" s="83">
        <f>VLOOKUP(TableTERanks3343[[#This Row],[Player]],TE!B:O,7,FALSE)</f>
        <v>1.8107243836499998</v>
      </c>
      <c r="AY34" s="57">
        <f>VLOOKUP(TableTERanks3343[[#This Row],[Player]],TE!B:O,11,FALSE)</f>
        <v>48.575699465383998</v>
      </c>
      <c r="AZ34" s="125">
        <f>IF(VLOOKUP(TableTERanks3343[[#This Row],[RK]],'Ranks w Proj'!AQ:AZ,10,FALSE)&lt;0,0,VLOOKUP(TableTERanks3343[[#This Row],[RK]],'Ranks w Proj'!AQ:AZ,10,FALSE))</f>
        <v>0</v>
      </c>
    </row>
    <row r="35" spans="1:52" x14ac:dyDescent="0.2">
      <c r="A35">
        <v>34</v>
      </c>
      <c r="B35" t="str">
        <f>VLOOKUP(TableQBRanks3040[[#This Row],[RK]],Rankings!A:T,3,FALSE)</f>
        <v>Aidan O'Connell</v>
      </c>
      <c r="C35" t="str">
        <f>IFERROR(INDEX(TableQBCalcPts[TM],MATCH(TableQBRanks3040[[#This Row],[Player]],TableQBCalcPts[PLAYER],0)),"")</f>
        <v>LV</v>
      </c>
      <c r="D35">
        <f>IFERROR(INDEX(TableQBCalcPts[BYE],MATCH(TableQBRanks3040[[#This Row],[Player]],TableQBCalcPts[PLAYER],0)),"")</f>
        <v>13</v>
      </c>
      <c r="E35" s="83">
        <f>VLOOKUP(TableQBRanks3040[[#This Row],[Player]],QB!B:O,4,FALSE)</f>
        <v>237.8</v>
      </c>
      <c r="F35" s="83">
        <f>VLOOKUP(TableQBRanks3040[[#This Row],[Player]],QB!B:O,5,FALSE)</f>
        <v>149.5762</v>
      </c>
      <c r="G35" s="83">
        <f>VLOOKUP(TableQBRanks3040[[#This Row],[Player]],QB!B:O,6,FALSE)</f>
        <v>1631.876342</v>
      </c>
      <c r="H35" s="83">
        <f>VLOOKUP(TableQBRanks3040[[#This Row],[Player]],QB!B:O,7,FALSE)</f>
        <v>8.7986000000000004</v>
      </c>
      <c r="I35" s="83">
        <f>VLOOKUP(TableQBRanks3040[[#This Row],[Player]],QB!B:O,8,FALSE)</f>
        <v>3.2906763999999997</v>
      </c>
      <c r="J35" s="83">
        <f>VLOOKUP(TableQBRanks3040[[#This Row],[Player]],QB!B:O,9,FALSE)</f>
        <v>4.2189000000000005</v>
      </c>
      <c r="K35" s="83">
        <f>VLOOKUP(TableQBRanks3040[[#This Row],[Player]],QB!B:O,10,FALSE)</f>
        <v>9.7034700000000011</v>
      </c>
      <c r="L35" s="83">
        <f>VLOOKUP(TableQBRanks3040[[#This Row],[Player]],QB!B:O,11,FALSE)</f>
        <v>8.4378000000000009E-2</v>
      </c>
      <c r="M35" s="57">
        <f>VLOOKUP(TableQBRanks3040[[#This Row],[Player]],QB!B:O,13,FALSE)</f>
        <v>98.655392280000015</v>
      </c>
      <c r="N35" s="125">
        <f>IF(VLOOKUP(TableQBRanks3040[[#This Row],[RK]],'Ranks w Proj'!$A:$N,14,FALSE)&lt;0,0,VLOOKUP(TableQBRanks3040[[#This Row],[RK]],'Ranks w Proj'!$A:$N,14,FALSE))</f>
        <v>0</v>
      </c>
      <c r="P35">
        <v>34</v>
      </c>
      <c r="Q35" t="str">
        <f>VLOOKUP(TableRBRanks3141[[#This Row],[RK]],Rankings!A:T,8,FALSE)</f>
        <v>Devin Singletary</v>
      </c>
      <c r="R35" t="str">
        <f>IFERROR(INDEX(TableRBCalcPts[TM],MATCH(TableRBRanks3141[[#This Row],[Player]],TableRBCalcPts[PLAYER],0)),"")</f>
        <v>NYG</v>
      </c>
      <c r="S35">
        <f>IFERROR(INDEX(TableRBCalcPts[BYE],MATCH(TableRBRanks3141[[#This Row],[Player]],TableRBCalcPts[PLAYER],0)),"")</f>
        <v>13</v>
      </c>
      <c r="T35" s="83">
        <f>VLOOKUP(TableRBRanks3141[[#This Row],[Player]],RB!B:O,4,FALSE)</f>
        <v>197.34573600000002</v>
      </c>
      <c r="U35" s="83">
        <f>VLOOKUP(TableRBRanks3141[[#This Row],[Player]],RB!B:O,5,FALSE)</f>
        <v>820.95826176000014</v>
      </c>
      <c r="V35" s="83">
        <f>VLOOKUP(TableRBRanks3141[[#This Row],[Player]],RB!B:O,6,FALSE)</f>
        <v>5.3283348720000001</v>
      </c>
      <c r="W35" s="83">
        <f>VLOOKUP(TableRBRanks3141[[#This Row],[Player]],RB!B:O,7,FALSE)</f>
        <v>47.079513599999984</v>
      </c>
      <c r="X35" s="83">
        <f>VLOOKUP(TableRBRanks3141[[#This Row],[Player]],RB!B:O,8,FALSE)</f>
        <v>34.650522009599989</v>
      </c>
      <c r="Y35" s="83">
        <f>VLOOKUP(TableRBRanks3141[[#This Row],[Player]],RB!B:O,9,FALSE)</f>
        <v>232.15849746431994</v>
      </c>
      <c r="Z35" s="83">
        <f>VLOOKUP(TableRBRanks3141[[#This Row],[Player]],RB!B:O,10,FALSE)</f>
        <v>1.0048651382783997</v>
      </c>
      <c r="AA35" s="57">
        <f>VLOOKUP(TableRBRanks3141[[#This Row],[Player]],RB!B:O,14,FALSE)</f>
        <v>160.63613698890239</v>
      </c>
      <c r="AB35" s="125">
        <f>IF(VLOOKUP(TableRBRanks3141[[#This Row],[RK]],'Ranks w Proj'!$P:$AB,13,FALSE)&lt;0,0,VLOOKUP(TableRBRanks3141[[#This Row],[RK]],'Ranks w Proj'!$P:$AB,13,FALSE))</f>
        <v>16.380990104713394</v>
      </c>
      <c r="AD35">
        <v>34</v>
      </c>
      <c r="AE35" t="str">
        <f>VLOOKUP(TableWRRanks3242[[#This Row],[RK]],Rankings!A:T,13,FALSE)</f>
        <v>Chris Godwin</v>
      </c>
      <c r="AF35" t="str">
        <f>IFERROR(INDEX(TableWRCalcPts[TM],MATCH(TableWRRanks3242[[#This Row],[Player]],TableWRCalcPts[PLAYER],0)),"")</f>
        <v>TB</v>
      </c>
      <c r="AG35">
        <f>IFERROR(INDEX(TableWRCalcPts[BYE],MATCH(TableWRRanks3242[[#This Row],[Player]],TableWRCalcPts[PLAYER],0)),"")</f>
        <v>5</v>
      </c>
      <c r="AH35" s="83">
        <f>VLOOKUP(TableWRRanks3242[[#This Row],[Player]],WR!B:O,4,FALSE)</f>
        <v>21.251872907999999</v>
      </c>
      <c r="AI35" s="83">
        <f>VLOOKUP(TableWRRanks3242[[#This Row],[Player]],WR!B:O,5,FALSE)</f>
        <v>0.1018053792</v>
      </c>
      <c r="AJ35" s="83">
        <f>VLOOKUP(TableWRRanks3242[[#This Row],[Player]],WR!B:O,6,FALSE)</f>
        <v>124.54069319999999</v>
      </c>
      <c r="AK35" s="83">
        <f>VLOOKUP(TableWRRanks3242[[#This Row],[Player]],WR!B:O,7,FALSE)</f>
        <v>79.706043647999991</v>
      </c>
      <c r="AL35" s="83">
        <f>VLOOKUP(TableWRRanks3242[[#This Row],[Player]],WR!B:O,8,FALSE)</f>
        <v>991.5431829811198</v>
      </c>
      <c r="AM35" s="83">
        <f>VLOOKUP(TableWRRanks3242[[#This Row],[Player]],WR!B:O,9,FALSE)</f>
        <v>5.1808928371199992</v>
      </c>
      <c r="AN35" s="57">
        <f>VLOOKUP(TableWRRanks3242[[#This Row],[Player]],WR!B:O,13,FALSE)</f>
        <v>172.82871671083197</v>
      </c>
      <c r="AO35" s="125">
        <f>IF(VLOOKUP(TableWRRanks3242[[#This Row],[RK]],'Ranks w Proj'!AD:AO,12,FALSE)&lt;0,0,VLOOKUP(TableWRRanks3242[[#This Row],[RK]],'Ranks w Proj'!AD:AO,12,FALSE))</f>
        <v>9.6832485318022332</v>
      </c>
      <c r="AQ35">
        <v>34</v>
      </c>
      <c r="AR35" t="str">
        <f>VLOOKUP(TableTERanks3343[[#This Row],[RK]],Rankings!A:T,18,FALSE)</f>
        <v>Dawson Knox</v>
      </c>
      <c r="AS35" t="str">
        <f>IFERROR(INDEX(TableTECalcPts[TM],MATCH(TableTERanks3343[[#This Row],[Player]],TableTECalcPts[PLAYER],0)),"")</f>
        <v>BUF</v>
      </c>
      <c r="AT35">
        <f>IFERROR(INDEX(TableTECalcPts[BYE],MATCH(TableTERanks3343[[#This Row],[Player]],TableTECalcPts[PLAYER],0)),"")</f>
        <v>13</v>
      </c>
      <c r="AU35" s="83">
        <f>VLOOKUP(TableTERanks3343[[#This Row],[Player]],TE!B:O,4,FALSE)</f>
        <v>42.516633599999992</v>
      </c>
      <c r="AV35" s="83">
        <f>VLOOKUP(TableTERanks3343[[#This Row],[Player]],TE!B:O,5,FALSE)</f>
        <v>26.785479167999995</v>
      </c>
      <c r="AW35" s="83">
        <f>VLOOKUP(TableTERanks3343[[#This Row],[Player]],TE!B:O,6,FALSE)</f>
        <v>289.01532022271994</v>
      </c>
      <c r="AX35" s="83">
        <f>VLOOKUP(TableTERanks3343[[#This Row],[Player]],TE!B:O,7,FALSE)</f>
        <v>2.6785479167999995</v>
      </c>
      <c r="AY35" s="57">
        <f>VLOOKUP(TableTERanks3343[[#This Row],[Player]],TE!B:O,11,FALSE)</f>
        <v>58.365559107071988</v>
      </c>
      <c r="AZ35" s="125">
        <f>IF(VLOOKUP(TableTERanks3343[[#This Row],[RK]],'Ranks w Proj'!AQ:AZ,10,FALSE)&lt;0,0,VLOOKUP(TableTERanks3343[[#This Row],[RK]],'Ranks w Proj'!AQ:AZ,10,FALSE))</f>
        <v>0</v>
      </c>
    </row>
    <row r="36" spans="1:52" x14ac:dyDescent="0.2">
      <c r="A36">
        <v>35</v>
      </c>
      <c r="B36" t="str">
        <f>VLOOKUP(TableQBRanks3040[[#This Row],[RK]],Rankings!A:T,3,FALSE)</f>
        <v>Drew Lock</v>
      </c>
      <c r="C36" t="str">
        <f>IFERROR(INDEX(TableQBCalcPts[TM],MATCH(TableQBRanks3040[[#This Row],[Player]],TableQBCalcPts[PLAYER],0)),"")</f>
        <v>NYG</v>
      </c>
      <c r="D36">
        <f>IFERROR(INDEX(TableQBCalcPts[BYE],MATCH(TableQBRanks3040[[#This Row],[Player]],TableQBCalcPts[PLAYER],0)),"")</f>
        <v>13</v>
      </c>
      <c r="E36" s="83">
        <f>VLOOKUP(TableQBRanks3040[[#This Row],[Player]],QB!B:O,4,FALSE)</f>
        <v>150.12599999999998</v>
      </c>
      <c r="F36" s="83">
        <f>VLOOKUP(TableQBRanks3040[[#This Row],[Player]],QB!B:O,5,FALSE)</f>
        <v>92.327489999999983</v>
      </c>
      <c r="G36" s="83">
        <f>VLOOKUP(TableQBRanks3040[[#This Row],[Player]],QB!B:O,6,FALSE)</f>
        <v>1019.1108346199999</v>
      </c>
      <c r="H36" s="83">
        <f>VLOOKUP(TableQBRanks3040[[#This Row],[Player]],QB!B:O,7,FALSE)</f>
        <v>5.4045359999999985</v>
      </c>
      <c r="I36" s="83">
        <f>VLOOKUP(TableQBRanks3040[[#This Row],[Player]],QB!B:O,8,FALSE)</f>
        <v>2.2158597599999998</v>
      </c>
      <c r="J36" s="83">
        <f>VLOOKUP(TableQBRanks3040[[#This Row],[Player]],QB!B:O,9,FALSE)</f>
        <v>8.7709216000000012</v>
      </c>
      <c r="K36" s="83">
        <f>VLOOKUP(TableQBRanks3040[[#This Row],[Player]],QB!B:O,10,FALSE)</f>
        <v>33.768048160000006</v>
      </c>
      <c r="L36" s="83">
        <f>VLOOKUP(TableQBRanks3040[[#This Row],[Player]],QB!B:O,11,FALSE)</f>
        <v>0.22804396160000001</v>
      </c>
      <c r="M36" s="57">
        <f>VLOOKUP(TableQBRanks3040[[#This Row],[Player]],QB!B:O,13,FALSE)</f>
        <v>64.911786210399995</v>
      </c>
      <c r="N36" s="125">
        <f>IF(VLOOKUP(TableQBRanks3040[[#This Row],[RK]],'Ranks w Proj'!$A:$N,14,FALSE)&lt;0,0,VLOOKUP(TableQBRanks3040[[#This Row],[RK]],'Ranks w Proj'!$A:$N,14,FALSE))</f>
        <v>0</v>
      </c>
      <c r="P36">
        <v>35</v>
      </c>
      <c r="Q36" t="str">
        <f>VLOOKUP(TableRBRanks3141[[#This Row],[RK]],Rankings!A:T,8,FALSE)</f>
        <v>Jaylen Warren</v>
      </c>
      <c r="R36" t="str">
        <f>IFERROR(INDEX(TableRBCalcPts[TM],MATCH(TableRBRanks3141[[#This Row],[Player]],TableRBCalcPts[PLAYER],0)),"")</f>
        <v>PIT</v>
      </c>
      <c r="S36">
        <f>IFERROR(INDEX(TableRBCalcPts[BYE],MATCH(TableRBRanks3141[[#This Row],[Player]],TableRBCalcPts[PLAYER],0)),"")</f>
        <v>6</v>
      </c>
      <c r="T36" s="83">
        <f>VLOOKUP(TableRBRanks3141[[#This Row],[Player]],RB!B:O,4,FALSE)</f>
        <v>148.33035000000001</v>
      </c>
      <c r="U36" s="83">
        <f>VLOOKUP(TableRBRanks3141[[#This Row],[Player]],RB!B:O,5,FALSE)</f>
        <v>700.11925199999996</v>
      </c>
      <c r="V36" s="83">
        <f>VLOOKUP(TableRBRanks3141[[#This Row],[Player]],RB!B:O,6,FALSE)</f>
        <v>4.4499105000000005</v>
      </c>
      <c r="W36" s="83">
        <f>VLOOKUP(TableRBRanks3141[[#This Row],[Player]],RB!B:O,7,FALSE)</f>
        <v>36.884504999999997</v>
      </c>
      <c r="X36" s="83">
        <f>VLOOKUP(TableRBRanks3141[[#This Row],[Player]],RB!B:O,8,FALSE)</f>
        <v>29.58137301</v>
      </c>
      <c r="Y36" s="83">
        <f>VLOOKUP(TableRBRanks3141[[#This Row],[Player]],RB!B:O,9,FALSE)</f>
        <v>209.73193464089999</v>
      </c>
      <c r="Z36" s="83">
        <f>VLOOKUP(TableRBRanks3141[[#This Row],[Player]],RB!B:O,10,FALSE)</f>
        <v>1.1832549204</v>
      </c>
      <c r="AA36" s="57">
        <f>VLOOKUP(TableRBRanks3141[[#This Row],[Player]],RB!B:O,14,FALSE)</f>
        <v>139.57479769148998</v>
      </c>
      <c r="AB36" s="125">
        <f>IF(VLOOKUP(TableRBRanks3141[[#This Row],[RK]],'Ranks w Proj'!$P:$AB,13,FALSE)&lt;0,0,VLOOKUP(TableRBRanks3141[[#This Row],[RK]],'Ranks w Proj'!$P:$AB,13,FALSE))</f>
        <v>14.100426495293547</v>
      </c>
      <c r="AD36">
        <v>35</v>
      </c>
      <c r="AE36" t="str">
        <f>VLOOKUP(TableWRRanks3242[[#This Row],[RK]],Rankings!A:T,13,FALSE)</f>
        <v>Calvin Ridley</v>
      </c>
      <c r="AF36" t="str">
        <f>IFERROR(INDEX(TableWRCalcPts[TM],MATCH(TableWRRanks3242[[#This Row],[Player]],TableWRCalcPts[PLAYER],0)),"")</f>
        <v>TEN</v>
      </c>
      <c r="AG36">
        <f>IFERROR(INDEX(TableWRCalcPts[BYE],MATCH(TableWRRanks3242[[#This Row],[Player]],TableWRCalcPts[PLAYER],0)),"")</f>
        <v>7</v>
      </c>
      <c r="AH36" s="83">
        <f>VLOOKUP(TableWRRanks3242[[#This Row],[Player]],WR!B:O,4,FALSE)</f>
        <v>0</v>
      </c>
      <c r="AI36" s="83">
        <f>VLOOKUP(TableWRRanks3242[[#This Row],[Player]],WR!B:O,5,FALSE)</f>
        <v>0</v>
      </c>
      <c r="AJ36" s="83">
        <f>VLOOKUP(TableWRRanks3242[[#This Row],[Player]],WR!B:O,6,FALSE)</f>
        <v>117.29717999999997</v>
      </c>
      <c r="AK36" s="83">
        <f>VLOOKUP(TableWRRanks3242[[#This Row],[Player]],WR!B:O,7,FALSE)</f>
        <v>65.803717979999988</v>
      </c>
      <c r="AL36" s="83">
        <f>VLOOKUP(TableWRRanks3242[[#This Row],[Player]],WR!B:O,8,FALSE)</f>
        <v>919.93597736039987</v>
      </c>
      <c r="AM36" s="83">
        <f>VLOOKUP(TableWRRanks3242[[#This Row],[Player]],WR!B:O,9,FALSE)</f>
        <v>4.9352788484999985</v>
      </c>
      <c r="AN36" s="57">
        <f>VLOOKUP(TableWRRanks3242[[#This Row],[Player]],WR!B:O,13,FALSE)</f>
        <v>154.50712981703998</v>
      </c>
      <c r="AO36" s="125">
        <f>IF(VLOOKUP(TableWRRanks3242[[#This Row],[RK]],'Ranks w Proj'!AD:AO,12,FALSE)&lt;0,0,VLOOKUP(TableWRRanks3242[[#This Row],[RK]],'Ranks w Proj'!AD:AO,12,FALSE))</f>
        <v>9.2449866199887865</v>
      </c>
      <c r="AQ36">
        <v>35</v>
      </c>
      <c r="AR36" t="str">
        <f>VLOOKUP(TableTERanks3343[[#This Row],[RK]],Rankings!A:T,18,FALSE)</f>
        <v>Donald Parham</v>
      </c>
      <c r="AS36" t="str">
        <f>IFERROR(INDEX(TableTECalcPts[TM],MATCH(TableTERanks3343[[#This Row],[Player]],TableTECalcPts[PLAYER],0)),"")</f>
        <v>LAC</v>
      </c>
      <c r="AT36">
        <f>IFERROR(INDEX(TableTECalcPts[BYE],MATCH(TableTERanks3343[[#This Row],[Player]],TableTECalcPts[PLAYER],0)),"")</f>
        <v>5</v>
      </c>
      <c r="AU36" s="83">
        <f>VLOOKUP(TableTERanks3343[[#This Row],[Player]],TE!B:O,4,FALSE)</f>
        <v>30.709902299999992</v>
      </c>
      <c r="AV36" s="83">
        <f>VLOOKUP(TableTERanks3343[[#This Row],[Player]],TE!B:O,5,FALSE)</f>
        <v>21.589061316899993</v>
      </c>
      <c r="AW36" s="83">
        <f>VLOOKUP(TableTERanks3343[[#This Row],[Player]],TE!B:O,6,FALSE)</f>
        <v>226.68514382744993</v>
      </c>
      <c r="AX36" s="83">
        <f>VLOOKUP(TableTERanks3343[[#This Row],[Player]],TE!B:O,7,FALSE)</f>
        <v>2.2668514382744993</v>
      </c>
      <c r="AY36" s="57">
        <f>VLOOKUP(TableTERanks3343[[#This Row],[Player]],TE!B:O,11,FALSE)</f>
        <v>47.064153670841982</v>
      </c>
      <c r="AZ36" s="125">
        <f>IF(VLOOKUP(TableTERanks3343[[#This Row],[RK]],'Ranks w Proj'!AQ:AZ,10,FALSE)&lt;0,0,VLOOKUP(TableTERanks3343[[#This Row],[RK]],'Ranks w Proj'!AQ:AZ,10,FALSE))</f>
        <v>0</v>
      </c>
    </row>
    <row r="37" spans="1:52" x14ac:dyDescent="0.2">
      <c r="A37">
        <v>36</v>
      </c>
      <c r="B37" t="str">
        <f>VLOOKUP(TableQBRanks3040[[#This Row],[RK]],Rankings!A:T,3,FALSE)</f>
        <v>Sam Howell</v>
      </c>
      <c r="C37" t="str">
        <f>IFERROR(INDEX(TableQBCalcPts[TM],MATCH(TableQBRanks3040[[#This Row],[Player]],TableQBCalcPts[PLAYER],0)),"")</f>
        <v>SEA</v>
      </c>
      <c r="D37">
        <f>IFERROR(INDEX(TableQBCalcPts[BYE],MATCH(TableQBRanks3040[[#This Row],[Player]],TableQBCalcPts[PLAYER],0)),"")</f>
        <v>5</v>
      </c>
      <c r="E37" s="83">
        <f>VLOOKUP(TableQBRanks3040[[#This Row],[Player]],QB!B:O,4,FALSE)</f>
        <v>59.232900000000001</v>
      </c>
      <c r="F37" s="83">
        <f>VLOOKUP(TableQBRanks3040[[#This Row],[Player]],QB!B:O,5,FALSE)</f>
        <v>37.435192800000003</v>
      </c>
      <c r="G37" s="83">
        <f>VLOOKUP(TableQBRanks3040[[#This Row],[Player]],QB!B:O,6,FALSE)</f>
        <v>404.82417493920002</v>
      </c>
      <c r="H37" s="83">
        <f>VLOOKUP(TableQBRanks3040[[#This Row],[Player]],QB!B:O,7,FALSE)</f>
        <v>2.4285489</v>
      </c>
      <c r="I37" s="83">
        <f>VLOOKUP(TableQBRanks3040[[#This Row],[Player]],QB!B:O,8,FALSE)</f>
        <v>1.0107502056000002</v>
      </c>
      <c r="J37" s="83">
        <f>VLOOKUP(TableQBRanks3040[[#This Row],[Player]],QB!B:O,9,FALSE)</f>
        <v>4.3969758000000008</v>
      </c>
      <c r="K37" s="83">
        <f>VLOOKUP(TableQBRanks3040[[#This Row],[Player]],QB!B:O,10,FALSE)</f>
        <v>22.864274160000004</v>
      </c>
      <c r="L37" s="83">
        <f>VLOOKUP(TableQBRanks3040[[#This Row],[Player]],QB!B:O,11,FALSE)</f>
        <v>8.7939516000000023E-2</v>
      </c>
      <c r="M37" s="57">
        <f>VLOOKUP(TableQBRanks3040[[#This Row],[Player]],QB!B:O,13,FALSE)</f>
        <v>27.710476903968001</v>
      </c>
      <c r="N37" s="125">
        <f>IF(VLOOKUP(TableQBRanks3040[[#This Row],[RK]],'Ranks w Proj'!$A:$N,14,FALSE)&lt;0,0,VLOOKUP(TableQBRanks3040[[#This Row],[RK]],'Ranks w Proj'!$A:$N,14,FALSE))</f>
        <v>0</v>
      </c>
      <c r="P37">
        <v>36</v>
      </c>
      <c r="Q37" t="str">
        <f>VLOOKUP(TableRBRanks3141[[#This Row],[RK]],Rankings!A:T,8,FALSE)</f>
        <v>Tyjae Spears</v>
      </c>
      <c r="R37" t="str">
        <f>IFERROR(INDEX(TableRBCalcPts[TM],MATCH(TableRBRanks3141[[#This Row],[Player]],TableRBCalcPts[PLAYER],0)),"")</f>
        <v>TEN</v>
      </c>
      <c r="S37">
        <f>IFERROR(INDEX(TableRBCalcPts[BYE],MATCH(TableRBRanks3141[[#This Row],[Player]],TableRBCalcPts[PLAYER],0)),"")</f>
        <v>7</v>
      </c>
      <c r="T37" s="83">
        <f>VLOOKUP(TableRBRanks3141[[#This Row],[Player]],RB!B:O,4,FALSE)</f>
        <v>166.42164000000002</v>
      </c>
      <c r="U37" s="83">
        <f>VLOOKUP(TableRBRanks3141[[#This Row],[Player]],RB!B:O,5,FALSE)</f>
        <v>722.2699176000001</v>
      </c>
      <c r="V37" s="83">
        <f>VLOOKUP(TableRBRanks3141[[#This Row],[Player]],RB!B:O,6,FALSE)</f>
        <v>5.4919141200000015</v>
      </c>
      <c r="W37" s="83">
        <f>VLOOKUP(TableRBRanks3141[[#This Row],[Player]],RB!B:O,7,FALSE)</f>
        <v>64.51344899999998</v>
      </c>
      <c r="X37" s="83">
        <f>VLOOKUP(TableRBRanks3141[[#This Row],[Player]],RB!B:O,8,FALSE)</f>
        <v>48.707653994999987</v>
      </c>
      <c r="Y37" s="83">
        <f>VLOOKUP(TableRBRanks3141[[#This Row],[Player]],RB!B:O,9,FALSE)</f>
        <v>385.27754310044992</v>
      </c>
      <c r="Z37" s="83">
        <f>VLOOKUP(TableRBRanks3141[[#This Row],[Player]],RB!B:O,10,FALSE)</f>
        <v>1.9483061597999995</v>
      </c>
      <c r="AA37" s="57">
        <f>VLOOKUP(TableRBRanks3141[[#This Row],[Player]],RB!B:O,14,FALSE)</f>
        <v>179.74989474634501</v>
      </c>
      <c r="AB37" s="125">
        <f>IF(VLOOKUP(TableRBRanks3141[[#This Row],[RK]],'Ranks w Proj'!$P:$AB,13,FALSE)&lt;0,0,VLOOKUP(TableRBRanks3141[[#This Row],[RK]],'Ranks w Proj'!$P:$AB,13,FALSE))</f>
        <v>12.353892068919272</v>
      </c>
      <c r="AD37">
        <v>36</v>
      </c>
      <c r="AE37" t="str">
        <f>VLOOKUP(TableWRRanks3242[[#This Row],[RK]],Rankings!A:T,13,FALSE)</f>
        <v>Zay Flowers</v>
      </c>
      <c r="AF37" t="str">
        <f>IFERROR(INDEX(TableWRCalcPts[TM],MATCH(TableWRRanks3242[[#This Row],[Player]],TableWRCalcPts[PLAYER],0)),"")</f>
        <v>BAL</v>
      </c>
      <c r="AG37">
        <f>IFERROR(INDEX(TableWRCalcPts[BYE],MATCH(TableWRRanks3242[[#This Row],[Player]],TableWRCalcPts[PLAYER],0)),"")</f>
        <v>13</v>
      </c>
      <c r="AH37" s="83">
        <f>VLOOKUP(TableWRRanks3242[[#This Row],[Player]],WR!B:O,4,FALSE)</f>
        <v>41.826687335999992</v>
      </c>
      <c r="AI37" s="83">
        <f>VLOOKUP(TableWRRanks3242[[#This Row],[Player]],WR!B:O,5,FALSE)</f>
        <v>0.35446345199999996</v>
      </c>
      <c r="AJ37" s="83">
        <f>VLOOKUP(TableWRRanks3242[[#This Row],[Player]],WR!B:O,6,FALSE)</f>
        <v>113.81002640000001</v>
      </c>
      <c r="AK37" s="83">
        <f>VLOOKUP(TableWRRanks3242[[#This Row],[Player]],WR!B:O,7,FALSE)</f>
        <v>78.07367811040001</v>
      </c>
      <c r="AL37" s="83">
        <f>VLOOKUP(TableWRRanks3242[[#This Row],[Player]],WR!B:O,8,FALSE)</f>
        <v>911.90056032947211</v>
      </c>
      <c r="AM37" s="83">
        <f>VLOOKUP(TableWRRanks3242[[#This Row],[Player]],WR!B:O,9,FALSE)</f>
        <v>5.8555258582800009</v>
      </c>
      <c r="AN37" s="57">
        <f>VLOOKUP(TableWRRanks3242[[#This Row],[Player]],WR!B:O,13,FALSE)</f>
        <v>171.6694996834272</v>
      </c>
      <c r="AO37" s="125">
        <f>IF(VLOOKUP(TableWRRanks3242[[#This Row],[RK]],'Ranks w Proj'!AD:AO,12,FALSE)&lt;0,0,VLOOKUP(TableWRRanks3242[[#This Row],[RK]],'Ranks w Proj'!AD:AO,12,FALSE))</f>
        <v>9.1970917131690779</v>
      </c>
      <c r="AQ37">
        <v>36</v>
      </c>
      <c r="AR37" t="str">
        <f>VLOOKUP(TableTERanks3343[[#This Row],[RK]],Rankings!A:T,18,FALSE)</f>
        <v>Mike Gesicki</v>
      </c>
      <c r="AS37" t="str">
        <f>IFERROR(INDEX(TableTECalcPts[TM],MATCH(TableTERanks3343[[#This Row],[Player]],TableTECalcPts[PLAYER],0)),"")</f>
        <v>CIN</v>
      </c>
      <c r="AT37">
        <f>IFERROR(INDEX(TableTECalcPts[BYE],MATCH(TableTERanks3343[[#This Row],[Player]],TableTECalcPts[PLAYER],0)),"")</f>
        <v>7</v>
      </c>
      <c r="AU37" s="83">
        <f>VLOOKUP(TableTERanks3343[[#This Row],[Player]],TE!B:O,4,FALSE)</f>
        <v>49.885449599999994</v>
      </c>
      <c r="AV37" s="83">
        <f>VLOOKUP(TableTERanks3343[[#This Row],[Player]],TE!B:O,5,FALSE)</f>
        <v>35.219127417599992</v>
      </c>
      <c r="AW37" s="83">
        <f>VLOOKUP(TableTERanks3343[[#This Row],[Player]],TE!B:O,6,FALSE)</f>
        <v>345.14744869247994</v>
      </c>
      <c r="AX37" s="83">
        <f>VLOOKUP(TableTERanks3343[[#This Row],[Player]],TE!B:O,7,FALSE)</f>
        <v>2.6414345563199992</v>
      </c>
      <c r="AY37" s="57">
        <f>VLOOKUP(TableTERanks3343[[#This Row],[Player]],TE!B:O,11,FALSE)</f>
        <v>67.972915915967988</v>
      </c>
      <c r="AZ37" s="125">
        <f>IF(VLOOKUP(TableTERanks3343[[#This Row],[RK]],'Ranks w Proj'!AQ:AZ,10,FALSE)&lt;0,0,VLOOKUP(TableTERanks3343[[#This Row],[RK]],'Ranks w Proj'!AQ:AZ,10,FALSE))</f>
        <v>0</v>
      </c>
    </row>
    <row r="38" spans="1:52" x14ac:dyDescent="0.2">
      <c r="A38">
        <v>37</v>
      </c>
      <c r="B38" t="str">
        <f>VLOOKUP(TableQBRanks3040[[#This Row],[RK]],Rankings!A:T,3,FALSE)</f>
        <v>Zach Wilson</v>
      </c>
      <c r="C38" t="str">
        <f>IFERROR(INDEX(TableQBCalcPts[TM],MATCH(TableQBRanks3040[[#This Row],[Player]],TableQBCalcPts[PLAYER],0)),"")</f>
        <v>DEN</v>
      </c>
      <c r="D38">
        <f>IFERROR(INDEX(TableQBCalcPts[BYE],MATCH(TableQBRanks3040[[#This Row],[Player]],TableQBCalcPts[PLAYER],0)),"")</f>
        <v>9</v>
      </c>
      <c r="E38" s="83">
        <f>VLOOKUP(TableQBRanks3040[[#This Row],[Player]],QB!B:O,4,FALSE)</f>
        <v>87.377249999999989</v>
      </c>
      <c r="F38" s="83">
        <f>VLOOKUP(TableQBRanks3040[[#This Row],[Player]],QB!B:O,5,FALSE)</f>
        <v>51.72733199999999</v>
      </c>
      <c r="G38" s="83">
        <f>VLOOKUP(TableQBRanks3040[[#This Row],[Player]],QB!B:O,6,FALSE)</f>
        <v>555.55154567999989</v>
      </c>
      <c r="H38" s="83">
        <f>VLOOKUP(TableQBRanks3040[[#This Row],[Player]],QB!B:O,7,FALSE)</f>
        <v>3.1455809999999995</v>
      </c>
      <c r="I38" s="83">
        <f>VLOOKUP(TableQBRanks3040[[#This Row],[Player]],QB!B:O,8,FALSE)</f>
        <v>1.2931832999999999</v>
      </c>
      <c r="J38" s="83">
        <f>VLOOKUP(TableQBRanks3040[[#This Row],[Player]],QB!B:O,9,FALSE)</f>
        <v>4.3951530000000005</v>
      </c>
      <c r="K38" s="83">
        <f>VLOOKUP(TableQBRanks3040[[#This Row],[Player]],QB!B:O,10,FALSE)</f>
        <v>19.558430850000004</v>
      </c>
      <c r="L38" s="83">
        <f>VLOOKUP(TableQBRanks3040[[#This Row],[Player]],QB!B:O,11,FALSE)</f>
        <v>0.12306428400000002</v>
      </c>
      <c r="M38" s="57">
        <f>VLOOKUP(TableQBRanks3040[[#This Row],[Player]],QB!B:O,13,FALSE)</f>
        <v>36.205431316199991</v>
      </c>
      <c r="N38" s="125">
        <f>IF(VLOOKUP(TableQBRanks3040[[#This Row],[RK]],'Ranks w Proj'!$A:$N,14,FALSE)&lt;0,0,VLOOKUP(TableQBRanks3040[[#This Row],[RK]],'Ranks w Proj'!$A:$N,14,FALSE))</f>
        <v>0</v>
      </c>
      <c r="P38">
        <v>37</v>
      </c>
      <c r="Q38" t="str">
        <f>VLOOKUP(TableRBRanks3141[[#This Row],[RK]],Rankings!A:T,8,FALSE)</f>
        <v>Chuba Hubbard</v>
      </c>
      <c r="R38" t="str">
        <f>IFERROR(INDEX(TableRBCalcPts[TM],MATCH(TableRBRanks3141[[#This Row],[Player]],TableRBCalcPts[PLAYER],0)),"")</f>
        <v>CAR</v>
      </c>
      <c r="S38">
        <f>IFERROR(INDEX(TableRBCalcPts[BYE],MATCH(TableRBRanks3141[[#This Row],[Player]],TableRBCalcPts[PLAYER],0)),"")</f>
        <v>7</v>
      </c>
      <c r="T38" s="83">
        <f>VLOOKUP(TableRBRanks3141[[#This Row],[Player]],RB!B:O,4,FALSE)</f>
        <v>178.36392000000004</v>
      </c>
      <c r="U38" s="83">
        <f>VLOOKUP(TableRBRanks3141[[#This Row],[Player]],RB!B:O,5,FALSE)</f>
        <v>734.85935040000015</v>
      </c>
      <c r="V38" s="83">
        <f>VLOOKUP(TableRBRanks3141[[#This Row],[Player]],RB!B:O,6,FALSE)</f>
        <v>5.3509176000000007</v>
      </c>
      <c r="W38" s="83">
        <f>VLOOKUP(TableRBRanks3141[[#This Row],[Player]],RB!B:O,7,FALSE)</f>
        <v>46.333615999999992</v>
      </c>
      <c r="X38" s="83">
        <f>VLOOKUP(TableRBRanks3141[[#This Row],[Player]],RB!B:O,8,FALSE)</f>
        <v>35.445216239999993</v>
      </c>
      <c r="Y38" s="83">
        <f>VLOOKUP(TableRBRanks3141[[#This Row],[Player]],RB!B:O,9,FALSE)</f>
        <v>257.33226990239996</v>
      </c>
      <c r="Z38" s="83">
        <f>VLOOKUP(TableRBRanks3141[[#This Row],[Player]],RB!B:O,10,FALSE)</f>
        <v>1.0633564871999999</v>
      </c>
      <c r="AA38" s="57">
        <f>VLOOKUP(TableRBRanks3141[[#This Row],[Player]],RB!B:O,14,FALSE)</f>
        <v>155.42741467344004</v>
      </c>
      <c r="AB38" s="125">
        <f>IF(VLOOKUP(TableRBRanks3141[[#This Row],[RK]],'Ranks w Proj'!$P:$AB,13,FALSE)&lt;0,0,VLOOKUP(TableRBRanks3141[[#This Row],[RK]],'Ranks w Proj'!$P:$AB,13,FALSE))</f>
        <v>11.775833976611134</v>
      </c>
      <c r="AD38">
        <v>37</v>
      </c>
      <c r="AE38" t="str">
        <f>VLOOKUP(TableWRRanks3242[[#This Row],[RK]],Rankings!A:T,13,FALSE)</f>
        <v>Courtland Sutton</v>
      </c>
      <c r="AF38" t="str">
        <f>IFERROR(INDEX(TableWRCalcPts[TM],MATCH(TableWRRanks3242[[#This Row],[Player]],TableWRCalcPts[PLAYER],0)),"")</f>
        <v>DEN</v>
      </c>
      <c r="AG38">
        <f>IFERROR(INDEX(TableWRCalcPts[BYE],MATCH(TableWRRanks3242[[#This Row],[Player]],TableWRCalcPts[PLAYER],0)),"")</f>
        <v>9</v>
      </c>
      <c r="AH38" s="83">
        <f>VLOOKUP(TableWRRanks3242[[#This Row],[Player]],WR!B:O,4,FALSE)</f>
        <v>0</v>
      </c>
      <c r="AI38" s="83">
        <f>VLOOKUP(TableWRRanks3242[[#This Row],[Player]],WR!B:O,5,FALSE)</f>
        <v>0</v>
      </c>
      <c r="AJ38" s="83">
        <f>VLOOKUP(TableWRRanks3242[[#This Row],[Player]],WR!B:O,6,FALSE)</f>
        <v>131.29888099999999</v>
      </c>
      <c r="AK38" s="83">
        <f>VLOOKUP(TableWRRanks3242[[#This Row],[Player]],WR!B:O,7,FALSE)</f>
        <v>79.435823004999989</v>
      </c>
      <c r="AL38" s="83">
        <f>VLOOKUP(TableWRRanks3242[[#This Row],[Player]],WR!B:O,8,FALSE)</f>
        <v>957.99602544029995</v>
      </c>
      <c r="AM38" s="83">
        <f>VLOOKUP(TableWRRanks3242[[#This Row],[Player]],WR!B:O,9,FALSE)</f>
        <v>6.7520449554249993</v>
      </c>
      <c r="AN38" s="57">
        <f>VLOOKUP(TableWRRanks3242[[#This Row],[Player]],WR!B:O,13,FALSE)</f>
        <v>176.02978377907999</v>
      </c>
      <c r="AO38" s="125">
        <f>IF(VLOOKUP(TableWRRanks3242[[#This Row],[RK]],'Ranks w Proj'!AD:AO,12,FALSE)&lt;0,0,VLOOKUP(TableWRRanks3242[[#This Row],[RK]],'Ranks w Proj'!AD:AO,12,FALSE))</f>
        <v>8.8220334130767597</v>
      </c>
      <c r="AQ38">
        <v>37</v>
      </c>
      <c r="AR38" t="str">
        <f>VLOOKUP(TableTERanks3343[[#This Row],[RK]],Rankings!A:T,18,FALSE)</f>
        <v>Colby Parkinson</v>
      </c>
      <c r="AS38" t="str">
        <f>IFERROR(INDEX(TableTECalcPts[TM],MATCH(TableTERanks3343[[#This Row],[Player]],TableTECalcPts[PLAYER],0)),"")</f>
        <v>LAR</v>
      </c>
      <c r="AT38">
        <f>IFERROR(INDEX(TableTECalcPts[BYE],MATCH(TableTERanks3343[[#This Row],[Player]],TableTECalcPts[PLAYER],0)),"")</f>
        <v>10</v>
      </c>
      <c r="AU38" s="83">
        <f>VLOOKUP(TableTERanks3343[[#This Row],[Player]],TE!B:O,4,FALSE)</f>
        <v>42.264048399999993</v>
      </c>
      <c r="AV38" s="83">
        <f>VLOOKUP(TableTERanks3343[[#This Row],[Player]],TE!B:O,5,FALSE)</f>
        <v>27.978800040799996</v>
      </c>
      <c r="AW38" s="83">
        <f>VLOOKUP(TableTERanks3343[[#This Row],[Player]],TE!B:O,6,FALSE)</f>
        <v>280.90715240963192</v>
      </c>
      <c r="AX38" s="83">
        <f>VLOOKUP(TableTERanks3343[[#This Row],[Player]],TE!B:O,7,FALSE)</f>
        <v>2.2383040032639996</v>
      </c>
      <c r="AY38" s="57">
        <f>VLOOKUP(TableTERanks3343[[#This Row],[Player]],TE!B:O,11,FALSE)</f>
        <v>55.509939280947187</v>
      </c>
      <c r="AZ38" s="125">
        <f>IF(VLOOKUP(TableTERanks3343[[#This Row],[RK]],'Ranks w Proj'!AQ:AZ,10,FALSE)&lt;0,0,VLOOKUP(TableTERanks3343[[#This Row],[RK]],'Ranks w Proj'!AQ:AZ,10,FALSE))</f>
        <v>0</v>
      </c>
    </row>
    <row r="39" spans="1:52" x14ac:dyDescent="0.2">
      <c r="A39">
        <v>38</v>
      </c>
      <c r="B39" t="str">
        <f>VLOOKUP(TableQBRanks3040[[#This Row],[RK]],Rankings!A:T,3,FALSE)</f>
        <v>Jacoby Brissett</v>
      </c>
      <c r="C39" t="str">
        <f>IFERROR(INDEX(TableQBCalcPts[TM],MATCH(TableQBRanks3040[[#This Row],[Player]],TableQBCalcPts[PLAYER],0)),"")</f>
        <v>NE</v>
      </c>
      <c r="D39">
        <f>IFERROR(INDEX(TableQBCalcPts[BYE],MATCH(TableQBRanks3040[[#This Row],[Player]],TableQBCalcPts[PLAYER],0)),"")</f>
        <v>11</v>
      </c>
      <c r="E39" s="83">
        <f>VLOOKUP(TableQBRanks3040[[#This Row],[Player]],QB!B:O,4,FALSE)</f>
        <v>101.22909999999999</v>
      </c>
      <c r="F39" s="83">
        <f>VLOOKUP(TableQBRanks3040[[#This Row],[Player]],QB!B:O,5,FALSE)</f>
        <v>63.673103899999994</v>
      </c>
      <c r="G39" s="83">
        <f>VLOOKUP(TableQBRanks3040[[#This Row],[Player]],QB!B:O,6,FALSE)</f>
        <v>671.68757304109988</v>
      </c>
      <c r="H39" s="83">
        <f>VLOOKUP(TableQBRanks3040[[#This Row],[Player]],QB!B:O,7,FALSE)</f>
        <v>3.2393311999999996</v>
      </c>
      <c r="I39" s="83">
        <f>VLOOKUP(TableQBRanks3040[[#This Row],[Player]],QB!B:O,8,FALSE)</f>
        <v>1.0824427663</v>
      </c>
      <c r="J39" s="83">
        <f>VLOOKUP(TableQBRanks3040[[#This Row],[Player]],QB!B:O,9,FALSE)</f>
        <v>0</v>
      </c>
      <c r="K39" s="83">
        <f>VLOOKUP(TableQBRanks3040[[#This Row],[Player]],QB!B:O,10,FALSE)</f>
        <v>0</v>
      </c>
      <c r="L39" s="83">
        <f>VLOOKUP(TableQBRanks3040[[#This Row],[Player]],QB!B:O,11,FALSE)</f>
        <v>0</v>
      </c>
      <c r="M39" s="57">
        <f>VLOOKUP(TableQBRanks3040[[#This Row],[Player]],QB!B:O,13,FALSE)</f>
        <v>38.742384955344001</v>
      </c>
      <c r="N39" s="125">
        <f>IF(VLOOKUP(TableQBRanks3040[[#This Row],[RK]],'Ranks w Proj'!$A:$N,14,FALSE)&lt;0,0,VLOOKUP(TableQBRanks3040[[#This Row],[RK]],'Ranks w Proj'!$A:$N,14,FALSE))</f>
        <v>0</v>
      </c>
      <c r="P39">
        <v>38</v>
      </c>
      <c r="Q39" t="str">
        <f>VLOOKUP(TableRBRanks3141[[#This Row],[RK]],Rankings!A:T,8,FALSE)</f>
        <v>Zach Charbonnet</v>
      </c>
      <c r="R39" t="str">
        <f>IFERROR(INDEX(TableRBCalcPts[TM],MATCH(TableRBRanks3141[[#This Row],[Player]],TableRBCalcPts[PLAYER],0)),"")</f>
        <v>SEA</v>
      </c>
      <c r="S39">
        <f>IFERROR(INDEX(TableRBCalcPts[BYE],MATCH(TableRBRanks3141[[#This Row],[Player]],TableRBCalcPts[PLAYER],0)),"")</f>
        <v>5</v>
      </c>
      <c r="T39" s="83">
        <f>VLOOKUP(TableRBRanks3141[[#This Row],[Player]],RB!B:O,4,FALSE)</f>
        <v>140.70322560000002</v>
      </c>
      <c r="U39" s="83">
        <f>VLOOKUP(TableRBRanks3141[[#This Row],[Player]],RB!B:O,5,FALSE)</f>
        <v>609.2449668480001</v>
      </c>
      <c r="V39" s="83">
        <f>VLOOKUP(TableRBRanks3141[[#This Row],[Player]],RB!B:O,6,FALSE)</f>
        <v>4.2210967680000007</v>
      </c>
      <c r="W39" s="83">
        <f>VLOOKUP(TableRBRanks3141[[#This Row],[Player]],RB!B:O,7,FALSE)</f>
        <v>49.341005699999997</v>
      </c>
      <c r="X39" s="83">
        <f>VLOOKUP(TableRBRanks3141[[#This Row],[Player]],RB!B:O,8,FALSE)</f>
        <v>39.226099531499997</v>
      </c>
      <c r="Y39" s="83">
        <f>VLOOKUP(TableRBRanks3141[[#This Row],[Player]],RB!B:O,9,FALSE)</f>
        <v>282.03565563148499</v>
      </c>
      <c r="Z39" s="83">
        <f>VLOOKUP(TableRBRanks3141[[#This Row],[Player]],RB!B:O,10,FALSE)</f>
        <v>1.1767829859449999</v>
      </c>
      <c r="AA39" s="57">
        <f>VLOOKUP(TableRBRanks3141[[#This Row],[Player]],RB!B:O,14,FALSE)</f>
        <v>141.12839053736855</v>
      </c>
      <c r="AB39" s="125">
        <f>IF(VLOOKUP(TableRBRanks3141[[#This Row],[RK]],'Ranks w Proj'!$P:$AB,13,FALSE)&lt;0,0,VLOOKUP(TableRBRanks3141[[#This Row],[RK]],'Ranks w Proj'!$P:$AB,13,FALSE))</f>
        <v>11.131882884893068</v>
      </c>
      <c r="AD39">
        <v>38</v>
      </c>
      <c r="AE39" t="str">
        <f>VLOOKUP(TableWRRanks3242[[#This Row],[RK]],Rankings!A:T,13,FALSE)</f>
        <v>Diontae Johnson</v>
      </c>
      <c r="AF39" t="str">
        <f>IFERROR(INDEX(TableWRCalcPts[TM],MATCH(TableWRRanks3242[[#This Row],[Player]],TableWRCalcPts[PLAYER],0)),"")</f>
        <v>CAR</v>
      </c>
      <c r="AG39">
        <f>IFERROR(INDEX(TableWRCalcPts[BYE],MATCH(TableWRRanks3242[[#This Row],[Player]],TableWRCalcPts[PLAYER],0)),"")</f>
        <v>7</v>
      </c>
      <c r="AH39" s="83">
        <f>VLOOKUP(TableWRRanks3242[[#This Row],[Player]],WR!B:O,4,FALSE)</f>
        <v>0</v>
      </c>
      <c r="AI39" s="83">
        <f>VLOOKUP(TableWRRanks3242[[#This Row],[Player]],WR!B:O,5,FALSE)</f>
        <v>0</v>
      </c>
      <c r="AJ39" s="83">
        <f>VLOOKUP(TableWRRanks3242[[#This Row],[Player]],WR!B:O,6,FALSE)</f>
        <v>121.62574199999997</v>
      </c>
      <c r="AK39" s="83">
        <f>VLOOKUP(TableWRRanks3242[[#This Row],[Player]],WR!B:O,7,FALSE)</f>
        <v>73.340322425999986</v>
      </c>
      <c r="AL39" s="83">
        <f>VLOOKUP(TableWRRanks3242[[#This Row],[Player]],WR!B:O,8,FALSE)</f>
        <v>905.01957873683978</v>
      </c>
      <c r="AM39" s="83">
        <f>VLOOKUP(TableWRRanks3242[[#This Row],[Player]],WR!B:O,9,FALSE)</f>
        <v>4.9871419249679994</v>
      </c>
      <c r="AN39" s="57">
        <f>VLOOKUP(TableWRRanks3242[[#This Row],[Player]],WR!B:O,13,FALSE)</f>
        <v>157.09497063649198</v>
      </c>
      <c r="AO39" s="125">
        <f>IF(VLOOKUP(TableWRRanks3242[[#This Row],[RK]],'Ranks w Proj'!AD:AO,12,FALSE)&lt;0,0,VLOOKUP(TableWRRanks3242[[#This Row],[RK]],'Ranks w Proj'!AD:AO,12,FALSE))</f>
        <v>8.4994400261351295</v>
      </c>
      <c r="AQ39">
        <v>38</v>
      </c>
      <c r="AR39" t="str">
        <f>VLOOKUP(TableTERanks3343[[#This Row],[RK]],Rankings!A:T,18,FALSE)</f>
        <v>Gerald Everett</v>
      </c>
      <c r="AS39" t="str">
        <f>IFERROR(INDEX(TableTECalcPts[TM],MATCH(TableTERanks3343[[#This Row],[Player]],TableTECalcPts[PLAYER],0)),"")</f>
        <v>CHI</v>
      </c>
      <c r="AT39">
        <f>IFERROR(INDEX(TableTECalcPts[BYE],MATCH(TableTERanks3343[[#This Row],[Player]],TableTECalcPts[PLAYER],0)),"")</f>
        <v>13</v>
      </c>
      <c r="AU39" s="83">
        <f>VLOOKUP(TableTERanks3343[[#This Row],[Player]],TE!B:O,4,FALSE)</f>
        <v>22.672339199999993</v>
      </c>
      <c r="AV39" s="83">
        <f>VLOOKUP(TableTERanks3343[[#This Row],[Player]],TE!B:O,5,FALSE)</f>
        <v>14.737020479999996</v>
      </c>
      <c r="AW39" s="83">
        <f>VLOOKUP(TableTERanks3343[[#This Row],[Player]],TE!B:O,6,FALSE)</f>
        <v>157.68611913599995</v>
      </c>
      <c r="AX39" s="83">
        <f>VLOOKUP(TableTERanks3343[[#This Row],[Player]],TE!B:O,7,FALSE)</f>
        <v>1.3263318431999995</v>
      </c>
      <c r="AY39" s="57">
        <f>VLOOKUP(TableTERanks3343[[#This Row],[Player]],TE!B:O,11,FALSE)</f>
        <v>31.095113212799991</v>
      </c>
      <c r="AZ39" s="125">
        <f>IF(VLOOKUP(TableTERanks3343[[#This Row],[RK]],'Ranks w Proj'!AQ:AZ,10,FALSE)&lt;0,0,VLOOKUP(TableTERanks3343[[#This Row],[RK]],'Ranks w Proj'!AQ:AZ,10,FALSE))</f>
        <v>0</v>
      </c>
    </row>
    <row r="40" spans="1:52" x14ac:dyDescent="0.2">
      <c r="A40">
        <v>39</v>
      </c>
      <c r="B40" t="str">
        <f>VLOOKUP(TableQBRanks3040[[#This Row],[RK]],Rankings!A:T,3,FALSE)</f>
        <v>Desmond Ridder</v>
      </c>
      <c r="C40" t="str">
        <f>IFERROR(INDEX(TableQBCalcPts[TM],MATCH(TableQBRanks3040[[#This Row],[Player]],TableQBCalcPts[PLAYER],0)),"")</f>
        <v>ARI</v>
      </c>
      <c r="D40">
        <f>IFERROR(INDEX(TableQBCalcPts[BYE],MATCH(TableQBRanks3040[[#This Row],[Player]],TableQBCalcPts[PLAYER],0)),"")</f>
        <v>14</v>
      </c>
      <c r="E40" s="83">
        <f>VLOOKUP(TableQBRanks3040[[#This Row],[Player]],QB!B:O,4,FALSE)</f>
        <v>42.120750000000001</v>
      </c>
      <c r="F40" s="83">
        <f>VLOOKUP(TableQBRanks3040[[#This Row],[Player]],QB!B:O,5,FALSE)</f>
        <v>27.67333275</v>
      </c>
      <c r="G40" s="83">
        <f>VLOOKUP(TableQBRanks3040[[#This Row],[Player]],QB!B:O,6,FALSE)</f>
        <v>304.40666025000002</v>
      </c>
      <c r="H40" s="83">
        <f>VLOOKUP(TableQBRanks3040[[#This Row],[Player]],QB!B:O,7,FALSE)</f>
        <v>1.7690715000000001</v>
      </c>
      <c r="I40" s="83">
        <f>VLOOKUP(TableQBRanks3040[[#This Row],[Player]],QB!B:O,8,FALSE)</f>
        <v>0.69183331875000009</v>
      </c>
      <c r="J40" s="83">
        <f>VLOOKUP(TableQBRanks3040[[#This Row],[Player]],QB!B:O,9,FALSE)</f>
        <v>0</v>
      </c>
      <c r="K40" s="83">
        <f>VLOOKUP(TableQBRanks3040[[#This Row],[Player]],QB!B:O,10,FALSE)</f>
        <v>0</v>
      </c>
      <c r="L40" s="83">
        <f>VLOOKUP(TableQBRanks3040[[#This Row],[Player]],QB!B:O,11,FALSE)</f>
        <v>0</v>
      </c>
      <c r="M40" s="57">
        <f>VLOOKUP(TableQBRanks3040[[#This Row],[Player]],QB!B:O,13,FALSE)</f>
        <v>18.56071909125</v>
      </c>
      <c r="N40" s="125">
        <f>IF(VLOOKUP(TableQBRanks3040[[#This Row],[RK]],'Ranks w Proj'!$A:$N,14,FALSE)&lt;0,0,VLOOKUP(TableQBRanks3040[[#This Row],[RK]],'Ranks w Proj'!$A:$N,14,FALSE))</f>
        <v>0</v>
      </c>
      <c r="P40">
        <v>39</v>
      </c>
      <c r="Q40" t="str">
        <f>VLOOKUP(TableRBRanks3141[[#This Row],[RK]],Rankings!A:T,8,FALSE)</f>
        <v>Trey Benson</v>
      </c>
      <c r="R40" t="str">
        <f>IFERROR(INDEX(TableRBCalcPts[TM],MATCH(TableRBRanks3141[[#This Row],[Player]],TableRBCalcPts[PLAYER],0)),"")</f>
        <v>ARI</v>
      </c>
      <c r="S40">
        <f>IFERROR(INDEX(TableRBCalcPts[BYE],MATCH(TableRBRanks3141[[#This Row],[Player]],TableRBCalcPts[PLAYER],0)),"")</f>
        <v>14</v>
      </c>
      <c r="T40" s="83">
        <f>VLOOKUP(TableRBRanks3141[[#This Row],[Player]],RB!B:O,4,FALSE)</f>
        <v>140.74294500000002</v>
      </c>
      <c r="U40" s="83">
        <f>VLOOKUP(TableRBRanks3141[[#This Row],[Player]],RB!B:O,5,FALSE)</f>
        <v>610.82438130000003</v>
      </c>
      <c r="V40" s="83">
        <f>VLOOKUP(TableRBRanks3141[[#This Row],[Player]],RB!B:O,6,FALSE)</f>
        <v>4.6445171850000007</v>
      </c>
      <c r="W40" s="83">
        <f>VLOOKUP(TableRBRanks3141[[#This Row],[Player]],RB!B:O,7,FALSE)</f>
        <v>23.587620000000001</v>
      </c>
      <c r="X40" s="83">
        <f>VLOOKUP(TableRBRanks3141[[#This Row],[Player]],RB!B:O,8,FALSE)</f>
        <v>17.619952140000002</v>
      </c>
      <c r="Y40" s="83">
        <f>VLOOKUP(TableRBRanks3141[[#This Row],[Player]],RB!B:O,9,FALSE)</f>
        <v>124.57306162980002</v>
      </c>
      <c r="Z40" s="83">
        <f>VLOOKUP(TableRBRanks3141[[#This Row],[Player]],RB!B:O,10,FALSE)</f>
        <v>0.59907837276000009</v>
      </c>
      <c r="AA40" s="57">
        <f>VLOOKUP(TableRBRanks3141[[#This Row],[Player]],RB!B:O,14,FALSE)</f>
        <v>113.81129370954001</v>
      </c>
      <c r="AB40" s="125">
        <f>IF(VLOOKUP(TableRBRanks3141[[#This Row],[RK]],'Ranks w Proj'!$P:$AB,13,FALSE)&lt;0,0,VLOOKUP(TableRBRanks3141[[#This Row],[RK]],'Ranks w Proj'!$P:$AB,13,FALSE))</f>
        <v>4.0982548478057454</v>
      </c>
      <c r="AD40">
        <v>39</v>
      </c>
      <c r="AE40" t="str">
        <f>VLOOKUP(TableWRRanks3242[[#This Row],[RK]],Rankings!A:T,13,FALSE)</f>
        <v>Jameson Williams</v>
      </c>
      <c r="AF40" t="str">
        <f>IFERROR(INDEX(TableWRCalcPts[TM],MATCH(TableWRRanks3242[[#This Row],[Player]],TableWRCalcPts[PLAYER],0)),"")</f>
        <v>DET</v>
      </c>
      <c r="AG40">
        <f>IFERROR(INDEX(TableWRCalcPts[BYE],MATCH(TableWRRanks3242[[#This Row],[Player]],TableWRCalcPts[PLAYER],0)),"")</f>
        <v>9</v>
      </c>
      <c r="AH40" s="83">
        <f>VLOOKUP(TableWRRanks3242[[#This Row],[Player]],WR!B:O,4,FALSE)</f>
        <v>0</v>
      </c>
      <c r="AI40" s="83">
        <f>VLOOKUP(TableWRRanks3242[[#This Row],[Player]],WR!B:O,5,FALSE)</f>
        <v>0</v>
      </c>
      <c r="AJ40" s="83">
        <f>VLOOKUP(TableWRRanks3242[[#This Row],[Player]],WR!B:O,6,FALSE)</f>
        <v>109.64480099999997</v>
      </c>
      <c r="AK40" s="83">
        <f>VLOOKUP(TableWRRanks3242[[#This Row],[Player]],WR!B:O,7,FALSE)</f>
        <v>65.567590997999986</v>
      </c>
      <c r="AL40" s="83">
        <f>VLOOKUP(TableWRRanks3242[[#This Row],[Player]],WR!B:O,8,FALSE)</f>
        <v>981.54683724005986</v>
      </c>
      <c r="AM40" s="83">
        <f>VLOOKUP(TableWRRanks3242[[#This Row],[Player]],WR!B:O,9,FALSE)</f>
        <v>6.6223266907979994</v>
      </c>
      <c r="AN40" s="57">
        <f>VLOOKUP(TableWRRanks3242[[#This Row],[Player]],WR!B:O,13,FALSE)</f>
        <v>170.67243936779397</v>
      </c>
      <c r="AO40" s="125">
        <f>IF(VLOOKUP(TableWRRanks3242[[#This Row],[RK]],'Ranks w Proj'!AD:AO,12,FALSE)&lt;0,0,VLOOKUP(TableWRRanks3242[[#This Row],[RK]],'Ranks w Proj'!AD:AO,12,FALSE))</f>
        <v>7.523573847599585</v>
      </c>
      <c r="AQ40">
        <v>39</v>
      </c>
      <c r="AR40" t="str">
        <f>VLOOKUP(TableTERanks3343[[#This Row],[RK]],Rankings!A:T,18,FALSE)</f>
        <v>Theo Johnson</v>
      </c>
      <c r="AS40" t="str">
        <f>IFERROR(INDEX(TableTECalcPts[TM],MATCH(TableTERanks3343[[#This Row],[Player]],TableTECalcPts[PLAYER],0)),"")</f>
        <v>NYG</v>
      </c>
      <c r="AT40">
        <f>IFERROR(INDEX(TableTECalcPts[BYE],MATCH(TableTERanks3343[[#This Row],[Player]],TableTECalcPts[PLAYER],0)),"")</f>
        <v>13</v>
      </c>
      <c r="AU40" s="83">
        <f>VLOOKUP(TableTERanks3343[[#This Row],[Player]],TE!B:O,4,FALSE)</f>
        <v>35.309635199999988</v>
      </c>
      <c r="AV40" s="83">
        <f>VLOOKUP(TableTERanks3343[[#This Row],[Player]],TE!B:O,5,FALSE)</f>
        <v>24.434267558399991</v>
      </c>
      <c r="AW40" s="83">
        <f>VLOOKUP(TableTERanks3343[[#This Row],[Player]],TE!B:O,6,FALSE)</f>
        <v>226.99434561753588</v>
      </c>
      <c r="AX40" s="83">
        <f>VLOOKUP(TableTERanks3343[[#This Row],[Player]],TE!B:O,7,FALSE)</f>
        <v>1.4660560535039995</v>
      </c>
      <c r="AY40" s="57">
        <f>VLOOKUP(TableTERanks3343[[#This Row],[Player]],TE!B:O,11,FALSE)</f>
        <v>43.712904661977589</v>
      </c>
      <c r="AZ40" s="125">
        <f>IF(VLOOKUP(TableTERanks3343[[#This Row],[RK]],'Ranks w Proj'!AQ:AZ,10,FALSE)&lt;0,0,VLOOKUP(TableTERanks3343[[#This Row],[RK]],'Ranks w Proj'!AQ:AZ,10,FALSE))</f>
        <v>0</v>
      </c>
    </row>
    <row r="41" spans="1:52" x14ac:dyDescent="0.2">
      <c r="A41">
        <v>40</v>
      </c>
      <c r="B41" t="str">
        <f>VLOOKUP(TableQBRanks3040[[#This Row],[RK]],Rankings!A:T,3,FALSE)</f>
        <v>Jimmy Garoppolo</v>
      </c>
      <c r="C41" t="str">
        <f>IFERROR(INDEX(TableQBCalcPts[TM],MATCH(TableQBRanks3040[[#This Row],[Player]],TableQBCalcPts[PLAYER],0)),"")</f>
        <v>LAR</v>
      </c>
      <c r="D41">
        <f>IFERROR(INDEX(TableQBCalcPts[BYE],MATCH(TableQBRanks3040[[#This Row],[Player]],TableQBCalcPts[PLAYER],0)),"")</f>
        <v>10</v>
      </c>
      <c r="E41" s="83">
        <f>VLOOKUP(TableQBRanks3040[[#This Row],[Player]],QB!B:O,4,FALSE)</f>
        <v>24.643760000000018</v>
      </c>
      <c r="F41" s="83">
        <f>VLOOKUP(TableQBRanks3040[[#This Row],[Player]],QB!B:O,5,FALSE)</f>
        <v>16.141662800000013</v>
      </c>
      <c r="G41" s="83">
        <f>VLOOKUP(TableQBRanks3040[[#This Row],[Player]],QB!B:O,6,FALSE)</f>
        <v>183.53070603600014</v>
      </c>
      <c r="H41" s="83">
        <f>VLOOKUP(TableQBRanks3040[[#This Row],[Player]],QB!B:O,7,FALSE)</f>
        <v>1.0843254400000006</v>
      </c>
      <c r="I41" s="83">
        <f>VLOOKUP(TableQBRanks3040[[#This Row],[Player]],QB!B:O,8,FALSE)</f>
        <v>0.40354157000000035</v>
      </c>
      <c r="J41" s="83">
        <f>VLOOKUP(TableQBRanks3040[[#This Row],[Player]],QB!B:O,9,FALSE)</f>
        <v>0</v>
      </c>
      <c r="K41" s="83">
        <f>VLOOKUP(TableQBRanks3040[[#This Row],[Player]],QB!B:O,10,FALSE)</f>
        <v>0</v>
      </c>
      <c r="L41" s="83">
        <f>VLOOKUP(TableQBRanks3040[[#This Row],[Player]],QB!B:O,11,FALSE)</f>
        <v>0</v>
      </c>
      <c r="M41" s="57">
        <f>VLOOKUP(TableQBRanks3040[[#This Row],[Player]],QB!B:O,13,FALSE)</f>
        <v>11.27498843144001</v>
      </c>
      <c r="N41" s="125">
        <f>IF(VLOOKUP(TableQBRanks3040[[#This Row],[RK]],'Ranks w Proj'!$A:$N,14,FALSE)&lt;0,0,VLOOKUP(TableQBRanks3040[[#This Row],[RK]],'Ranks w Proj'!$A:$N,14,FALSE))</f>
        <v>0</v>
      </c>
      <c r="P41">
        <v>40</v>
      </c>
      <c r="Q41" t="str">
        <f>VLOOKUP(TableRBRanks3141[[#This Row],[RK]],Rankings!A:T,8,FALSE)</f>
        <v>Jonathon Brooks</v>
      </c>
      <c r="R41" t="str">
        <f>IFERROR(INDEX(TableRBCalcPts[TM],MATCH(TableRBRanks3141[[#This Row],[Player]],TableRBCalcPts[PLAYER],0)),"")</f>
        <v>CAR</v>
      </c>
      <c r="S41">
        <f>IFERROR(INDEX(TableRBCalcPts[BYE],MATCH(TableRBRanks3141[[#This Row],[Player]],TableRBCalcPts[PLAYER],0)),"")</f>
        <v>7</v>
      </c>
      <c r="T41" s="83">
        <f>VLOOKUP(TableRBRanks3141[[#This Row],[Player]],RB!B:O,4,FALSE)</f>
        <v>133.77294000000001</v>
      </c>
      <c r="U41" s="83">
        <f>VLOOKUP(TableRBRanks3141[[#This Row],[Player]],RB!B:O,5,FALSE)</f>
        <v>583.25001840000004</v>
      </c>
      <c r="V41" s="83">
        <f>VLOOKUP(TableRBRanks3141[[#This Row],[Player]],RB!B:O,6,FALSE)</f>
        <v>4.6820529000000004</v>
      </c>
      <c r="W41" s="83">
        <f>VLOOKUP(TableRBRanks3141[[#This Row],[Player]],RB!B:O,7,FALSE)</f>
        <v>23.166807999999996</v>
      </c>
      <c r="X41" s="83">
        <f>VLOOKUP(TableRBRanks3141[[#This Row],[Player]],RB!B:O,8,FALSE)</f>
        <v>17.027603879999997</v>
      </c>
      <c r="Y41" s="83">
        <f>VLOOKUP(TableRBRanks3141[[#This Row],[Player]],RB!B:O,9,FALSE)</f>
        <v>129.58006552679998</v>
      </c>
      <c r="Z41" s="83">
        <f>VLOOKUP(TableRBRanks3141[[#This Row],[Player]],RB!B:O,10,FALSE)</f>
        <v>0.54488332415999996</v>
      </c>
      <c r="AA41" s="57">
        <f>VLOOKUP(TableRBRanks3141[[#This Row],[Player]],RB!B:O,14,FALSE)</f>
        <v>111.15842767764001</v>
      </c>
      <c r="AB41" s="125">
        <f>IF(VLOOKUP(TableRBRanks3141[[#This Row],[RK]],'Ranks w Proj'!$P:$AB,13,FALSE)&lt;0,0,VLOOKUP(TableRBRanks3141[[#This Row],[RK]],'Ranks w Proj'!$P:$AB,13,FALSE))</f>
        <v>1.883307878803917</v>
      </c>
      <c r="AD41">
        <v>40</v>
      </c>
      <c r="AE41" t="str">
        <f>VLOOKUP(TableWRRanks3242[[#This Row],[RK]],Rankings!A:T,13,FALSE)</f>
        <v>Tank Dell</v>
      </c>
      <c r="AF41" t="str">
        <f>IFERROR(INDEX(TableWRCalcPts[TM],MATCH(TableWRRanks3242[[#This Row],[Player]],TableWRCalcPts[PLAYER],0)),"")</f>
        <v>HOU</v>
      </c>
      <c r="AG41">
        <f>IFERROR(INDEX(TableWRCalcPts[BYE],MATCH(TableWRRanks3242[[#This Row],[Player]],TableWRCalcPts[PLAYER],0)),"")</f>
        <v>7</v>
      </c>
      <c r="AH41" s="83">
        <f>VLOOKUP(TableWRRanks3242[[#This Row],[Player]],WR!B:O,4,FALSE)</f>
        <v>108.116736</v>
      </c>
      <c r="AI41" s="83">
        <f>VLOOKUP(TableWRRanks3242[[#This Row],[Player]],WR!B:O,5,FALSE)</f>
        <v>0.97343999999999997</v>
      </c>
      <c r="AJ41" s="83">
        <f>VLOOKUP(TableWRRanks3242[[#This Row],[Player]],WR!B:O,6,FALSE)</f>
        <v>104.16224</v>
      </c>
      <c r="AK41" s="83">
        <f>VLOOKUP(TableWRRanks3242[[#This Row],[Player]],WR!B:O,7,FALSE)</f>
        <v>64.059777600000004</v>
      </c>
      <c r="AL41" s="83">
        <f>VLOOKUP(TableWRRanks3242[[#This Row],[Player]],WR!B:O,8,FALSE)</f>
        <v>914.133026352</v>
      </c>
      <c r="AM41" s="83">
        <f>VLOOKUP(TableWRRanks3242[[#This Row],[Player]],WR!B:O,9,FALSE)</f>
        <v>6.2778582048000002</v>
      </c>
      <c r="AN41" s="57">
        <f>VLOOKUP(TableWRRanks3242[[#This Row],[Player]],WR!B:O,13,FALSE)</f>
        <v>177.76265426399999</v>
      </c>
      <c r="AO41" s="125">
        <f>IF(VLOOKUP(TableWRRanks3242[[#This Row],[RK]],'Ranks w Proj'!AD:AO,12,FALSE)&lt;0,0,VLOOKUP(TableWRRanks3242[[#This Row],[RK]],'Ranks w Proj'!AD:AO,12,FALSE))</f>
        <v>7.1960429351901425</v>
      </c>
      <c r="AQ41">
        <v>40</v>
      </c>
      <c r="AR41" t="str">
        <f>VLOOKUP(TableTERanks3343[[#This Row],[RK]],Rankings!A:T,18,FALSE)</f>
        <v>Will Dissly</v>
      </c>
      <c r="AS41" t="str">
        <f>IFERROR(INDEX(TableTECalcPts[TM],MATCH(TableTERanks3343[[#This Row],[Player]],TableTECalcPts[PLAYER],0)),"")</f>
        <v>LAC</v>
      </c>
      <c r="AT41">
        <f>IFERROR(INDEX(TableTECalcPts[BYE],MATCH(TableTERanks3343[[#This Row],[Player]],TableTECalcPts[PLAYER],0)),"")</f>
        <v>5</v>
      </c>
      <c r="AU41" s="83">
        <f>VLOOKUP(TableTERanks3343[[#This Row],[Player]],TE!B:O,4,FALSE)</f>
        <v>41.877139499999991</v>
      </c>
      <c r="AV41" s="83">
        <f>VLOOKUP(TableTERanks3343[[#This Row],[Player]],TE!B:O,5,FALSE)</f>
        <v>30.109663300499992</v>
      </c>
      <c r="AW41" s="83">
        <f>VLOOKUP(TableTERanks3343[[#This Row],[Player]],TE!B:O,6,FALSE)</f>
        <v>301.99992290401491</v>
      </c>
      <c r="AX41" s="83">
        <f>VLOOKUP(TableTERanks3343[[#This Row],[Player]],TE!B:O,7,FALSE)</f>
        <v>2.4087730640399996</v>
      </c>
      <c r="AY41" s="57">
        <f>VLOOKUP(TableTERanks3343[[#This Row],[Player]],TE!B:O,11,FALSE)</f>
        <v>59.707462324891488</v>
      </c>
      <c r="AZ41" s="125">
        <f>IF(VLOOKUP(TableTERanks3343[[#This Row],[RK]],'Ranks w Proj'!AQ:AZ,10,FALSE)&lt;0,0,VLOOKUP(TableTERanks3343[[#This Row],[RK]],'Ranks w Proj'!AQ:AZ,10,FALSE))</f>
        <v>0</v>
      </c>
    </row>
    <row r="42" spans="1:52" x14ac:dyDescent="0.2">
      <c r="A42">
        <v>41</v>
      </c>
      <c r="B42" t="str">
        <f>VLOOKUP(TableQBRanks3040[[#This Row],[RK]],Rankings!A:T,3,FALSE)</f>
        <v>Sam Darnold</v>
      </c>
      <c r="C42" t="str">
        <f>IFERROR(INDEX(TableQBCalcPts[TM],MATCH(TableQBRanks3040[[#This Row],[Player]],TableQBCalcPts[PLAYER],0)),"")</f>
        <v>MIN</v>
      </c>
      <c r="D42">
        <f>IFERROR(INDEX(TableQBCalcPts[BYE],MATCH(TableQBRanks3040[[#This Row],[Player]],TableQBCalcPts[PLAYER],0)),"")</f>
        <v>13</v>
      </c>
      <c r="E42" s="83">
        <f>VLOOKUP(TableQBRanks3040[[#This Row],[Player]],QB!B:O,4,FALSE)</f>
        <v>38.087999999999994</v>
      </c>
      <c r="F42" s="83">
        <f>VLOOKUP(TableQBRanks3040[[#This Row],[Player]],QB!B:O,5,FALSE)</f>
        <v>24.414407999999998</v>
      </c>
      <c r="G42" s="83">
        <f>VLOOKUP(TableQBRanks3040[[#This Row],[Player]],QB!B:O,6,FALSE)</f>
        <v>270.07218129599994</v>
      </c>
      <c r="H42" s="83">
        <f>VLOOKUP(TableQBRanks3040[[#This Row],[Player]],QB!B:O,7,FALSE)</f>
        <v>1.4854319999999999</v>
      </c>
      <c r="I42" s="83">
        <f>VLOOKUP(TableQBRanks3040[[#This Row],[Player]],QB!B:O,8,FALSE)</f>
        <v>0.70801783200000001</v>
      </c>
      <c r="J42" s="83">
        <f>VLOOKUP(TableQBRanks3040[[#This Row],[Player]],QB!B:O,9,FALSE)</f>
        <v>2.07368</v>
      </c>
      <c r="K42" s="83">
        <f>VLOOKUP(TableQBRanks3040[[#This Row],[Player]],QB!B:O,10,FALSE)</f>
        <v>7.6933527999999995</v>
      </c>
      <c r="L42" s="83">
        <f>VLOOKUP(TableQBRanks3040[[#This Row],[Player]],QB!B:O,11,FALSE)</f>
        <v>8.2947199999999999E-2</v>
      </c>
      <c r="M42" s="57">
        <f>VLOOKUP(TableQBRanks3040[[#This Row],[Player]],QB!B:O,13,FALSE)</f>
        <v>17.303615899839997</v>
      </c>
      <c r="N42" s="125">
        <f>IF(VLOOKUP(TableQBRanks3040[[#This Row],[RK]],'Ranks w Proj'!$A:$N,14,FALSE)&lt;0,0,VLOOKUP(TableQBRanks3040[[#This Row],[RK]],'Ranks w Proj'!$A:$N,14,FALSE))</f>
        <v>0</v>
      </c>
      <c r="P42">
        <v>41</v>
      </c>
      <c r="Q42" t="str">
        <f>VLOOKUP(TableRBRanks3141[[#This Row],[RK]],Rankings!A:T,8,FALSE)</f>
        <v>Chase Brown</v>
      </c>
      <c r="R42" t="str">
        <f>IFERROR(INDEX(TableRBCalcPts[TM],MATCH(TableRBRanks3141[[#This Row],[Player]],TableRBCalcPts[PLAYER],0)),"")</f>
        <v>CIN</v>
      </c>
      <c r="S42">
        <f>IFERROR(INDEX(TableRBCalcPts[BYE],MATCH(TableRBRanks3141[[#This Row],[Player]],TableRBCalcPts[PLAYER],0)),"")</f>
        <v>7</v>
      </c>
      <c r="T42" s="83">
        <f>VLOOKUP(TableRBRanks3141[[#This Row],[Player]],RB!B:O,4,FALSE)</f>
        <v>129.91172039999998</v>
      </c>
      <c r="U42" s="83">
        <f>VLOOKUP(TableRBRanks3141[[#This Row],[Player]],RB!B:O,5,FALSE)</f>
        <v>567.71421814799987</v>
      </c>
      <c r="V42" s="83">
        <f>VLOOKUP(TableRBRanks3141[[#This Row],[Player]],RB!B:O,6,FALSE)</f>
        <v>4.6768219343999986</v>
      </c>
      <c r="W42" s="83">
        <f>VLOOKUP(TableRBRanks3141[[#This Row],[Player]],RB!B:O,7,FALSE)</f>
        <v>24.942724799999997</v>
      </c>
      <c r="X42" s="83">
        <f>VLOOKUP(TableRBRanks3141[[#This Row],[Player]],RB!B:O,8,FALSE)</f>
        <v>19.629924417599998</v>
      </c>
      <c r="Y42" s="83">
        <f>VLOOKUP(TableRBRanks3141[[#This Row],[Player]],RB!B:O,9,FALSE)</f>
        <v>141.33545580671998</v>
      </c>
      <c r="Z42" s="83">
        <f>VLOOKUP(TableRBRanks3141[[#This Row],[Player]],RB!B:O,10,FALSE)</f>
        <v>0.68704735461599997</v>
      </c>
      <c r="AA42" s="57">
        <f>VLOOKUP(TableRBRanks3141[[#This Row],[Player]],RB!B:O,14,FALSE)</f>
        <v>112.90314533836799</v>
      </c>
      <c r="AB42" s="125">
        <f>IF(VLOOKUP(TableRBRanks3141[[#This Row],[RK]],'Ranks w Proj'!$P:$AB,13,FALSE)&lt;0,0,VLOOKUP(TableRBRanks3141[[#This Row],[RK]],'Ranks w Proj'!$P:$AB,13,FALSE))</f>
        <v>1.705485641838745</v>
      </c>
      <c r="AD42">
        <v>41</v>
      </c>
      <c r="AE42" t="str">
        <f>VLOOKUP(TableWRRanks3242[[#This Row],[RK]],Rankings!A:T,13,FALSE)</f>
        <v>Rashee Rice</v>
      </c>
      <c r="AF42" t="str">
        <f>IFERROR(INDEX(TableWRCalcPts[TM],MATCH(TableWRRanks3242[[#This Row],[Player]],TableWRCalcPts[PLAYER],0)),"")</f>
        <v>KC</v>
      </c>
      <c r="AG42">
        <f>IFERROR(INDEX(TableWRCalcPts[BYE],MATCH(TableWRRanks3242[[#This Row],[Player]],TableWRCalcPts[PLAYER],0)),"")</f>
        <v>10</v>
      </c>
      <c r="AH42" s="83">
        <f>VLOOKUP(TableWRRanks3242[[#This Row],[Player]],WR!B:O,4,FALSE)</f>
        <v>21.095244799999996</v>
      </c>
      <c r="AI42" s="83">
        <f>VLOOKUP(TableWRRanks3242[[#This Row],[Player]],WR!B:O,5,FALSE)</f>
        <v>6.3033599999999995E-2</v>
      </c>
      <c r="AJ42" s="83">
        <f>VLOOKUP(TableWRRanks3242[[#This Row],[Player]],WR!B:O,6,FALSE)</f>
        <v>107.15711999999996</v>
      </c>
      <c r="AK42" s="83">
        <f>VLOOKUP(TableWRRanks3242[[#This Row],[Player]],WR!B:O,7,FALSE)</f>
        <v>77.581754879999977</v>
      </c>
      <c r="AL42" s="83">
        <f>VLOOKUP(TableWRRanks3242[[#This Row],[Player]],WR!B:O,8,FALSE)</f>
        <v>911.58561983999971</v>
      </c>
      <c r="AM42" s="83">
        <f>VLOOKUP(TableWRRanks3242[[#This Row],[Player]],WR!B:O,9,FALSE)</f>
        <v>6.9823579391999973</v>
      </c>
      <c r="AN42" s="57">
        <f>VLOOKUP(TableWRRanks3242[[#This Row],[Player]],WR!B:O,13,FALSE)</f>
        <v>174.33131313919995</v>
      </c>
      <c r="AO42" s="125">
        <f>IF(VLOOKUP(TableWRRanks3242[[#This Row],[RK]],'Ranks w Proj'!AD:AO,12,FALSE)&lt;0,0,VLOOKUP(TableWRRanks3242[[#This Row],[RK]],'Ranks w Proj'!AD:AO,12,FALSE))</f>
        <v>7.0689487312314405</v>
      </c>
      <c r="AQ42">
        <v>41</v>
      </c>
      <c r="AR42" t="str">
        <f>VLOOKUP(TableTERanks3343[[#This Row],[RK]],Rankings!A:T,18,FALSE)</f>
        <v>Jelani Woods</v>
      </c>
      <c r="AS42" t="str">
        <f>IFERROR(INDEX(TableTECalcPts[TM],MATCH(TableTERanks3343[[#This Row],[Player]],TableTECalcPts[PLAYER],0)),"")</f>
        <v>IND</v>
      </c>
      <c r="AT42">
        <f>IFERROR(INDEX(TableTECalcPts[BYE],MATCH(TableTERanks3343[[#This Row],[Player]],TableTECalcPts[PLAYER],0)),"")</f>
        <v>11</v>
      </c>
      <c r="AU42" s="83">
        <f>VLOOKUP(TableTERanks3343[[#This Row],[Player]],TE!B:O,4,FALSE)</f>
        <v>64.395408000000003</v>
      </c>
      <c r="AV42" s="83">
        <f>VLOOKUP(TableTERanks3343[[#This Row],[Player]],TE!B:O,5,FALSE)</f>
        <v>38.894826432000002</v>
      </c>
      <c r="AW42" s="83">
        <f>VLOOKUP(TableTERanks3343[[#This Row],[Player]],TE!B:O,6,FALSE)</f>
        <v>471.79424462016004</v>
      </c>
      <c r="AX42" s="83">
        <f>VLOOKUP(TableTERanks3343[[#This Row],[Player]],TE!B:O,7,FALSE)</f>
        <v>3.8894826432000005</v>
      </c>
      <c r="AY42" s="57">
        <f>VLOOKUP(TableTERanks3343[[#This Row],[Player]],TE!B:O,11,FALSE)</f>
        <v>89.963733537216015</v>
      </c>
      <c r="AZ42" s="125">
        <f>IF(VLOOKUP(TableTERanks3343[[#This Row],[RK]],'Ranks w Proj'!AQ:AZ,10,FALSE)&lt;0,0,VLOOKUP(TableTERanks3343[[#This Row],[RK]],'Ranks w Proj'!AQ:AZ,10,FALSE))</f>
        <v>0</v>
      </c>
    </row>
    <row r="43" spans="1:52" x14ac:dyDescent="0.2">
      <c r="A43">
        <v>42</v>
      </c>
      <c r="B43" t="str">
        <f>VLOOKUP(TableQBRanks3040[[#This Row],[RK]],Rankings!A:T,3,FALSE)</f>
        <v>Joe Flacco</v>
      </c>
      <c r="C43" t="str">
        <f>IFERROR(INDEX(TableQBCalcPts[TM],MATCH(TableQBRanks3040[[#This Row],[Player]],TableQBCalcPts[PLAYER],0)),"")</f>
        <v>IND</v>
      </c>
      <c r="D43">
        <f>IFERROR(INDEX(TableQBCalcPts[BYE],MATCH(TableQBRanks3040[[#This Row],[Player]],TableQBCalcPts[PLAYER],0)),"")</f>
        <v>11</v>
      </c>
      <c r="E43" s="83">
        <f>VLOOKUP(TableQBRanks3040[[#This Row],[Player]],QB!B:O,4,FALSE)</f>
        <v>27.379000000000026</v>
      </c>
      <c r="F43" s="83">
        <f>VLOOKUP(TableQBRanks3040[[#This Row],[Player]],QB!B:O,5,FALSE)</f>
        <v>17.440423000000017</v>
      </c>
      <c r="G43" s="83">
        <f>VLOOKUP(TableQBRanks3040[[#This Row],[Player]],QB!B:O,6,FALSE)</f>
        <v>200.73926873000019</v>
      </c>
      <c r="H43" s="83">
        <f>VLOOKUP(TableQBRanks3040[[#This Row],[Player]],QB!B:O,7,FALSE)</f>
        <v>1.095160000000001</v>
      </c>
      <c r="I43" s="83">
        <f>VLOOKUP(TableQBRanks3040[[#This Row],[Player]],QB!B:O,8,FALSE)</f>
        <v>0.41857015200000042</v>
      </c>
      <c r="J43" s="83">
        <f>VLOOKUP(TableQBRanks3040[[#This Row],[Player]],QB!B:O,9,FALSE)</f>
        <v>0</v>
      </c>
      <c r="K43" s="83">
        <f>VLOOKUP(TableQBRanks3040[[#This Row],[Player]],QB!B:O,10,FALSE)</f>
        <v>0</v>
      </c>
      <c r="L43" s="83">
        <f>VLOOKUP(TableQBRanks3040[[#This Row],[Player]],QB!B:O,11,FALSE)</f>
        <v>0</v>
      </c>
      <c r="M43" s="57">
        <f>VLOOKUP(TableQBRanks3040[[#This Row],[Player]],QB!B:O,13,FALSE)</f>
        <v>11.991640597200011</v>
      </c>
      <c r="N43" s="125">
        <f>IF(VLOOKUP(TableQBRanks3040[[#This Row],[RK]],'Ranks w Proj'!$A:$N,14,FALSE)&lt;0,0,VLOOKUP(TableQBRanks3040[[#This Row],[RK]],'Ranks w Proj'!$A:$N,14,FALSE))</f>
        <v>0</v>
      </c>
      <c r="P43">
        <v>42</v>
      </c>
      <c r="Q43" t="str">
        <f>VLOOKUP(TableRBRanks3141[[#This Row],[RK]],Rankings!A:T,8,FALSE)</f>
        <v>Ty Chandler</v>
      </c>
      <c r="R43" t="str">
        <f>IFERROR(INDEX(TableRBCalcPts[TM],MATCH(TableRBRanks3141[[#This Row],[Player]],TableRBCalcPts[PLAYER],0)),"")</f>
        <v>MIN</v>
      </c>
      <c r="S43">
        <f>IFERROR(INDEX(TableRBCalcPts[BYE],MATCH(TableRBRanks3141[[#This Row],[Player]],TableRBCalcPts[PLAYER],0)),"")</f>
        <v>13</v>
      </c>
      <c r="T43" s="83">
        <f>VLOOKUP(TableRBRanks3141[[#This Row],[Player]],RB!B:O,4,FALSE)</f>
        <v>143.08392000000001</v>
      </c>
      <c r="U43" s="83">
        <f>VLOOKUP(TableRBRanks3141[[#This Row],[Player]],RB!B:O,5,FALSE)</f>
        <v>618.12253440000006</v>
      </c>
      <c r="V43" s="83">
        <f>VLOOKUP(TableRBRanks3141[[#This Row],[Player]],RB!B:O,6,FALSE)</f>
        <v>4.5786854400000001</v>
      </c>
      <c r="W43" s="83">
        <f>VLOOKUP(TableRBRanks3141[[#This Row],[Player]],RB!B:O,7,FALSE)</f>
        <v>24.884159999999998</v>
      </c>
      <c r="X43" s="83">
        <f>VLOOKUP(TableRBRanks3141[[#This Row],[Player]],RB!B:O,8,FALSE)</f>
        <v>18.563583359999999</v>
      </c>
      <c r="Y43" s="83">
        <f>VLOOKUP(TableRBRanks3141[[#This Row],[Player]],RB!B:O,9,FALSE)</f>
        <v>139.22687519999999</v>
      </c>
      <c r="Z43" s="83">
        <f>VLOOKUP(TableRBRanks3141[[#This Row],[Player]],RB!B:O,10,FALSE)</f>
        <v>0.72397975104000001</v>
      </c>
      <c r="AA43" s="57">
        <f>VLOOKUP(TableRBRanks3141[[#This Row],[Player]],RB!B:O,14,FALSE)</f>
        <v>116.83272378624001</v>
      </c>
      <c r="AB43" s="125">
        <f>IF(VLOOKUP(TableRBRanks3141[[#This Row],[RK]],'Ranks w Proj'!$P:$AB,13,FALSE)&lt;0,0,VLOOKUP(TableRBRanks3141[[#This Row],[RK]],'Ranks w Proj'!$P:$AB,13,FALSE))</f>
        <v>0.45312843537871977</v>
      </c>
      <c r="AD43">
        <v>42</v>
      </c>
      <c r="AE43" t="str">
        <f>VLOOKUP(TableWRRanks3242[[#This Row],[RK]],Rankings!A:T,13,FALSE)</f>
        <v>Marquise Brown</v>
      </c>
      <c r="AF43" t="str">
        <f>IFERROR(INDEX(TableWRCalcPts[TM],MATCH(TableWRRanks3242[[#This Row],[Player]],TableWRCalcPts[PLAYER],0)),"")</f>
        <v>KC</v>
      </c>
      <c r="AG43">
        <f>IFERROR(INDEX(TableWRCalcPts[BYE],MATCH(TableWRRanks3242[[#This Row],[Player]],TableWRCalcPts[PLAYER],0)),"")</f>
        <v>10</v>
      </c>
      <c r="AH43" s="83">
        <f>VLOOKUP(TableWRRanks3242[[#This Row],[Player]],WR!B:O,4,FALSE)</f>
        <v>21.095244799999996</v>
      </c>
      <c r="AI43" s="83">
        <f>VLOOKUP(TableWRRanks3242[[#This Row],[Player]],WR!B:O,5,FALSE)</f>
        <v>6.3033599999999995E-2</v>
      </c>
      <c r="AJ43" s="83">
        <f>VLOOKUP(TableWRRanks3242[[#This Row],[Player]],WR!B:O,6,FALSE)</f>
        <v>100.85375999999997</v>
      </c>
      <c r="AK43" s="83">
        <f>VLOOKUP(TableWRRanks3242[[#This Row],[Player]],WR!B:O,7,FALSE)</f>
        <v>61.218232319999977</v>
      </c>
      <c r="AL43" s="83">
        <f>VLOOKUP(TableWRRanks3242[[#This Row],[Player]],WR!B:O,8,FALSE)</f>
        <v>814.81467217919976</v>
      </c>
      <c r="AM43" s="83">
        <f>VLOOKUP(TableWRRanks3242[[#This Row],[Player]],WR!B:O,9,FALSE)</f>
        <v>5.509640908799998</v>
      </c>
      <c r="AN43" s="57">
        <f>VLOOKUP(TableWRRanks3242[[#This Row],[Player]],WR!B:O,13,FALSE)</f>
        <v>147.63615491071997</v>
      </c>
      <c r="AO43" s="125">
        <f>IF(VLOOKUP(TableWRRanks3242[[#This Row],[RK]],'Ranks w Proj'!AD:AO,12,FALSE)&lt;0,0,VLOOKUP(TableWRRanks3242[[#This Row],[RK]],'Ranks w Proj'!AD:AO,12,FALSE))</f>
        <v>6.9721734752120108</v>
      </c>
      <c r="AQ43">
        <v>42</v>
      </c>
      <c r="AR43" t="str">
        <f>VLOOKUP(TableTERanks3343[[#This Row],[RK]],Rankings!A:T,18,FALSE)</f>
        <v>Austin Hooper</v>
      </c>
      <c r="AS43" t="str">
        <f>IFERROR(INDEX(TableTECalcPts[TM],MATCH(TableTERanks3343[[#This Row],[Player]],TableTECalcPts[PLAYER],0)),"")</f>
        <v>NE</v>
      </c>
      <c r="AT43">
        <f>IFERROR(INDEX(TableTECalcPts[BYE],MATCH(TableTERanks3343[[#This Row],[Player]],TableTECalcPts[PLAYER],0)),"")</f>
        <v>11</v>
      </c>
      <c r="AU43" s="83">
        <f>VLOOKUP(TableTERanks3343[[#This Row],[Player]],TE!B:O,4,FALSE)</f>
        <v>45.35063679999999</v>
      </c>
      <c r="AV43" s="83">
        <f>VLOOKUP(TableTERanks3343[[#This Row],[Player]],TE!B:O,5,FALSE)</f>
        <v>29.432563283199993</v>
      </c>
      <c r="AW43" s="83">
        <f>VLOOKUP(TableTERanks3343[[#This Row],[Player]],TE!B:O,6,FALSE)</f>
        <v>277.54907176057594</v>
      </c>
      <c r="AX43" s="83">
        <f>VLOOKUP(TableTERanks3343[[#This Row],[Player]],TE!B:O,7,FALSE)</f>
        <v>2.1191445563903994</v>
      </c>
      <c r="AY43" s="57">
        <f>VLOOKUP(TableTERanks3343[[#This Row],[Player]],TE!B:O,11,FALSE)</f>
        <v>55.186056155999992</v>
      </c>
      <c r="AZ43" s="125">
        <f>IF(VLOOKUP(TableTERanks3343[[#This Row],[RK]],'Ranks w Proj'!AQ:AZ,10,FALSE)&lt;0,0,VLOOKUP(TableTERanks3343[[#This Row],[RK]],'Ranks w Proj'!AQ:AZ,10,FALSE))</f>
        <v>0</v>
      </c>
    </row>
    <row r="44" spans="1:52" x14ac:dyDescent="0.2">
      <c r="A44">
        <v>43</v>
      </c>
      <c r="B44" t="str">
        <f>VLOOKUP(TableQBRanks3040[[#This Row],[RK]],Rankings!A:T,3,FALSE)</f>
        <v>Marcus Mariota</v>
      </c>
      <c r="C44" t="str">
        <f>IFERROR(INDEX(TableQBCalcPts[TM],MATCH(TableQBRanks3040[[#This Row],[Player]],TableQBCalcPts[PLAYER],0)),"")</f>
        <v>WSH</v>
      </c>
      <c r="D44">
        <f>IFERROR(INDEX(TableQBCalcPts[BYE],MATCH(TableQBRanks3040[[#This Row],[Player]],TableQBCalcPts[PLAYER],0)),"")</f>
        <v>14</v>
      </c>
      <c r="E44" s="83">
        <f>VLOOKUP(TableQBRanks3040[[#This Row],[Player]],QB!B:O,4,FALSE)</f>
        <v>34.878300000000003</v>
      </c>
      <c r="F44" s="83">
        <f>VLOOKUP(TableQBRanks3040[[#This Row],[Player]],QB!B:O,5,FALSE)</f>
        <v>21.101371500000003</v>
      </c>
      <c r="G44" s="83">
        <f>VLOOKUP(TableQBRanks3040[[#This Row],[Player]],QB!B:O,6,FALSE)</f>
        <v>215.65601673000003</v>
      </c>
      <c r="H44" s="83">
        <f>VLOOKUP(TableQBRanks3040[[#This Row],[Player]],QB!B:O,7,FALSE)</f>
        <v>1.2207405000000002</v>
      </c>
      <c r="I44" s="83">
        <f>VLOOKUP(TableQBRanks3040[[#This Row],[Player]],QB!B:O,8,FALSE)</f>
        <v>0.31652057250000004</v>
      </c>
      <c r="J44" s="83">
        <f>VLOOKUP(TableQBRanks3040[[#This Row],[Player]],QB!B:O,9,FALSE)</f>
        <v>0</v>
      </c>
      <c r="K44" s="83">
        <f>VLOOKUP(TableQBRanks3040[[#This Row],[Player]],QB!B:O,10,FALSE)</f>
        <v>0</v>
      </c>
      <c r="L44" s="83">
        <f>VLOOKUP(TableQBRanks3040[[#This Row],[Player]],QB!B:O,11,FALSE)</f>
        <v>0</v>
      </c>
      <c r="M44" s="57">
        <f>VLOOKUP(TableQBRanks3040[[#This Row],[Player]],QB!B:O,13,FALSE)</f>
        <v>13.192682096700002</v>
      </c>
      <c r="N44" s="125">
        <f>IF(VLOOKUP(TableQBRanks3040[[#This Row],[RK]],'Ranks w Proj'!$A:$N,14,FALSE)&lt;0,0,VLOOKUP(TableQBRanks3040[[#This Row],[RK]],'Ranks w Proj'!$A:$N,14,FALSE))</f>
        <v>0</v>
      </c>
      <c r="P44">
        <v>43</v>
      </c>
      <c r="Q44" t="str">
        <f>VLOOKUP(TableRBRanks3141[[#This Row],[RK]],Rankings!A:T,8,FALSE)</f>
        <v>Antonio Gibson</v>
      </c>
      <c r="R44" t="str">
        <f>IFERROR(INDEX(TableRBCalcPts[TM],MATCH(TableRBRanks3141[[#This Row],[Player]],TableRBCalcPts[PLAYER],0)),"")</f>
        <v>NE</v>
      </c>
      <c r="S44">
        <f>IFERROR(INDEX(TableRBCalcPts[BYE],MATCH(TableRBRanks3141[[#This Row],[Player]],TableRBCalcPts[PLAYER],0)),"")</f>
        <v>11</v>
      </c>
      <c r="T44" s="83">
        <f>VLOOKUP(TableRBRanks3141[[#This Row],[Player]],RB!B:O,4,FALSE)</f>
        <v>126.0563416</v>
      </c>
      <c r="U44" s="83">
        <f>VLOOKUP(TableRBRanks3141[[#This Row],[Player]],RB!B:O,5,FALSE)</f>
        <v>530.697198136</v>
      </c>
      <c r="V44" s="83">
        <f>VLOOKUP(TableRBRanks3141[[#This Row],[Player]],RB!B:O,6,FALSE)</f>
        <v>3.5295775647999998</v>
      </c>
      <c r="W44" s="83">
        <f>VLOOKUP(TableRBRanks3141[[#This Row],[Player]],RB!B:O,7,FALSE)</f>
        <v>34.012977599999992</v>
      </c>
      <c r="X44" s="83">
        <f>VLOOKUP(TableRBRanks3141[[#This Row],[Player]],RB!B:O,8,FALSE)</f>
        <v>25.577759155199995</v>
      </c>
      <c r="Y44" s="83">
        <f>VLOOKUP(TableRBRanks3141[[#This Row],[Player]],RB!B:O,9,FALSE)</f>
        <v>194.90252476262395</v>
      </c>
      <c r="Z44" s="83">
        <f>VLOOKUP(TableRBRanks3141[[#This Row],[Player]],RB!B:O,10,FALSE)</f>
        <v>0.97195484789759978</v>
      </c>
      <c r="AA44" s="57">
        <f>VLOOKUP(TableRBRanks3141[[#This Row],[Player]],RB!B:O,14,FALSE)</f>
        <v>112.358046343648</v>
      </c>
      <c r="AB44" s="125">
        <f>IF(VLOOKUP(TableRBRanks3141[[#This Row],[RK]],'Ranks w Proj'!$P:$AB,13,FALSE)&lt;0,0,VLOOKUP(TableRBRanks3141[[#This Row],[RK]],'Ranks w Proj'!$P:$AB,13,FALSE))</f>
        <v>7.6708618172691131E-2</v>
      </c>
      <c r="AD44">
        <v>43</v>
      </c>
      <c r="AE44" t="str">
        <f>VLOOKUP(TableWRRanks3242[[#This Row],[RK]],Rankings!A:T,13,FALSE)</f>
        <v>Brian Thomas</v>
      </c>
      <c r="AF44" t="str">
        <f>IFERROR(INDEX(TableWRCalcPts[TM],MATCH(TableWRRanks3242[[#This Row],[Player]],TableWRCalcPts[PLAYER],0)),"")</f>
        <v>JAX</v>
      </c>
      <c r="AG44">
        <f>IFERROR(INDEX(TableWRCalcPts[BYE],MATCH(TableWRRanks3242[[#This Row],[Player]],TableWRCalcPts[PLAYER],0)),"")</f>
        <v>9</v>
      </c>
      <c r="AH44" s="83">
        <f>VLOOKUP(TableWRRanks3242[[#This Row],[Player]],WR!B:O,4,FALSE)</f>
        <v>0</v>
      </c>
      <c r="AI44" s="83">
        <f>VLOOKUP(TableWRRanks3242[[#This Row],[Player]],WR!B:O,5,FALSE)</f>
        <v>0</v>
      </c>
      <c r="AJ44" s="83">
        <f>VLOOKUP(TableWRRanks3242[[#This Row],[Player]],WR!B:O,6,FALSE)</f>
        <v>120.85163999999996</v>
      </c>
      <c r="AK44" s="83">
        <f>VLOOKUP(TableWRRanks3242[[#This Row],[Player]],WR!B:O,7,FALSE)</f>
        <v>75.53227499999997</v>
      </c>
      <c r="AL44" s="83">
        <f>VLOOKUP(TableWRRanks3242[[#This Row],[Player]],WR!B:O,8,FALSE)</f>
        <v>1016.6644214999997</v>
      </c>
      <c r="AM44" s="83">
        <f>VLOOKUP(TableWRRanks3242[[#This Row],[Player]],WR!B:O,9,FALSE)</f>
        <v>6.2691788249999982</v>
      </c>
      <c r="AN44" s="57">
        <f>VLOOKUP(TableWRRanks3242[[#This Row],[Player]],WR!B:O,13,FALSE)</f>
        <v>177.04765259999994</v>
      </c>
      <c r="AO44" s="125">
        <f>IF(VLOOKUP(TableWRRanks3242[[#This Row],[RK]],'Ranks w Proj'!AD:AO,12,FALSE)&lt;0,0,VLOOKUP(TableWRRanks3242[[#This Row],[RK]],'Ranks w Proj'!AD:AO,12,FALSE))</f>
        <v>6.0716206702017033</v>
      </c>
      <c r="AQ44">
        <v>43</v>
      </c>
      <c r="AR44" t="str">
        <f>VLOOKUP(TableTERanks3343[[#This Row],[RK]],Rankings!A:T,18,FALSE)</f>
        <v>Greg Dulcich</v>
      </c>
      <c r="AS44" t="str">
        <f>IFERROR(INDEX(TableTECalcPts[TM],MATCH(TableTERanks3343[[#This Row],[Player]],TableTECalcPts[PLAYER],0)),"")</f>
        <v>DEN</v>
      </c>
      <c r="AT44">
        <f>IFERROR(INDEX(TableTECalcPts[BYE],MATCH(TableTERanks3343[[#This Row],[Player]],TableTECalcPts[PLAYER],0)),"")</f>
        <v>9</v>
      </c>
      <c r="AU44" s="83">
        <f>VLOOKUP(TableTERanks3343[[#This Row],[Player]],TE!B:O,4,FALSE)</f>
        <v>45.669176</v>
      </c>
      <c r="AV44" s="83">
        <f>VLOOKUP(TableTERanks3343[[#This Row],[Player]],TE!B:O,5,FALSE)</f>
        <v>28.451896648000002</v>
      </c>
      <c r="AW44" s="83">
        <f>VLOOKUP(TableTERanks3343[[#This Row],[Player]],TE!B:O,6,FALSE)</f>
        <v>290.49386477608004</v>
      </c>
      <c r="AX44" s="83">
        <f>VLOOKUP(TableTERanks3343[[#This Row],[Player]],TE!B:O,7,FALSE)</f>
        <v>1.5648543156400001</v>
      </c>
      <c r="AY44" s="57">
        <f>VLOOKUP(TableTERanks3343[[#This Row],[Player]],TE!B:O,11,FALSE)</f>
        <v>52.664460695448014</v>
      </c>
      <c r="AZ44" s="125">
        <f>IF(VLOOKUP(TableTERanks3343[[#This Row],[RK]],'Ranks w Proj'!AQ:AZ,10,FALSE)&lt;0,0,VLOOKUP(TableTERanks3343[[#This Row],[RK]],'Ranks w Proj'!AQ:AZ,10,FALSE))</f>
        <v>0</v>
      </c>
    </row>
    <row r="45" spans="1:52" x14ac:dyDescent="0.2">
      <c r="A45">
        <v>44</v>
      </c>
      <c r="B45" t="str">
        <f>VLOOKUP(TableQBRanks3040[[#This Row],[RK]],Rankings!A:T,3,FALSE)</f>
        <v>Jameis Winston</v>
      </c>
      <c r="C45" t="str">
        <f>IFERROR(INDEX(TableQBCalcPts[TM],MATCH(TableQBRanks3040[[#This Row],[Player]],TableQBCalcPts[PLAYER],0)),"")</f>
        <v>CLE</v>
      </c>
      <c r="D45">
        <f>IFERROR(INDEX(TableQBCalcPts[BYE],MATCH(TableQBRanks3040[[#This Row],[Player]],TableQBCalcPts[PLAYER],0)),"")</f>
        <v>5</v>
      </c>
      <c r="E45" s="83">
        <f>VLOOKUP(TableQBRanks3040[[#This Row],[Player]],QB!B:O,4,FALSE)</f>
        <v>10.972500000000009</v>
      </c>
      <c r="F45" s="83">
        <f>VLOOKUP(TableQBRanks3040[[#This Row],[Player]],QB!B:O,5,FALSE)</f>
        <v>6.6493350000000051</v>
      </c>
      <c r="G45" s="83">
        <f>VLOOKUP(TableQBRanks3040[[#This Row],[Player]],QB!B:O,6,FALSE)</f>
        <v>79.652383965000055</v>
      </c>
      <c r="H45" s="83">
        <f>VLOOKUP(TableQBRanks3040[[#This Row],[Player]],QB!B:O,7,FALSE)</f>
        <v>0.48279000000000039</v>
      </c>
      <c r="I45" s="83">
        <f>VLOOKUP(TableQBRanks3040[[#This Row],[Player]],QB!B:O,8,FALSE)</f>
        <v>0.19283071500000015</v>
      </c>
      <c r="J45" s="83">
        <f>VLOOKUP(TableQBRanks3040[[#This Row],[Player]],QB!B:O,9,FALSE)</f>
        <v>4.8644749999999997</v>
      </c>
      <c r="K45" s="83">
        <f>VLOOKUP(TableQBRanks3040[[#This Row],[Player]],QB!B:O,10,FALSE)</f>
        <v>16.782438750000001</v>
      </c>
      <c r="L45" s="83">
        <f>VLOOKUP(TableQBRanks3040[[#This Row],[Player]],QB!B:O,11,FALSE)</f>
        <v>8.7560549999999987E-2</v>
      </c>
      <c r="M45" s="57">
        <f>VLOOKUP(TableQBRanks3040[[#This Row],[Player]],QB!B:O,13,FALSE)</f>
        <v>7.1280318186000038</v>
      </c>
      <c r="N45" s="125">
        <f>IF(VLOOKUP(TableQBRanks3040[[#This Row],[RK]],'Ranks w Proj'!$A:$N,14,FALSE)&lt;0,0,VLOOKUP(TableQBRanks3040[[#This Row],[RK]],'Ranks w Proj'!$A:$N,14,FALSE))</f>
        <v>0</v>
      </c>
      <c r="P45">
        <v>44</v>
      </c>
      <c r="Q45" t="str">
        <f>VLOOKUP(TableRBRanks3141[[#This Row],[RK]],Rankings!A:T,8,FALSE)</f>
        <v>Kendre Miller</v>
      </c>
      <c r="R45" t="str">
        <f>IFERROR(INDEX(TableRBCalcPts[TM],MATCH(TableRBRanks3141[[#This Row],[Player]],TableRBCalcPts[PLAYER],0)),"")</f>
        <v>NO</v>
      </c>
      <c r="S45">
        <f>IFERROR(INDEX(TableRBCalcPts[BYE],MATCH(TableRBRanks3141[[#This Row],[Player]],TableRBCalcPts[PLAYER],0)),"")</f>
        <v>11</v>
      </c>
      <c r="T45" s="83">
        <f>VLOOKUP(TableRBRanks3141[[#This Row],[Player]],RB!B:O,4,FALSE)</f>
        <v>123.13864640000003</v>
      </c>
      <c r="U45" s="83">
        <f>VLOOKUP(TableRBRanks3141[[#This Row],[Player]],RB!B:O,5,FALSE)</f>
        <v>541.81004416000019</v>
      </c>
      <c r="V45" s="83">
        <f>VLOOKUP(TableRBRanks3141[[#This Row],[Player]],RB!B:O,6,FALSE)</f>
        <v>3.817298038400001</v>
      </c>
      <c r="W45" s="83">
        <f>VLOOKUP(TableRBRanks3141[[#This Row],[Player]],RB!B:O,7,FALSE)</f>
        <v>27.816647319999998</v>
      </c>
      <c r="X45" s="83">
        <f>VLOOKUP(TableRBRanks3141[[#This Row],[Player]],RB!B:O,8,FALSE)</f>
        <v>21.001568726599999</v>
      </c>
      <c r="Y45" s="83">
        <f>VLOOKUP(TableRBRanks3141[[#This Row],[Player]],RB!B:O,9,FALSE)</f>
        <v>143.02068302814598</v>
      </c>
      <c r="Z45" s="83">
        <f>VLOOKUP(TableRBRanks3141[[#This Row],[Player]],RB!B:O,10,FALSE)</f>
        <v>0.73505490543100005</v>
      </c>
      <c r="AA45" s="57">
        <f>VLOOKUP(TableRBRanks3141[[#This Row],[Player]],RB!B:O,14,FALSE)</f>
        <v>106.29797474510063</v>
      </c>
      <c r="AB45" s="125">
        <f>IF(VLOOKUP(TableRBRanks3141[[#This Row],[RK]],'Ranks w Proj'!$P:$AB,13,FALSE)&lt;0,0,VLOOKUP(TableRBRanks3141[[#This Row],[RK]],'Ranks w Proj'!$P:$AB,13,FALSE))</f>
        <v>0</v>
      </c>
      <c r="AD45">
        <v>44</v>
      </c>
      <c r="AE45" t="str">
        <f>VLOOKUP(TableWRRanks3242[[#This Row],[RK]],Rankings!A:T,13,FALSE)</f>
        <v>Christian Watson</v>
      </c>
      <c r="AF45" t="str">
        <f>IFERROR(INDEX(TableWRCalcPts[TM],MATCH(TableWRRanks3242[[#This Row],[Player]],TableWRCalcPts[PLAYER],0)),"")</f>
        <v>GB</v>
      </c>
      <c r="AG45">
        <f>IFERROR(INDEX(TableWRCalcPts[BYE],MATCH(TableWRRanks3242[[#This Row],[Player]],TableWRCalcPts[PLAYER],0)),"")</f>
        <v>6</v>
      </c>
      <c r="AH45" s="83">
        <f>VLOOKUP(TableWRRanks3242[[#This Row],[Player]],WR!B:O,4,FALSE)</f>
        <v>29.210695359999999</v>
      </c>
      <c r="AI45" s="83">
        <f>VLOOKUP(TableWRRanks3242[[#This Row],[Player]],WR!B:O,5,FALSE)</f>
        <v>0.12544470399999999</v>
      </c>
      <c r="AJ45" s="83">
        <f>VLOOKUP(TableWRRanks3242[[#This Row],[Player]],WR!B:O,6,FALSE)</f>
        <v>102.63657600000001</v>
      </c>
      <c r="AK45" s="83">
        <f>VLOOKUP(TableWRRanks3242[[#This Row],[Player]],WR!B:O,7,FALSE)</f>
        <v>59.837123808000001</v>
      </c>
      <c r="AL45" s="83">
        <f>VLOOKUP(TableWRRanks3242[[#This Row],[Player]],WR!B:O,8,FALSE)</f>
        <v>892.76988721535997</v>
      </c>
      <c r="AM45" s="83">
        <f>VLOOKUP(TableWRRanks3242[[#This Row],[Player]],WR!B:O,9,FALSE)</f>
        <v>7.18045485696</v>
      </c>
      <c r="AN45" s="57">
        <f>VLOOKUP(TableWRRanks3242[[#This Row],[Player]],WR!B:O,13,FALSE)</f>
        <v>165.95201752729599</v>
      </c>
      <c r="AO45" s="125">
        <f>IF(VLOOKUP(TableWRRanks3242[[#This Row],[RK]],'Ranks w Proj'!AD:AO,12,FALSE)&lt;0,0,VLOOKUP(TableWRRanks3242[[#This Row],[RK]],'Ranks w Proj'!AD:AO,12,FALSE))</f>
        <v>5.4924636369753648</v>
      </c>
      <c r="AQ45">
        <v>44</v>
      </c>
      <c r="AR45" t="str">
        <f>VLOOKUP(TableTERanks3343[[#This Row],[RK]],Rankings!A:T,18,FALSE)</f>
        <v>Josh Oliver</v>
      </c>
      <c r="AS45" t="str">
        <f>IFERROR(INDEX(TableTECalcPts[TM],MATCH(TableTERanks3343[[#This Row],[Player]],TableTECalcPts[PLAYER],0)),"")</f>
        <v>MIN</v>
      </c>
      <c r="AT45">
        <f>IFERROR(INDEX(TableTECalcPts[BYE],MATCH(TableTERanks3343[[#This Row],[Player]],TableTECalcPts[PLAYER],0)),"")</f>
        <v>13</v>
      </c>
      <c r="AU45" s="83">
        <f>VLOOKUP(TableTERanks3343[[#This Row],[Player]],TE!B:O,4,FALSE)</f>
        <v>37.326239999999999</v>
      </c>
      <c r="AV45" s="83">
        <f>VLOOKUP(TableTERanks3343[[#This Row],[Player]],TE!B:O,5,FALSE)</f>
        <v>24.000772319999999</v>
      </c>
      <c r="AW45" s="83">
        <f>VLOOKUP(TableTERanks3343[[#This Row],[Player]],TE!B:O,6,FALSE)</f>
        <v>227.2873138704</v>
      </c>
      <c r="AX45" s="83">
        <f>VLOOKUP(TableTERanks3343[[#This Row],[Player]],TE!B:O,7,FALSE)</f>
        <v>1.9200617856</v>
      </c>
      <c r="AY45" s="57">
        <f>VLOOKUP(TableTERanks3343[[#This Row],[Player]],TE!B:O,11,FALSE)</f>
        <v>46.24948826064</v>
      </c>
      <c r="AZ45" s="125">
        <f>IF(VLOOKUP(TableTERanks3343[[#This Row],[RK]],'Ranks w Proj'!AQ:AZ,10,FALSE)&lt;0,0,VLOOKUP(TableTERanks3343[[#This Row],[RK]],'Ranks w Proj'!AQ:AZ,10,FALSE))</f>
        <v>0</v>
      </c>
    </row>
    <row r="46" spans="1:52" x14ac:dyDescent="0.2">
      <c r="A46">
        <v>45</v>
      </c>
      <c r="B46">
        <f>VLOOKUP(TableQBRanks3040[[#This Row],[RK]],Rankings!A:T,3,FALSE)</f>
        <v>0</v>
      </c>
      <c r="C46" t="str">
        <f>IFERROR(INDEX(TableQBCalcPts[TM],MATCH(TableQBRanks3040[[#This Row],[Player]],TableQBCalcPts[PLAYER],0)),"")</f>
        <v/>
      </c>
      <c r="D46" t="str">
        <f>IFERROR(INDEX(TableQBCalcPts[BYE],MATCH(TableQBRanks3040[[#This Row],[Player]],TableQBCalcPts[PLAYER],0)),"")</f>
        <v/>
      </c>
      <c r="E46" s="83">
        <f>VLOOKUP(TableQBRanks3040[[#This Row],[Player]],QB!B:O,4,FALSE)</f>
        <v>0</v>
      </c>
      <c r="F46" s="83">
        <f>VLOOKUP(TableQBRanks3040[[#This Row],[Player]],QB!B:O,5,FALSE)</f>
        <v>0</v>
      </c>
      <c r="G46" s="83">
        <f>VLOOKUP(TableQBRanks3040[[#This Row],[Player]],QB!B:O,6,FALSE)</f>
        <v>0</v>
      </c>
      <c r="H46" s="83">
        <f>VLOOKUP(TableQBRanks3040[[#This Row],[Player]],QB!B:O,7,FALSE)</f>
        <v>0</v>
      </c>
      <c r="I46" s="83">
        <f>VLOOKUP(TableQBRanks3040[[#This Row],[Player]],QB!B:O,8,FALSE)</f>
        <v>0</v>
      </c>
      <c r="J46" s="83">
        <f>VLOOKUP(TableQBRanks3040[[#This Row],[Player]],QB!B:O,9,FALSE)</f>
        <v>0</v>
      </c>
      <c r="K46" s="83">
        <f>VLOOKUP(TableQBRanks3040[[#This Row],[Player]],QB!B:O,10,FALSE)</f>
        <v>0</v>
      </c>
      <c r="L46" s="83">
        <f>VLOOKUP(TableQBRanks3040[[#This Row],[Player]],QB!B:O,11,FALSE)</f>
        <v>0</v>
      </c>
      <c r="M46" s="57">
        <f>VLOOKUP(TableQBRanks3040[[#This Row],[Player]],QB!B:O,13,FALSE)</f>
        <v>0</v>
      </c>
      <c r="N46" s="125">
        <f>IF(VLOOKUP(TableQBRanks3040[[#This Row],[RK]],'Ranks w Proj'!$A:$N,14,FALSE)&lt;0,0,VLOOKUP(TableQBRanks3040[[#This Row],[RK]],'Ranks w Proj'!$A:$N,14,FALSE))</f>
        <v>0</v>
      </c>
      <c r="P46">
        <v>45</v>
      </c>
      <c r="Q46" t="str">
        <f>VLOOKUP(TableRBRanks3141[[#This Row],[RK]],Rankings!A:T,8,FALSE)</f>
        <v>Jerome Ford</v>
      </c>
      <c r="R46" t="str">
        <f>IFERROR(INDEX(TableRBCalcPts[TM],MATCH(TableRBRanks3141[[#This Row],[Player]],TableRBCalcPts[PLAYER],0)),"")</f>
        <v>CLE</v>
      </c>
      <c r="S46">
        <f>IFERROR(INDEX(TableRBCalcPts[BYE],MATCH(TableRBRanks3141[[#This Row],[Player]],TableRBCalcPts[PLAYER],0)),"")</f>
        <v>5</v>
      </c>
      <c r="T46" s="83">
        <f>VLOOKUP(TableRBRanks3141[[#This Row],[Player]],RB!B:O,4,FALSE)</f>
        <v>145.93424999999999</v>
      </c>
      <c r="U46" s="83">
        <f>VLOOKUP(TableRBRanks3141[[#This Row],[Player]],RB!B:O,5,FALSE)</f>
        <v>608.54582249999999</v>
      </c>
      <c r="V46" s="83">
        <f>VLOOKUP(TableRBRanks3141[[#This Row],[Player]],RB!B:O,6,FALSE)</f>
        <v>5.8373699999999999</v>
      </c>
      <c r="W46" s="83">
        <f>VLOOKUP(TableRBRanks3141[[#This Row],[Player]],RB!B:O,7,FALSE)</f>
        <v>16.129574999999999</v>
      </c>
      <c r="X46" s="83">
        <f>VLOOKUP(TableRBRanks3141[[#This Row],[Player]],RB!B:O,8,FALSE)</f>
        <v>11.693941874999998</v>
      </c>
      <c r="Y46" s="83">
        <f>VLOOKUP(TableRBRanks3141[[#This Row],[Player]],RB!B:O,9,FALSE)</f>
        <v>81.857593124999994</v>
      </c>
      <c r="Z46" s="83">
        <f>VLOOKUP(TableRBRanks3141[[#This Row],[Player]],RB!B:O,10,FALSE)</f>
        <v>0.46775767499999993</v>
      </c>
      <c r="AA46" s="57">
        <f>VLOOKUP(TableRBRanks3141[[#This Row],[Player]],RB!B:O,14,FALSE)</f>
        <v>112.71807855</v>
      </c>
      <c r="AB46" s="125">
        <f>IF(VLOOKUP(TableRBRanks3141[[#This Row],[RK]],'Ranks w Proj'!$P:$AB,13,FALSE)&lt;0,0,VLOOKUP(TableRBRanks3141[[#This Row],[RK]],'Ranks w Proj'!$P:$AB,13,FALSE))</f>
        <v>0</v>
      </c>
      <c r="AD46">
        <v>45</v>
      </c>
      <c r="AE46" t="str">
        <f>VLOOKUP(TableWRRanks3242[[#This Row],[RK]],Rankings!A:T,13,FALSE)</f>
        <v>Mike Williams</v>
      </c>
      <c r="AF46" t="str">
        <f>IFERROR(INDEX(TableWRCalcPts[TM],MATCH(TableWRRanks3242[[#This Row],[Player]],TableWRCalcPts[PLAYER],0)),"")</f>
        <v>NYJ</v>
      </c>
      <c r="AG46">
        <f>IFERROR(INDEX(TableWRCalcPts[BYE],MATCH(TableWRRanks3242[[#This Row],[Player]],TableWRCalcPts[PLAYER],0)),"")</f>
        <v>7</v>
      </c>
      <c r="AH46" s="83">
        <f>VLOOKUP(TableWRRanks3242[[#This Row],[Player]],WR!B:O,4,FALSE)</f>
        <v>0</v>
      </c>
      <c r="AI46" s="83">
        <f>VLOOKUP(TableWRRanks3242[[#This Row],[Player]],WR!B:O,5,FALSE)</f>
        <v>0</v>
      </c>
      <c r="AJ46" s="83">
        <f>VLOOKUP(TableWRRanks3242[[#This Row],[Player]],WR!B:O,6,FALSE)</f>
        <v>103.68958599999998</v>
      </c>
      <c r="AK46" s="83">
        <f>VLOOKUP(TableWRRanks3242[[#This Row],[Player]],WR!B:O,7,FALSE)</f>
        <v>61.176855739999986</v>
      </c>
      <c r="AL46" s="83">
        <f>VLOOKUP(TableWRRanks3242[[#This Row],[Player]],WR!B:O,8,FALSE)</f>
        <v>869.32312006539985</v>
      </c>
      <c r="AM46" s="83">
        <f>VLOOKUP(TableWRRanks3242[[#This Row],[Player]],WR!B:O,9,FALSE)</f>
        <v>6.1176855739999993</v>
      </c>
      <c r="AN46" s="57">
        <f>VLOOKUP(TableWRRanks3242[[#This Row],[Player]],WR!B:O,13,FALSE)</f>
        <v>154.22685332053999</v>
      </c>
      <c r="AO46" s="125">
        <f>IF(VLOOKUP(TableWRRanks3242[[#This Row],[RK]],'Ranks w Proj'!AD:AO,12,FALSE)&lt;0,0,VLOOKUP(TableWRRanks3242[[#This Row],[RK]],'Ranks w Proj'!AD:AO,12,FALSE))</f>
        <v>5.0011386307541903</v>
      </c>
      <c r="AQ46">
        <v>45</v>
      </c>
      <c r="AR46" t="str">
        <f>VLOOKUP(TableTERanks3343[[#This Row],[RK]],Rankings!A:T,18,FALSE)</f>
        <v>Tommy Tremble</v>
      </c>
      <c r="AS46" t="str">
        <f>IFERROR(INDEX(TableTECalcPts[TM],MATCH(TableTERanks3343[[#This Row],[Player]],TableTECalcPts[PLAYER],0)),"")</f>
        <v>CAR</v>
      </c>
      <c r="AT46">
        <f>IFERROR(INDEX(TableTECalcPts[BYE],MATCH(TableTERanks3343[[#This Row],[Player]],TableTECalcPts[PLAYER],0)),"")</f>
        <v>7</v>
      </c>
      <c r="AU46" s="83">
        <f>VLOOKUP(TableTERanks3343[[#This Row],[Player]],TE!B:O,4,FALSE)</f>
        <v>46.333615999999992</v>
      </c>
      <c r="AV46" s="83">
        <f>VLOOKUP(TableTERanks3343[[#This Row],[Player]],TE!B:O,5,FALSE)</f>
        <v>29.097510847999995</v>
      </c>
      <c r="AW46" s="83">
        <f>VLOOKUP(TableTERanks3343[[#This Row],[Player]],TE!B:O,6,FALSE)</f>
        <v>282.24585522559994</v>
      </c>
      <c r="AX46" s="83">
        <f>VLOOKUP(TableTERanks3343[[#This Row],[Player]],TE!B:O,7,FALSE)</f>
        <v>2.0368257593599997</v>
      </c>
      <c r="AY46" s="57">
        <f>VLOOKUP(TableTERanks3343[[#This Row],[Player]],TE!B:O,11,FALSE)</f>
        <v>54.994295502719993</v>
      </c>
      <c r="AZ46" s="125">
        <f>IF(VLOOKUP(TableTERanks3343[[#This Row],[RK]],'Ranks w Proj'!AQ:AZ,10,FALSE)&lt;0,0,VLOOKUP(TableTERanks3343[[#This Row],[RK]],'Ranks w Proj'!AQ:AZ,10,FALSE))</f>
        <v>0</v>
      </c>
    </row>
    <row r="47" spans="1:52" x14ac:dyDescent="0.2">
      <c r="A47">
        <v>46</v>
      </c>
      <c r="B47">
        <f>VLOOKUP(TableQBRanks3040[[#This Row],[RK]],Rankings!A:T,3,FALSE)</f>
        <v>0</v>
      </c>
      <c r="C47" t="str">
        <f>IFERROR(INDEX(TableQBCalcPts[TM],MATCH(TableQBRanks3040[[#This Row],[Player]],TableQBCalcPts[PLAYER],0)),"")</f>
        <v/>
      </c>
      <c r="D47" t="str">
        <f>IFERROR(INDEX(TableQBCalcPts[BYE],MATCH(TableQBRanks3040[[#This Row],[Player]],TableQBCalcPts[PLAYER],0)),"")</f>
        <v/>
      </c>
      <c r="E47" s="83">
        <f>VLOOKUP(TableQBRanks3040[[#This Row],[Player]],QB!B:O,4,FALSE)</f>
        <v>0</v>
      </c>
      <c r="F47" s="83">
        <f>VLOOKUP(TableQBRanks3040[[#This Row],[Player]],QB!B:O,5,FALSE)</f>
        <v>0</v>
      </c>
      <c r="G47" s="83">
        <f>VLOOKUP(TableQBRanks3040[[#This Row],[Player]],QB!B:O,6,FALSE)</f>
        <v>0</v>
      </c>
      <c r="H47" s="83">
        <f>VLOOKUP(TableQBRanks3040[[#This Row],[Player]],QB!B:O,7,FALSE)</f>
        <v>0</v>
      </c>
      <c r="I47" s="83">
        <f>VLOOKUP(TableQBRanks3040[[#This Row],[Player]],QB!B:O,8,FALSE)</f>
        <v>0</v>
      </c>
      <c r="J47" s="83">
        <f>VLOOKUP(TableQBRanks3040[[#This Row],[Player]],QB!B:O,9,FALSE)</f>
        <v>0</v>
      </c>
      <c r="K47" s="83">
        <f>VLOOKUP(TableQBRanks3040[[#This Row],[Player]],QB!B:O,10,FALSE)</f>
        <v>0</v>
      </c>
      <c r="L47" s="83">
        <f>VLOOKUP(TableQBRanks3040[[#This Row],[Player]],QB!B:O,11,FALSE)</f>
        <v>0</v>
      </c>
      <c r="M47" s="57">
        <f>VLOOKUP(TableQBRanks3040[[#This Row],[Player]],QB!B:O,13,FALSE)</f>
        <v>0</v>
      </c>
      <c r="N47" s="125">
        <f>IF(VLOOKUP(TableQBRanks3040[[#This Row],[RK]],'Ranks w Proj'!$A:$N,14,FALSE)&lt;0,0,VLOOKUP(TableQBRanks3040[[#This Row],[RK]],'Ranks w Proj'!$A:$N,14,FALSE))</f>
        <v>0</v>
      </c>
      <c r="P47">
        <v>46</v>
      </c>
      <c r="Q47" t="str">
        <f>VLOOKUP(TableRBRanks3141[[#This Row],[RK]],Rankings!A:T,8,FALSE)</f>
        <v>J.K. Dobbins</v>
      </c>
      <c r="R47" t="str">
        <f>IFERROR(INDEX(TableRBCalcPts[TM],MATCH(TableRBRanks3141[[#This Row],[Player]],TableRBCalcPts[PLAYER],0)),"")</f>
        <v>LAC</v>
      </c>
      <c r="S47">
        <f>IFERROR(INDEX(TableRBCalcPts[BYE],MATCH(TableRBRanks3141[[#This Row],[Player]],TableRBCalcPts[PLAYER],0)),"")</f>
        <v>5</v>
      </c>
      <c r="T47" s="83">
        <f>VLOOKUP(TableRBRanks3141[[#This Row],[Player]],RB!B:O,4,FALSE)</f>
        <v>120.35453499999998</v>
      </c>
      <c r="U47" s="83">
        <f>VLOOKUP(TableRBRanks3141[[#This Row],[Player]],RB!B:O,5,FALSE)</f>
        <v>505.48904699999997</v>
      </c>
      <c r="V47" s="83">
        <f>VLOOKUP(TableRBRanks3141[[#This Row],[Player]],RB!B:O,6,FALSE)</f>
        <v>4.2124087249999995</v>
      </c>
      <c r="W47" s="83">
        <f>VLOOKUP(TableRBRanks3141[[#This Row],[Player]],RB!B:O,7,FALSE)</f>
        <v>33.501711599999993</v>
      </c>
      <c r="X47" s="83">
        <f>VLOOKUP(TableRBRanks3141[[#This Row],[Player]],RB!B:O,8,FALSE)</f>
        <v>24.288740909999994</v>
      </c>
      <c r="Y47" s="83">
        <f>VLOOKUP(TableRBRanks3141[[#This Row],[Player]],RB!B:O,9,FALSE)</f>
        <v>171.72139823369997</v>
      </c>
      <c r="Z47" s="83">
        <f>VLOOKUP(TableRBRanks3141[[#This Row],[Player]],RB!B:O,10,FALSE)</f>
        <v>0.85010593184999983</v>
      </c>
      <c r="AA47" s="57">
        <f>VLOOKUP(TableRBRanks3141[[#This Row],[Player]],RB!B:O,14,FALSE)</f>
        <v>110.24050291947</v>
      </c>
      <c r="AB47" s="125">
        <f>IF(VLOOKUP(TableRBRanks3141[[#This Row],[RK]],'Ranks w Proj'!$P:$AB,13,FALSE)&lt;0,0,VLOOKUP(TableRBRanks3141[[#This Row],[RK]],'Ranks w Proj'!$P:$AB,13,FALSE))</f>
        <v>0</v>
      </c>
      <c r="AD47">
        <v>46</v>
      </c>
      <c r="AE47" t="str">
        <f>VLOOKUP(TableWRRanks3242[[#This Row],[RK]],Rankings!A:T,13,FALSE)</f>
        <v>Keon Coleman</v>
      </c>
      <c r="AF47" t="str">
        <f>IFERROR(INDEX(TableWRCalcPts[TM],MATCH(TableWRRanks3242[[#This Row],[Player]],TableWRCalcPts[PLAYER],0)),"")</f>
        <v>BUF</v>
      </c>
      <c r="AG47">
        <f>IFERROR(INDEX(TableWRCalcPts[BYE],MATCH(TableWRRanks3242[[#This Row],[Player]],TableWRCalcPts[PLAYER],0)),"")</f>
        <v>13</v>
      </c>
      <c r="AH47" s="83">
        <f>VLOOKUP(TableWRRanks3242[[#This Row],[Player]],WR!B:O,4,FALSE)</f>
        <v>0</v>
      </c>
      <c r="AI47" s="83">
        <f>VLOOKUP(TableWRRanks3242[[#This Row],[Player]],WR!B:O,5,FALSE)</f>
        <v>0</v>
      </c>
      <c r="AJ47" s="83">
        <f>VLOOKUP(TableWRRanks3242[[#This Row],[Player]],WR!B:O,6,FALSE)</f>
        <v>121.47609599999996</v>
      </c>
      <c r="AK47" s="83">
        <f>VLOOKUP(TableWRRanks3242[[#This Row],[Player]],WR!B:O,7,FALSE)</f>
        <v>73.250085887999973</v>
      </c>
      <c r="AL47" s="83">
        <f>VLOOKUP(TableWRRanks3242[[#This Row],[Player]],WR!B:O,8,FALSE)</f>
        <v>922.21858132991963</v>
      </c>
      <c r="AM47" s="83">
        <f>VLOOKUP(TableWRRanks3242[[#This Row],[Player]],WR!B:O,9,FALSE)</f>
        <v>6.2995073863679973</v>
      </c>
      <c r="AN47" s="57">
        <f>VLOOKUP(TableWRRanks3242[[#This Row],[Player]],WR!B:O,13,FALSE)</f>
        <v>166.64394539519995</v>
      </c>
      <c r="AO47" s="125">
        <f>IF(VLOOKUP(TableWRRanks3242[[#This Row],[RK]],'Ranks w Proj'!AD:AO,12,FALSE)&lt;0,0,VLOOKUP(TableWRRanks3242[[#This Row],[RK]],'Ranks w Proj'!AD:AO,12,FALSE))</f>
        <v>4.9579322500620169</v>
      </c>
      <c r="AQ47">
        <v>46</v>
      </c>
      <c r="AR47" t="str">
        <f>VLOOKUP(TableTERanks3343[[#This Row],[RK]],Rankings!A:T,18,FALSE)</f>
        <v>Jeremy Ruckert</v>
      </c>
      <c r="AS47" t="str">
        <f>IFERROR(INDEX(TableTECalcPts[TM],MATCH(TableTERanks3343[[#This Row],[Player]],TableTECalcPts[PLAYER],0)),"")</f>
        <v>NYJ</v>
      </c>
      <c r="AT47">
        <f>IFERROR(INDEX(TableTECalcPts[BYE],MATCH(TableTERanks3343[[#This Row],[Player]],TableTECalcPts[PLAYER],0)),"")</f>
        <v>7</v>
      </c>
      <c r="AU47" s="83">
        <f>VLOOKUP(TableTERanks3343[[#This Row],[Player]],TE!B:O,4,FALSE)</f>
        <v>35.550715199999992</v>
      </c>
      <c r="AV47" s="83">
        <f>VLOOKUP(TableTERanks3343[[#This Row],[Player]],TE!B:O,5,FALSE)</f>
        <v>24.636645633599993</v>
      </c>
      <c r="AW47" s="83">
        <f>VLOOKUP(TableTERanks3343[[#This Row],[Player]],TE!B:O,6,FALSE)</f>
        <v>243.90279177263994</v>
      </c>
      <c r="AX47" s="83">
        <f>VLOOKUP(TableTERanks3343[[#This Row],[Player]],TE!B:O,7,FALSE)</f>
        <v>1.8723850681535994</v>
      </c>
      <c r="AY47" s="57">
        <f>VLOOKUP(TableTERanks3343[[#This Row],[Player]],TE!B:O,11,FALSE)</f>
        <v>47.942912402985584</v>
      </c>
      <c r="AZ47" s="125">
        <f>IF(VLOOKUP(TableTERanks3343[[#This Row],[RK]],'Ranks w Proj'!AQ:AZ,10,FALSE)&lt;0,0,VLOOKUP(TableTERanks3343[[#This Row],[RK]],'Ranks w Proj'!AQ:AZ,10,FALSE))</f>
        <v>0</v>
      </c>
    </row>
    <row r="48" spans="1:52" x14ac:dyDescent="0.2">
      <c r="A48">
        <v>47</v>
      </c>
      <c r="B48">
        <f>VLOOKUP(TableQBRanks3040[[#This Row],[RK]],Rankings!A:T,3,FALSE)</f>
        <v>0</v>
      </c>
      <c r="C48" t="str">
        <f>IFERROR(INDEX(TableQBCalcPts[TM],MATCH(TableQBRanks3040[[#This Row],[Player]],TableQBCalcPts[PLAYER],0)),"")</f>
        <v/>
      </c>
      <c r="D48" t="str">
        <f>IFERROR(INDEX(TableQBCalcPts[BYE],MATCH(TableQBRanks3040[[#This Row],[Player]],TableQBCalcPts[PLAYER],0)),"")</f>
        <v/>
      </c>
      <c r="E48" s="83">
        <f>VLOOKUP(TableQBRanks3040[[#This Row],[Player]],QB!B:O,4,FALSE)</f>
        <v>0</v>
      </c>
      <c r="F48" s="83">
        <f>VLOOKUP(TableQBRanks3040[[#This Row],[Player]],QB!B:O,5,FALSE)</f>
        <v>0</v>
      </c>
      <c r="G48" s="83">
        <f>VLOOKUP(TableQBRanks3040[[#This Row],[Player]],QB!B:O,6,FALSE)</f>
        <v>0</v>
      </c>
      <c r="H48" s="83">
        <f>VLOOKUP(TableQBRanks3040[[#This Row],[Player]],QB!B:O,7,FALSE)</f>
        <v>0</v>
      </c>
      <c r="I48" s="83">
        <f>VLOOKUP(TableQBRanks3040[[#This Row],[Player]],QB!B:O,8,FALSE)</f>
        <v>0</v>
      </c>
      <c r="J48" s="83">
        <f>VLOOKUP(TableQBRanks3040[[#This Row],[Player]],QB!B:O,9,FALSE)</f>
        <v>0</v>
      </c>
      <c r="K48" s="83">
        <f>VLOOKUP(TableQBRanks3040[[#This Row],[Player]],QB!B:O,10,FALSE)</f>
        <v>0</v>
      </c>
      <c r="L48" s="83">
        <f>VLOOKUP(TableQBRanks3040[[#This Row],[Player]],QB!B:O,11,FALSE)</f>
        <v>0</v>
      </c>
      <c r="M48" s="57">
        <f>VLOOKUP(TableQBRanks3040[[#This Row],[Player]],QB!B:O,13,FALSE)</f>
        <v>0</v>
      </c>
      <c r="N48" s="125">
        <f>IF(VLOOKUP(TableQBRanks3040[[#This Row],[RK]],'Ranks w Proj'!$A:$N,14,FALSE)&lt;0,0,VLOOKUP(TableQBRanks3040[[#This Row],[RK]],'Ranks w Proj'!$A:$N,14,FALSE))</f>
        <v>0</v>
      </c>
      <c r="P48">
        <v>47</v>
      </c>
      <c r="Q48" t="str">
        <f>VLOOKUP(TableRBRanks3141[[#This Row],[RK]],Rankings!A:T,8,FALSE)</f>
        <v>Khalil Herbert</v>
      </c>
      <c r="R48" t="str">
        <f>IFERROR(INDEX(TableRBCalcPts[TM],MATCH(TableRBRanks3141[[#This Row],[Player]],TableRBCalcPts[PLAYER],0)),"")</f>
        <v>CHI</v>
      </c>
      <c r="S48">
        <f>IFERROR(INDEX(TableRBCalcPts[BYE],MATCH(TableRBRanks3141[[#This Row],[Player]],TableRBCalcPts[PLAYER],0)),"")</f>
        <v>13</v>
      </c>
      <c r="T48" s="83">
        <f>VLOOKUP(TableRBRanks3141[[#This Row],[Player]],RB!B:O,4,FALSE)</f>
        <v>100.38853439999998</v>
      </c>
      <c r="U48" s="83">
        <f>VLOOKUP(TableRBRanks3141[[#This Row],[Player]],RB!B:O,5,FALSE)</f>
        <v>463.79502892799991</v>
      </c>
      <c r="V48" s="83">
        <f>VLOOKUP(TableRBRanks3141[[#This Row],[Player]],RB!B:O,6,FALSE)</f>
        <v>3.0116560319999994</v>
      </c>
      <c r="W48" s="83">
        <f>VLOOKUP(TableRBRanks3141[[#This Row],[Player]],RB!B:O,7,FALSE)</f>
        <v>11.336169599999996</v>
      </c>
      <c r="X48" s="83">
        <f>VLOOKUP(TableRBRanks3141[[#This Row],[Player]],RB!B:O,8,FALSE)</f>
        <v>7.9919995679999971</v>
      </c>
      <c r="Y48" s="83">
        <f>VLOOKUP(TableRBRanks3141[[#This Row],[Player]],RB!B:O,9,FALSE)</f>
        <v>56.743196932799975</v>
      </c>
      <c r="Z48" s="83">
        <f>VLOOKUP(TableRBRanks3141[[#This Row],[Player]],RB!B:O,10,FALSE)</f>
        <v>0.31967998271999987</v>
      </c>
      <c r="AA48" s="57">
        <f>VLOOKUP(TableRBRanks3141[[#This Row],[Player]],RB!B:O,14,FALSE)</f>
        <v>76.037838458399975</v>
      </c>
      <c r="AB48" s="125">
        <f>IF(VLOOKUP(TableRBRanks3141[[#This Row],[RK]],'Ranks w Proj'!$P:$AB,13,FALSE)&lt;0,0,VLOOKUP(TableRBRanks3141[[#This Row],[RK]],'Ranks w Proj'!$P:$AB,13,FALSE))</f>
        <v>0</v>
      </c>
      <c r="AD48">
        <v>47</v>
      </c>
      <c r="AE48" t="str">
        <f>VLOOKUP(TableWRRanks3242[[#This Row],[RK]],Rankings!A:T,13,FALSE)</f>
        <v>Xavier Worthy</v>
      </c>
      <c r="AF48" t="str">
        <f>IFERROR(INDEX(TableWRCalcPts[TM],MATCH(TableWRRanks3242[[#This Row],[Player]],TableWRCalcPts[PLAYER],0)),"")</f>
        <v>KC</v>
      </c>
      <c r="AG48">
        <f>IFERROR(INDEX(TableWRCalcPts[BYE],MATCH(TableWRRanks3242[[#This Row],[Player]],TableWRCalcPts[PLAYER],0)),"")</f>
        <v>10</v>
      </c>
      <c r="AH48" s="83">
        <f>VLOOKUP(TableWRRanks3242[[#This Row],[Player]],WR!B:O,4,FALSE)</f>
        <v>48.830028799999994</v>
      </c>
      <c r="AI48" s="83">
        <f>VLOOKUP(TableWRRanks3242[[#This Row],[Player]],WR!B:O,5,FALSE)</f>
        <v>0.23532544</v>
      </c>
      <c r="AJ48" s="83">
        <f>VLOOKUP(TableWRRanks3242[[#This Row],[Player]],WR!B:O,6,FALSE)</f>
        <v>97.702079999999981</v>
      </c>
      <c r="AK48" s="83">
        <f>VLOOKUP(TableWRRanks3242[[#This Row],[Player]],WR!B:O,7,FALSE)</f>
        <v>62.529331199999987</v>
      </c>
      <c r="AL48" s="83">
        <f>VLOOKUP(TableWRRanks3242[[#This Row],[Player]],WR!B:O,8,FALSE)</f>
        <v>860.40359731199976</v>
      </c>
      <c r="AM48" s="83">
        <f>VLOOKUP(TableWRRanks3242[[#This Row],[Player]],WR!B:O,9,FALSE)</f>
        <v>5.9402864639999988</v>
      </c>
      <c r="AN48" s="57">
        <f>VLOOKUP(TableWRRanks3242[[#This Row],[Player]],WR!B:O,13,FALSE)</f>
        <v>159.24169963519995</v>
      </c>
      <c r="AO48" s="125">
        <f>IF(VLOOKUP(TableWRRanks3242[[#This Row],[RK]],'Ranks w Proj'!AD:AO,12,FALSE)&lt;0,0,VLOOKUP(TableWRRanks3242[[#This Row],[RK]],'Ranks w Proj'!AD:AO,12,FALSE))</f>
        <v>4.8010869899460955</v>
      </c>
      <c r="AQ48">
        <v>47</v>
      </c>
      <c r="AR48" t="str">
        <f>VLOOKUP(TableTERanks3343[[#This Row],[RK]],Rankings!A:T,18,FALSE)</f>
        <v>Kylen Granson</v>
      </c>
      <c r="AS48" t="str">
        <f>IFERROR(INDEX(TableTECalcPts[TM],MATCH(TableTERanks3343[[#This Row],[Player]],TableTECalcPts[PLAYER],0)),"")</f>
        <v>IND</v>
      </c>
      <c r="AT48">
        <f>IFERROR(INDEX(TableTECalcPts[BYE],MATCH(TableTERanks3343[[#This Row],[Player]],TableTECalcPts[PLAYER],0)),"")</f>
        <v>11</v>
      </c>
      <c r="AU48" s="83">
        <f>VLOOKUP(TableTERanks3343[[#This Row],[Player]],TE!B:O,4,FALSE)</f>
        <v>10.732568000000001</v>
      </c>
      <c r="AV48" s="83">
        <f>VLOOKUP(TableTERanks3343[[#This Row],[Player]],TE!B:O,5,FALSE)</f>
        <v>6.6219944560000004</v>
      </c>
      <c r="AW48" s="83">
        <f>VLOOKUP(TableTERanks3343[[#This Row],[Player]],TE!B:O,6,FALSE)</f>
        <v>78.139534580800003</v>
      </c>
      <c r="AX48" s="83">
        <f>VLOOKUP(TableTERanks3343[[#This Row],[Player]],TE!B:O,7,FALSE)</f>
        <v>0.46353961192000009</v>
      </c>
      <c r="AY48" s="57">
        <f>VLOOKUP(TableTERanks3343[[#This Row],[Player]],TE!B:O,11,FALSE)</f>
        <v>13.906188357600001</v>
      </c>
      <c r="AZ48" s="125">
        <f>IF(VLOOKUP(TableTERanks3343[[#This Row],[RK]],'Ranks w Proj'!AQ:AZ,10,FALSE)&lt;0,0,VLOOKUP(TableTERanks3343[[#This Row],[RK]],'Ranks w Proj'!AQ:AZ,10,FALSE))</f>
        <v>0</v>
      </c>
    </row>
    <row r="49" spans="1:52" x14ac:dyDescent="0.2">
      <c r="A49">
        <v>48</v>
      </c>
      <c r="B49">
        <f>VLOOKUP(TableQBRanks3040[[#This Row],[RK]],Rankings!A:T,3,FALSE)</f>
        <v>0</v>
      </c>
      <c r="C49" t="str">
        <f>IFERROR(INDEX(TableQBCalcPts[TM],MATCH(TableQBRanks3040[[#This Row],[Player]],TableQBCalcPts[PLAYER],0)),"")</f>
        <v/>
      </c>
      <c r="D49" t="str">
        <f>IFERROR(INDEX(TableQBCalcPts[BYE],MATCH(TableQBRanks3040[[#This Row],[Player]],TableQBCalcPts[PLAYER],0)),"")</f>
        <v/>
      </c>
      <c r="E49" s="83">
        <f>VLOOKUP(TableQBRanks3040[[#This Row],[Player]],QB!B:O,4,FALSE)</f>
        <v>0</v>
      </c>
      <c r="F49" s="83">
        <f>VLOOKUP(TableQBRanks3040[[#This Row],[Player]],QB!B:O,5,FALSE)</f>
        <v>0</v>
      </c>
      <c r="G49" s="83">
        <f>VLOOKUP(TableQBRanks3040[[#This Row],[Player]],QB!B:O,6,FALSE)</f>
        <v>0</v>
      </c>
      <c r="H49" s="83">
        <f>VLOOKUP(TableQBRanks3040[[#This Row],[Player]],QB!B:O,7,FALSE)</f>
        <v>0</v>
      </c>
      <c r="I49" s="83">
        <f>VLOOKUP(TableQBRanks3040[[#This Row],[Player]],QB!B:O,8,FALSE)</f>
        <v>0</v>
      </c>
      <c r="J49" s="83">
        <f>VLOOKUP(TableQBRanks3040[[#This Row],[Player]],QB!B:O,9,FALSE)</f>
        <v>0</v>
      </c>
      <c r="K49" s="83">
        <f>VLOOKUP(TableQBRanks3040[[#This Row],[Player]],QB!B:O,10,FALSE)</f>
        <v>0</v>
      </c>
      <c r="L49" s="83">
        <f>VLOOKUP(TableQBRanks3040[[#This Row],[Player]],QB!B:O,11,FALSE)</f>
        <v>0</v>
      </c>
      <c r="M49" s="57">
        <f>VLOOKUP(TableQBRanks3040[[#This Row],[Player]],QB!B:O,13,FALSE)</f>
        <v>0</v>
      </c>
      <c r="N49" s="125">
        <f>IF(VLOOKUP(TableQBRanks3040[[#This Row],[RK]],'Ranks w Proj'!$A:$N,14,FALSE)&lt;0,0,VLOOKUP(TableQBRanks3040[[#This Row],[RK]],'Ranks w Proj'!$A:$N,14,FALSE))</f>
        <v>0</v>
      </c>
      <c r="P49">
        <v>48</v>
      </c>
      <c r="Q49" t="str">
        <f>VLOOKUP(TableRBRanks3141[[#This Row],[RK]],Rankings!A:T,8,FALSE)</f>
        <v>Rico Dowdle</v>
      </c>
      <c r="R49" t="str">
        <f>IFERROR(INDEX(TableRBCalcPts[TM],MATCH(TableRBRanks3141[[#This Row],[Player]],TableRBCalcPts[PLAYER],0)),"")</f>
        <v>DAL</v>
      </c>
      <c r="S49">
        <f>IFERROR(INDEX(TableRBCalcPts[BYE],MATCH(TableRBRanks3141[[#This Row],[Player]],TableRBCalcPts[PLAYER],0)),"")</f>
        <v>7</v>
      </c>
      <c r="T49" s="83">
        <f>VLOOKUP(TableRBRanks3141[[#This Row],[Player]],RB!B:O,4,FALSE)</f>
        <v>149.96769480000003</v>
      </c>
      <c r="U49" s="83">
        <f>VLOOKUP(TableRBRanks3141[[#This Row],[Player]],RB!B:O,5,FALSE)</f>
        <v>632.86367205600015</v>
      </c>
      <c r="V49" s="83">
        <f>VLOOKUP(TableRBRanks3141[[#This Row],[Player]],RB!B:O,6,FALSE)</f>
        <v>5.2488693180000014</v>
      </c>
      <c r="W49" s="83">
        <f>VLOOKUP(TableRBRanks3141[[#This Row],[Player]],RB!B:O,7,FALSE)</f>
        <v>24.39329759999999</v>
      </c>
      <c r="X49" s="83">
        <f>VLOOKUP(TableRBRanks3141[[#This Row],[Player]],RB!B:O,8,FALSE)</f>
        <v>17.929073735999992</v>
      </c>
      <c r="Y49" s="83">
        <f>VLOOKUP(TableRBRanks3141[[#This Row],[Player]],RB!B:O,9,FALSE)</f>
        <v>145.58407873631992</v>
      </c>
      <c r="Z49" s="83">
        <f>VLOOKUP(TableRBRanks3141[[#This Row],[Player]],RB!B:O,10,FALSE)</f>
        <v>0.7171629494399997</v>
      </c>
      <c r="AA49" s="57">
        <f>VLOOKUP(TableRBRanks3141[[#This Row],[Player]],RB!B:O,14,FALSE)</f>
        <v>122.60550555187201</v>
      </c>
      <c r="AB49" s="125">
        <f>IF(VLOOKUP(TableRBRanks3141[[#This Row],[RK]],'Ranks w Proj'!$P:$AB,13,FALSE)&lt;0,0,VLOOKUP(TableRBRanks3141[[#This Row],[RK]],'Ranks w Proj'!$P:$AB,13,FALSE))</f>
        <v>0</v>
      </c>
      <c r="AD49">
        <v>48</v>
      </c>
      <c r="AE49" t="str">
        <f>VLOOKUP(TableWRRanks3242[[#This Row],[RK]],Rankings!A:T,13,FALSE)</f>
        <v>Roman Wilson</v>
      </c>
      <c r="AF49" t="str">
        <f>IFERROR(INDEX(TableWRCalcPts[TM],MATCH(TableWRRanks3242[[#This Row],[Player]],TableWRCalcPts[PLAYER],0)),"")</f>
        <v>PIT</v>
      </c>
      <c r="AG49">
        <f>IFERROR(INDEX(TableWRCalcPts[BYE],MATCH(TableWRRanks3242[[#This Row],[Player]],TableWRCalcPts[PLAYER],0)),"")</f>
        <v>6</v>
      </c>
      <c r="AH49" s="83">
        <f>VLOOKUP(TableWRRanks3242[[#This Row],[Player]],WR!B:O,4,FALSE)</f>
        <v>0</v>
      </c>
      <c r="AI49" s="83">
        <f>VLOOKUP(TableWRRanks3242[[#This Row],[Player]],WR!B:O,5,FALSE)</f>
        <v>0</v>
      </c>
      <c r="AJ49" s="83">
        <f>VLOOKUP(TableWRRanks3242[[#This Row],[Player]],WR!B:O,6,FALSE)</f>
        <v>105.14836500000001</v>
      </c>
      <c r="AK49" s="83">
        <f>VLOOKUP(TableWRRanks3242[[#This Row],[Player]],WR!B:O,7,FALSE)</f>
        <v>66.453766680000015</v>
      </c>
      <c r="AL49" s="83">
        <f>VLOOKUP(TableWRRanks3242[[#This Row],[Player]],WR!B:O,8,FALSE)</f>
        <v>820.70401849800021</v>
      </c>
      <c r="AM49" s="83">
        <f>VLOOKUP(TableWRRanks3242[[#This Row],[Player]],WR!B:O,9,FALSE)</f>
        <v>4.8511249676400006</v>
      </c>
      <c r="AN49" s="57">
        <f>VLOOKUP(TableWRRanks3242[[#This Row],[Player]],WR!B:O,13,FALSE)</f>
        <v>144.40403499564002</v>
      </c>
      <c r="AO49" s="125">
        <f>IF(VLOOKUP(TableWRRanks3242[[#This Row],[RK]],'Ranks w Proj'!AD:AO,12,FALSE)&lt;0,0,VLOOKUP(TableWRRanks3242[[#This Row],[RK]],'Ranks w Proj'!AD:AO,12,FALSE))</f>
        <v>4.1065246172583434</v>
      </c>
      <c r="AQ49">
        <v>48</v>
      </c>
      <c r="AR49" t="str">
        <f>VLOOKUP(TableTERanks3343[[#This Row],[RK]],Rankings!A:T,18,FALSE)</f>
        <v>Mo Alie-Cox</v>
      </c>
      <c r="AS49" t="str">
        <f>IFERROR(INDEX(TableTECalcPts[TM],MATCH(TableTERanks3343[[#This Row],[Player]],TableTECalcPts[PLAYER],0)),"")</f>
        <v>IND</v>
      </c>
      <c r="AT49">
        <f>IFERROR(INDEX(TableTECalcPts[BYE],MATCH(TableTERanks3343[[#This Row],[Player]],TableTECalcPts[PLAYER],0)),"")</f>
        <v>11</v>
      </c>
      <c r="AU49" s="83">
        <f>VLOOKUP(TableTERanks3343[[#This Row],[Player]],TE!B:O,4,FALSE)</f>
        <v>26.831420000000001</v>
      </c>
      <c r="AV49" s="83">
        <f>VLOOKUP(TableTERanks3343[[#This Row],[Player]],TE!B:O,5,FALSE)</f>
        <v>16.447660460000002</v>
      </c>
      <c r="AW49" s="83">
        <f>VLOOKUP(TableTERanks3343[[#This Row],[Player]],TE!B:O,6,FALSE)</f>
        <v>199.83907458900003</v>
      </c>
      <c r="AX49" s="83">
        <f>VLOOKUP(TableTERanks3343[[#This Row],[Player]],TE!B:O,7,FALSE)</f>
        <v>1.3980511391000003</v>
      </c>
      <c r="AY49" s="57">
        <f>VLOOKUP(TableTERanks3343[[#This Row],[Player]],TE!B:O,11,FALSE)</f>
        <v>36.596044523500012</v>
      </c>
      <c r="AZ49" s="125">
        <f>IF(VLOOKUP(TableTERanks3343[[#This Row],[RK]],'Ranks w Proj'!AQ:AZ,10,FALSE)&lt;0,0,VLOOKUP(TableTERanks3343[[#This Row],[RK]],'Ranks w Proj'!AQ:AZ,10,FALSE))</f>
        <v>0</v>
      </c>
    </row>
    <row r="50" spans="1:52" x14ac:dyDescent="0.2">
      <c r="A50">
        <v>49</v>
      </c>
      <c r="B50">
        <f>VLOOKUP(TableQBRanks3040[[#This Row],[RK]],Rankings!A:T,3,FALSE)</f>
        <v>0</v>
      </c>
      <c r="C50" t="str">
        <f>IFERROR(INDEX(TableQBCalcPts[TM],MATCH(TableQBRanks3040[[#This Row],[Player]],TableQBCalcPts[PLAYER],0)),"")</f>
        <v/>
      </c>
      <c r="D50" t="str">
        <f>IFERROR(INDEX(TableQBCalcPts[BYE],MATCH(TableQBRanks3040[[#This Row],[Player]],TableQBCalcPts[PLAYER],0)),"")</f>
        <v/>
      </c>
      <c r="E50" s="83">
        <f>VLOOKUP(TableQBRanks3040[[#This Row],[Player]],QB!B:O,4,FALSE)</f>
        <v>0</v>
      </c>
      <c r="F50" s="83">
        <f>VLOOKUP(TableQBRanks3040[[#This Row],[Player]],QB!B:O,5,FALSE)</f>
        <v>0</v>
      </c>
      <c r="G50" s="83">
        <f>VLOOKUP(TableQBRanks3040[[#This Row],[Player]],QB!B:O,6,FALSE)</f>
        <v>0</v>
      </c>
      <c r="H50" s="83">
        <f>VLOOKUP(TableQBRanks3040[[#This Row],[Player]],QB!B:O,7,FALSE)</f>
        <v>0</v>
      </c>
      <c r="I50" s="83">
        <f>VLOOKUP(TableQBRanks3040[[#This Row],[Player]],QB!B:O,8,FALSE)</f>
        <v>0</v>
      </c>
      <c r="J50" s="83">
        <f>VLOOKUP(TableQBRanks3040[[#This Row],[Player]],QB!B:O,9,FALSE)</f>
        <v>0</v>
      </c>
      <c r="K50" s="83">
        <f>VLOOKUP(TableQBRanks3040[[#This Row],[Player]],QB!B:O,10,FALSE)</f>
        <v>0</v>
      </c>
      <c r="L50" s="83">
        <f>VLOOKUP(TableQBRanks3040[[#This Row],[Player]],QB!B:O,11,FALSE)</f>
        <v>0</v>
      </c>
      <c r="M50" s="57">
        <f>VLOOKUP(TableQBRanks3040[[#This Row],[Player]],QB!B:O,13,FALSE)</f>
        <v>0</v>
      </c>
      <c r="N50" s="125">
        <f>IF(VLOOKUP(TableQBRanks3040[[#This Row],[RK]],'Ranks w Proj'!$A:$N,14,FALSE)&lt;0,0,VLOOKUP(TableQBRanks3040[[#This Row],[RK]],'Ranks w Proj'!$A:$N,14,FALSE))</f>
        <v>0</v>
      </c>
      <c r="P50">
        <v>49</v>
      </c>
      <c r="Q50" t="str">
        <f>VLOOKUP(TableRBRanks3141[[#This Row],[RK]],Rankings!A:T,8,FALSE)</f>
        <v>Tyler Allgeier</v>
      </c>
      <c r="R50" t="str">
        <f>IFERROR(INDEX(TableRBCalcPts[TM],MATCH(TableRBRanks3141[[#This Row],[Player]],TableRBCalcPts[PLAYER],0)),"")</f>
        <v>ATL</v>
      </c>
      <c r="S50">
        <f>IFERROR(INDEX(TableRBCalcPts[BYE],MATCH(TableRBRanks3141[[#This Row],[Player]],TableRBCalcPts[PLAYER],0)),"")</f>
        <v>11</v>
      </c>
      <c r="T50" s="83">
        <f>VLOOKUP(TableRBRanks3141[[#This Row],[Player]],RB!B:O,4,FALSE)</f>
        <v>116.19326880000001</v>
      </c>
      <c r="U50" s="83">
        <f>VLOOKUP(TableRBRanks3141[[#This Row],[Player]],RB!B:O,5,FALSE)</f>
        <v>488.01172896000008</v>
      </c>
      <c r="V50" s="83">
        <f>VLOOKUP(TableRBRanks3141[[#This Row],[Player]],RB!B:O,6,FALSE)</f>
        <v>4.0667644080000009</v>
      </c>
      <c r="W50" s="83">
        <f>VLOOKUP(TableRBRanks3141[[#This Row],[Player]],RB!B:O,7,FALSE)</f>
        <v>34.508073599999989</v>
      </c>
      <c r="X50" s="83">
        <f>VLOOKUP(TableRBRanks3141[[#This Row],[Player]],RB!B:O,8,FALSE)</f>
        <v>27.571950806399993</v>
      </c>
      <c r="Y50" s="83">
        <f>VLOOKUP(TableRBRanks3141[[#This Row],[Player]],RB!B:O,9,FALSE)</f>
        <v>220.02416743507194</v>
      </c>
      <c r="Z50" s="83">
        <f>VLOOKUP(TableRBRanks3141[[#This Row],[Player]],RB!B:O,10,FALSE)</f>
        <v>1.3785975403199997</v>
      </c>
      <c r="AA50" s="57">
        <f>VLOOKUP(TableRBRanks3141[[#This Row],[Player]],RB!B:O,14,FALSE)</f>
        <v>117.2617367326272</v>
      </c>
      <c r="AB50" s="125">
        <f>IF(VLOOKUP(TableRBRanks3141[[#This Row],[RK]],'Ranks w Proj'!$P:$AB,13,FALSE)&lt;0,0,VLOOKUP(TableRBRanks3141[[#This Row],[RK]],'Ranks w Proj'!$P:$AB,13,FALSE))</f>
        <v>0</v>
      </c>
      <c r="AD50">
        <v>49</v>
      </c>
      <c r="AE50" t="str">
        <f>VLOOKUP(TableWRRanks3242[[#This Row],[RK]],Rankings!A:T,13,FALSE)</f>
        <v>Ladd McConkey</v>
      </c>
      <c r="AF50" t="str">
        <f>IFERROR(INDEX(TableWRCalcPts[TM],MATCH(TableWRRanks3242[[#This Row],[Player]],TableWRCalcPts[PLAYER],0)),"")</f>
        <v>LAC</v>
      </c>
      <c r="AG50">
        <f>IFERROR(INDEX(TableWRCalcPts[BYE],MATCH(TableWRRanks3242[[#This Row],[Player]],TableWRCalcPts[PLAYER],0)),"")</f>
        <v>5</v>
      </c>
      <c r="AH50" s="83">
        <f>VLOOKUP(TableWRRanks3242[[#This Row],[Player]],WR!B:O,4,FALSE)</f>
        <v>0</v>
      </c>
      <c r="AI50" s="83">
        <f>VLOOKUP(TableWRRanks3242[[#This Row],[Player]],WR!B:O,5,FALSE)</f>
        <v>0</v>
      </c>
      <c r="AJ50" s="83">
        <f>VLOOKUP(TableWRRanks3242[[#This Row],[Player]],WR!B:O,6,FALSE)</f>
        <v>112.78909571999998</v>
      </c>
      <c r="AK50" s="83">
        <f>VLOOKUP(TableWRRanks3242[[#This Row],[Player]],WR!B:O,7,FALSE)</f>
        <v>75.568694132399983</v>
      </c>
      <c r="AL50" s="83">
        <f>VLOOKUP(TableWRRanks3242[[#This Row],[Player]],WR!B:O,8,FALSE)</f>
        <v>935.54043335911183</v>
      </c>
      <c r="AM50" s="83">
        <f>VLOOKUP(TableWRRanks3242[[#This Row],[Player]],WR!B:O,9,FALSE)</f>
        <v>5.8187894481947984</v>
      </c>
      <c r="AN50" s="57">
        <f>VLOOKUP(TableWRRanks3242[[#This Row],[Player]],WR!B:O,13,FALSE)</f>
        <v>166.25112709127995</v>
      </c>
      <c r="AO50" s="125">
        <f>IF(VLOOKUP(TableWRRanks3242[[#This Row],[RK]],'Ranks w Proj'!AD:AO,12,FALSE)&lt;0,0,VLOOKUP(TableWRRanks3242[[#This Row],[RK]],'Ranks w Proj'!AD:AO,12,FALSE))</f>
        <v>3.2692429385841426</v>
      </c>
      <c r="AQ50">
        <v>49</v>
      </c>
      <c r="AR50" t="str">
        <f>VLOOKUP(TableTERanks3343[[#This Row],[RK]],Rankings!A:T,18,FALSE)</f>
        <v>Harrison Bryant</v>
      </c>
      <c r="AS50" t="str">
        <f>IFERROR(INDEX(TableTECalcPts[TM],MATCH(TableTERanks3343[[#This Row],[Player]],TableTECalcPts[PLAYER],0)),"")</f>
        <v>LV</v>
      </c>
      <c r="AT50">
        <f>IFERROR(INDEX(TableTECalcPts[BYE],MATCH(TableTERanks3343[[#This Row],[Player]],TableTECalcPts[PLAYER],0)),"")</f>
        <v>13</v>
      </c>
      <c r="AU50" s="83">
        <f>VLOOKUP(TableTERanks3343[[#This Row],[Player]],TE!B:O,4,FALSE)</f>
        <v>20.391349999999999</v>
      </c>
      <c r="AV50" s="83">
        <f>VLOOKUP(TableTERanks3343[[#This Row],[Player]],TE!B:O,5,FALSE)</f>
        <v>13.335942899999999</v>
      </c>
      <c r="AW50" s="83">
        <f>VLOOKUP(TableTERanks3343[[#This Row],[Player]],TE!B:O,6,FALSE)</f>
        <v>142.69458902999997</v>
      </c>
      <c r="AX50" s="83">
        <f>VLOOKUP(TableTERanks3343[[#This Row],[Player]],TE!B:O,7,FALSE)</f>
        <v>0.80015657399999995</v>
      </c>
      <c r="AY50" s="57">
        <f>VLOOKUP(TableTERanks3343[[#This Row],[Player]],TE!B:O,11,FALSE)</f>
        <v>25.738369796999997</v>
      </c>
      <c r="AZ50" s="125">
        <f>IF(VLOOKUP(TableTERanks3343[[#This Row],[RK]],'Ranks w Proj'!AQ:AZ,10,FALSE)&lt;0,0,VLOOKUP(TableTERanks3343[[#This Row],[RK]],'Ranks w Proj'!AQ:AZ,10,FALSE))</f>
        <v>0</v>
      </c>
    </row>
    <row r="51" spans="1:52" x14ac:dyDescent="0.2">
      <c r="A51">
        <v>50</v>
      </c>
      <c r="B51">
        <f>VLOOKUP(TableQBRanks3040[[#This Row],[RK]],Rankings!A:T,3,FALSE)</f>
        <v>0</v>
      </c>
      <c r="C51" t="str">
        <f>IFERROR(INDEX(TableQBCalcPts[TM],MATCH(TableQBRanks3040[[#This Row],[Player]],TableQBCalcPts[PLAYER],0)),"")</f>
        <v/>
      </c>
      <c r="D51" t="str">
        <f>IFERROR(INDEX(TableQBCalcPts[BYE],MATCH(TableQBRanks3040[[#This Row],[Player]],TableQBCalcPts[PLAYER],0)),"")</f>
        <v/>
      </c>
      <c r="E51" s="83">
        <f>VLOOKUP(TableQBRanks3040[[#This Row],[Player]],QB!B:O,4,FALSE)</f>
        <v>0</v>
      </c>
      <c r="F51" s="83">
        <f>VLOOKUP(TableQBRanks3040[[#This Row],[Player]],QB!B:O,5,FALSE)</f>
        <v>0</v>
      </c>
      <c r="G51" s="83">
        <f>VLOOKUP(TableQBRanks3040[[#This Row],[Player]],QB!B:O,6,FALSE)</f>
        <v>0</v>
      </c>
      <c r="H51" s="83">
        <f>VLOOKUP(TableQBRanks3040[[#This Row],[Player]],QB!B:O,7,FALSE)</f>
        <v>0</v>
      </c>
      <c r="I51" s="83">
        <f>VLOOKUP(TableQBRanks3040[[#This Row],[Player]],QB!B:O,8,FALSE)</f>
        <v>0</v>
      </c>
      <c r="J51" s="83">
        <f>VLOOKUP(TableQBRanks3040[[#This Row],[Player]],QB!B:O,9,FALSE)</f>
        <v>0</v>
      </c>
      <c r="K51" s="83">
        <f>VLOOKUP(TableQBRanks3040[[#This Row],[Player]],QB!B:O,10,FALSE)</f>
        <v>0</v>
      </c>
      <c r="L51" s="83">
        <f>VLOOKUP(TableQBRanks3040[[#This Row],[Player]],QB!B:O,11,FALSE)</f>
        <v>0</v>
      </c>
      <c r="M51" s="57">
        <f>VLOOKUP(TableQBRanks3040[[#This Row],[Player]],QB!B:O,13,FALSE)</f>
        <v>0</v>
      </c>
      <c r="N51" s="125">
        <f>IF(VLOOKUP(TableQBRanks3040[[#This Row],[RK]],'Ranks w Proj'!$A:$N,14,FALSE)&lt;0,0,VLOOKUP(TableQBRanks3040[[#This Row],[RK]],'Ranks w Proj'!$A:$N,14,FALSE))</f>
        <v>0</v>
      </c>
      <c r="P51">
        <v>50</v>
      </c>
      <c r="Q51" t="str">
        <f>VLOOKUP(TableRBRanks3141[[#This Row],[RK]],Rankings!A:T,8,FALSE)</f>
        <v>Roschon Johnson</v>
      </c>
      <c r="R51" t="str">
        <f>IFERROR(INDEX(TableRBCalcPts[TM],MATCH(TableRBRanks3141[[#This Row],[Player]],TableRBCalcPts[PLAYER],0)),"")</f>
        <v>CHI</v>
      </c>
      <c r="S51">
        <f>IFERROR(INDEX(TableRBCalcPts[BYE],MATCH(TableRBRanks3141[[#This Row],[Player]],TableRBCalcPts[PLAYER],0)),"")</f>
        <v>13</v>
      </c>
      <c r="T51" s="83">
        <f>VLOOKUP(TableRBRanks3141[[#This Row],[Player]],RB!B:O,4,FALSE)</f>
        <v>82.136073599999989</v>
      </c>
      <c r="U51" s="83">
        <f>VLOOKUP(TableRBRanks3141[[#This Row],[Player]],RB!B:O,5,FALSE)</f>
        <v>350.72103427199994</v>
      </c>
      <c r="V51" s="83">
        <f>VLOOKUP(TableRBRanks3141[[#This Row],[Player]],RB!B:O,6,FALSE)</f>
        <v>2.9568986495999994</v>
      </c>
      <c r="W51" s="83">
        <f>VLOOKUP(TableRBRanks3141[[#This Row],[Player]],RB!B:O,7,FALSE)</f>
        <v>34.008508799999987</v>
      </c>
      <c r="X51" s="83">
        <f>VLOOKUP(TableRBRanks3141[[#This Row],[Player]],RB!B:O,8,FALSE)</f>
        <v>25.166296511999992</v>
      </c>
      <c r="Y51" s="83">
        <f>VLOOKUP(TableRBRanks3141[[#This Row],[Player]],RB!B:O,9,FALSE)</f>
        <v>183.71396453759994</v>
      </c>
      <c r="Z51" s="83">
        <f>VLOOKUP(TableRBRanks3141[[#This Row],[Player]],RB!B:O,10,FALSE)</f>
        <v>1.1324833430399996</v>
      </c>
      <c r="AA51" s="57">
        <f>VLOOKUP(TableRBRanks3141[[#This Row],[Player]],RB!B:O,14,FALSE)</f>
        <v>90.562940092799991</v>
      </c>
      <c r="AB51" s="125">
        <f>IF(VLOOKUP(TableRBRanks3141[[#This Row],[RK]],'Ranks w Proj'!$P:$AB,13,FALSE)&lt;0,0,VLOOKUP(TableRBRanks3141[[#This Row],[RK]],'Ranks w Proj'!$P:$AB,13,FALSE))</f>
        <v>0</v>
      </c>
      <c r="AD51">
        <v>50</v>
      </c>
      <c r="AE51" t="str">
        <f>VLOOKUP(TableWRRanks3242[[#This Row],[RK]],Rankings!A:T,13,FALSE)</f>
        <v>Curtis Samuel</v>
      </c>
      <c r="AF51" t="str">
        <f>IFERROR(INDEX(TableWRCalcPts[TM],MATCH(TableWRRanks3242[[#This Row],[Player]],TableWRCalcPts[PLAYER],0)),"")</f>
        <v>BUF</v>
      </c>
      <c r="AG51">
        <f>IFERROR(INDEX(TableWRCalcPts[BYE],MATCH(TableWRRanks3242[[#This Row],[Player]],TableWRCalcPts[PLAYER],0)),"")</f>
        <v>13</v>
      </c>
      <c r="AH51" s="83">
        <f>VLOOKUP(TableWRRanks3242[[#This Row],[Player]],WR!B:O,4,FALSE)</f>
        <v>72.430122240000003</v>
      </c>
      <c r="AI51" s="83">
        <f>VLOOKUP(TableWRRanks3242[[#This Row],[Player]],WR!B:O,5,FALSE)</f>
        <v>0.73771420800000009</v>
      </c>
      <c r="AJ51" s="83">
        <f>VLOOKUP(TableWRRanks3242[[#This Row],[Player]],WR!B:O,6,FALSE)</f>
        <v>115.40229119999996</v>
      </c>
      <c r="AK51" s="83">
        <f>VLOOKUP(TableWRRanks3242[[#This Row],[Player]],WR!B:O,7,FALSE)</f>
        <v>76.16551219199998</v>
      </c>
      <c r="AL51" s="83">
        <f>VLOOKUP(TableWRRanks3242[[#This Row],[Player]],WR!B:O,8,FALSE)</f>
        <v>845.43718533119977</v>
      </c>
      <c r="AM51" s="83">
        <f>VLOOKUP(TableWRRanks3242[[#This Row],[Player]],WR!B:O,9,FALSE)</f>
        <v>5.5600823900159986</v>
      </c>
      <c r="AN51" s="57">
        <f>VLOOKUP(TableWRRanks3242[[#This Row],[Player]],WR!B:O,13,FALSE)</f>
        <v>167.65626644121596</v>
      </c>
      <c r="AO51" s="125">
        <f>IF(VLOOKUP(TableWRRanks3242[[#This Row],[RK]],'Ranks w Proj'!AD:AO,12,FALSE)&lt;0,0,VLOOKUP(TableWRRanks3242[[#This Row],[RK]],'Ranks w Proj'!AD:AO,12,FALSE))</f>
        <v>3.1785610180740038</v>
      </c>
      <c r="AQ51">
        <v>50</v>
      </c>
      <c r="AR51" t="str">
        <f>VLOOKUP(TableTERanks3343[[#This Row],[RK]],Rankings!A:T,18,FALSE)</f>
        <v>Adam Trautman</v>
      </c>
      <c r="AS51" t="str">
        <f>IFERROR(INDEX(TableTECalcPts[TM],MATCH(TableTERanks3343[[#This Row],[Player]],TableTECalcPts[PLAYER],0)),"")</f>
        <v>DEN</v>
      </c>
      <c r="AT51">
        <f>IFERROR(INDEX(TableTECalcPts[BYE],MATCH(TableTERanks3343[[#This Row],[Player]],TableTECalcPts[PLAYER],0)),"")</f>
        <v>9</v>
      </c>
      <c r="AU51" s="83">
        <f>VLOOKUP(TableTERanks3343[[#This Row],[Player]],TE!B:O,4,FALSE)</f>
        <v>28.543234999999999</v>
      </c>
      <c r="AV51" s="83">
        <f>VLOOKUP(TableTERanks3343[[#This Row],[Player]],TE!B:O,5,FALSE)</f>
        <v>17.582632759999999</v>
      </c>
      <c r="AW51" s="83">
        <f>VLOOKUP(TableTERanks3343[[#This Row],[Player]],TE!B:O,6,FALSE)</f>
        <v>167.03501122</v>
      </c>
      <c r="AX51" s="83">
        <f>VLOOKUP(TableTERanks3343[[#This Row],[Player]],TE!B:O,7,FALSE)</f>
        <v>1.0549579655999999</v>
      </c>
      <c r="AY51" s="57">
        <f>VLOOKUP(TableTERanks3343[[#This Row],[Player]],TE!B:O,11,FALSE)</f>
        <v>31.824565295600003</v>
      </c>
      <c r="AZ51" s="125">
        <f>IF(VLOOKUP(TableTERanks3343[[#This Row],[RK]],'Ranks w Proj'!AQ:AZ,10,FALSE)&lt;0,0,VLOOKUP(TableTERanks3343[[#This Row],[RK]],'Ranks w Proj'!AQ:AZ,10,FALSE))</f>
        <v>0</v>
      </c>
    </row>
    <row r="52" spans="1:52" x14ac:dyDescent="0.2">
      <c r="A52">
        <v>51</v>
      </c>
      <c r="B52">
        <f>VLOOKUP(TableQBRanks3040[[#This Row],[RK]],Rankings!A:T,3,FALSE)</f>
        <v>0</v>
      </c>
      <c r="C52" t="str">
        <f>IFERROR(INDEX(TableQBCalcPts[TM],MATCH(TableQBRanks3040[[#This Row],[Player]],TableQBCalcPts[PLAYER],0)),"")</f>
        <v/>
      </c>
      <c r="D52" t="str">
        <f>IFERROR(INDEX(TableQBCalcPts[BYE],MATCH(TableQBRanks3040[[#This Row],[Player]],TableQBCalcPts[PLAYER],0)),"")</f>
        <v/>
      </c>
      <c r="E52" s="83">
        <f>VLOOKUP(TableQBRanks3040[[#This Row],[Player]],QB!B:O,4,FALSE)</f>
        <v>0</v>
      </c>
      <c r="F52" s="83">
        <f>VLOOKUP(TableQBRanks3040[[#This Row],[Player]],QB!B:O,5,FALSE)</f>
        <v>0</v>
      </c>
      <c r="G52" s="83">
        <f>VLOOKUP(TableQBRanks3040[[#This Row],[Player]],QB!B:O,6,FALSE)</f>
        <v>0</v>
      </c>
      <c r="H52" s="83">
        <f>VLOOKUP(TableQBRanks3040[[#This Row],[Player]],QB!B:O,7,FALSE)</f>
        <v>0</v>
      </c>
      <c r="I52" s="83">
        <f>VLOOKUP(TableQBRanks3040[[#This Row],[Player]],QB!B:O,8,FALSE)</f>
        <v>0</v>
      </c>
      <c r="J52" s="83">
        <f>VLOOKUP(TableQBRanks3040[[#This Row],[Player]],QB!B:O,9,FALSE)</f>
        <v>0</v>
      </c>
      <c r="K52" s="83">
        <f>VLOOKUP(TableQBRanks3040[[#This Row],[Player]],QB!B:O,10,FALSE)</f>
        <v>0</v>
      </c>
      <c r="L52" s="83">
        <f>VLOOKUP(TableQBRanks3040[[#This Row],[Player]],QB!B:O,11,FALSE)</f>
        <v>0</v>
      </c>
      <c r="M52" s="57">
        <f>VLOOKUP(TableQBRanks3040[[#This Row],[Player]],QB!B:O,13,FALSE)</f>
        <v>0</v>
      </c>
      <c r="N52" s="125">
        <f>IF(VLOOKUP(TableQBRanks3040[[#This Row],[RK]],'Ranks w Proj'!$A:$N,14,FALSE)&lt;0,0,VLOOKUP(TableQBRanks3040[[#This Row],[RK]],'Ranks w Proj'!$A:$N,14,FALSE))</f>
        <v>0</v>
      </c>
      <c r="P52">
        <v>51</v>
      </c>
      <c r="Q52" t="str">
        <f>VLOOKUP(TableRBRanks3141[[#This Row],[RK]],Rankings!A:T,8,FALSE)</f>
        <v>MarShawn Lloyd</v>
      </c>
      <c r="R52" t="str">
        <f>IFERROR(INDEX(TableRBCalcPts[TM],MATCH(TableRBRanks3141[[#This Row],[Player]],TableRBCalcPts[PLAYER],0)),"")</f>
        <v>GB</v>
      </c>
      <c r="S52">
        <f>IFERROR(INDEX(TableRBCalcPts[BYE],MATCH(TableRBRanks3141[[#This Row],[Player]],TableRBCalcPts[PLAYER],0)),"")</f>
        <v>6</v>
      </c>
      <c r="T52" s="83">
        <f>VLOOKUP(TableRBRanks3141[[#This Row],[Player]],RB!B:O,4,FALSE)</f>
        <v>98.563695999999993</v>
      </c>
      <c r="U52" s="83">
        <f>VLOOKUP(TableRBRanks3141[[#This Row],[Player]],RB!B:O,5,FALSE)</f>
        <v>422.83825583999999</v>
      </c>
      <c r="V52" s="83">
        <f>VLOOKUP(TableRBRanks3141[[#This Row],[Player]],RB!B:O,6,FALSE)</f>
        <v>3.1540382719999998</v>
      </c>
      <c r="W52" s="83">
        <f>VLOOKUP(TableRBRanks3141[[#This Row],[Player]],RB!B:O,7,FALSE)</f>
        <v>28.510160000000003</v>
      </c>
      <c r="X52" s="83">
        <f>VLOOKUP(TableRBRanks3141[[#This Row],[Player]],RB!B:O,8,FALSE)</f>
        <v>20.18519328</v>
      </c>
      <c r="Y52" s="83">
        <f>VLOOKUP(TableRBRanks3141[[#This Row],[Player]],RB!B:O,9,FALSE)</f>
        <v>166.52784456000001</v>
      </c>
      <c r="Z52" s="83">
        <f>VLOOKUP(TableRBRanks3141[[#This Row],[Player]],RB!B:O,10,FALSE)</f>
        <v>0.70648176480000002</v>
      </c>
      <c r="AA52" s="57">
        <f>VLOOKUP(TableRBRanks3141[[#This Row],[Player]],RB!B:O,14,FALSE)</f>
        <v>92.192326900800012</v>
      </c>
      <c r="AB52" s="125">
        <f>IF(VLOOKUP(TableRBRanks3141[[#This Row],[RK]],'Ranks w Proj'!$P:$AB,13,FALSE)&lt;0,0,VLOOKUP(TableRBRanks3141[[#This Row],[RK]],'Ranks w Proj'!$P:$AB,13,FALSE))</f>
        <v>0</v>
      </c>
      <c r="AD52">
        <v>51</v>
      </c>
      <c r="AE52" t="str">
        <f>VLOOKUP(TableWRRanks3242[[#This Row],[RK]],Rankings!A:T,13,FALSE)</f>
        <v>Jaxon Smith-Njigba</v>
      </c>
      <c r="AF52" t="str">
        <f>IFERROR(INDEX(TableWRCalcPts[TM],MATCH(TableWRRanks3242[[#This Row],[Player]],TableWRCalcPts[PLAYER],0)),"")</f>
        <v>SEA</v>
      </c>
      <c r="AG52">
        <f>IFERROR(INDEX(TableWRCalcPts[BYE],MATCH(TableWRRanks3242[[#This Row],[Player]],TableWRCalcPts[PLAYER],0)),"")</f>
        <v>5</v>
      </c>
      <c r="AH52" s="83">
        <f>VLOOKUP(TableWRRanks3242[[#This Row],[Player]],WR!B:O,4,FALSE)</f>
        <v>0</v>
      </c>
      <c r="AI52" s="83">
        <f>VLOOKUP(TableWRRanks3242[[#This Row],[Player]],WR!B:O,5,FALSE)</f>
        <v>0</v>
      </c>
      <c r="AJ52" s="83">
        <f>VLOOKUP(TableWRRanks3242[[#This Row],[Player]],WR!B:O,6,FALSE)</f>
        <v>116.09648399999999</v>
      </c>
      <c r="AK52" s="83">
        <f>VLOOKUP(TableWRRanks3242[[#This Row],[Player]],WR!B:O,7,FALSE)</f>
        <v>77.088065376000003</v>
      </c>
      <c r="AL52" s="83">
        <f>VLOOKUP(TableWRRanks3242[[#This Row],[Player]],WR!B:O,8,FALSE)</f>
        <v>878.80394528640011</v>
      </c>
      <c r="AM52" s="83">
        <f>VLOOKUP(TableWRRanks3242[[#This Row],[Player]],WR!B:O,9,FALSE)</f>
        <v>5.5503407070719994</v>
      </c>
      <c r="AN52" s="57">
        <f>VLOOKUP(TableWRRanks3242[[#This Row],[Player]],WR!B:O,13,FALSE)</f>
        <v>159.726471459072</v>
      </c>
      <c r="AO52" s="125">
        <f>IF(VLOOKUP(TableWRRanks3242[[#This Row],[RK]],'Ranks w Proj'!AD:AO,12,FALSE)&lt;0,0,VLOOKUP(TableWRRanks3242[[#This Row],[RK]],'Ranks w Proj'!AD:AO,12,FALSE))</f>
        <v>2.7564824113311239</v>
      </c>
      <c r="AQ52">
        <v>51</v>
      </c>
      <c r="AR52">
        <f>VLOOKUP(TableTERanks3343[[#This Row],[RK]],Rankings!A:T,18,FALSE)</f>
        <v>0</v>
      </c>
      <c r="AS52" t="str">
        <f>IFERROR(INDEX(TableTECalcPts[TM],MATCH(TableTERanks3343[[#This Row],[Player]],TableTECalcPts[PLAYER],0)),"")</f>
        <v/>
      </c>
      <c r="AT52" t="str">
        <f>IFERROR(INDEX(TableTECalcPts[BYE],MATCH(TableTERanks3343[[#This Row],[Player]],TableTECalcPts[PLAYER],0)),"")</f>
        <v/>
      </c>
      <c r="AU52" s="83">
        <f>VLOOKUP(TableTERanks3343[[#This Row],[Player]],TE!B:O,4,FALSE)</f>
        <v>0</v>
      </c>
      <c r="AV52" s="83">
        <f>VLOOKUP(TableTERanks3343[[#This Row],[Player]],TE!B:O,5,FALSE)</f>
        <v>0</v>
      </c>
      <c r="AW52" s="83">
        <f>VLOOKUP(TableTERanks3343[[#This Row],[Player]],TE!B:O,6,FALSE)</f>
        <v>0</v>
      </c>
      <c r="AX52" s="83">
        <f>VLOOKUP(TableTERanks3343[[#This Row],[Player]],TE!B:O,7,FALSE)</f>
        <v>0</v>
      </c>
      <c r="AY52" s="57">
        <f>VLOOKUP(TableTERanks3343[[#This Row],[Player]],TE!B:O,11,FALSE)</f>
        <v>0</v>
      </c>
      <c r="AZ52" s="125">
        <f>IF(VLOOKUP(TableTERanks3343[[#This Row],[RK]],'Ranks w Proj'!AQ:AZ,10,FALSE)&lt;0,0,VLOOKUP(TableTERanks3343[[#This Row],[RK]],'Ranks w Proj'!AQ:AZ,10,FALSE))</f>
        <v>0</v>
      </c>
    </row>
    <row r="53" spans="1:52" x14ac:dyDescent="0.2">
      <c r="A53">
        <v>52</v>
      </c>
      <c r="B53">
        <f>VLOOKUP(TableQBRanks3040[[#This Row],[RK]],Rankings!A:T,3,FALSE)</f>
        <v>0</v>
      </c>
      <c r="C53" t="str">
        <f>IFERROR(INDEX(TableQBCalcPts[TM],MATCH(TableQBRanks3040[[#This Row],[Player]],TableQBCalcPts[PLAYER],0)),"")</f>
        <v/>
      </c>
      <c r="D53" t="str">
        <f>IFERROR(INDEX(TableQBCalcPts[BYE],MATCH(TableQBRanks3040[[#This Row],[Player]],TableQBCalcPts[PLAYER],0)),"")</f>
        <v/>
      </c>
      <c r="E53" s="83">
        <f>VLOOKUP(TableQBRanks3040[[#This Row],[Player]],QB!B:O,4,FALSE)</f>
        <v>0</v>
      </c>
      <c r="F53" s="83">
        <f>VLOOKUP(TableQBRanks3040[[#This Row],[Player]],QB!B:O,5,FALSE)</f>
        <v>0</v>
      </c>
      <c r="G53" s="83">
        <f>VLOOKUP(TableQBRanks3040[[#This Row],[Player]],QB!B:O,6,FALSE)</f>
        <v>0</v>
      </c>
      <c r="H53" s="83">
        <f>VLOOKUP(TableQBRanks3040[[#This Row],[Player]],QB!B:O,7,FALSE)</f>
        <v>0</v>
      </c>
      <c r="I53" s="83">
        <f>VLOOKUP(TableQBRanks3040[[#This Row],[Player]],QB!B:O,8,FALSE)</f>
        <v>0</v>
      </c>
      <c r="J53" s="83">
        <f>VLOOKUP(TableQBRanks3040[[#This Row],[Player]],QB!B:O,9,FALSE)</f>
        <v>0</v>
      </c>
      <c r="K53" s="83">
        <f>VLOOKUP(TableQBRanks3040[[#This Row],[Player]],QB!B:O,10,FALSE)</f>
        <v>0</v>
      </c>
      <c r="L53" s="83">
        <f>VLOOKUP(TableQBRanks3040[[#This Row],[Player]],QB!B:O,11,FALSE)</f>
        <v>0</v>
      </c>
      <c r="M53" s="57">
        <f>VLOOKUP(TableQBRanks3040[[#This Row],[Player]],QB!B:O,13,FALSE)</f>
        <v>0</v>
      </c>
      <c r="N53" s="125">
        <f>IF(VLOOKUP(TableQBRanks3040[[#This Row],[RK]],'Ranks w Proj'!$A:$N,14,FALSE)&lt;0,0,VLOOKUP(TableQBRanks3040[[#This Row],[RK]],'Ranks w Proj'!$A:$N,14,FALSE))</f>
        <v>0</v>
      </c>
      <c r="P53">
        <v>52</v>
      </c>
      <c r="Q53" t="str">
        <f>VLOOKUP(TableRBRanks3141[[#This Row],[RK]],Rankings!A:T,8,FALSE)</f>
        <v>Blake Corum</v>
      </c>
      <c r="R53" t="str">
        <f>IFERROR(INDEX(TableRBCalcPts[TM],MATCH(TableRBRanks3141[[#This Row],[Player]],TableRBCalcPts[PLAYER],0)),"")</f>
        <v>LAR</v>
      </c>
      <c r="S53">
        <f>IFERROR(INDEX(TableRBCalcPts[BYE],MATCH(TableRBRanks3141[[#This Row],[Player]],TableRBCalcPts[PLAYER],0)),"")</f>
        <v>10</v>
      </c>
      <c r="T53" s="83">
        <f>VLOOKUP(TableRBRanks3141[[#This Row],[Player]],RB!B:O,4,FALSE)</f>
        <v>126.392364</v>
      </c>
      <c r="U53" s="83">
        <f>VLOOKUP(TableRBRanks3141[[#This Row],[Player]],RB!B:O,5,FALSE)</f>
        <v>542.22324156000002</v>
      </c>
      <c r="V53" s="83">
        <f>VLOOKUP(TableRBRanks3141[[#This Row],[Player]],RB!B:O,6,FALSE)</f>
        <v>5.0556945600000001</v>
      </c>
      <c r="W53" s="83">
        <f>VLOOKUP(TableRBRanks3141[[#This Row],[Player]],RB!B:O,7,FALSE)</f>
        <v>24.150884799999993</v>
      </c>
      <c r="X53" s="83">
        <f>VLOOKUP(TableRBRanks3141[[#This Row],[Player]],RB!B:O,8,FALSE)</f>
        <v>16.760714051199994</v>
      </c>
      <c r="Y53" s="83">
        <f>VLOOKUP(TableRBRanks3141[[#This Row],[Player]],RB!B:O,9,FALSE)</f>
        <v>114.30806982918396</v>
      </c>
      <c r="Z53" s="83">
        <f>VLOOKUP(TableRBRanks3141[[#This Row],[Player]],RB!B:O,10,FALSE)</f>
        <v>0.58662499179199978</v>
      </c>
      <c r="AA53" s="57">
        <f>VLOOKUP(TableRBRanks3141[[#This Row],[Player]],RB!B:O,14,FALSE)</f>
        <v>107.8874054752704</v>
      </c>
      <c r="AB53" s="125">
        <f>IF(VLOOKUP(TableRBRanks3141[[#This Row],[RK]],'Ranks w Proj'!$P:$AB,13,FALSE)&lt;0,0,VLOOKUP(TableRBRanks3141[[#This Row],[RK]],'Ranks w Proj'!$P:$AB,13,FALSE))</f>
        <v>0</v>
      </c>
      <c r="AD53">
        <v>52</v>
      </c>
      <c r="AE53" t="str">
        <f>VLOOKUP(TableWRRanks3242[[#This Row],[RK]],Rankings!A:T,13,FALSE)</f>
        <v>Brandin Cooks</v>
      </c>
      <c r="AF53" t="str">
        <f>IFERROR(INDEX(TableWRCalcPts[TM],MATCH(TableWRRanks3242[[#This Row],[Player]],TableWRCalcPts[PLAYER],0)),"")</f>
        <v>DAL</v>
      </c>
      <c r="AG53">
        <f>IFERROR(INDEX(TableWRCalcPts[BYE],MATCH(TableWRRanks3242[[#This Row],[Player]],TableWRCalcPts[PLAYER],0)),"")</f>
        <v>7</v>
      </c>
      <c r="AH53" s="83">
        <f>VLOOKUP(TableWRRanks3242[[#This Row],[Player]],WR!B:O,4,FALSE)</f>
        <v>0</v>
      </c>
      <c r="AI53" s="83">
        <f>VLOOKUP(TableWRRanks3242[[#This Row],[Player]],WR!B:O,5,FALSE)</f>
        <v>0</v>
      </c>
      <c r="AJ53" s="83">
        <f>VLOOKUP(TableWRRanks3242[[#This Row],[Player]],WR!B:O,6,FALSE)</f>
        <v>109.76983919999996</v>
      </c>
      <c r="AK53" s="83">
        <f>VLOOKUP(TableWRRanks3242[[#This Row],[Player]],WR!B:O,7,FALSE)</f>
        <v>72.009014515199979</v>
      </c>
      <c r="AL53" s="83">
        <f>VLOOKUP(TableWRRanks3242[[#This Row],[Player]],WR!B:O,8,FALSE)</f>
        <v>871.30907563391975</v>
      </c>
      <c r="AM53" s="83">
        <f>VLOOKUP(TableWRRanks3242[[#This Row],[Player]],WR!B:O,9,FALSE)</f>
        <v>6.1207662337919988</v>
      </c>
      <c r="AN53" s="57">
        <f>VLOOKUP(TableWRRanks3242[[#This Row],[Player]],WR!B:O,13,FALSE)</f>
        <v>159.86001222374398</v>
      </c>
      <c r="AO53" s="125">
        <f>IF(VLOOKUP(TableWRRanks3242[[#This Row],[RK]],'Ranks w Proj'!AD:AO,12,FALSE)&lt;0,0,VLOOKUP(TableWRRanks3242[[#This Row],[RK]],'Ranks w Proj'!AD:AO,12,FALSE))</f>
        <v>2.1521505635153644</v>
      </c>
      <c r="AQ53">
        <v>52</v>
      </c>
      <c r="AR53">
        <f>VLOOKUP(TableTERanks3343[[#This Row],[RK]],Rankings!A:T,18,FALSE)</f>
        <v>0</v>
      </c>
      <c r="AS53" t="str">
        <f>IFERROR(INDEX(TableTECalcPts[TM],MATCH(TableTERanks3343[[#This Row],[Player]],TableTECalcPts[PLAYER],0)),"")</f>
        <v/>
      </c>
      <c r="AT53" t="str">
        <f>IFERROR(INDEX(TableTECalcPts[BYE],MATCH(TableTERanks3343[[#This Row],[Player]],TableTECalcPts[PLAYER],0)),"")</f>
        <v/>
      </c>
      <c r="AU53" s="83">
        <f>VLOOKUP(TableTERanks3343[[#This Row],[Player]],TE!B:O,4,FALSE)</f>
        <v>0</v>
      </c>
      <c r="AV53" s="83">
        <f>VLOOKUP(TableTERanks3343[[#This Row],[Player]],TE!B:O,5,FALSE)</f>
        <v>0</v>
      </c>
      <c r="AW53" s="83">
        <f>VLOOKUP(TableTERanks3343[[#This Row],[Player]],TE!B:O,6,FALSE)</f>
        <v>0</v>
      </c>
      <c r="AX53" s="83">
        <f>VLOOKUP(TableTERanks3343[[#This Row],[Player]],TE!B:O,7,FALSE)</f>
        <v>0</v>
      </c>
      <c r="AY53" s="57">
        <f>VLOOKUP(TableTERanks3343[[#This Row],[Player]],TE!B:O,11,FALSE)</f>
        <v>0</v>
      </c>
      <c r="AZ53" s="125">
        <f>IF(VLOOKUP(TableTERanks3343[[#This Row],[RK]],'Ranks w Proj'!AQ:AZ,10,FALSE)&lt;0,0,VLOOKUP(TableTERanks3343[[#This Row],[RK]],'Ranks w Proj'!AQ:AZ,10,FALSE))</f>
        <v>0</v>
      </c>
    </row>
    <row r="54" spans="1:52" x14ac:dyDescent="0.2">
      <c r="A54">
        <v>53</v>
      </c>
      <c r="B54">
        <f>VLOOKUP(TableQBRanks3040[[#This Row],[RK]],Rankings!A:T,3,FALSE)</f>
        <v>0</v>
      </c>
      <c r="C54" t="str">
        <f>IFERROR(INDEX(TableQBCalcPts[TM],MATCH(TableQBRanks3040[[#This Row],[Player]],TableQBCalcPts[PLAYER],0)),"")</f>
        <v/>
      </c>
      <c r="D54" t="str">
        <f>IFERROR(INDEX(TableQBCalcPts[BYE],MATCH(TableQBRanks3040[[#This Row],[Player]],TableQBCalcPts[PLAYER],0)),"")</f>
        <v/>
      </c>
      <c r="E54" s="83">
        <f>VLOOKUP(TableQBRanks3040[[#This Row],[Player]],QB!B:O,4,FALSE)</f>
        <v>0</v>
      </c>
      <c r="F54" s="83">
        <f>VLOOKUP(TableQBRanks3040[[#This Row],[Player]],QB!B:O,5,FALSE)</f>
        <v>0</v>
      </c>
      <c r="G54" s="83">
        <f>VLOOKUP(TableQBRanks3040[[#This Row],[Player]],QB!B:O,6,FALSE)</f>
        <v>0</v>
      </c>
      <c r="H54" s="83">
        <f>VLOOKUP(TableQBRanks3040[[#This Row],[Player]],QB!B:O,7,FALSE)</f>
        <v>0</v>
      </c>
      <c r="I54" s="83">
        <f>VLOOKUP(TableQBRanks3040[[#This Row],[Player]],QB!B:O,8,FALSE)</f>
        <v>0</v>
      </c>
      <c r="J54" s="83">
        <f>VLOOKUP(TableQBRanks3040[[#This Row],[Player]],QB!B:O,9,FALSE)</f>
        <v>0</v>
      </c>
      <c r="K54" s="83">
        <f>VLOOKUP(TableQBRanks3040[[#This Row],[Player]],QB!B:O,10,FALSE)</f>
        <v>0</v>
      </c>
      <c r="L54" s="83">
        <f>VLOOKUP(TableQBRanks3040[[#This Row],[Player]],QB!B:O,11,FALSE)</f>
        <v>0</v>
      </c>
      <c r="M54" s="57">
        <f>VLOOKUP(TableQBRanks3040[[#This Row],[Player]],QB!B:O,13,FALSE)</f>
        <v>0</v>
      </c>
      <c r="N54" s="125">
        <f>IF(VLOOKUP(TableQBRanks3040[[#This Row],[RK]],'Ranks w Proj'!$A:$N,14,FALSE)&lt;0,0,VLOOKUP(TableQBRanks3040[[#This Row],[RK]],'Ranks w Proj'!$A:$N,14,FALSE))</f>
        <v>0</v>
      </c>
      <c r="P54">
        <v>53</v>
      </c>
      <c r="Q54" t="str">
        <f>VLOOKUP(TableRBRanks3141[[#This Row],[RK]],Rankings!A:T,8,FALSE)</f>
        <v>Tank Bigsby</v>
      </c>
      <c r="R54" t="str">
        <f>IFERROR(INDEX(TableRBCalcPts[TM],MATCH(TableRBRanks3141[[#This Row],[Player]],TableRBCalcPts[PLAYER],0)),"")</f>
        <v>JAX</v>
      </c>
      <c r="S54">
        <f>IFERROR(INDEX(TableRBCalcPts[BYE],MATCH(TableRBRanks3141[[#This Row],[Player]],TableRBCalcPts[PLAYER],0)),"")</f>
        <v>9</v>
      </c>
      <c r="T54" s="83">
        <f>VLOOKUP(TableRBRanks3141[[#This Row],[Player]],RB!B:O,4,FALSE)</f>
        <v>102.878832</v>
      </c>
      <c r="U54" s="83">
        <f>VLOOKUP(TableRBRanks3141[[#This Row],[Player]],RB!B:O,5,FALSE)</f>
        <v>413.57290463999999</v>
      </c>
      <c r="V54" s="83">
        <f>VLOOKUP(TableRBRanks3141[[#This Row],[Player]],RB!B:O,6,FALSE)</f>
        <v>3.2921226240000001</v>
      </c>
      <c r="W54" s="83">
        <f>VLOOKUP(TableRBRanks3141[[#This Row],[Player]],RB!B:O,7,FALSE)</f>
        <v>18.127745999999991</v>
      </c>
      <c r="X54" s="83">
        <f>VLOOKUP(TableRBRanks3141[[#This Row],[Player]],RB!B:O,8,FALSE)</f>
        <v>12.743805437999994</v>
      </c>
      <c r="Y54" s="83">
        <f>VLOOKUP(TableRBRanks3141[[#This Row],[Player]],RB!B:O,9,FALSE)</f>
        <v>103.35226210217994</v>
      </c>
      <c r="Z54" s="83">
        <f>VLOOKUP(TableRBRanks3141[[#This Row],[Player]],RB!B:O,10,FALSE)</f>
        <v>0.31859513594999989</v>
      </c>
      <c r="AA54" s="57">
        <f>VLOOKUP(TableRBRanks3141[[#This Row],[Player]],RB!B:O,14,FALSE)</f>
        <v>79.728725952917998</v>
      </c>
      <c r="AB54" s="125">
        <f>IF(VLOOKUP(TableRBRanks3141[[#This Row],[RK]],'Ranks w Proj'!$P:$AB,13,FALSE)&lt;0,0,VLOOKUP(TableRBRanks3141[[#This Row],[RK]],'Ranks w Proj'!$P:$AB,13,FALSE))</f>
        <v>0</v>
      </c>
      <c r="AD54">
        <v>53</v>
      </c>
      <c r="AE54" t="str">
        <f>VLOOKUP(TableWRRanks3242[[#This Row],[RK]],Rankings!A:T,13,FALSE)</f>
        <v>Tyler Lockett</v>
      </c>
      <c r="AF54" t="str">
        <f>IFERROR(INDEX(TableWRCalcPts[TM],MATCH(TableWRRanks3242[[#This Row],[Player]],TableWRCalcPts[PLAYER],0)),"")</f>
        <v>SEA</v>
      </c>
      <c r="AG54">
        <f>IFERROR(INDEX(TableWRCalcPts[BYE],MATCH(TableWRRanks3242[[#This Row],[Player]],TableWRCalcPts[PLAYER],0)),"")</f>
        <v>5</v>
      </c>
      <c r="AH54" s="83">
        <f>VLOOKUP(TableWRRanks3242[[#This Row],[Player]],WR!B:O,4,FALSE)</f>
        <v>0</v>
      </c>
      <c r="AI54" s="83">
        <f>VLOOKUP(TableWRRanks3242[[#This Row],[Player]],WR!B:O,5,FALSE)</f>
        <v>0</v>
      </c>
      <c r="AJ54" s="83">
        <f>VLOOKUP(TableWRRanks3242[[#This Row],[Player]],WR!B:O,6,FALSE)</f>
        <v>110.29165979999999</v>
      </c>
      <c r="AK54" s="83">
        <f>VLOOKUP(TableWRRanks3242[[#This Row],[Player]],WR!B:O,7,FALSE)</f>
        <v>71.910162189600001</v>
      </c>
      <c r="AL54" s="83">
        <f>VLOOKUP(TableWRRanks3242[[#This Row],[Player]],WR!B:O,8,FALSE)</f>
        <v>826.96686518039996</v>
      </c>
      <c r="AM54" s="83">
        <f>VLOOKUP(TableWRRanks3242[[#This Row],[Player]],WR!B:O,9,FALSE)</f>
        <v>5.1056215154615998</v>
      </c>
      <c r="AN54" s="57">
        <f>VLOOKUP(TableWRRanks3242[[#This Row],[Player]],WR!B:O,13,FALSE)</f>
        <v>149.2854967056096</v>
      </c>
      <c r="AO54" s="125">
        <f>IF(VLOOKUP(TableWRRanks3242[[#This Row],[RK]],'Ranks w Proj'!AD:AO,12,FALSE)&lt;0,0,VLOOKUP(TableWRRanks3242[[#This Row],[RK]],'Ranks w Proj'!AD:AO,12,FALSE))</f>
        <v>1.5798122347725259</v>
      </c>
      <c r="AQ54">
        <v>53</v>
      </c>
      <c r="AR54">
        <f>VLOOKUP(TableTERanks3343[[#This Row],[RK]],Rankings!A:T,18,FALSE)</f>
        <v>0</v>
      </c>
      <c r="AS54" t="str">
        <f>IFERROR(INDEX(TableTECalcPts[TM],MATCH(TableTERanks3343[[#This Row],[Player]],TableTECalcPts[PLAYER],0)),"")</f>
        <v/>
      </c>
      <c r="AT54" t="str">
        <f>IFERROR(INDEX(TableTECalcPts[BYE],MATCH(TableTERanks3343[[#This Row],[Player]],TableTECalcPts[PLAYER],0)),"")</f>
        <v/>
      </c>
      <c r="AU54" s="83">
        <f>VLOOKUP(TableTERanks3343[[#This Row],[Player]],TE!B:O,4,FALSE)</f>
        <v>0</v>
      </c>
      <c r="AV54" s="83">
        <f>VLOOKUP(TableTERanks3343[[#This Row],[Player]],TE!B:O,5,FALSE)</f>
        <v>0</v>
      </c>
      <c r="AW54" s="83">
        <f>VLOOKUP(TableTERanks3343[[#This Row],[Player]],TE!B:O,6,FALSE)</f>
        <v>0</v>
      </c>
      <c r="AX54" s="83">
        <f>VLOOKUP(TableTERanks3343[[#This Row],[Player]],TE!B:O,7,FALSE)</f>
        <v>0</v>
      </c>
      <c r="AY54" s="57">
        <f>VLOOKUP(TableTERanks3343[[#This Row],[Player]],TE!B:O,11,FALSE)</f>
        <v>0</v>
      </c>
      <c r="AZ54" s="125">
        <f>IF(VLOOKUP(TableTERanks3343[[#This Row],[RK]],'Ranks w Proj'!AQ:AZ,10,FALSE)&lt;0,0,VLOOKUP(TableTERanks3343[[#This Row],[RK]],'Ranks w Proj'!AQ:AZ,10,FALSE))</f>
        <v>0</v>
      </c>
    </row>
    <row r="55" spans="1:52" x14ac:dyDescent="0.2">
      <c r="A55">
        <v>54</v>
      </c>
      <c r="B55">
        <f>VLOOKUP(TableQBRanks3040[[#This Row],[RK]],Rankings!A:T,3,FALSE)</f>
        <v>0</v>
      </c>
      <c r="C55" t="str">
        <f>IFERROR(INDEX(TableQBCalcPts[TM],MATCH(TableQBRanks3040[[#This Row],[Player]],TableQBCalcPts[PLAYER],0)),"")</f>
        <v/>
      </c>
      <c r="D55" t="str">
        <f>IFERROR(INDEX(TableQBCalcPts[BYE],MATCH(TableQBRanks3040[[#This Row],[Player]],TableQBCalcPts[PLAYER],0)),"")</f>
        <v/>
      </c>
      <c r="E55" s="83">
        <f>VLOOKUP(TableQBRanks3040[[#This Row],[Player]],QB!B:O,4,FALSE)</f>
        <v>0</v>
      </c>
      <c r="F55" s="83">
        <f>VLOOKUP(TableQBRanks3040[[#This Row],[Player]],QB!B:O,5,FALSE)</f>
        <v>0</v>
      </c>
      <c r="G55" s="83">
        <f>VLOOKUP(TableQBRanks3040[[#This Row],[Player]],QB!B:O,6,FALSE)</f>
        <v>0</v>
      </c>
      <c r="H55" s="83">
        <f>VLOOKUP(TableQBRanks3040[[#This Row],[Player]],QB!B:O,7,FALSE)</f>
        <v>0</v>
      </c>
      <c r="I55" s="83">
        <f>VLOOKUP(TableQBRanks3040[[#This Row],[Player]],QB!B:O,8,FALSE)</f>
        <v>0</v>
      </c>
      <c r="J55" s="83">
        <f>VLOOKUP(TableQBRanks3040[[#This Row],[Player]],QB!B:O,9,FALSE)</f>
        <v>0</v>
      </c>
      <c r="K55" s="83">
        <f>VLOOKUP(TableQBRanks3040[[#This Row],[Player]],QB!B:O,10,FALSE)</f>
        <v>0</v>
      </c>
      <c r="L55" s="83">
        <f>VLOOKUP(TableQBRanks3040[[#This Row],[Player]],QB!B:O,11,FALSE)</f>
        <v>0</v>
      </c>
      <c r="M55" s="57">
        <f>VLOOKUP(TableQBRanks3040[[#This Row],[Player]],QB!B:O,13,FALSE)</f>
        <v>0</v>
      </c>
      <c r="N55" s="125">
        <f>IF(VLOOKUP(TableQBRanks3040[[#This Row],[RK]],'Ranks w Proj'!$A:$N,14,FALSE)&lt;0,0,VLOOKUP(TableQBRanks3040[[#This Row],[RK]],'Ranks w Proj'!$A:$N,14,FALSE))</f>
        <v>0</v>
      </c>
      <c r="P55">
        <v>54</v>
      </c>
      <c r="Q55" t="str">
        <f>VLOOKUP(TableRBRanks3141[[#This Row],[RK]],Rankings!A:T,8,FALSE)</f>
        <v>Ray Davis</v>
      </c>
      <c r="R55" t="str">
        <f>IFERROR(INDEX(TableRBCalcPts[TM],MATCH(TableRBRanks3141[[#This Row],[Player]],TableRBCalcPts[PLAYER],0)),"")</f>
        <v>BUF</v>
      </c>
      <c r="S55">
        <f>IFERROR(INDEX(TableRBCalcPts[BYE],MATCH(TableRBRanks3141[[#This Row],[Player]],TableRBCalcPts[PLAYER],0)),"")</f>
        <v>13</v>
      </c>
      <c r="T55" s="83">
        <f>VLOOKUP(TableRBRanks3141[[#This Row],[Player]],RB!B:O,4,FALSE)</f>
        <v>120.71687040000002</v>
      </c>
      <c r="U55" s="83">
        <f>VLOOKUP(TableRBRanks3141[[#This Row],[Player]],RB!B:O,5,FALSE)</f>
        <v>514.253867904</v>
      </c>
      <c r="V55" s="83">
        <f>VLOOKUP(TableRBRanks3141[[#This Row],[Player]],RB!B:O,6,FALSE)</f>
        <v>3.8629398528000007</v>
      </c>
      <c r="W55" s="83">
        <f>VLOOKUP(TableRBRanks3141[[#This Row],[Player]],RB!B:O,7,FALSE)</f>
        <v>18.221414399999993</v>
      </c>
      <c r="X55" s="83">
        <f>VLOOKUP(TableRBRanks3141[[#This Row],[Player]],RB!B:O,8,FALSE)</f>
        <v>13.319853926399995</v>
      </c>
      <c r="Y55" s="83">
        <f>VLOOKUP(TableRBRanks3141[[#This Row],[Player]],RB!B:O,9,FALSE)</f>
        <v>109.62239781427196</v>
      </c>
      <c r="Z55" s="83">
        <f>VLOOKUP(TableRBRanks3141[[#This Row],[Player]],RB!B:O,10,FALSE)</f>
        <v>0.53279415705599986</v>
      </c>
      <c r="AA55" s="57">
        <f>VLOOKUP(TableRBRanks3141[[#This Row],[Player]],RB!B:O,14,FALSE)</f>
        <v>95.421957594163203</v>
      </c>
      <c r="AB55" s="125">
        <f>IF(VLOOKUP(TableRBRanks3141[[#This Row],[RK]],'Ranks w Proj'!$P:$AB,13,FALSE)&lt;0,0,VLOOKUP(TableRBRanks3141[[#This Row],[RK]],'Ranks w Proj'!$P:$AB,13,FALSE))</f>
        <v>0</v>
      </c>
      <c r="AD55">
        <v>54</v>
      </c>
      <c r="AE55" t="str">
        <f>VLOOKUP(TableWRRanks3242[[#This Row],[RK]],Rankings!A:T,13,FALSE)</f>
        <v>Jakobi Meyers</v>
      </c>
      <c r="AF55" t="str">
        <f>IFERROR(INDEX(TableWRCalcPts[TM],MATCH(TableWRRanks3242[[#This Row],[Player]],TableWRCalcPts[PLAYER],0)),"")</f>
        <v>LV</v>
      </c>
      <c r="AG55">
        <f>IFERROR(INDEX(TableWRCalcPts[BYE],MATCH(TableWRRanks3242[[#This Row],[Player]],TableWRCalcPts[PLAYER],0)),"")</f>
        <v>13</v>
      </c>
      <c r="AH55" s="83">
        <f>VLOOKUP(TableWRRanks3242[[#This Row],[Player]],WR!B:O,4,FALSE)</f>
        <v>23.246139000000003</v>
      </c>
      <c r="AI55" s="83">
        <f>VLOOKUP(TableWRRanks3242[[#This Row],[Player]],WR!B:O,5,FALSE)</f>
        <v>0.24469620000000003</v>
      </c>
      <c r="AJ55" s="83">
        <f>VLOOKUP(TableWRRanks3242[[#This Row],[Player]],WR!B:O,6,FALSE)</f>
        <v>110.69589999999997</v>
      </c>
      <c r="AK55" s="83">
        <f>VLOOKUP(TableWRRanks3242[[#This Row],[Player]],WR!B:O,7,FALSE)</f>
        <v>70.845375999999973</v>
      </c>
      <c r="AL55" s="83">
        <f>VLOOKUP(TableWRRanks3242[[#This Row],[Player]],WR!B:O,8,FALSE)</f>
        <v>839.51770559999966</v>
      </c>
      <c r="AM55" s="83">
        <f>VLOOKUP(TableWRRanks3242[[#This Row],[Player]],WR!B:O,9,FALSE)</f>
        <v>4.9591763199999983</v>
      </c>
      <c r="AN55" s="57">
        <f>VLOOKUP(TableWRRanks3242[[#This Row],[Player]],WR!B:O,13,FALSE)</f>
        <v>152.92230757999994</v>
      </c>
      <c r="AO55" s="125">
        <f>IF(VLOOKUP(TableWRRanks3242[[#This Row],[RK]],'Ranks w Proj'!AD:AO,12,FALSE)&lt;0,0,VLOOKUP(TableWRRanks3242[[#This Row],[RK]],'Ranks w Proj'!AD:AO,12,FALSE))</f>
        <v>1.0461767590692139</v>
      </c>
      <c r="AQ55">
        <v>54</v>
      </c>
      <c r="AR55">
        <f>VLOOKUP(TableTERanks3343[[#This Row],[RK]],Rankings!A:T,18,FALSE)</f>
        <v>0</v>
      </c>
      <c r="AS55" t="str">
        <f>IFERROR(INDEX(TableTECalcPts[TM],MATCH(TableTERanks3343[[#This Row],[Player]],TableTECalcPts[PLAYER],0)),"")</f>
        <v/>
      </c>
      <c r="AT55" t="str">
        <f>IFERROR(INDEX(TableTECalcPts[BYE],MATCH(TableTERanks3343[[#This Row],[Player]],TableTECalcPts[PLAYER],0)),"")</f>
        <v/>
      </c>
      <c r="AU55" s="83">
        <f>VLOOKUP(TableTERanks3343[[#This Row],[Player]],TE!B:O,4,FALSE)</f>
        <v>0</v>
      </c>
      <c r="AV55" s="83">
        <f>VLOOKUP(TableTERanks3343[[#This Row],[Player]],TE!B:O,5,FALSE)</f>
        <v>0</v>
      </c>
      <c r="AW55" s="83">
        <f>VLOOKUP(TableTERanks3343[[#This Row],[Player]],TE!B:O,6,FALSE)</f>
        <v>0</v>
      </c>
      <c r="AX55" s="83">
        <f>VLOOKUP(TableTERanks3343[[#This Row],[Player]],TE!B:O,7,FALSE)</f>
        <v>0</v>
      </c>
      <c r="AY55" s="57">
        <f>VLOOKUP(TableTERanks3343[[#This Row],[Player]],TE!B:O,11,FALSE)</f>
        <v>0</v>
      </c>
      <c r="AZ55" s="125">
        <f>IF(VLOOKUP(TableTERanks3343[[#This Row],[RK]],'Ranks w Proj'!AQ:AZ,10,FALSE)&lt;0,0,VLOOKUP(TableTERanks3343[[#This Row],[RK]],'Ranks w Proj'!AQ:AZ,10,FALSE))</f>
        <v>0</v>
      </c>
    </row>
    <row r="56" spans="1:52" x14ac:dyDescent="0.2">
      <c r="A56">
        <v>55</v>
      </c>
      <c r="B56">
        <f>VLOOKUP(TableQBRanks3040[[#This Row],[RK]],Rankings!A:T,3,FALSE)</f>
        <v>0</v>
      </c>
      <c r="C56" t="str">
        <f>IFERROR(INDEX(TableQBCalcPts[TM],MATCH(TableQBRanks3040[[#This Row],[Player]],TableQBCalcPts[PLAYER],0)),"")</f>
        <v/>
      </c>
      <c r="D56" t="str">
        <f>IFERROR(INDEX(TableQBCalcPts[BYE],MATCH(TableQBRanks3040[[#This Row],[Player]],TableQBCalcPts[PLAYER],0)),"")</f>
        <v/>
      </c>
      <c r="E56" s="83">
        <f>VLOOKUP(TableQBRanks3040[[#This Row],[Player]],QB!B:O,4,FALSE)</f>
        <v>0</v>
      </c>
      <c r="F56" s="83">
        <f>VLOOKUP(TableQBRanks3040[[#This Row],[Player]],QB!B:O,5,FALSE)</f>
        <v>0</v>
      </c>
      <c r="G56" s="83">
        <f>VLOOKUP(TableQBRanks3040[[#This Row],[Player]],QB!B:O,6,FALSE)</f>
        <v>0</v>
      </c>
      <c r="H56" s="83">
        <f>VLOOKUP(TableQBRanks3040[[#This Row],[Player]],QB!B:O,7,FALSE)</f>
        <v>0</v>
      </c>
      <c r="I56" s="83">
        <f>VLOOKUP(TableQBRanks3040[[#This Row],[Player]],QB!B:O,8,FALSE)</f>
        <v>0</v>
      </c>
      <c r="J56" s="83">
        <f>VLOOKUP(TableQBRanks3040[[#This Row],[Player]],QB!B:O,9,FALSE)</f>
        <v>0</v>
      </c>
      <c r="K56" s="83">
        <f>VLOOKUP(TableQBRanks3040[[#This Row],[Player]],QB!B:O,10,FALSE)</f>
        <v>0</v>
      </c>
      <c r="L56" s="83">
        <f>VLOOKUP(TableQBRanks3040[[#This Row],[Player]],QB!B:O,11,FALSE)</f>
        <v>0</v>
      </c>
      <c r="M56" s="57">
        <f>VLOOKUP(TableQBRanks3040[[#This Row],[Player]],QB!B:O,13,FALSE)</f>
        <v>0</v>
      </c>
      <c r="N56" s="125">
        <f>IF(VLOOKUP(TableQBRanks3040[[#This Row],[RK]],'Ranks w Proj'!$A:$N,14,FALSE)&lt;0,0,VLOOKUP(TableQBRanks3040[[#This Row],[RK]],'Ranks w Proj'!$A:$N,14,FALSE))</f>
        <v>0</v>
      </c>
      <c r="P56">
        <v>55</v>
      </c>
      <c r="Q56" t="str">
        <f>VLOOKUP(TableRBRanks3141[[#This Row],[RK]],Rankings!A:T,8,FALSE)</f>
        <v>Jaylen Wright</v>
      </c>
      <c r="R56" t="str">
        <f>IFERROR(INDEX(TableRBCalcPts[TM],MATCH(TableRBRanks3141[[#This Row],[Player]],TableRBCalcPts[PLAYER],0)),"")</f>
        <v>MIA</v>
      </c>
      <c r="S56">
        <f>IFERROR(INDEX(TableRBCalcPts[BYE],MATCH(TableRBRanks3141[[#This Row],[Player]],TableRBCalcPts[PLAYER],0)),"")</f>
        <v>10</v>
      </c>
      <c r="T56" s="83">
        <f>VLOOKUP(TableRBRanks3141[[#This Row],[Player]],RB!B:O,4,FALSE)</f>
        <v>63.166488000000008</v>
      </c>
      <c r="U56" s="83">
        <f>VLOOKUP(TableRBRanks3141[[#This Row],[Player]],RB!B:O,5,FALSE)</f>
        <v>300.04081800000006</v>
      </c>
      <c r="V56" s="83">
        <f>VLOOKUP(TableRBRanks3141[[#This Row],[Player]],RB!B:O,6,FALSE)</f>
        <v>3.0951579120000003</v>
      </c>
      <c r="W56" s="83">
        <f>VLOOKUP(TableRBRanks3141[[#This Row],[Player]],RB!B:O,7,FALSE)</f>
        <v>35.179804799999992</v>
      </c>
      <c r="X56" s="83">
        <f>VLOOKUP(TableRBRanks3141[[#This Row],[Player]],RB!B:O,8,FALSE)</f>
        <v>25.751617113599995</v>
      </c>
      <c r="Y56" s="83">
        <f>VLOOKUP(TableRBRanks3141[[#This Row],[Player]],RB!B:O,9,FALSE)</f>
        <v>213.73842204287996</v>
      </c>
      <c r="Z56" s="83">
        <f>VLOOKUP(TableRBRanks3141[[#This Row],[Player]],RB!B:O,10,FALSE)</f>
        <v>1.4163389412479996</v>
      </c>
      <c r="AA56" s="57">
        <f>VLOOKUP(TableRBRanks3141[[#This Row],[Player]],RB!B:O,14,FALSE)</f>
        <v>91.322713680576001</v>
      </c>
      <c r="AB56" s="125">
        <f>IF(VLOOKUP(TableRBRanks3141[[#This Row],[RK]],'Ranks w Proj'!$P:$AB,13,FALSE)&lt;0,0,VLOOKUP(TableRBRanks3141[[#This Row],[RK]],'Ranks w Proj'!$P:$AB,13,FALSE))</f>
        <v>0</v>
      </c>
      <c r="AD56">
        <v>55</v>
      </c>
      <c r="AE56" t="str">
        <f>VLOOKUP(TableWRRanks3242[[#This Row],[RK]],Rankings!A:T,13,FALSE)</f>
        <v>Michael Wilson</v>
      </c>
      <c r="AF56" t="str">
        <f>IFERROR(INDEX(TableWRCalcPts[TM],MATCH(TableWRRanks3242[[#This Row],[Player]],TableWRCalcPts[PLAYER],0)),"")</f>
        <v>ARI</v>
      </c>
      <c r="AG56">
        <f>IFERROR(INDEX(TableWRCalcPts[BYE],MATCH(TableWRRanks3242[[#This Row],[Player]],TableWRCalcPts[PLAYER],0)),"")</f>
        <v>14</v>
      </c>
      <c r="AH56" s="83">
        <f>VLOOKUP(TableWRRanks3242[[#This Row],[Player]],WR!B:O,4,FALSE)</f>
        <v>0</v>
      </c>
      <c r="AI56" s="83">
        <f>VLOOKUP(TableWRRanks3242[[#This Row],[Player]],WR!B:O,5,FALSE)</f>
        <v>0</v>
      </c>
      <c r="AJ56" s="83">
        <f>VLOOKUP(TableWRRanks3242[[#This Row],[Player]],WR!B:O,6,FALSE)</f>
        <v>109.0927425</v>
      </c>
      <c r="AK56" s="83">
        <f>VLOOKUP(TableWRRanks3242[[#This Row],[Player]],WR!B:O,7,FALSE)</f>
        <v>65.782923727499991</v>
      </c>
      <c r="AL56" s="83">
        <f>VLOOKUP(TableWRRanks3242[[#This Row],[Player]],WR!B:O,8,FALSE)</f>
        <v>828.86483896649986</v>
      </c>
      <c r="AM56" s="83">
        <f>VLOOKUP(TableWRRanks3242[[#This Row],[Player]],WR!B:O,9,FALSE)</f>
        <v>4.8021534321074988</v>
      </c>
      <c r="AN56" s="57">
        <f>VLOOKUP(TableWRRanks3242[[#This Row],[Player]],WR!B:O,13,FALSE)</f>
        <v>144.59086635304499</v>
      </c>
      <c r="AO56" s="125">
        <f>IF(VLOOKUP(TableWRRanks3242[[#This Row],[RK]],'Ranks w Proj'!AD:AO,12,FALSE)&lt;0,0,VLOOKUP(TableWRRanks3242[[#This Row],[RK]],'Ranks w Proj'!AD:AO,12,FALSE))</f>
        <v>6.0890378063220486E-2</v>
      </c>
      <c r="AQ56">
        <v>55</v>
      </c>
      <c r="AR56">
        <f>VLOOKUP(TableTERanks3343[[#This Row],[RK]],Rankings!A:T,18,FALSE)</f>
        <v>0</v>
      </c>
      <c r="AS56" t="str">
        <f>IFERROR(INDEX(TableTECalcPts[TM],MATCH(TableTERanks3343[[#This Row],[Player]],TableTECalcPts[PLAYER],0)),"")</f>
        <v/>
      </c>
      <c r="AT56" t="str">
        <f>IFERROR(INDEX(TableTECalcPts[BYE],MATCH(TableTERanks3343[[#This Row],[Player]],TableTECalcPts[PLAYER],0)),"")</f>
        <v/>
      </c>
      <c r="AU56" s="83">
        <f>VLOOKUP(TableTERanks3343[[#This Row],[Player]],TE!B:O,4,FALSE)</f>
        <v>0</v>
      </c>
      <c r="AV56" s="83">
        <f>VLOOKUP(TableTERanks3343[[#This Row],[Player]],TE!B:O,5,FALSE)</f>
        <v>0</v>
      </c>
      <c r="AW56" s="83">
        <f>VLOOKUP(TableTERanks3343[[#This Row],[Player]],TE!B:O,6,FALSE)</f>
        <v>0</v>
      </c>
      <c r="AX56" s="83">
        <f>VLOOKUP(TableTERanks3343[[#This Row],[Player]],TE!B:O,7,FALSE)</f>
        <v>0</v>
      </c>
      <c r="AY56" s="57">
        <f>VLOOKUP(TableTERanks3343[[#This Row],[Player]],TE!B:O,11,FALSE)</f>
        <v>0</v>
      </c>
      <c r="AZ56" s="125">
        <f>IF(VLOOKUP(TableTERanks3343[[#This Row],[RK]],'Ranks w Proj'!AQ:AZ,10,FALSE)&lt;0,0,VLOOKUP(TableTERanks3343[[#This Row],[RK]],'Ranks w Proj'!AQ:AZ,10,FALSE))</f>
        <v>0</v>
      </c>
    </row>
    <row r="57" spans="1:52" x14ac:dyDescent="0.2">
      <c r="A57">
        <v>56</v>
      </c>
      <c r="B57">
        <f>VLOOKUP(TableQBRanks3040[[#This Row],[RK]],Rankings!A:T,3,FALSE)</f>
        <v>0</v>
      </c>
      <c r="C57" t="str">
        <f>IFERROR(INDEX(TableQBCalcPts[TM],MATCH(TableQBRanks3040[[#This Row],[Player]],TableQBCalcPts[PLAYER],0)),"")</f>
        <v/>
      </c>
      <c r="D57" t="str">
        <f>IFERROR(INDEX(TableQBCalcPts[BYE],MATCH(TableQBRanks3040[[#This Row],[Player]],TableQBCalcPts[PLAYER],0)),"")</f>
        <v/>
      </c>
      <c r="E57" s="83">
        <f>VLOOKUP(TableQBRanks3040[[#This Row],[Player]],QB!B:O,4,FALSE)</f>
        <v>0</v>
      </c>
      <c r="F57" s="83">
        <f>VLOOKUP(TableQBRanks3040[[#This Row],[Player]],QB!B:O,5,FALSE)</f>
        <v>0</v>
      </c>
      <c r="G57" s="83">
        <f>VLOOKUP(TableQBRanks3040[[#This Row],[Player]],QB!B:O,6,FALSE)</f>
        <v>0</v>
      </c>
      <c r="H57" s="83">
        <f>VLOOKUP(TableQBRanks3040[[#This Row],[Player]],QB!B:O,7,FALSE)</f>
        <v>0</v>
      </c>
      <c r="I57" s="83">
        <f>VLOOKUP(TableQBRanks3040[[#This Row],[Player]],QB!B:O,8,FALSE)</f>
        <v>0</v>
      </c>
      <c r="J57" s="83">
        <f>VLOOKUP(TableQBRanks3040[[#This Row],[Player]],QB!B:O,9,FALSE)</f>
        <v>0</v>
      </c>
      <c r="K57" s="83">
        <f>VLOOKUP(TableQBRanks3040[[#This Row],[Player]],QB!B:O,10,FALSE)</f>
        <v>0</v>
      </c>
      <c r="L57" s="83">
        <f>VLOOKUP(TableQBRanks3040[[#This Row],[Player]],QB!B:O,11,FALSE)</f>
        <v>0</v>
      </c>
      <c r="M57" s="57">
        <f>VLOOKUP(TableQBRanks3040[[#This Row],[Player]],QB!B:O,13,FALSE)</f>
        <v>0</v>
      </c>
      <c r="N57" s="125">
        <f>IF(VLOOKUP(TableQBRanks3040[[#This Row],[RK]],'Ranks w Proj'!$A:$N,14,FALSE)&lt;0,0,VLOOKUP(TableQBRanks3040[[#This Row],[RK]],'Ranks w Proj'!$A:$N,14,FALSE))</f>
        <v>0</v>
      </c>
      <c r="P57">
        <v>56</v>
      </c>
      <c r="Q57" t="str">
        <f>VLOOKUP(TableRBRanks3141[[#This Row],[RK]],Rankings!A:T,8,FALSE)</f>
        <v>Bucky Irving</v>
      </c>
      <c r="R57" t="str">
        <f>IFERROR(INDEX(TableRBCalcPts[TM],MATCH(TableRBRanks3141[[#This Row],[Player]],TableRBCalcPts[PLAYER],0)),"")</f>
        <v>TB</v>
      </c>
      <c r="S57">
        <f>IFERROR(INDEX(TableRBCalcPts[BYE],MATCH(TableRBRanks3141[[#This Row],[Player]],TableRBCalcPts[PLAYER],0)),"")</f>
        <v>5</v>
      </c>
      <c r="T57" s="83">
        <f>VLOOKUP(TableRBRanks3141[[#This Row],[Player]],RB!B:O,4,FALSE)</f>
        <v>84.837816000000018</v>
      </c>
      <c r="U57" s="83">
        <f>VLOOKUP(TableRBRanks3141[[#This Row],[Player]],RB!B:O,5,FALSE)</f>
        <v>355.47044904000012</v>
      </c>
      <c r="V57" s="83">
        <f>VLOOKUP(TableRBRanks3141[[#This Row],[Player]],RB!B:O,6,FALSE)</f>
        <v>2.6299722960000005</v>
      </c>
      <c r="W57" s="83">
        <f>VLOOKUP(TableRBRanks3141[[#This Row],[Player]],RB!B:O,7,FALSE)</f>
        <v>23.722036799999998</v>
      </c>
      <c r="X57" s="83">
        <f>VLOOKUP(TableRBRanks3141[[#This Row],[Player]],RB!B:O,8,FALSE)</f>
        <v>19.119961660799998</v>
      </c>
      <c r="Y57" s="83">
        <f>VLOOKUP(TableRBRanks3141[[#This Row],[Player]],RB!B:O,9,FALSE)</f>
        <v>153.72449175283197</v>
      </c>
      <c r="Z57" s="83">
        <f>VLOOKUP(TableRBRanks3141[[#This Row],[Player]],RB!B:O,10,FALSE)</f>
        <v>0.66919865812799995</v>
      </c>
      <c r="AA57" s="57">
        <f>VLOOKUP(TableRBRanks3141[[#This Row],[Player]],RB!B:O,14,FALSE)</f>
        <v>80.274500634451215</v>
      </c>
      <c r="AB57" s="125">
        <f>IF(VLOOKUP(TableRBRanks3141[[#This Row],[RK]],'Ranks w Proj'!$P:$AB,13,FALSE)&lt;0,0,VLOOKUP(TableRBRanks3141[[#This Row],[RK]],'Ranks w Proj'!$P:$AB,13,FALSE))</f>
        <v>0</v>
      </c>
      <c r="AD57">
        <v>56</v>
      </c>
      <c r="AE57" t="str">
        <f>VLOOKUP(TableWRRanks3242[[#This Row],[RK]],Rankings!A:T,13,FALSE)</f>
        <v>Jahan Dotson</v>
      </c>
      <c r="AF57" t="str">
        <f>IFERROR(INDEX(TableWRCalcPts[TM],MATCH(TableWRRanks3242[[#This Row],[Player]],TableWRCalcPts[PLAYER],0)),"")</f>
        <v>WSH</v>
      </c>
      <c r="AG57">
        <f>IFERROR(INDEX(TableWRCalcPts[BYE],MATCH(TableWRRanks3242[[#This Row],[Player]],TableWRCalcPts[PLAYER],0)),"")</f>
        <v>14</v>
      </c>
      <c r="AH57" s="83">
        <f>VLOOKUP(TableWRRanks3242[[#This Row],[Player]],WR!B:O,4,FALSE)</f>
        <v>29.7101504</v>
      </c>
      <c r="AI57" s="83">
        <f>VLOOKUP(TableWRRanks3242[[#This Row],[Player]],WR!B:O,5,FALSE)</f>
        <v>0.28317487099999999</v>
      </c>
      <c r="AJ57" s="83">
        <f>VLOOKUP(TableWRRanks3242[[#This Row],[Player]],WR!B:O,6,FALSE)</f>
        <v>105.96027539999999</v>
      </c>
      <c r="AK57" s="83">
        <f>VLOOKUP(TableWRRanks3242[[#This Row],[Player]],WR!B:O,7,FALSE)</f>
        <v>62.198681659799988</v>
      </c>
      <c r="AL57" s="83">
        <f>VLOOKUP(TableWRRanks3242[[#This Row],[Player]],WR!B:O,8,FALSE)</f>
        <v>779.34948119729381</v>
      </c>
      <c r="AM57" s="83">
        <f>VLOOKUP(TableWRRanks3242[[#This Row],[Player]],WR!B:O,9,FALSE)</f>
        <v>4.3539077161859998</v>
      </c>
      <c r="AN57" s="57">
        <f>VLOOKUP(TableWRRanks3242[[#This Row],[Player]],WR!B:O,13,FALSE)</f>
        <v>139.82779951274537</v>
      </c>
      <c r="AO57" s="125">
        <f>IF(VLOOKUP(TableWRRanks3242[[#This Row],[RK]],'Ranks w Proj'!AD:AO,12,FALSE)&lt;0,0,VLOOKUP(TableWRRanks3242[[#This Row],[RK]],'Ranks w Proj'!AD:AO,12,FALSE))</f>
        <v>4.4211888855525842E-4</v>
      </c>
      <c r="AQ57">
        <v>56</v>
      </c>
      <c r="AR57">
        <f>VLOOKUP(TableTERanks3343[[#This Row],[RK]],Rankings!A:T,18,FALSE)</f>
        <v>0</v>
      </c>
      <c r="AS57" t="str">
        <f>IFERROR(INDEX(TableTECalcPts[TM],MATCH(TableTERanks3343[[#This Row],[Player]],TableTECalcPts[PLAYER],0)),"")</f>
        <v/>
      </c>
      <c r="AT57" t="str">
        <f>IFERROR(INDEX(TableTECalcPts[BYE],MATCH(TableTERanks3343[[#This Row],[Player]],TableTECalcPts[PLAYER],0)),"")</f>
        <v/>
      </c>
      <c r="AU57" s="83">
        <f>VLOOKUP(TableTERanks3343[[#This Row],[Player]],TE!B:O,4,FALSE)</f>
        <v>0</v>
      </c>
      <c r="AV57" s="83">
        <f>VLOOKUP(TableTERanks3343[[#This Row],[Player]],TE!B:O,5,FALSE)</f>
        <v>0</v>
      </c>
      <c r="AW57" s="83">
        <f>VLOOKUP(TableTERanks3343[[#This Row],[Player]],TE!B:O,6,FALSE)</f>
        <v>0</v>
      </c>
      <c r="AX57" s="83">
        <f>VLOOKUP(TableTERanks3343[[#This Row],[Player]],TE!B:O,7,FALSE)</f>
        <v>0</v>
      </c>
      <c r="AY57" s="57">
        <f>VLOOKUP(TableTERanks3343[[#This Row],[Player]],TE!B:O,11,FALSE)</f>
        <v>0</v>
      </c>
      <c r="AZ57" s="125">
        <f>IF(VLOOKUP(TableTERanks3343[[#This Row],[RK]],'Ranks w Proj'!AQ:AZ,10,FALSE)&lt;0,0,VLOOKUP(TableTERanks3343[[#This Row],[RK]],'Ranks w Proj'!AQ:AZ,10,FALSE))</f>
        <v>0</v>
      </c>
    </row>
    <row r="58" spans="1:52" x14ac:dyDescent="0.2">
      <c r="A58">
        <v>57</v>
      </c>
      <c r="B58">
        <f>VLOOKUP(TableQBRanks3040[[#This Row],[RK]],Rankings!A:T,3,FALSE)</f>
        <v>0</v>
      </c>
      <c r="C58" t="str">
        <f>IFERROR(INDEX(TableQBCalcPts[TM],MATCH(TableQBRanks3040[[#This Row],[Player]],TableQBCalcPts[PLAYER],0)),"")</f>
        <v/>
      </c>
      <c r="D58" t="str">
        <f>IFERROR(INDEX(TableQBCalcPts[BYE],MATCH(TableQBRanks3040[[#This Row],[Player]],TableQBCalcPts[PLAYER],0)),"")</f>
        <v/>
      </c>
      <c r="E58" s="83">
        <f>VLOOKUP(TableQBRanks3040[[#This Row],[Player]],QB!B:O,4,FALSE)</f>
        <v>0</v>
      </c>
      <c r="F58" s="83">
        <f>VLOOKUP(TableQBRanks3040[[#This Row],[Player]],QB!B:O,5,FALSE)</f>
        <v>0</v>
      </c>
      <c r="G58" s="83">
        <f>VLOOKUP(TableQBRanks3040[[#This Row],[Player]],QB!B:O,6,FALSE)</f>
        <v>0</v>
      </c>
      <c r="H58" s="83">
        <f>VLOOKUP(TableQBRanks3040[[#This Row],[Player]],QB!B:O,7,FALSE)</f>
        <v>0</v>
      </c>
      <c r="I58" s="83">
        <f>VLOOKUP(TableQBRanks3040[[#This Row],[Player]],QB!B:O,8,FALSE)</f>
        <v>0</v>
      </c>
      <c r="J58" s="83">
        <f>VLOOKUP(TableQBRanks3040[[#This Row],[Player]],QB!B:O,9,FALSE)</f>
        <v>0</v>
      </c>
      <c r="K58" s="83">
        <f>VLOOKUP(TableQBRanks3040[[#This Row],[Player]],QB!B:O,10,FALSE)</f>
        <v>0</v>
      </c>
      <c r="L58" s="83">
        <f>VLOOKUP(TableQBRanks3040[[#This Row],[Player]],QB!B:O,11,FALSE)</f>
        <v>0</v>
      </c>
      <c r="M58" s="57">
        <f>VLOOKUP(TableQBRanks3040[[#This Row],[Player]],QB!B:O,13,FALSE)</f>
        <v>0</v>
      </c>
      <c r="N58" s="125">
        <f>IF(VLOOKUP(TableQBRanks3040[[#This Row],[RK]],'Ranks w Proj'!$A:$N,14,FALSE)&lt;0,0,VLOOKUP(TableQBRanks3040[[#This Row],[RK]],'Ranks w Proj'!$A:$N,14,FALSE))</f>
        <v>0</v>
      </c>
      <c r="P58">
        <v>57</v>
      </c>
      <c r="Q58" t="str">
        <f>VLOOKUP(TableRBRanks3141[[#This Row],[RK]],Rankings!A:T,8,FALSE)</f>
        <v>Braelon Allen</v>
      </c>
      <c r="R58" t="str">
        <f>IFERROR(INDEX(TableRBCalcPts[TM],MATCH(TableRBRanks3141[[#This Row],[Player]],TableRBCalcPts[PLAYER],0)),"")</f>
        <v>NYJ</v>
      </c>
      <c r="S58">
        <f>IFERROR(INDEX(TableRBCalcPts[BYE],MATCH(TableRBRanks3141[[#This Row],[Player]],TableRBCalcPts[PLAYER],0)),"")</f>
        <v>7</v>
      </c>
      <c r="T58" s="83">
        <f>VLOOKUP(TableRBRanks3141[[#This Row],[Player]],RB!B:O,4,FALSE)</f>
        <v>97.536577600000015</v>
      </c>
      <c r="U58" s="83">
        <f>VLOOKUP(TableRBRanks3141[[#This Row],[Player]],RB!B:O,5,FALSE)</f>
        <v>429.1609414400001</v>
      </c>
      <c r="V58" s="83">
        <f>VLOOKUP(TableRBRanks3141[[#This Row],[Player]],RB!B:O,6,FALSE)</f>
        <v>3.9014631040000007</v>
      </c>
      <c r="W58" s="83">
        <f>VLOOKUP(TableRBRanks3141[[#This Row],[Player]],RB!B:O,7,FALSE)</f>
        <v>5.9251191999999993</v>
      </c>
      <c r="X58" s="83">
        <f>VLOOKUP(TableRBRanks3141[[#This Row],[Player]],RB!B:O,8,FALSE)</f>
        <v>4.337187254399999</v>
      </c>
      <c r="Y58" s="83">
        <f>VLOOKUP(TableRBRanks3141[[#This Row],[Player]],RB!B:O,9,FALSE)</f>
        <v>31.227748231679993</v>
      </c>
      <c r="Z58" s="83">
        <f>VLOOKUP(TableRBRanks3141[[#This Row],[Player]],RB!B:O,10,FALSE)</f>
        <v>0.16481311566719994</v>
      </c>
      <c r="AA58" s="57">
        <f>VLOOKUP(TableRBRanks3141[[#This Row],[Player]],RB!B:O,14,FALSE)</f>
        <v>72.605119912371222</v>
      </c>
      <c r="AB58" s="125">
        <f>IF(VLOOKUP(TableRBRanks3141[[#This Row],[RK]],'Ranks w Proj'!$P:$AB,13,FALSE)&lt;0,0,VLOOKUP(TableRBRanks3141[[#This Row],[RK]],'Ranks w Proj'!$P:$AB,13,FALSE))</f>
        <v>0</v>
      </c>
      <c r="AD58">
        <v>57</v>
      </c>
      <c r="AE58" t="str">
        <f>VLOOKUP(TableWRRanks3242[[#This Row],[RK]],Rankings!A:T,13,FALSE)</f>
        <v>Jerry Jeudy</v>
      </c>
      <c r="AF58" t="str">
        <f>IFERROR(INDEX(TableWRCalcPts[TM],MATCH(TableWRRanks3242[[#This Row],[Player]],TableWRCalcPts[PLAYER],0)),"")</f>
        <v>CLE</v>
      </c>
      <c r="AG58">
        <f>IFERROR(INDEX(TableWRCalcPts[BYE],MATCH(TableWRRanks3242[[#This Row],[Player]],TableWRCalcPts[PLAYER],0)),"")</f>
        <v>5</v>
      </c>
      <c r="AH58" s="83">
        <f>VLOOKUP(TableWRRanks3242[[#This Row],[Player]],WR!B:O,4,FALSE)</f>
        <v>0</v>
      </c>
      <c r="AI58" s="83">
        <f>VLOOKUP(TableWRRanks3242[[#This Row],[Player]],WR!B:O,5,FALSE)</f>
        <v>0</v>
      </c>
      <c r="AJ58" s="83">
        <f>VLOOKUP(TableWRRanks3242[[#This Row],[Player]],WR!B:O,6,FALSE)</f>
        <v>94.089187499999994</v>
      </c>
      <c r="AK58" s="83">
        <f>VLOOKUP(TableWRRanks3242[[#This Row],[Player]],WR!B:O,7,FALSE)</f>
        <v>59.7466340625</v>
      </c>
      <c r="AL58" s="83">
        <f>VLOOKUP(TableWRRanks3242[[#This Row],[Player]],WR!B:O,8,FALSE)</f>
        <v>734.88359896874999</v>
      </c>
      <c r="AM58" s="83">
        <f>VLOOKUP(TableWRRanks3242[[#This Row],[Player]],WR!B:O,9,FALSE)</f>
        <v>4.1822643843750003</v>
      </c>
      <c r="AN58" s="57">
        <f>VLOOKUP(TableWRRanks3242[[#This Row],[Player]],WR!B:O,13,FALSE)</f>
        <v>128.455263234375</v>
      </c>
      <c r="AO58" s="125">
        <f>IF(VLOOKUP(TableWRRanks3242[[#This Row],[RK]],'Ranks w Proj'!AD:AO,12,FALSE)&lt;0,0,VLOOKUP(TableWRRanks3242[[#This Row],[RK]],'Ranks w Proj'!AD:AO,12,FALSE))</f>
        <v>0</v>
      </c>
      <c r="AQ58">
        <v>57</v>
      </c>
      <c r="AR58">
        <f>VLOOKUP(TableTERanks3343[[#This Row],[RK]],Rankings!A:T,18,FALSE)</f>
        <v>0</v>
      </c>
      <c r="AS58" t="str">
        <f>IFERROR(INDEX(TableTECalcPts[TM],MATCH(TableTERanks3343[[#This Row],[Player]],TableTECalcPts[PLAYER],0)),"")</f>
        <v/>
      </c>
      <c r="AT58" t="str">
        <f>IFERROR(INDEX(TableTECalcPts[BYE],MATCH(TableTERanks3343[[#This Row],[Player]],TableTECalcPts[PLAYER],0)),"")</f>
        <v/>
      </c>
      <c r="AU58" s="83">
        <f>VLOOKUP(TableTERanks3343[[#This Row],[Player]],TE!B:O,4,FALSE)</f>
        <v>0</v>
      </c>
      <c r="AV58" s="83">
        <f>VLOOKUP(TableTERanks3343[[#This Row],[Player]],TE!B:O,5,FALSE)</f>
        <v>0</v>
      </c>
      <c r="AW58" s="83">
        <f>VLOOKUP(TableTERanks3343[[#This Row],[Player]],TE!B:O,6,FALSE)</f>
        <v>0</v>
      </c>
      <c r="AX58" s="83">
        <f>VLOOKUP(TableTERanks3343[[#This Row],[Player]],TE!B:O,7,FALSE)</f>
        <v>0</v>
      </c>
      <c r="AY58" s="57">
        <f>VLOOKUP(TableTERanks3343[[#This Row],[Player]],TE!B:O,11,FALSE)</f>
        <v>0</v>
      </c>
      <c r="AZ58" s="125">
        <f>IF(VLOOKUP(TableTERanks3343[[#This Row],[RK]],'Ranks w Proj'!AQ:AZ,10,FALSE)&lt;0,0,VLOOKUP(TableTERanks3343[[#This Row],[RK]],'Ranks w Proj'!AQ:AZ,10,FALSE))</f>
        <v>0</v>
      </c>
    </row>
    <row r="59" spans="1:52" x14ac:dyDescent="0.2">
      <c r="A59">
        <v>58</v>
      </c>
      <c r="B59">
        <f>VLOOKUP(TableQBRanks3040[[#This Row],[RK]],Rankings!A:T,3,FALSE)</f>
        <v>0</v>
      </c>
      <c r="C59" t="str">
        <f>IFERROR(INDEX(TableQBCalcPts[TM],MATCH(TableQBRanks3040[[#This Row],[Player]],TableQBCalcPts[PLAYER],0)),"")</f>
        <v/>
      </c>
      <c r="D59" t="str">
        <f>IFERROR(INDEX(TableQBCalcPts[BYE],MATCH(TableQBRanks3040[[#This Row],[Player]],TableQBCalcPts[PLAYER],0)),"")</f>
        <v/>
      </c>
      <c r="E59" s="83">
        <f>VLOOKUP(TableQBRanks3040[[#This Row],[Player]],QB!B:O,4,FALSE)</f>
        <v>0</v>
      </c>
      <c r="F59" s="83">
        <f>VLOOKUP(TableQBRanks3040[[#This Row],[Player]],QB!B:O,5,FALSE)</f>
        <v>0</v>
      </c>
      <c r="G59" s="83">
        <f>VLOOKUP(TableQBRanks3040[[#This Row],[Player]],QB!B:O,6,FALSE)</f>
        <v>0</v>
      </c>
      <c r="H59" s="83">
        <f>VLOOKUP(TableQBRanks3040[[#This Row],[Player]],QB!B:O,7,FALSE)</f>
        <v>0</v>
      </c>
      <c r="I59" s="83">
        <f>VLOOKUP(TableQBRanks3040[[#This Row],[Player]],QB!B:O,8,FALSE)</f>
        <v>0</v>
      </c>
      <c r="J59" s="83">
        <f>VLOOKUP(TableQBRanks3040[[#This Row],[Player]],QB!B:O,9,FALSE)</f>
        <v>0</v>
      </c>
      <c r="K59" s="83">
        <f>VLOOKUP(TableQBRanks3040[[#This Row],[Player]],QB!B:O,10,FALSE)</f>
        <v>0</v>
      </c>
      <c r="L59" s="83">
        <f>VLOOKUP(TableQBRanks3040[[#This Row],[Player]],QB!B:O,11,FALSE)</f>
        <v>0</v>
      </c>
      <c r="M59" s="57">
        <f>VLOOKUP(TableQBRanks3040[[#This Row],[Player]],QB!B:O,13,FALSE)</f>
        <v>0</v>
      </c>
      <c r="N59" s="125">
        <f>IF(VLOOKUP(TableQBRanks3040[[#This Row],[RK]],'Ranks w Proj'!$A:$N,14,FALSE)&lt;0,0,VLOOKUP(TableQBRanks3040[[#This Row],[RK]],'Ranks w Proj'!$A:$N,14,FALSE))</f>
        <v>0</v>
      </c>
      <c r="P59">
        <v>58</v>
      </c>
      <c r="Q59" t="str">
        <f>VLOOKUP(TableRBRanks3141[[#This Row],[RK]],Rankings!A:T,8,FALSE)</f>
        <v>Keaton Mitchell</v>
      </c>
      <c r="R59" t="str">
        <f>IFERROR(INDEX(TableRBCalcPts[TM],MATCH(TableRBRanks3141[[#This Row],[Player]],TableRBCalcPts[PLAYER],0)),"")</f>
        <v>BAL</v>
      </c>
      <c r="S59">
        <f>IFERROR(INDEX(TableRBCalcPts[BYE],MATCH(TableRBRanks3141[[#This Row],[Player]],TableRBCalcPts[PLAYER],0)),"")</f>
        <v>13</v>
      </c>
      <c r="T59" s="83">
        <f>VLOOKUP(TableRBRanks3141[[#This Row],[Player]],RB!B:O,4,FALSE)</f>
        <v>49.887448799999994</v>
      </c>
      <c r="U59" s="83">
        <f>VLOOKUP(TableRBRanks3141[[#This Row],[Player]],RB!B:O,5,FALSE)</f>
        <v>240.45750321599999</v>
      </c>
      <c r="V59" s="83">
        <f>VLOOKUP(TableRBRanks3141[[#This Row],[Player]],RB!B:O,6,FALSE)</f>
        <v>1.8458356055999996</v>
      </c>
      <c r="W59" s="83">
        <f>VLOOKUP(TableRBRanks3141[[#This Row],[Player]],RB!B:O,7,FALSE)</f>
        <v>5.2934896</v>
      </c>
      <c r="X59" s="83">
        <f>VLOOKUP(TableRBRanks3141[[#This Row],[Player]],RB!B:O,8,FALSE)</f>
        <v>4.1130414192</v>
      </c>
      <c r="Y59" s="83">
        <f>VLOOKUP(TableRBRanks3141[[#This Row],[Player]],RB!B:O,9,FALSE)</f>
        <v>33.027722596175998</v>
      </c>
      <c r="Z59" s="83">
        <f>VLOOKUP(TableRBRanks3141[[#This Row],[Player]],RB!B:O,10,FALSE)</f>
        <v>0.185086863864</v>
      </c>
      <c r="AA59" s="57">
        <f>VLOOKUP(TableRBRanks3141[[#This Row],[Player]],RB!B:O,14,FALSE)</f>
        <v>41.590578107601594</v>
      </c>
      <c r="AB59" s="125">
        <f>IF(VLOOKUP(TableRBRanks3141[[#This Row],[RK]],'Ranks w Proj'!$P:$AB,13,FALSE)&lt;0,0,VLOOKUP(TableRBRanks3141[[#This Row],[RK]],'Ranks w Proj'!$P:$AB,13,FALSE))</f>
        <v>0</v>
      </c>
      <c r="AD59">
        <v>58</v>
      </c>
      <c r="AE59" t="str">
        <f>VLOOKUP(TableWRRanks3242[[#This Row],[RK]],Rankings!A:T,13,FALSE)</f>
        <v>Romeo Doubs</v>
      </c>
      <c r="AF59" t="str">
        <f>IFERROR(INDEX(TableWRCalcPts[TM],MATCH(TableWRRanks3242[[#This Row],[Player]],TableWRCalcPts[PLAYER],0)),"")</f>
        <v>GB</v>
      </c>
      <c r="AG59">
        <f>IFERROR(INDEX(TableWRCalcPts[BYE],MATCH(TableWRRanks3242[[#This Row],[Player]],TableWRCalcPts[PLAYER],0)),"")</f>
        <v>6</v>
      </c>
      <c r="AH59" s="83">
        <f>VLOOKUP(TableWRRanks3242[[#This Row],[Player]],WR!B:O,4,FALSE)</f>
        <v>0</v>
      </c>
      <c r="AI59" s="83">
        <f>VLOOKUP(TableWRRanks3242[[#This Row],[Player]],WR!B:O,5,FALSE)</f>
        <v>0</v>
      </c>
      <c r="AJ59" s="83">
        <f>VLOOKUP(TableWRRanks3242[[#This Row],[Player]],WR!B:O,6,FALSE)</f>
        <v>96.934544000000002</v>
      </c>
      <c r="AK59" s="83">
        <f>VLOOKUP(TableWRRanks3242[[#This Row],[Player]],WR!B:O,7,FALSE)</f>
        <v>60.777959088000003</v>
      </c>
      <c r="AL59" s="83">
        <f>VLOOKUP(TableWRRanks3242[[#This Row],[Player]],WR!B:O,8,FALSE)</f>
        <v>718.39547642016009</v>
      </c>
      <c r="AM59" s="83">
        <f>VLOOKUP(TableWRRanks3242[[#This Row],[Player]],WR!B:O,9,FALSE)</f>
        <v>5.7739061133600007</v>
      </c>
      <c r="AN59" s="57">
        <f>VLOOKUP(TableWRRanks3242[[#This Row],[Player]],WR!B:O,13,FALSE)</f>
        <v>136.87196386617603</v>
      </c>
      <c r="AO59" s="125">
        <f>IF(VLOOKUP(TableWRRanks3242[[#This Row],[RK]],'Ranks w Proj'!AD:AO,12,FALSE)&lt;0,0,VLOOKUP(TableWRRanks3242[[#This Row],[RK]],'Ranks w Proj'!AD:AO,12,FALSE))</f>
        <v>0</v>
      </c>
      <c r="AQ59">
        <v>58</v>
      </c>
      <c r="AR59">
        <f>VLOOKUP(TableTERanks3343[[#This Row],[RK]],Rankings!A:T,18,FALSE)</f>
        <v>0</v>
      </c>
      <c r="AS59" t="str">
        <f>IFERROR(INDEX(TableTECalcPts[TM],MATCH(TableTERanks3343[[#This Row],[Player]],TableTECalcPts[PLAYER],0)),"")</f>
        <v/>
      </c>
      <c r="AT59" t="str">
        <f>IFERROR(INDEX(TableTECalcPts[BYE],MATCH(TableTERanks3343[[#This Row],[Player]],TableTECalcPts[PLAYER],0)),"")</f>
        <v/>
      </c>
      <c r="AU59" s="83">
        <f>VLOOKUP(TableTERanks3343[[#This Row],[Player]],TE!B:O,4,FALSE)</f>
        <v>0</v>
      </c>
      <c r="AV59" s="83">
        <f>VLOOKUP(TableTERanks3343[[#This Row],[Player]],TE!B:O,5,FALSE)</f>
        <v>0</v>
      </c>
      <c r="AW59" s="83">
        <f>VLOOKUP(TableTERanks3343[[#This Row],[Player]],TE!B:O,6,FALSE)</f>
        <v>0</v>
      </c>
      <c r="AX59" s="83">
        <f>VLOOKUP(TableTERanks3343[[#This Row],[Player]],TE!B:O,7,FALSE)</f>
        <v>0</v>
      </c>
      <c r="AY59" s="57">
        <f>VLOOKUP(TableTERanks3343[[#This Row],[Player]],TE!B:O,11,FALSE)</f>
        <v>0</v>
      </c>
      <c r="AZ59" s="125">
        <f>IF(VLOOKUP(TableTERanks3343[[#This Row],[RK]],'Ranks w Proj'!AQ:AZ,10,FALSE)&lt;0,0,VLOOKUP(TableTERanks3343[[#This Row],[RK]],'Ranks w Proj'!AQ:AZ,10,FALSE))</f>
        <v>0</v>
      </c>
    </row>
    <row r="60" spans="1:52" x14ac:dyDescent="0.2">
      <c r="A60">
        <v>59</v>
      </c>
      <c r="B60">
        <f>VLOOKUP(TableQBRanks3040[[#This Row],[RK]],Rankings!A:T,3,FALSE)</f>
        <v>0</v>
      </c>
      <c r="C60" t="str">
        <f>IFERROR(INDEX(TableQBCalcPts[TM],MATCH(TableQBRanks3040[[#This Row],[Player]],TableQBCalcPts[PLAYER],0)),"")</f>
        <v/>
      </c>
      <c r="D60" t="str">
        <f>IFERROR(INDEX(TableQBCalcPts[BYE],MATCH(TableQBRanks3040[[#This Row],[Player]],TableQBCalcPts[PLAYER],0)),"")</f>
        <v/>
      </c>
      <c r="E60" s="83">
        <f>VLOOKUP(TableQBRanks3040[[#This Row],[Player]],QB!B:O,4,FALSE)</f>
        <v>0</v>
      </c>
      <c r="F60" s="83">
        <f>VLOOKUP(TableQBRanks3040[[#This Row],[Player]],QB!B:O,5,FALSE)</f>
        <v>0</v>
      </c>
      <c r="G60" s="83">
        <f>VLOOKUP(TableQBRanks3040[[#This Row],[Player]],QB!B:O,6,FALSE)</f>
        <v>0</v>
      </c>
      <c r="H60" s="83">
        <f>VLOOKUP(TableQBRanks3040[[#This Row],[Player]],QB!B:O,7,FALSE)</f>
        <v>0</v>
      </c>
      <c r="I60" s="83">
        <f>VLOOKUP(TableQBRanks3040[[#This Row],[Player]],QB!B:O,8,FALSE)</f>
        <v>0</v>
      </c>
      <c r="J60" s="83">
        <f>VLOOKUP(TableQBRanks3040[[#This Row],[Player]],QB!B:O,9,FALSE)</f>
        <v>0</v>
      </c>
      <c r="K60" s="83">
        <f>VLOOKUP(TableQBRanks3040[[#This Row],[Player]],QB!B:O,10,FALSE)</f>
        <v>0</v>
      </c>
      <c r="L60" s="83">
        <f>VLOOKUP(TableQBRanks3040[[#This Row],[Player]],QB!B:O,11,FALSE)</f>
        <v>0</v>
      </c>
      <c r="M60" s="57">
        <f>VLOOKUP(TableQBRanks3040[[#This Row],[Player]],QB!B:O,13,FALSE)</f>
        <v>0</v>
      </c>
      <c r="N60" s="125">
        <f>IF(VLOOKUP(TableQBRanks3040[[#This Row],[RK]],'Ranks w Proj'!$A:$N,14,FALSE)&lt;0,0,VLOOKUP(TableQBRanks3040[[#This Row],[RK]],'Ranks w Proj'!$A:$N,14,FALSE))</f>
        <v>0</v>
      </c>
      <c r="P60">
        <v>59</v>
      </c>
      <c r="Q60" t="str">
        <f>VLOOKUP(TableRBRanks3141[[#This Row],[RK]],Rankings!A:T,8,FALSE)</f>
        <v>Alexander Mattison</v>
      </c>
      <c r="R60" t="str">
        <f>IFERROR(INDEX(TableRBCalcPts[TM],MATCH(TableRBRanks3141[[#This Row],[Player]],TableRBCalcPts[PLAYER],0)),"")</f>
        <v>LV</v>
      </c>
      <c r="S60">
        <f>IFERROR(INDEX(TableRBCalcPts[BYE],MATCH(TableRBRanks3141[[#This Row],[Player]],TableRBCalcPts[PLAYER],0)),"")</f>
        <v>13</v>
      </c>
      <c r="T60" s="83">
        <f>VLOOKUP(TableRBRanks3141[[#This Row],[Player]],RB!B:O,4,FALSE)</f>
        <v>80.159100000000009</v>
      </c>
      <c r="U60" s="83">
        <f>VLOOKUP(TableRBRanks3141[[#This Row],[Player]],RB!B:O,5,FALSE)</f>
        <v>315.82685400000003</v>
      </c>
      <c r="V60" s="83">
        <f>VLOOKUP(TableRBRanks3141[[#This Row],[Player]],RB!B:O,6,FALSE)</f>
        <v>2.2444548000000002</v>
      </c>
      <c r="W60" s="83">
        <f>VLOOKUP(TableRBRanks3141[[#This Row],[Player]],RB!B:O,7,FALSE)</f>
        <v>29.130499999999994</v>
      </c>
      <c r="X60" s="83">
        <f>VLOOKUP(TableRBRanks3141[[#This Row],[Player]],RB!B:O,8,FALSE)</f>
        <v>20.449610999999994</v>
      </c>
      <c r="Y60" s="83">
        <f>VLOOKUP(TableRBRanks3141[[#This Row],[Player]],RB!B:O,9,FALSE)</f>
        <v>145.19223809999994</v>
      </c>
      <c r="Z60" s="83">
        <f>VLOOKUP(TableRBRanks3141[[#This Row],[Player]],RB!B:O,10,FALSE)</f>
        <v>0.6134883299999998</v>
      </c>
      <c r="AA60" s="57">
        <f>VLOOKUP(TableRBRanks3141[[#This Row],[Player]],RB!B:O,14,FALSE)</f>
        <v>73.474373489999991</v>
      </c>
      <c r="AB60" s="125">
        <f>IF(VLOOKUP(TableRBRanks3141[[#This Row],[RK]],'Ranks w Proj'!$P:$AB,13,FALSE)&lt;0,0,VLOOKUP(TableRBRanks3141[[#This Row],[RK]],'Ranks w Proj'!$P:$AB,13,FALSE))</f>
        <v>0</v>
      </c>
      <c r="AD60">
        <v>59</v>
      </c>
      <c r="AE60" t="str">
        <f>VLOOKUP(TableWRRanks3242[[#This Row],[RK]],Rankings!A:T,13,FALSE)</f>
        <v>DeMario Douglas</v>
      </c>
      <c r="AF60" t="str">
        <f>IFERROR(INDEX(TableWRCalcPts[TM],MATCH(TableWRRanks3242[[#This Row],[Player]],TableWRCalcPts[PLAYER],0)),"")</f>
        <v>NE</v>
      </c>
      <c r="AG60">
        <f>IFERROR(INDEX(TableWRCalcPts[BYE],MATCH(TableWRRanks3242[[#This Row],[Player]],TableWRCalcPts[PLAYER],0)),"")</f>
        <v>11</v>
      </c>
      <c r="AH60" s="83">
        <f>VLOOKUP(TableWRRanks3242[[#This Row],[Player]],WR!B:O,4,FALSE)</f>
        <v>0</v>
      </c>
      <c r="AI60" s="83">
        <f>VLOOKUP(TableWRRanks3242[[#This Row],[Player]],WR!B:O,5,FALSE)</f>
        <v>0</v>
      </c>
      <c r="AJ60" s="83">
        <f>VLOOKUP(TableWRRanks3242[[#This Row],[Player]],WR!B:O,6,FALSE)</f>
        <v>85.032443999999984</v>
      </c>
      <c r="AK60" s="83">
        <f>VLOOKUP(TableWRRanks3242[[#This Row],[Player]],WR!B:O,7,FALSE)</f>
        <v>53.145277499999992</v>
      </c>
      <c r="AL60" s="83">
        <f>VLOOKUP(TableWRRanks3242[[#This Row],[Player]],WR!B:O,8,FALSE)</f>
        <v>618.61103009999988</v>
      </c>
      <c r="AM60" s="83">
        <f>VLOOKUP(TableWRRanks3242[[#This Row],[Player]],WR!B:O,9,FALSE)</f>
        <v>2.9761355399999996</v>
      </c>
      <c r="AN60" s="57">
        <f>VLOOKUP(TableWRRanks3242[[#This Row],[Player]],WR!B:O,13,FALSE)</f>
        <v>106.29055499999998</v>
      </c>
      <c r="AO60" s="125">
        <f>IF(VLOOKUP(TableWRRanks3242[[#This Row],[RK]],'Ranks w Proj'!AD:AO,12,FALSE)&lt;0,0,VLOOKUP(TableWRRanks3242[[#This Row],[RK]],'Ranks w Proj'!AD:AO,12,FALSE))</f>
        <v>0</v>
      </c>
      <c r="AQ60">
        <v>59</v>
      </c>
      <c r="AR60">
        <f>VLOOKUP(TableTERanks3343[[#This Row],[RK]],Rankings!A:T,18,FALSE)</f>
        <v>0</v>
      </c>
      <c r="AS60" t="str">
        <f>IFERROR(INDEX(TableTECalcPts[TM],MATCH(TableTERanks3343[[#This Row],[Player]],TableTECalcPts[PLAYER],0)),"")</f>
        <v/>
      </c>
      <c r="AT60" t="str">
        <f>IFERROR(INDEX(TableTECalcPts[BYE],MATCH(TableTERanks3343[[#This Row],[Player]],TableTECalcPts[PLAYER],0)),"")</f>
        <v/>
      </c>
      <c r="AU60" s="83">
        <f>VLOOKUP(TableTERanks3343[[#This Row],[Player]],TE!B:O,4,FALSE)</f>
        <v>0</v>
      </c>
      <c r="AV60" s="83">
        <f>VLOOKUP(TableTERanks3343[[#This Row],[Player]],TE!B:O,5,FALSE)</f>
        <v>0</v>
      </c>
      <c r="AW60" s="83">
        <f>VLOOKUP(TableTERanks3343[[#This Row],[Player]],TE!B:O,6,FALSE)</f>
        <v>0</v>
      </c>
      <c r="AX60" s="83">
        <f>VLOOKUP(TableTERanks3343[[#This Row],[Player]],TE!B:O,7,FALSE)</f>
        <v>0</v>
      </c>
      <c r="AY60" s="57">
        <f>VLOOKUP(TableTERanks3343[[#This Row],[Player]],TE!B:O,11,FALSE)</f>
        <v>0</v>
      </c>
      <c r="AZ60" s="125">
        <f>IF(VLOOKUP(TableTERanks3343[[#This Row],[RK]],'Ranks w Proj'!AQ:AZ,10,FALSE)&lt;0,0,VLOOKUP(TableTERanks3343[[#This Row],[RK]],'Ranks w Proj'!AQ:AZ,10,FALSE))</f>
        <v>0</v>
      </c>
    </row>
    <row r="61" spans="1:52" x14ac:dyDescent="0.2">
      <c r="A61">
        <v>60</v>
      </c>
      <c r="B61">
        <f>VLOOKUP(TableQBRanks3040[[#This Row],[RK]],Rankings!A:T,3,FALSE)</f>
        <v>0</v>
      </c>
      <c r="C61" t="str">
        <f>IFERROR(INDEX(TableQBCalcPts[TM],MATCH(TableQBRanks3040[[#This Row],[Player]],TableQBCalcPts[PLAYER],0)),"")</f>
        <v/>
      </c>
      <c r="D61" t="str">
        <f>IFERROR(INDEX(TableQBCalcPts[BYE],MATCH(TableQBRanks3040[[#This Row],[Player]],TableQBCalcPts[PLAYER],0)),"")</f>
        <v/>
      </c>
      <c r="E61" s="83">
        <f>VLOOKUP(TableQBRanks3040[[#This Row],[Player]],QB!B:O,4,FALSE)</f>
        <v>0</v>
      </c>
      <c r="F61" s="83">
        <f>VLOOKUP(TableQBRanks3040[[#This Row],[Player]],QB!B:O,5,FALSE)</f>
        <v>0</v>
      </c>
      <c r="G61" s="83">
        <f>VLOOKUP(TableQBRanks3040[[#This Row],[Player]],QB!B:O,6,FALSE)</f>
        <v>0</v>
      </c>
      <c r="H61" s="83">
        <f>VLOOKUP(TableQBRanks3040[[#This Row],[Player]],QB!B:O,7,FALSE)</f>
        <v>0</v>
      </c>
      <c r="I61" s="83">
        <f>VLOOKUP(TableQBRanks3040[[#This Row],[Player]],QB!B:O,8,FALSE)</f>
        <v>0</v>
      </c>
      <c r="J61" s="83">
        <f>VLOOKUP(TableQBRanks3040[[#This Row],[Player]],QB!B:O,9,FALSE)</f>
        <v>0</v>
      </c>
      <c r="K61" s="83">
        <f>VLOOKUP(TableQBRanks3040[[#This Row],[Player]],QB!B:O,10,FALSE)</f>
        <v>0</v>
      </c>
      <c r="L61" s="83">
        <f>VLOOKUP(TableQBRanks3040[[#This Row],[Player]],QB!B:O,11,FALSE)</f>
        <v>0</v>
      </c>
      <c r="M61" s="57">
        <f>VLOOKUP(TableQBRanks3040[[#This Row],[Player]],QB!B:O,13,FALSE)</f>
        <v>0</v>
      </c>
      <c r="N61" s="125">
        <f>IF(VLOOKUP(TableQBRanks3040[[#This Row],[RK]],'Ranks w Proj'!$A:$N,14,FALSE)&lt;0,0,VLOOKUP(TableQBRanks3040[[#This Row],[RK]],'Ranks w Proj'!$A:$N,14,FALSE))</f>
        <v>0</v>
      </c>
      <c r="P61">
        <v>60</v>
      </c>
      <c r="Q61" t="str">
        <f>VLOOKUP(TableRBRanks3141[[#This Row],[RK]],Rankings!A:T,8,FALSE)</f>
        <v>Elijah Mitchell</v>
      </c>
      <c r="R61" t="str">
        <f>IFERROR(INDEX(TableRBCalcPts[TM],MATCH(TableRBRanks3141[[#This Row],[Player]],TableRBCalcPts[PLAYER],0)),"")</f>
        <v>SF</v>
      </c>
      <c r="S61">
        <f>IFERROR(INDEX(TableRBCalcPts[BYE],MATCH(TableRBRanks3141[[#This Row],[Player]],TableRBCalcPts[PLAYER],0)),"")</f>
        <v>9</v>
      </c>
      <c r="T61" s="83">
        <f>VLOOKUP(TableRBRanks3141[[#This Row],[Player]],RB!B:O,4,FALSE)</f>
        <v>97.529207999999997</v>
      </c>
      <c r="U61" s="83">
        <f>VLOOKUP(TableRBRanks3141[[#This Row],[Player]],RB!B:O,5,FALSE)</f>
        <v>391.09212407999996</v>
      </c>
      <c r="V61" s="83">
        <f>VLOOKUP(TableRBRanks3141[[#This Row],[Player]],RB!B:O,6,FALSE)</f>
        <v>2.92587624</v>
      </c>
      <c r="W61" s="83">
        <f>VLOOKUP(TableRBRanks3141[[#This Row],[Player]],RB!B:O,7,FALSE)</f>
        <v>10.650679199999999</v>
      </c>
      <c r="X61" s="83">
        <f>VLOOKUP(TableRBRanks3141[[#This Row],[Player]],RB!B:O,8,FALSE)</f>
        <v>8.7442076231999994</v>
      </c>
      <c r="Y61" s="83">
        <f>VLOOKUP(TableRBRanks3141[[#This Row],[Player]],RB!B:O,9,FALSE)</f>
        <v>54.563855568767998</v>
      </c>
      <c r="Z61" s="83">
        <f>VLOOKUP(TableRBRanks3141[[#This Row],[Player]],RB!B:O,10,FALSE)</f>
        <v>0.28855885156560002</v>
      </c>
      <c r="AA61" s="57">
        <f>VLOOKUP(TableRBRanks3141[[#This Row],[Player]],RB!B:O,14,FALSE)</f>
        <v>68.224312325870386</v>
      </c>
      <c r="AB61" s="125">
        <f>IF(VLOOKUP(TableRBRanks3141[[#This Row],[RK]],'Ranks w Proj'!$P:$AB,13,FALSE)&lt;0,0,VLOOKUP(TableRBRanks3141[[#This Row],[RK]],'Ranks w Proj'!$P:$AB,13,FALSE))</f>
        <v>0</v>
      </c>
      <c r="AD61">
        <v>60</v>
      </c>
      <c r="AE61" t="str">
        <f>VLOOKUP(TableWRRanks3242[[#This Row],[RK]],Rankings!A:T,13,FALSE)</f>
        <v>Rashid Shaheed</v>
      </c>
      <c r="AF61" t="str">
        <f>IFERROR(INDEX(TableWRCalcPts[TM],MATCH(TableWRRanks3242[[#This Row],[Player]],TableWRCalcPts[PLAYER],0)),"")</f>
        <v>NO</v>
      </c>
      <c r="AG61">
        <f>IFERROR(INDEX(TableWRCalcPts[BYE],MATCH(TableWRRanks3242[[#This Row],[Player]],TableWRCalcPts[PLAYER],0)),"")</f>
        <v>11</v>
      </c>
      <c r="AH61" s="83">
        <f>VLOOKUP(TableWRRanks3242[[#This Row],[Player]],WR!B:O,4,FALSE)</f>
        <v>0</v>
      </c>
      <c r="AI61" s="83">
        <f>VLOOKUP(TableWRRanks3242[[#This Row],[Player]],WR!B:O,5,FALSE)</f>
        <v>0</v>
      </c>
      <c r="AJ61" s="83">
        <f>VLOOKUP(TableWRRanks3242[[#This Row],[Player]],WR!B:O,6,FALSE)</f>
        <v>91.794936155999991</v>
      </c>
      <c r="AK61" s="83">
        <f>VLOOKUP(TableWRRanks3242[[#This Row],[Player]],WR!B:O,7,FALSE)</f>
        <v>56.729270544407996</v>
      </c>
      <c r="AL61" s="83">
        <f>VLOOKUP(TableWRRanks3242[[#This Row],[Player]],WR!B:O,8,FALSE)</f>
        <v>819.73795936669546</v>
      </c>
      <c r="AM61" s="83">
        <f>VLOOKUP(TableWRRanks3242[[#This Row],[Player]],WR!B:O,9,FALSE)</f>
        <v>4.5950709140970476</v>
      </c>
      <c r="AN61" s="57">
        <f>VLOOKUP(TableWRRanks3242[[#This Row],[Player]],WR!B:O,13,FALSE)</f>
        <v>137.90885669345585</v>
      </c>
      <c r="AO61" s="125">
        <f>IF(VLOOKUP(TableWRRanks3242[[#This Row],[RK]],'Ranks w Proj'!AD:AO,12,FALSE)&lt;0,0,VLOOKUP(TableWRRanks3242[[#This Row],[RK]],'Ranks w Proj'!AD:AO,12,FALSE))</f>
        <v>0</v>
      </c>
      <c r="AQ61">
        <v>60</v>
      </c>
      <c r="AR61">
        <f>VLOOKUP(TableTERanks3343[[#This Row],[RK]],Rankings!A:T,18,FALSE)</f>
        <v>0</v>
      </c>
      <c r="AS61" t="str">
        <f>IFERROR(INDEX(TableTECalcPts[TM],MATCH(TableTERanks3343[[#This Row],[Player]],TableTECalcPts[PLAYER],0)),"")</f>
        <v/>
      </c>
      <c r="AT61" t="str">
        <f>IFERROR(INDEX(TableTECalcPts[BYE],MATCH(TableTERanks3343[[#This Row],[Player]],TableTECalcPts[PLAYER],0)),"")</f>
        <v/>
      </c>
      <c r="AU61" s="83">
        <f>VLOOKUP(TableTERanks3343[[#This Row],[Player]],TE!B:O,4,FALSE)</f>
        <v>0</v>
      </c>
      <c r="AV61" s="83">
        <f>VLOOKUP(TableTERanks3343[[#This Row],[Player]],TE!B:O,5,FALSE)</f>
        <v>0</v>
      </c>
      <c r="AW61" s="83">
        <f>VLOOKUP(TableTERanks3343[[#This Row],[Player]],TE!B:O,6,FALSE)</f>
        <v>0</v>
      </c>
      <c r="AX61" s="83">
        <f>VLOOKUP(TableTERanks3343[[#This Row],[Player]],TE!B:O,7,FALSE)</f>
        <v>0</v>
      </c>
      <c r="AY61" s="57">
        <f>VLOOKUP(TableTERanks3343[[#This Row],[Player]],TE!B:O,11,FALSE)</f>
        <v>0</v>
      </c>
      <c r="AZ61" s="125">
        <f>IF(VLOOKUP(TableTERanks3343[[#This Row],[RK]],'Ranks w Proj'!AQ:AZ,10,FALSE)&lt;0,0,VLOOKUP(TableTERanks3343[[#This Row],[RK]],'Ranks w Proj'!AQ:AZ,10,FALSE))</f>
        <v>0</v>
      </c>
    </row>
    <row r="62" spans="1:52" x14ac:dyDescent="0.2">
      <c r="A62">
        <v>61</v>
      </c>
      <c r="B62">
        <f>VLOOKUP(TableQBRanks3040[[#This Row],[RK]],Rankings!A:T,3,FALSE)</f>
        <v>0</v>
      </c>
      <c r="C62" t="str">
        <f>IFERROR(INDEX(TableQBCalcPts[TM],MATCH(TableQBRanks3040[[#This Row],[Player]],TableQBCalcPts[PLAYER],0)),"")</f>
        <v/>
      </c>
      <c r="D62" t="str">
        <f>IFERROR(INDEX(TableQBCalcPts[BYE],MATCH(TableQBRanks3040[[#This Row],[Player]],TableQBCalcPts[PLAYER],0)),"")</f>
        <v/>
      </c>
      <c r="E62" s="83">
        <f>VLOOKUP(TableQBRanks3040[[#This Row],[Player]],QB!B:O,4,FALSE)</f>
        <v>0</v>
      </c>
      <c r="F62" s="83">
        <f>VLOOKUP(TableQBRanks3040[[#This Row],[Player]],QB!B:O,5,FALSE)</f>
        <v>0</v>
      </c>
      <c r="G62" s="83">
        <f>VLOOKUP(TableQBRanks3040[[#This Row],[Player]],QB!B:O,6,FALSE)</f>
        <v>0</v>
      </c>
      <c r="H62" s="83">
        <f>VLOOKUP(TableQBRanks3040[[#This Row],[Player]],QB!B:O,7,FALSE)</f>
        <v>0</v>
      </c>
      <c r="I62" s="83">
        <f>VLOOKUP(TableQBRanks3040[[#This Row],[Player]],QB!B:O,8,FALSE)</f>
        <v>0</v>
      </c>
      <c r="J62" s="83">
        <f>VLOOKUP(TableQBRanks3040[[#This Row],[Player]],QB!B:O,9,FALSE)</f>
        <v>0</v>
      </c>
      <c r="K62" s="83">
        <f>VLOOKUP(TableQBRanks3040[[#This Row],[Player]],QB!B:O,10,FALSE)</f>
        <v>0</v>
      </c>
      <c r="L62" s="83">
        <f>VLOOKUP(TableQBRanks3040[[#This Row],[Player]],QB!B:O,11,FALSE)</f>
        <v>0</v>
      </c>
      <c r="M62" s="57">
        <f>VLOOKUP(TableQBRanks3040[[#This Row],[Player]],QB!B:O,13,FALSE)</f>
        <v>0</v>
      </c>
      <c r="N62" s="125">
        <f>IF(VLOOKUP(TableQBRanks3040[[#This Row],[RK]],'Ranks w Proj'!$A:$N,14,FALSE)&lt;0,0,VLOOKUP(TableQBRanks3040[[#This Row],[RK]],'Ranks w Proj'!$A:$N,14,FALSE))</f>
        <v>0</v>
      </c>
      <c r="P62">
        <v>61</v>
      </c>
      <c r="Q62" t="str">
        <f>VLOOKUP(TableRBRanks3141[[#This Row],[RK]],Rankings!A:T,8,FALSE)</f>
        <v>Kenneth Gainwell</v>
      </c>
      <c r="R62" t="str">
        <f>IFERROR(INDEX(TableRBCalcPts[TM],MATCH(TableRBRanks3141[[#This Row],[Player]],TableRBCalcPts[PLAYER],0)),"")</f>
        <v>PHI</v>
      </c>
      <c r="S62">
        <f>IFERROR(INDEX(TableRBCalcPts[BYE],MATCH(TableRBRanks3141[[#This Row],[Player]],TableRBCalcPts[PLAYER],0)),"")</f>
        <v>10</v>
      </c>
      <c r="T62" s="83">
        <f>VLOOKUP(TableRBRanks3141[[#This Row],[Player]],RB!B:O,4,FALSE)</f>
        <v>62.778643200000005</v>
      </c>
      <c r="U62" s="83">
        <f>VLOOKUP(TableRBRanks3141[[#This Row],[Player]],RB!B:O,5,FALSE)</f>
        <v>271.20373862400004</v>
      </c>
      <c r="V62" s="83">
        <f>VLOOKUP(TableRBRanks3141[[#This Row],[Player]],RB!B:O,6,FALSE)</f>
        <v>2.5111457280000002</v>
      </c>
      <c r="W62" s="83">
        <f>VLOOKUP(TableRBRanks3141[[#This Row],[Player]],RB!B:O,7,FALSE)</f>
        <v>27.892368000000005</v>
      </c>
      <c r="X62" s="83">
        <f>VLOOKUP(TableRBRanks3141[[#This Row],[Player]],RB!B:O,8,FALSE)</f>
        <v>20.751921792000005</v>
      </c>
      <c r="Y62" s="83">
        <f>VLOOKUP(TableRBRanks3141[[#This Row],[Player]],RB!B:O,9,FALSE)</f>
        <v>146.71608706944005</v>
      </c>
      <c r="Z62" s="83">
        <f>VLOOKUP(TableRBRanks3141[[#This Row],[Player]],RB!B:O,10,FALSE)</f>
        <v>0.62255765376000016</v>
      </c>
      <c r="AA62" s="57">
        <f>VLOOKUP(TableRBRanks3141[[#This Row],[Player]],RB!B:O,14,FALSE)</f>
        <v>70.970163755904011</v>
      </c>
      <c r="AB62" s="125">
        <f>IF(VLOOKUP(TableRBRanks3141[[#This Row],[RK]],'Ranks w Proj'!$P:$AB,13,FALSE)&lt;0,0,VLOOKUP(TableRBRanks3141[[#This Row],[RK]],'Ranks w Proj'!$P:$AB,13,FALSE))</f>
        <v>0</v>
      </c>
      <c r="AD62">
        <v>61</v>
      </c>
      <c r="AE62" t="str">
        <f>VLOOKUP(TableWRRanks3242[[#This Row],[RK]],Rankings!A:T,13,FALSE)</f>
        <v>Joshua Palmer</v>
      </c>
      <c r="AF62" t="str">
        <f>IFERROR(INDEX(TableWRCalcPts[TM],MATCH(TableWRRanks3242[[#This Row],[Player]],TableWRCalcPts[PLAYER],0)),"")</f>
        <v>LAC</v>
      </c>
      <c r="AG62">
        <f>IFERROR(INDEX(TableWRCalcPts[BYE],MATCH(TableWRRanks3242[[#This Row],[Player]],TableWRCalcPts[PLAYER],0)),"")</f>
        <v>5</v>
      </c>
      <c r="AH62" s="83">
        <f>VLOOKUP(TableWRRanks3242[[#This Row],[Player]],WR!B:O,4,FALSE)</f>
        <v>0</v>
      </c>
      <c r="AI62" s="83">
        <f>VLOOKUP(TableWRRanks3242[[#This Row],[Player]],WR!B:O,5,FALSE)</f>
        <v>0</v>
      </c>
      <c r="AJ62" s="83">
        <f>VLOOKUP(TableWRRanks3242[[#This Row],[Player]],WR!B:O,6,FALSE)</f>
        <v>94.921516199999999</v>
      </c>
      <c r="AK62" s="83">
        <f>VLOOKUP(TableWRRanks3242[[#This Row],[Player]],WR!B:O,7,FALSE)</f>
        <v>61.604064013799999</v>
      </c>
      <c r="AL62" s="83">
        <f>VLOOKUP(TableWRRanks3242[[#This Row],[Player]],WR!B:O,8,FALSE)</f>
        <v>747.87333712753207</v>
      </c>
      <c r="AM62" s="83">
        <f>VLOOKUP(TableWRRanks3242[[#This Row],[Player]],WR!B:O,9,FALSE)</f>
        <v>4.9283251211039998</v>
      </c>
      <c r="AN62" s="57">
        <f>VLOOKUP(TableWRRanks3242[[#This Row],[Player]],WR!B:O,13,FALSE)</f>
        <v>135.15931644627722</v>
      </c>
      <c r="AO62" s="125">
        <f>IF(VLOOKUP(TableWRRanks3242[[#This Row],[RK]],'Ranks w Proj'!AD:AO,12,FALSE)&lt;0,0,VLOOKUP(TableWRRanks3242[[#This Row],[RK]],'Ranks w Proj'!AD:AO,12,FALSE))</f>
        <v>0</v>
      </c>
      <c r="AQ62">
        <v>61</v>
      </c>
      <c r="AR62">
        <f>VLOOKUP(TableTERanks3343[[#This Row],[RK]],Rankings!A:T,18,FALSE)</f>
        <v>0</v>
      </c>
      <c r="AS62" t="str">
        <f>IFERROR(INDEX(TableTECalcPts[TM],MATCH(TableTERanks3343[[#This Row],[Player]],TableTECalcPts[PLAYER],0)),"")</f>
        <v/>
      </c>
      <c r="AT62" t="str">
        <f>IFERROR(INDEX(TableTECalcPts[BYE],MATCH(TableTERanks3343[[#This Row],[Player]],TableTECalcPts[PLAYER],0)),"")</f>
        <v/>
      </c>
      <c r="AU62" s="83">
        <f>VLOOKUP(TableTERanks3343[[#This Row],[Player]],TE!B:O,4,FALSE)</f>
        <v>0</v>
      </c>
      <c r="AV62" s="83">
        <f>VLOOKUP(TableTERanks3343[[#This Row],[Player]],TE!B:O,5,FALSE)</f>
        <v>0</v>
      </c>
      <c r="AW62" s="83">
        <f>VLOOKUP(TableTERanks3343[[#This Row],[Player]],TE!B:O,6,FALSE)</f>
        <v>0</v>
      </c>
      <c r="AX62" s="83">
        <f>VLOOKUP(TableTERanks3343[[#This Row],[Player]],TE!B:O,7,FALSE)</f>
        <v>0</v>
      </c>
      <c r="AY62" s="57">
        <f>VLOOKUP(TableTERanks3343[[#This Row],[Player]],TE!B:O,11,FALSE)</f>
        <v>0</v>
      </c>
      <c r="AZ62" s="125">
        <f>IF(VLOOKUP(TableTERanks3343[[#This Row],[RK]],'Ranks w Proj'!AQ:AZ,10,FALSE)&lt;0,0,VLOOKUP(TableTERanks3343[[#This Row],[RK]],'Ranks w Proj'!AQ:AZ,10,FALSE))</f>
        <v>0</v>
      </c>
    </row>
    <row r="63" spans="1:52" x14ac:dyDescent="0.2">
      <c r="A63">
        <v>62</v>
      </c>
      <c r="B63">
        <f>VLOOKUP(TableQBRanks3040[[#This Row],[RK]],Rankings!A:T,3,FALSE)</f>
        <v>0</v>
      </c>
      <c r="C63" t="str">
        <f>IFERROR(INDEX(TableQBCalcPts[TM],MATCH(TableQBRanks3040[[#This Row],[Player]],TableQBCalcPts[PLAYER],0)),"")</f>
        <v/>
      </c>
      <c r="D63" t="str">
        <f>IFERROR(INDEX(TableQBCalcPts[BYE],MATCH(TableQBRanks3040[[#This Row],[Player]],TableQBCalcPts[PLAYER],0)),"")</f>
        <v/>
      </c>
      <c r="E63" s="83">
        <f>VLOOKUP(TableQBRanks3040[[#This Row],[Player]],QB!B:O,4,FALSE)</f>
        <v>0</v>
      </c>
      <c r="F63" s="83">
        <f>VLOOKUP(TableQBRanks3040[[#This Row],[Player]],QB!B:O,5,FALSE)</f>
        <v>0</v>
      </c>
      <c r="G63" s="83">
        <f>VLOOKUP(TableQBRanks3040[[#This Row],[Player]],QB!B:O,6,FALSE)</f>
        <v>0</v>
      </c>
      <c r="H63" s="83">
        <f>VLOOKUP(TableQBRanks3040[[#This Row],[Player]],QB!B:O,7,FALSE)</f>
        <v>0</v>
      </c>
      <c r="I63" s="83">
        <f>VLOOKUP(TableQBRanks3040[[#This Row],[Player]],QB!B:O,8,FALSE)</f>
        <v>0</v>
      </c>
      <c r="J63" s="83">
        <f>VLOOKUP(TableQBRanks3040[[#This Row],[Player]],QB!B:O,9,FALSE)</f>
        <v>0</v>
      </c>
      <c r="K63" s="83">
        <f>VLOOKUP(TableQBRanks3040[[#This Row],[Player]],QB!B:O,10,FALSE)</f>
        <v>0</v>
      </c>
      <c r="L63" s="83">
        <f>VLOOKUP(TableQBRanks3040[[#This Row],[Player]],QB!B:O,11,FALSE)</f>
        <v>0</v>
      </c>
      <c r="M63" s="57">
        <f>VLOOKUP(TableQBRanks3040[[#This Row],[Player]],QB!B:O,13,FALSE)</f>
        <v>0</v>
      </c>
      <c r="N63" s="125">
        <f>IF(VLOOKUP(TableQBRanks3040[[#This Row],[RK]],'Ranks w Proj'!$A:$N,14,FALSE)&lt;0,0,VLOOKUP(TableQBRanks3040[[#This Row],[RK]],'Ranks w Proj'!$A:$N,14,FALSE))</f>
        <v>0</v>
      </c>
      <c r="P63">
        <v>62</v>
      </c>
      <c r="Q63" t="str">
        <f>VLOOKUP(TableRBRanks3141[[#This Row],[RK]],Rankings!A:T,8,FALSE)</f>
        <v>Dameon Pierce</v>
      </c>
      <c r="R63" t="str">
        <f>IFERROR(INDEX(TableRBCalcPts[TM],MATCH(TableRBRanks3141[[#This Row],[Player]],TableRBCalcPts[PLAYER],0)),"")</f>
        <v>HOU</v>
      </c>
      <c r="S63">
        <f>IFERROR(INDEX(TableRBCalcPts[BYE],MATCH(TableRBRanks3141[[#This Row],[Player]],TableRBCalcPts[PLAYER],0)),"")</f>
        <v>7</v>
      </c>
      <c r="T63" s="83">
        <f>VLOOKUP(TableRBRanks3141[[#This Row],[Player]],RB!B:O,4,FALSE)</f>
        <v>64.896000000000001</v>
      </c>
      <c r="U63" s="83">
        <f>VLOOKUP(TableRBRanks3141[[#This Row],[Player]],RB!B:O,5,FALSE)</f>
        <v>255.69023999999999</v>
      </c>
      <c r="V63" s="83">
        <f>VLOOKUP(TableRBRanks3141[[#This Row],[Player]],RB!B:O,6,FALSE)</f>
        <v>1.6224000000000001</v>
      </c>
      <c r="W63" s="83">
        <f>VLOOKUP(TableRBRanks3141[[#This Row],[Player]],RB!B:O,7,FALSE)</f>
        <v>10.1186176</v>
      </c>
      <c r="X63" s="83">
        <f>VLOOKUP(TableRBRanks3141[[#This Row],[Player]],RB!B:O,8,FALSE)</f>
        <v>7.2044557311999995</v>
      </c>
      <c r="Y63" s="83">
        <f>VLOOKUP(TableRBRanks3141[[#This Row],[Player]],RB!B:O,9,FALSE)</f>
        <v>50.791412904959998</v>
      </c>
      <c r="Z63" s="83">
        <f>VLOOKUP(TableRBRanks3141[[#This Row],[Player]],RB!B:O,10,FALSE)</f>
        <v>0.25215595059200002</v>
      </c>
      <c r="AA63" s="57">
        <f>VLOOKUP(TableRBRanks3141[[#This Row],[Player]],RB!B:O,14,FALSE)</f>
        <v>45.497728859648007</v>
      </c>
      <c r="AB63" s="125">
        <f>IF(VLOOKUP(TableRBRanks3141[[#This Row],[RK]],'Ranks w Proj'!$P:$AB,13,FALSE)&lt;0,0,VLOOKUP(TableRBRanks3141[[#This Row],[RK]],'Ranks w Proj'!$P:$AB,13,FALSE))</f>
        <v>0</v>
      </c>
      <c r="AD63">
        <v>62</v>
      </c>
      <c r="AE63" t="str">
        <f>VLOOKUP(TableWRRanks3242[[#This Row],[RK]],Rankings!A:T,13,FALSE)</f>
        <v>Rome Odunze</v>
      </c>
      <c r="AF63" t="str">
        <f>IFERROR(INDEX(TableWRCalcPts[TM],MATCH(TableWRRanks3242[[#This Row],[Player]],TableWRCalcPts[PLAYER],0)),"")</f>
        <v>CHI</v>
      </c>
      <c r="AG63">
        <f>IFERROR(INDEX(TableWRCalcPts[BYE],MATCH(TableWRRanks3242[[#This Row],[Player]],TableWRCalcPts[PLAYER],0)),"")</f>
        <v>13</v>
      </c>
      <c r="AH63" s="83">
        <f>VLOOKUP(TableWRRanks3242[[#This Row],[Player]],WR!B:O,4,FALSE)</f>
        <v>0</v>
      </c>
      <c r="AI63" s="83">
        <f>VLOOKUP(TableWRRanks3242[[#This Row],[Player]],WR!B:O,5,FALSE)</f>
        <v>0</v>
      </c>
      <c r="AJ63" s="83">
        <f>VLOOKUP(TableWRRanks3242[[#This Row],[Player]],WR!B:O,6,FALSE)</f>
        <v>96.357441599999973</v>
      </c>
      <c r="AK63" s="83">
        <f>VLOOKUP(TableWRRanks3242[[#This Row],[Player]],WR!B:O,7,FALSE)</f>
        <v>58.778039375999981</v>
      </c>
      <c r="AL63" s="83">
        <f>VLOOKUP(TableWRRanks3242[[#This Row],[Player]],WR!B:O,8,FALSE)</f>
        <v>758.23670795039982</v>
      </c>
      <c r="AM63" s="83">
        <f>VLOOKUP(TableWRRanks3242[[#This Row],[Player]],WR!B:O,9,FALSE)</f>
        <v>4.9961333469599989</v>
      </c>
      <c r="AN63" s="57">
        <f>VLOOKUP(TableWRRanks3242[[#This Row],[Player]],WR!B:O,13,FALSE)</f>
        <v>135.18949056479997</v>
      </c>
      <c r="AO63" s="125">
        <f>IF(VLOOKUP(TableWRRanks3242[[#This Row],[RK]],'Ranks w Proj'!AD:AO,12,FALSE)&lt;0,0,VLOOKUP(TableWRRanks3242[[#This Row],[RK]],'Ranks w Proj'!AD:AO,12,FALSE))</f>
        <v>0</v>
      </c>
      <c r="AQ63">
        <v>62</v>
      </c>
      <c r="AR63">
        <f>VLOOKUP(TableTERanks3343[[#This Row],[RK]],Rankings!A:T,18,FALSE)</f>
        <v>0</v>
      </c>
      <c r="AS63" t="str">
        <f>IFERROR(INDEX(TableTECalcPts[TM],MATCH(TableTERanks3343[[#This Row],[Player]],TableTECalcPts[PLAYER],0)),"")</f>
        <v/>
      </c>
      <c r="AT63" t="str">
        <f>IFERROR(INDEX(TableTECalcPts[BYE],MATCH(TableTERanks3343[[#This Row],[Player]],TableTECalcPts[PLAYER],0)),"")</f>
        <v/>
      </c>
      <c r="AU63" s="83">
        <f>VLOOKUP(TableTERanks3343[[#This Row],[Player]],TE!B:O,4,FALSE)</f>
        <v>0</v>
      </c>
      <c r="AV63" s="83">
        <f>VLOOKUP(TableTERanks3343[[#This Row],[Player]],TE!B:O,5,FALSE)</f>
        <v>0</v>
      </c>
      <c r="AW63" s="83">
        <f>VLOOKUP(TableTERanks3343[[#This Row],[Player]],TE!B:O,6,FALSE)</f>
        <v>0</v>
      </c>
      <c r="AX63" s="83">
        <f>VLOOKUP(TableTERanks3343[[#This Row],[Player]],TE!B:O,7,FALSE)</f>
        <v>0</v>
      </c>
      <c r="AY63" s="57">
        <f>VLOOKUP(TableTERanks3343[[#This Row],[Player]],TE!B:O,11,FALSE)</f>
        <v>0</v>
      </c>
      <c r="AZ63" s="125">
        <f>IF(VLOOKUP(TableTERanks3343[[#This Row],[RK]],'Ranks w Proj'!AQ:AZ,10,FALSE)&lt;0,0,VLOOKUP(TableTERanks3343[[#This Row],[RK]],'Ranks w Proj'!AQ:AZ,10,FALSE))</f>
        <v>0</v>
      </c>
    </row>
    <row r="64" spans="1:52" x14ac:dyDescent="0.2">
      <c r="A64">
        <v>63</v>
      </c>
      <c r="B64">
        <f>VLOOKUP(TableQBRanks3040[[#This Row],[RK]],Rankings!A:T,3,FALSE)</f>
        <v>0</v>
      </c>
      <c r="C64" t="str">
        <f>IFERROR(INDEX(TableQBCalcPts[TM],MATCH(TableQBRanks3040[[#This Row],[Player]],TableQBCalcPts[PLAYER],0)),"")</f>
        <v/>
      </c>
      <c r="D64" t="str">
        <f>IFERROR(INDEX(TableQBCalcPts[BYE],MATCH(TableQBRanks3040[[#This Row],[Player]],TableQBCalcPts[PLAYER],0)),"")</f>
        <v/>
      </c>
      <c r="E64" s="83">
        <f>VLOOKUP(TableQBRanks3040[[#This Row],[Player]],QB!B:O,4,FALSE)</f>
        <v>0</v>
      </c>
      <c r="F64" s="83">
        <f>VLOOKUP(TableQBRanks3040[[#This Row],[Player]],QB!B:O,5,FALSE)</f>
        <v>0</v>
      </c>
      <c r="G64" s="83">
        <f>VLOOKUP(TableQBRanks3040[[#This Row],[Player]],QB!B:O,6,FALSE)</f>
        <v>0</v>
      </c>
      <c r="H64" s="83">
        <f>VLOOKUP(TableQBRanks3040[[#This Row],[Player]],QB!B:O,7,FALSE)</f>
        <v>0</v>
      </c>
      <c r="I64" s="83">
        <f>VLOOKUP(TableQBRanks3040[[#This Row],[Player]],QB!B:O,8,FALSE)</f>
        <v>0</v>
      </c>
      <c r="J64" s="83">
        <f>VLOOKUP(TableQBRanks3040[[#This Row],[Player]],QB!B:O,9,FALSE)</f>
        <v>0</v>
      </c>
      <c r="K64" s="83">
        <f>VLOOKUP(TableQBRanks3040[[#This Row],[Player]],QB!B:O,10,FALSE)</f>
        <v>0</v>
      </c>
      <c r="L64" s="83">
        <f>VLOOKUP(TableQBRanks3040[[#This Row],[Player]],QB!B:O,11,FALSE)</f>
        <v>0</v>
      </c>
      <c r="M64" s="57">
        <f>VLOOKUP(TableQBRanks3040[[#This Row],[Player]],QB!B:O,13,FALSE)</f>
        <v>0</v>
      </c>
      <c r="N64" s="125">
        <f>IF(VLOOKUP(TableQBRanks3040[[#This Row],[RK]],'Ranks w Proj'!$A:$N,14,FALSE)&lt;0,0,VLOOKUP(TableQBRanks3040[[#This Row],[RK]],'Ranks w Proj'!$A:$N,14,FALSE))</f>
        <v>0</v>
      </c>
      <c r="P64">
        <v>63</v>
      </c>
      <c r="Q64" t="str">
        <f>VLOOKUP(TableRBRanks3141[[#This Row],[RK]],Rankings!A:T,8,FALSE)</f>
        <v>AJ Dillon</v>
      </c>
      <c r="R64" t="str">
        <f>IFERROR(INDEX(TableRBCalcPts[TM],MATCH(TableRBRanks3141[[#This Row],[Player]],TableRBCalcPts[PLAYER],0)),"")</f>
        <v>GB</v>
      </c>
      <c r="S64">
        <f>IFERROR(INDEX(TableRBCalcPts[BYE],MATCH(TableRBRanks3141[[#This Row],[Player]],TableRBCalcPts[PLAYER],0)),"")</f>
        <v>6</v>
      </c>
      <c r="T64" s="83">
        <f>VLOOKUP(TableRBRanks3141[[#This Row],[Player]],RB!B:O,4,FALSE)</f>
        <v>58.242184000000002</v>
      </c>
      <c r="U64" s="83">
        <f>VLOOKUP(TableRBRanks3141[[#This Row],[Player]],RB!B:O,5,FALSE)</f>
        <v>235.88084520000001</v>
      </c>
      <c r="V64" s="83">
        <f>VLOOKUP(TableRBRanks3141[[#This Row],[Player]],RB!B:O,6,FALSE)</f>
        <v>1.74726552</v>
      </c>
      <c r="W64" s="83">
        <f>VLOOKUP(TableRBRanks3141[[#This Row],[Player]],RB!B:O,7,FALSE)</f>
        <v>11.404064</v>
      </c>
      <c r="X64" s="83">
        <f>VLOOKUP(TableRBRanks3141[[#This Row],[Player]],RB!B:O,8,FALSE)</f>
        <v>8.9179780480000002</v>
      </c>
      <c r="Y64" s="83">
        <f>VLOOKUP(TableRBRanks3141[[#This Row],[Player]],RB!B:O,9,FALSE)</f>
        <v>68.311711847680002</v>
      </c>
      <c r="Z64" s="83">
        <f>VLOOKUP(TableRBRanks3141[[#This Row],[Player]],RB!B:O,10,FALSE)</f>
        <v>0.22294945120000001</v>
      </c>
      <c r="AA64" s="57">
        <f>VLOOKUP(TableRBRanks3141[[#This Row],[Player]],RB!B:O,14,FALSE)</f>
        <v>46.699534555968008</v>
      </c>
      <c r="AB64" s="125">
        <f>IF(VLOOKUP(TableRBRanks3141[[#This Row],[RK]],'Ranks w Proj'!$P:$AB,13,FALSE)&lt;0,0,VLOOKUP(TableRBRanks3141[[#This Row],[RK]],'Ranks w Proj'!$P:$AB,13,FALSE))</f>
        <v>0</v>
      </c>
      <c r="AD64">
        <v>63</v>
      </c>
      <c r="AE64" t="str">
        <f>VLOOKUP(TableWRRanks3242[[#This Row],[RK]],Rankings!A:T,13,FALSE)</f>
        <v>Gabe Davis</v>
      </c>
      <c r="AF64" t="str">
        <f>IFERROR(INDEX(TableWRCalcPts[TM],MATCH(TableWRRanks3242[[#This Row],[Player]],TableWRCalcPts[PLAYER],0)),"")</f>
        <v>JAX</v>
      </c>
      <c r="AG64">
        <f>IFERROR(INDEX(TableWRCalcPts[BYE],MATCH(TableWRRanks3242[[#This Row],[Player]],TableWRCalcPts[PLAYER],0)),"")</f>
        <v>9</v>
      </c>
      <c r="AH64" s="83">
        <f>VLOOKUP(TableWRRanks3242[[#This Row],[Player]],WR!B:O,4,FALSE)</f>
        <v>0</v>
      </c>
      <c r="AI64" s="83">
        <f>VLOOKUP(TableWRRanks3242[[#This Row],[Player]],WR!B:O,5,FALSE)</f>
        <v>0</v>
      </c>
      <c r="AJ64" s="83">
        <f>VLOOKUP(TableWRRanks3242[[#This Row],[Player]],WR!B:O,6,FALSE)</f>
        <v>96.681311999999963</v>
      </c>
      <c r="AK64" s="83">
        <f>VLOOKUP(TableWRRanks3242[[#This Row],[Player]],WR!B:O,7,FALSE)</f>
        <v>56.075160959999977</v>
      </c>
      <c r="AL64" s="83">
        <f>VLOOKUP(TableWRRanks3242[[#This Row],[Player]],WR!B:O,8,FALSE)</f>
        <v>773.83722124799976</v>
      </c>
      <c r="AM64" s="83">
        <f>VLOOKUP(TableWRRanks3242[[#This Row],[Player]],WR!B:O,9,FALSE)</f>
        <v>4.7663886815999987</v>
      </c>
      <c r="AN64" s="57">
        <f>VLOOKUP(TableWRRanks3242[[#This Row],[Player]],WR!B:O,13,FALSE)</f>
        <v>134.01963469439997</v>
      </c>
      <c r="AO64" s="125">
        <f>IF(VLOOKUP(TableWRRanks3242[[#This Row],[RK]],'Ranks w Proj'!AD:AO,12,FALSE)&lt;0,0,VLOOKUP(TableWRRanks3242[[#This Row],[RK]],'Ranks w Proj'!AD:AO,12,FALSE))</f>
        <v>0</v>
      </c>
      <c r="AQ64">
        <v>63</v>
      </c>
      <c r="AR64">
        <f>VLOOKUP(TableTERanks3343[[#This Row],[RK]],Rankings!A:T,18,FALSE)</f>
        <v>0</v>
      </c>
      <c r="AS64" t="str">
        <f>IFERROR(INDEX(TableTECalcPts[TM],MATCH(TableTERanks3343[[#This Row],[Player]],TableTECalcPts[PLAYER],0)),"")</f>
        <v/>
      </c>
      <c r="AT64" t="str">
        <f>IFERROR(INDEX(TableTECalcPts[BYE],MATCH(TableTERanks3343[[#This Row],[Player]],TableTECalcPts[PLAYER],0)),"")</f>
        <v/>
      </c>
      <c r="AU64" s="83">
        <f>VLOOKUP(TableTERanks3343[[#This Row],[Player]],TE!B:O,4,FALSE)</f>
        <v>0</v>
      </c>
      <c r="AV64" s="83">
        <f>VLOOKUP(TableTERanks3343[[#This Row],[Player]],TE!B:O,5,FALSE)</f>
        <v>0</v>
      </c>
      <c r="AW64" s="83">
        <f>VLOOKUP(TableTERanks3343[[#This Row],[Player]],TE!B:O,6,FALSE)</f>
        <v>0</v>
      </c>
      <c r="AX64" s="83">
        <f>VLOOKUP(TableTERanks3343[[#This Row],[Player]],TE!B:O,7,FALSE)</f>
        <v>0</v>
      </c>
      <c r="AY64" s="57">
        <f>VLOOKUP(TableTERanks3343[[#This Row],[Player]],TE!B:O,11,FALSE)</f>
        <v>0</v>
      </c>
      <c r="AZ64" s="125">
        <f>IF(VLOOKUP(TableTERanks3343[[#This Row],[RK]],'Ranks w Proj'!AQ:AZ,10,FALSE)&lt;0,0,VLOOKUP(TableTERanks3343[[#This Row],[RK]],'Ranks w Proj'!AQ:AZ,10,FALSE))</f>
        <v>0</v>
      </c>
    </row>
    <row r="65" spans="1:52" x14ac:dyDescent="0.2">
      <c r="A65">
        <v>64</v>
      </c>
      <c r="B65">
        <f>VLOOKUP(TableQBRanks3040[[#This Row],[RK]],Rankings!A:T,3,FALSE)</f>
        <v>0</v>
      </c>
      <c r="C65" t="str">
        <f>IFERROR(INDEX(TableQBCalcPts[TM],MATCH(TableQBRanks3040[[#This Row],[Player]],TableQBCalcPts[PLAYER],0)),"")</f>
        <v/>
      </c>
      <c r="D65" t="str">
        <f>IFERROR(INDEX(TableQBCalcPts[BYE],MATCH(TableQBRanks3040[[#This Row],[Player]],TableQBCalcPts[PLAYER],0)),"")</f>
        <v/>
      </c>
      <c r="E65" s="83">
        <f>VLOOKUP(TableQBRanks3040[[#This Row],[Player]],QB!B:O,4,FALSE)</f>
        <v>0</v>
      </c>
      <c r="F65" s="83">
        <f>VLOOKUP(TableQBRanks3040[[#This Row],[Player]],QB!B:O,5,FALSE)</f>
        <v>0</v>
      </c>
      <c r="G65" s="83">
        <f>VLOOKUP(TableQBRanks3040[[#This Row],[Player]],QB!B:O,6,FALSE)</f>
        <v>0</v>
      </c>
      <c r="H65" s="83">
        <f>VLOOKUP(TableQBRanks3040[[#This Row],[Player]],QB!B:O,7,FALSE)</f>
        <v>0</v>
      </c>
      <c r="I65" s="83">
        <f>VLOOKUP(TableQBRanks3040[[#This Row],[Player]],QB!B:O,8,FALSE)</f>
        <v>0</v>
      </c>
      <c r="J65" s="83">
        <f>VLOOKUP(TableQBRanks3040[[#This Row],[Player]],QB!B:O,9,FALSE)</f>
        <v>0</v>
      </c>
      <c r="K65" s="83">
        <f>VLOOKUP(TableQBRanks3040[[#This Row],[Player]],QB!B:O,10,FALSE)</f>
        <v>0</v>
      </c>
      <c r="L65" s="83">
        <f>VLOOKUP(TableQBRanks3040[[#This Row],[Player]],QB!B:O,11,FALSE)</f>
        <v>0</v>
      </c>
      <c r="M65" s="57">
        <f>VLOOKUP(TableQBRanks3040[[#This Row],[Player]],QB!B:O,13,FALSE)</f>
        <v>0</v>
      </c>
      <c r="N65" s="125">
        <f>IF(VLOOKUP(TableQBRanks3040[[#This Row],[RK]],'Ranks w Proj'!$A:$N,14,FALSE)&lt;0,0,VLOOKUP(TableQBRanks3040[[#This Row],[RK]],'Ranks w Proj'!$A:$N,14,FALSE))</f>
        <v>0</v>
      </c>
      <c r="P65">
        <v>64</v>
      </c>
      <c r="Q65" t="str">
        <f>VLOOKUP(TableRBRanks3141[[#This Row],[RK]],Rankings!A:T,8,FALSE)</f>
        <v>Miles Sanders</v>
      </c>
      <c r="R65" t="str">
        <f>IFERROR(INDEX(TableRBCalcPts[TM],MATCH(TableRBRanks3141[[#This Row],[Player]],TableRBCalcPts[PLAYER],0)),"")</f>
        <v>CAR</v>
      </c>
      <c r="S65">
        <f>IFERROR(INDEX(TableRBCalcPts[BYE],MATCH(TableRBRanks3141[[#This Row],[Player]],TableRBCalcPts[PLAYER],0)),"")</f>
        <v>7</v>
      </c>
      <c r="T65" s="83">
        <f>VLOOKUP(TableRBRanks3141[[#This Row],[Player]],RB!B:O,4,FALSE)</f>
        <v>49.050077999999999</v>
      </c>
      <c r="U65" s="83">
        <f>VLOOKUP(TableRBRanks3141[[#This Row],[Player]],RB!B:O,5,FALSE)</f>
        <v>195.21931043999999</v>
      </c>
      <c r="V65" s="83">
        <f>VLOOKUP(TableRBRanks3141[[#This Row],[Player]],RB!B:O,6,FALSE)</f>
        <v>1.22625195</v>
      </c>
      <c r="W65" s="83">
        <f>VLOOKUP(TableRBRanks3141[[#This Row],[Player]],RB!B:O,7,FALSE)</f>
        <v>11.583403999999998</v>
      </c>
      <c r="X65" s="83">
        <f>VLOOKUP(TableRBRanks3141[[#This Row],[Player]],RB!B:O,8,FALSE)</f>
        <v>7.7840474879999988</v>
      </c>
      <c r="Y65" s="83">
        <f>VLOOKUP(TableRBRanks3141[[#This Row],[Player]],RB!B:O,9,FALSE)</f>
        <v>53.78776814207999</v>
      </c>
      <c r="Z65" s="83">
        <f>VLOOKUP(TableRBRanks3141[[#This Row],[Player]],RB!B:O,10,FALSE)</f>
        <v>0.15568094975999999</v>
      </c>
      <c r="AA65" s="57">
        <f>VLOOKUP(TableRBRanks3141[[#This Row],[Player]],RB!B:O,14,FALSE)</f>
        <v>37.084329000767994</v>
      </c>
      <c r="AB65" s="125">
        <f>IF(VLOOKUP(TableRBRanks3141[[#This Row],[RK]],'Ranks w Proj'!$P:$AB,13,FALSE)&lt;0,0,VLOOKUP(TableRBRanks3141[[#This Row],[RK]],'Ranks w Proj'!$P:$AB,13,FALSE))</f>
        <v>0</v>
      </c>
      <c r="AD65">
        <v>64</v>
      </c>
      <c r="AE65" t="str">
        <f>VLOOKUP(TableWRRanks3242[[#This Row],[RK]],Rankings!A:T,13,FALSE)</f>
        <v>Josh Downs</v>
      </c>
      <c r="AF65" t="str">
        <f>IFERROR(INDEX(TableWRCalcPts[TM],MATCH(TableWRRanks3242[[#This Row],[Player]],TableWRCalcPts[PLAYER],0)),"")</f>
        <v>IND</v>
      </c>
      <c r="AG65">
        <f>IFERROR(INDEX(TableWRCalcPts[BYE],MATCH(TableWRRanks3242[[#This Row],[Player]],TableWRCalcPts[PLAYER],0)),"")</f>
        <v>11</v>
      </c>
      <c r="AH65" s="83">
        <f>VLOOKUP(TableWRRanks3242[[#This Row],[Player]],WR!B:O,4,FALSE)</f>
        <v>0</v>
      </c>
      <c r="AI65" s="83">
        <f>VLOOKUP(TableWRRanks3242[[#This Row],[Player]],WR!B:O,5,FALSE)</f>
        <v>0</v>
      </c>
      <c r="AJ65" s="83">
        <f>VLOOKUP(TableWRRanks3242[[#This Row],[Player]],WR!B:O,6,FALSE)</f>
        <v>98.202997200000013</v>
      </c>
      <c r="AK65" s="83">
        <f>VLOOKUP(TableWRRanks3242[[#This Row],[Player]],WR!B:O,7,FALSE)</f>
        <v>62.849918208000012</v>
      </c>
      <c r="AL65" s="83">
        <f>VLOOKUP(TableWRRanks3242[[#This Row],[Player]],WR!B:O,8,FALSE)</f>
        <v>734.08704466944016</v>
      </c>
      <c r="AM65" s="83">
        <f>VLOOKUP(TableWRRanks3242[[#This Row],[Player]],WR!B:O,9,FALSE)</f>
        <v>3.7709950924800006</v>
      </c>
      <c r="AN65" s="57">
        <f>VLOOKUP(TableWRRanks3242[[#This Row],[Player]],WR!B:O,13,FALSE)</f>
        <v>127.45963412582404</v>
      </c>
      <c r="AO65" s="125">
        <f>IF(VLOOKUP(TableWRRanks3242[[#This Row],[RK]],'Ranks w Proj'!AD:AO,12,FALSE)&lt;0,0,VLOOKUP(TableWRRanks3242[[#This Row],[RK]],'Ranks w Proj'!AD:AO,12,FALSE))</f>
        <v>0</v>
      </c>
      <c r="AQ65">
        <v>64</v>
      </c>
      <c r="AR65">
        <f>VLOOKUP(TableTERanks3343[[#This Row],[RK]],Rankings!A:T,18,FALSE)</f>
        <v>0</v>
      </c>
      <c r="AS65" t="str">
        <f>IFERROR(INDEX(TableTECalcPts[TM],MATCH(TableTERanks3343[[#This Row],[Player]],TableTECalcPts[PLAYER],0)),"")</f>
        <v/>
      </c>
      <c r="AT65" t="str">
        <f>IFERROR(INDEX(TableTECalcPts[BYE],MATCH(TableTERanks3343[[#This Row],[Player]],TableTECalcPts[PLAYER],0)),"")</f>
        <v/>
      </c>
      <c r="AU65" s="83">
        <f>VLOOKUP(TableTERanks3343[[#This Row],[Player]],TE!B:O,4,FALSE)</f>
        <v>0</v>
      </c>
      <c r="AV65" s="83">
        <f>VLOOKUP(TableTERanks3343[[#This Row],[Player]],TE!B:O,5,FALSE)</f>
        <v>0</v>
      </c>
      <c r="AW65" s="83">
        <f>VLOOKUP(TableTERanks3343[[#This Row],[Player]],TE!B:O,6,FALSE)</f>
        <v>0</v>
      </c>
      <c r="AX65" s="83">
        <f>VLOOKUP(TableTERanks3343[[#This Row],[Player]],TE!B:O,7,FALSE)</f>
        <v>0</v>
      </c>
      <c r="AY65" s="57">
        <f>VLOOKUP(TableTERanks3343[[#This Row],[Player]],TE!B:O,11,FALSE)</f>
        <v>0</v>
      </c>
      <c r="AZ65" s="125">
        <f>IF(VLOOKUP(TableTERanks3343[[#This Row],[RK]],'Ranks w Proj'!AQ:AZ,10,FALSE)&lt;0,0,VLOOKUP(TableTERanks3343[[#This Row],[RK]],'Ranks w Proj'!AQ:AZ,10,FALSE))</f>
        <v>0</v>
      </c>
    </row>
    <row r="66" spans="1:52" x14ac:dyDescent="0.2">
      <c r="A66">
        <v>65</v>
      </c>
      <c r="B66">
        <f>VLOOKUP(TableQBRanks3040[[#This Row],[RK]],Rankings!A:T,3,FALSE)</f>
        <v>0</v>
      </c>
      <c r="C66" t="str">
        <f>IFERROR(INDEX(TableQBCalcPts[TM],MATCH(TableQBRanks3040[[#This Row],[Player]],TableQBCalcPts[PLAYER],0)),"")</f>
        <v/>
      </c>
      <c r="D66" t="str">
        <f>IFERROR(INDEX(TableQBCalcPts[BYE],MATCH(TableQBRanks3040[[#This Row],[Player]],TableQBCalcPts[PLAYER],0)),"")</f>
        <v/>
      </c>
      <c r="E66" s="83">
        <f>VLOOKUP(TableQBRanks3040[[#This Row],[Player]],QB!B:O,4,FALSE)</f>
        <v>0</v>
      </c>
      <c r="F66" s="83">
        <f>VLOOKUP(TableQBRanks3040[[#This Row],[Player]],QB!B:O,5,FALSE)</f>
        <v>0</v>
      </c>
      <c r="G66" s="83">
        <f>VLOOKUP(TableQBRanks3040[[#This Row],[Player]],QB!B:O,6,FALSE)</f>
        <v>0</v>
      </c>
      <c r="H66" s="83">
        <f>VLOOKUP(TableQBRanks3040[[#This Row],[Player]],QB!B:O,7,FALSE)</f>
        <v>0</v>
      </c>
      <c r="I66" s="83">
        <f>VLOOKUP(TableQBRanks3040[[#This Row],[Player]],QB!B:O,8,FALSE)</f>
        <v>0</v>
      </c>
      <c r="J66" s="83">
        <f>VLOOKUP(TableQBRanks3040[[#This Row],[Player]],QB!B:O,9,FALSE)</f>
        <v>0</v>
      </c>
      <c r="K66" s="83">
        <f>VLOOKUP(TableQBRanks3040[[#This Row],[Player]],QB!B:O,10,FALSE)</f>
        <v>0</v>
      </c>
      <c r="L66" s="83">
        <f>VLOOKUP(TableQBRanks3040[[#This Row],[Player]],QB!B:O,11,FALSE)</f>
        <v>0</v>
      </c>
      <c r="M66" s="57">
        <f>VLOOKUP(TableQBRanks3040[[#This Row],[Player]],QB!B:O,13,FALSE)</f>
        <v>0</v>
      </c>
      <c r="N66" s="125" t="str">
        <f>IF(VLOOKUP(TableQBRanks3040[[#This Row],[RK]],'Ranks w Proj'!$A:$N,14,FALSE)&lt;0,0,VLOOKUP(TableQBRanks3040[[#This Row],[RK]],'Ranks w Proj'!$A:$N,14,FALSE))</f>
        <v/>
      </c>
      <c r="P66">
        <v>65</v>
      </c>
      <c r="Q66" t="str">
        <f>VLOOKUP(TableRBRanks3141[[#This Row],[RK]],Rankings!A:T,8,FALSE)</f>
        <v>Cordarrelle Patterson</v>
      </c>
      <c r="R66" t="str">
        <f>IFERROR(INDEX(TableRBCalcPts[TM],MATCH(TableRBRanks3141[[#This Row],[Player]],TableRBCalcPts[PLAYER],0)),"")</f>
        <v>PIT</v>
      </c>
      <c r="S66">
        <f>IFERROR(INDEX(TableRBCalcPts[BYE],MATCH(TableRBRanks3141[[#This Row],[Player]],TableRBCalcPts[PLAYER],0)),"")</f>
        <v>6</v>
      </c>
      <c r="T66" s="83">
        <f>VLOOKUP(TableRBRanks3141[[#This Row],[Player]],RB!B:O,4,FALSE)</f>
        <v>47.848500000000001</v>
      </c>
      <c r="U66" s="83">
        <f>VLOOKUP(TableRBRanks3141[[#This Row],[Player]],RB!B:O,5,FALSE)</f>
        <v>189.001575</v>
      </c>
      <c r="V66" s="83">
        <f>VLOOKUP(TableRBRanks3141[[#This Row],[Player]],RB!B:O,6,FALSE)</f>
        <v>1.9617885000000002</v>
      </c>
      <c r="W66" s="83">
        <f>VLOOKUP(TableRBRanks3141[[#This Row],[Player]],RB!B:O,7,FALSE)</f>
        <v>45.692745000000002</v>
      </c>
      <c r="X66" s="83">
        <f>VLOOKUP(TableRBRanks3141[[#This Row],[Player]],RB!B:O,8,FALSE)</f>
        <v>35.046335415000001</v>
      </c>
      <c r="Y66" s="83">
        <f>VLOOKUP(TableRBRanks3141[[#This Row],[Player]],RB!B:O,9,FALSE)</f>
        <v>230.60488703070001</v>
      </c>
      <c r="Z66" s="83">
        <f>VLOOKUP(TableRBRanks3141[[#This Row],[Player]],RB!B:O,10,FALSE)</f>
        <v>1.577085093675</v>
      </c>
      <c r="AA66" s="57">
        <f>VLOOKUP(TableRBRanks3141[[#This Row],[Player]],RB!B:O,14,FALSE)</f>
        <v>80.717055472620004</v>
      </c>
      <c r="AB66" s="125">
        <f>IF(VLOOKUP(TableRBRanks3141[[#This Row],[RK]],'Ranks w Proj'!$P:$AB,13,FALSE)&lt;0,0,VLOOKUP(TableRBRanks3141[[#This Row],[RK]],'Ranks w Proj'!$P:$AB,13,FALSE))</f>
        <v>0</v>
      </c>
      <c r="AD66">
        <v>65</v>
      </c>
      <c r="AE66" t="str">
        <f>VLOOKUP(TableWRRanks3242[[#This Row],[RK]],Rankings!A:T,13,FALSE)</f>
        <v>Xavier Legette</v>
      </c>
      <c r="AF66" t="str">
        <f>IFERROR(INDEX(TableWRCalcPts[TM],MATCH(TableWRRanks3242[[#This Row],[Player]],TableWRCalcPts[PLAYER],0)),"")</f>
        <v>CAR</v>
      </c>
      <c r="AG66">
        <f>IFERROR(INDEX(TableWRCalcPts[BYE],MATCH(TableWRRanks3242[[#This Row],[Player]],TableWRCalcPts[PLAYER],0)),"")</f>
        <v>7</v>
      </c>
      <c r="AH66" s="83">
        <f>VLOOKUP(TableWRRanks3242[[#This Row],[Player]],WR!B:O,4,FALSE)</f>
        <v>26.754587999999998</v>
      </c>
      <c r="AI66" s="83">
        <f>VLOOKUP(TableWRRanks3242[[#This Row],[Player]],WR!B:O,5,FALSE)</f>
        <v>0.22295490000000001</v>
      </c>
      <c r="AJ66" s="83">
        <f>VLOOKUP(TableWRRanks3242[[#This Row],[Player]],WR!B:O,6,FALSE)</f>
        <v>112.93818899999998</v>
      </c>
      <c r="AK66" s="83">
        <f>VLOOKUP(TableWRRanks3242[[#This Row],[Player]],WR!B:O,7,FALSE)</f>
        <v>70.360491746999983</v>
      </c>
      <c r="AL66" s="83">
        <f>VLOOKUP(TableWRRanks3242[[#This Row],[Player]],WR!B:O,8,FALSE)</f>
        <v>935.79454023509982</v>
      </c>
      <c r="AM66" s="83">
        <f>VLOOKUP(TableWRRanks3242[[#This Row],[Player]],WR!B:O,9,FALSE)</f>
        <v>5.0659554057839982</v>
      </c>
      <c r="AN66" s="57">
        <f>VLOOKUP(TableWRRanks3242[[#This Row],[Player]],WR!B:O,13,FALSE)</f>
        <v>163.16862053171394</v>
      </c>
      <c r="AO66" s="125">
        <f>IF(VLOOKUP(TableWRRanks3242[[#This Row],[RK]],'Ranks w Proj'!AD:AO,12,FALSE)&lt;0,0,VLOOKUP(TableWRRanks3242[[#This Row],[RK]],'Ranks w Proj'!AD:AO,12,FALSE))</f>
        <v>0</v>
      </c>
      <c r="AQ66">
        <v>65</v>
      </c>
      <c r="AR66">
        <f>VLOOKUP(TableTERanks3343[[#This Row],[RK]],Rankings!A:T,18,FALSE)</f>
        <v>0</v>
      </c>
      <c r="AS66" t="str">
        <f>IFERROR(INDEX(TableTECalcPts[TM],MATCH(TableTERanks3343[[#This Row],[Player]],TableTECalcPts[PLAYER],0)),"")</f>
        <v/>
      </c>
      <c r="AT66" t="str">
        <f>IFERROR(INDEX(TableTECalcPts[BYE],MATCH(TableTERanks3343[[#This Row],[Player]],TableTECalcPts[PLAYER],0)),"")</f>
        <v/>
      </c>
      <c r="AU66" s="83">
        <f>VLOOKUP(TableTERanks3343[[#This Row],[Player]],TE!B:O,4,FALSE)</f>
        <v>0</v>
      </c>
      <c r="AV66" s="83">
        <f>VLOOKUP(TableTERanks3343[[#This Row],[Player]],TE!B:O,5,FALSE)</f>
        <v>0</v>
      </c>
      <c r="AW66" s="83">
        <f>VLOOKUP(TableTERanks3343[[#This Row],[Player]],TE!B:O,6,FALSE)</f>
        <v>0</v>
      </c>
      <c r="AX66" s="83">
        <f>VLOOKUP(TableTERanks3343[[#This Row],[Player]],TE!B:O,7,FALSE)</f>
        <v>0</v>
      </c>
      <c r="AY66" s="57">
        <f>VLOOKUP(TableTERanks3343[[#This Row],[Player]],TE!B:O,11,FALSE)</f>
        <v>0</v>
      </c>
      <c r="AZ66" s="125">
        <f>IF(VLOOKUP(TableTERanks3343[[#This Row],[RK]],'Ranks w Proj'!AQ:AZ,10,FALSE)&lt;0,0,VLOOKUP(TableTERanks3343[[#This Row],[RK]],'Ranks w Proj'!AQ:AZ,10,FALSE))</f>
        <v>0</v>
      </c>
    </row>
    <row r="67" spans="1:52" x14ac:dyDescent="0.2">
      <c r="A67">
        <v>66</v>
      </c>
      <c r="B67">
        <f>VLOOKUP(TableQBRanks3040[[#This Row],[RK]],Rankings!A:T,3,FALSE)</f>
        <v>0</v>
      </c>
      <c r="C67" t="str">
        <f>IFERROR(INDEX(TableQBCalcPts[TM],MATCH(TableQBRanks3040[[#This Row],[Player]],TableQBCalcPts[PLAYER],0)),"")</f>
        <v/>
      </c>
      <c r="D67" t="str">
        <f>IFERROR(INDEX(TableQBCalcPts[BYE],MATCH(TableQBRanks3040[[#This Row],[Player]],TableQBCalcPts[PLAYER],0)),"")</f>
        <v/>
      </c>
      <c r="E67" s="83">
        <f>VLOOKUP(TableQBRanks3040[[#This Row],[Player]],QB!B:O,4,FALSE)</f>
        <v>0</v>
      </c>
      <c r="F67" s="83">
        <f>VLOOKUP(TableQBRanks3040[[#This Row],[Player]],QB!B:O,5,FALSE)</f>
        <v>0</v>
      </c>
      <c r="G67" s="83">
        <f>VLOOKUP(TableQBRanks3040[[#This Row],[Player]],QB!B:O,6,FALSE)</f>
        <v>0</v>
      </c>
      <c r="H67" s="83">
        <f>VLOOKUP(TableQBRanks3040[[#This Row],[Player]],QB!B:O,7,FALSE)</f>
        <v>0</v>
      </c>
      <c r="I67" s="83">
        <f>VLOOKUP(TableQBRanks3040[[#This Row],[Player]],QB!B:O,8,FALSE)</f>
        <v>0</v>
      </c>
      <c r="J67" s="83">
        <f>VLOOKUP(TableQBRanks3040[[#This Row],[Player]],QB!B:O,9,FALSE)</f>
        <v>0</v>
      </c>
      <c r="K67" s="83">
        <f>VLOOKUP(TableQBRanks3040[[#This Row],[Player]],QB!B:O,10,FALSE)</f>
        <v>0</v>
      </c>
      <c r="L67" s="83">
        <f>VLOOKUP(TableQBRanks3040[[#This Row],[Player]],QB!B:O,11,FALSE)</f>
        <v>0</v>
      </c>
      <c r="M67" s="57">
        <f>VLOOKUP(TableQBRanks3040[[#This Row],[Player]],QB!B:O,13,FALSE)</f>
        <v>0</v>
      </c>
      <c r="N67" s="125" t="str">
        <f>IF(VLOOKUP(TableQBRanks3040[[#This Row],[RK]],'Ranks w Proj'!$A:$N,14,FALSE)&lt;0,0,VLOOKUP(TableQBRanks3040[[#This Row],[RK]],'Ranks w Proj'!$A:$N,14,FALSE))</f>
        <v/>
      </c>
      <c r="P67">
        <v>66</v>
      </c>
      <c r="Q67" t="str">
        <f>VLOOKUP(TableRBRanks3141[[#This Row],[RK]],Rankings!A:T,8,FALSE)</f>
        <v>Samaje Perine</v>
      </c>
      <c r="R67" t="str">
        <f>IFERROR(INDEX(TableRBCalcPts[TM],MATCH(TableRBRanks3141[[#This Row],[Player]],TableRBCalcPts[PLAYER],0)),"")</f>
        <v>DEN</v>
      </c>
      <c r="S67">
        <f>IFERROR(INDEX(TableRBCalcPts[BYE],MATCH(TableRBRanks3141[[#This Row],[Player]],TableRBCalcPts[PLAYER],0)),"")</f>
        <v>9</v>
      </c>
      <c r="T67" s="83">
        <f>VLOOKUP(TableRBRanks3141[[#This Row],[Player]],RB!B:O,4,FALSE)</f>
        <v>87.903060000000011</v>
      </c>
      <c r="U67" s="83">
        <f>VLOOKUP(TableRBRanks3141[[#This Row],[Player]],RB!B:O,5,FALSE)</f>
        <v>374.46703560000003</v>
      </c>
      <c r="V67" s="83">
        <f>VLOOKUP(TableRBRanks3141[[#This Row],[Player]],RB!B:O,6,FALSE)</f>
        <v>2.5491887400000004</v>
      </c>
      <c r="W67" s="83">
        <f>VLOOKUP(TableRBRanks3141[[#This Row],[Player]],RB!B:O,7,FALSE)</f>
        <v>39.960529000000001</v>
      </c>
      <c r="X67" s="83">
        <f>VLOOKUP(TableRBRanks3141[[#This Row],[Player]],RB!B:O,8,FALSE)</f>
        <v>30.849528388000003</v>
      </c>
      <c r="Y67" s="83">
        <f>VLOOKUP(TableRBRanks3141[[#This Row],[Player]],RB!B:O,9,FALSE)</f>
        <v>223.04209024524005</v>
      </c>
      <c r="Z67" s="83">
        <f>VLOOKUP(TableRBRanks3141[[#This Row],[Player]],RB!B:O,10,FALSE)</f>
        <v>0.77123820970000012</v>
      </c>
      <c r="AA67" s="57">
        <f>VLOOKUP(TableRBRanks3141[[#This Row],[Player]],RB!B:O,14,FALSE)</f>
        <v>95.098238476724006</v>
      </c>
      <c r="AB67" s="125">
        <f>IF(VLOOKUP(TableRBRanks3141[[#This Row],[RK]],'Ranks w Proj'!$P:$AB,13,FALSE)&lt;0,0,VLOOKUP(TableRBRanks3141[[#This Row],[RK]],'Ranks w Proj'!$P:$AB,13,FALSE))</f>
        <v>0</v>
      </c>
      <c r="AD67">
        <v>66</v>
      </c>
      <c r="AE67" t="str">
        <f>VLOOKUP(TableWRRanks3242[[#This Row],[RK]],Rankings!A:T,13,FALSE)</f>
        <v>Khalil Shakir</v>
      </c>
      <c r="AF67" t="str">
        <f>IFERROR(INDEX(TableWRCalcPts[TM],MATCH(TableWRRanks3242[[#This Row],[Player]],TableWRCalcPts[PLAYER],0)),"")</f>
        <v>BUF</v>
      </c>
      <c r="AG67">
        <f>IFERROR(INDEX(TableWRCalcPts[BYE],MATCH(TableWRRanks3242[[#This Row],[Player]],TableWRCalcPts[PLAYER],0)),"")</f>
        <v>13</v>
      </c>
      <c r="AH67" s="83">
        <f>VLOOKUP(TableWRRanks3242[[#This Row],[Player]],WR!B:O,4,FALSE)</f>
        <v>0</v>
      </c>
      <c r="AI67" s="83">
        <f>VLOOKUP(TableWRRanks3242[[#This Row],[Player]],WR!B:O,5,FALSE)</f>
        <v>0</v>
      </c>
      <c r="AJ67" s="83">
        <f>VLOOKUP(TableWRRanks3242[[#This Row],[Player]],WR!B:O,6,FALSE)</f>
        <v>94.143974399999976</v>
      </c>
      <c r="AK67" s="83">
        <f>VLOOKUP(TableWRRanks3242[[#This Row],[Player]],WR!B:O,7,FALSE)</f>
        <v>61.85259118079999</v>
      </c>
      <c r="AL67" s="83">
        <f>VLOOKUP(TableWRRanks3242[[#This Row],[Player]],WR!B:O,8,FALSE)</f>
        <v>812.12452220390389</v>
      </c>
      <c r="AM67" s="83">
        <f>VLOOKUP(TableWRRanks3242[[#This Row],[Player]],WR!B:O,9,FALSE)</f>
        <v>4.3296813826560001</v>
      </c>
      <c r="AN67" s="57">
        <f>VLOOKUP(TableWRRanks3242[[#This Row],[Player]],WR!B:O,13,FALSE)</f>
        <v>138.1168361067264</v>
      </c>
      <c r="AO67" s="125">
        <f>IF(VLOOKUP(TableWRRanks3242[[#This Row],[RK]],'Ranks w Proj'!AD:AO,12,FALSE)&lt;0,0,VLOOKUP(TableWRRanks3242[[#This Row],[RK]],'Ranks w Proj'!AD:AO,12,FALSE))</f>
        <v>0</v>
      </c>
      <c r="AQ67">
        <v>66</v>
      </c>
      <c r="AR67">
        <f>VLOOKUP(TableTERanks3343[[#This Row],[RK]],Rankings!A:T,18,FALSE)</f>
        <v>0</v>
      </c>
      <c r="AS67" t="str">
        <f>IFERROR(INDEX(TableTECalcPts[TM],MATCH(TableTERanks3343[[#This Row],[Player]],TableTECalcPts[PLAYER],0)),"")</f>
        <v/>
      </c>
      <c r="AT67" t="str">
        <f>IFERROR(INDEX(TableTECalcPts[BYE],MATCH(TableTERanks3343[[#This Row],[Player]],TableTECalcPts[PLAYER],0)),"")</f>
        <v/>
      </c>
      <c r="AU67" s="83">
        <f>VLOOKUP(TableTERanks3343[[#This Row],[Player]],TE!B:O,4,FALSE)</f>
        <v>0</v>
      </c>
      <c r="AV67" s="83">
        <f>VLOOKUP(TableTERanks3343[[#This Row],[Player]],TE!B:O,5,FALSE)</f>
        <v>0</v>
      </c>
      <c r="AW67" s="83">
        <f>VLOOKUP(TableTERanks3343[[#This Row],[Player]],TE!B:O,6,FALSE)</f>
        <v>0</v>
      </c>
      <c r="AX67" s="83">
        <f>VLOOKUP(TableTERanks3343[[#This Row],[Player]],TE!B:O,7,FALSE)</f>
        <v>0</v>
      </c>
      <c r="AY67" s="57">
        <f>VLOOKUP(TableTERanks3343[[#This Row],[Player]],TE!B:O,11,FALSE)</f>
        <v>0</v>
      </c>
      <c r="AZ67" s="125">
        <f>IF(VLOOKUP(TableTERanks3343[[#This Row],[RK]],'Ranks w Proj'!AQ:AZ,10,FALSE)&lt;0,0,VLOOKUP(TableTERanks3343[[#This Row],[RK]],'Ranks w Proj'!AQ:AZ,10,FALSE))</f>
        <v>0</v>
      </c>
    </row>
    <row r="68" spans="1:52" x14ac:dyDescent="0.2">
      <c r="A68">
        <v>67</v>
      </c>
      <c r="B68">
        <f>VLOOKUP(TableQBRanks3040[[#This Row],[RK]],Rankings!A:T,3,FALSE)</f>
        <v>0</v>
      </c>
      <c r="C68" t="str">
        <f>IFERROR(INDEX(TableQBCalcPts[TM],MATCH(TableQBRanks3040[[#This Row],[Player]],TableQBCalcPts[PLAYER],0)),"")</f>
        <v/>
      </c>
      <c r="D68" t="str">
        <f>IFERROR(INDEX(TableQBCalcPts[BYE],MATCH(TableQBRanks3040[[#This Row],[Player]],TableQBCalcPts[PLAYER],0)),"")</f>
        <v/>
      </c>
      <c r="E68" s="83">
        <f>VLOOKUP(TableQBRanks3040[[#This Row],[Player]],QB!B:O,4,FALSE)</f>
        <v>0</v>
      </c>
      <c r="F68" s="83">
        <f>VLOOKUP(TableQBRanks3040[[#This Row],[Player]],QB!B:O,5,FALSE)</f>
        <v>0</v>
      </c>
      <c r="G68" s="83">
        <f>VLOOKUP(TableQBRanks3040[[#This Row],[Player]],QB!B:O,6,FALSE)</f>
        <v>0</v>
      </c>
      <c r="H68" s="83">
        <f>VLOOKUP(TableQBRanks3040[[#This Row],[Player]],QB!B:O,7,FALSE)</f>
        <v>0</v>
      </c>
      <c r="I68" s="83">
        <f>VLOOKUP(TableQBRanks3040[[#This Row],[Player]],QB!B:O,8,FALSE)</f>
        <v>0</v>
      </c>
      <c r="J68" s="83">
        <f>VLOOKUP(TableQBRanks3040[[#This Row],[Player]],QB!B:O,9,FALSE)</f>
        <v>0</v>
      </c>
      <c r="K68" s="83">
        <f>VLOOKUP(TableQBRanks3040[[#This Row],[Player]],QB!B:O,10,FALSE)</f>
        <v>0</v>
      </c>
      <c r="L68" s="83">
        <f>VLOOKUP(TableQBRanks3040[[#This Row],[Player]],QB!B:O,11,FALSE)</f>
        <v>0</v>
      </c>
      <c r="M68" s="57">
        <f>VLOOKUP(TableQBRanks3040[[#This Row],[Player]],QB!B:O,13,FALSE)</f>
        <v>0</v>
      </c>
      <c r="N68" s="125" t="str">
        <f>IF(VLOOKUP(TableQBRanks3040[[#This Row],[RK]],'Ranks w Proj'!$A:$N,14,FALSE)&lt;0,0,VLOOKUP(TableQBRanks3040[[#This Row],[RK]],'Ranks w Proj'!$A:$N,14,FALSE))</f>
        <v/>
      </c>
      <c r="P68">
        <v>67</v>
      </c>
      <c r="Q68" t="str">
        <f>VLOOKUP(TableRBRanks3141[[#This Row],[RK]],Rankings!A:T,8,FALSE)</f>
        <v>D'Onta Foreman</v>
      </c>
      <c r="R68" t="str">
        <f>IFERROR(INDEX(TableRBCalcPts[TM],MATCH(TableRBRanks3141[[#This Row],[Player]],TableRBCalcPts[PLAYER],0)),"")</f>
        <v>CLE</v>
      </c>
      <c r="S68">
        <f>IFERROR(INDEX(TableRBCalcPts[BYE],MATCH(TableRBRanks3141[[#This Row],[Player]],TableRBCalcPts[PLAYER],0)),"")</f>
        <v>5</v>
      </c>
      <c r="T68" s="83">
        <f>VLOOKUP(TableRBRanks3141[[#This Row],[Player]],RB!B:O,4,FALSE)</f>
        <v>58.373699999999999</v>
      </c>
      <c r="U68" s="83">
        <f>VLOOKUP(TableRBRanks3141[[#This Row],[Player]],RB!B:O,5,FALSE)</f>
        <v>249.83943600000001</v>
      </c>
      <c r="V68" s="83">
        <f>VLOOKUP(TableRBRanks3141[[#This Row],[Player]],RB!B:O,6,FALSE)</f>
        <v>2.3349480000000002</v>
      </c>
      <c r="W68" s="83">
        <f>VLOOKUP(TableRBRanks3141[[#This Row],[Player]],RB!B:O,7,FALSE)</f>
        <v>10.75305</v>
      </c>
      <c r="X68" s="83">
        <f>VLOOKUP(TableRBRanks3141[[#This Row],[Player]],RB!B:O,8,FALSE)</f>
        <v>7.7421959999999999</v>
      </c>
      <c r="Y68" s="83">
        <f>VLOOKUP(TableRBRanks3141[[#This Row],[Player]],RB!B:O,9,FALSE)</f>
        <v>54.195371999999999</v>
      </c>
      <c r="Z68" s="83">
        <f>VLOOKUP(TableRBRanks3141[[#This Row],[Player]],RB!B:O,10,FALSE)</f>
        <v>0.23226587999999998</v>
      </c>
      <c r="AA68" s="57">
        <f>VLOOKUP(TableRBRanks3141[[#This Row],[Player]],RB!B:O,14,FALSE)</f>
        <v>49.677862080000004</v>
      </c>
      <c r="AB68" s="125">
        <f>IF(VLOOKUP(TableRBRanks3141[[#This Row],[RK]],'Ranks w Proj'!$P:$AB,13,FALSE)&lt;0,0,VLOOKUP(TableRBRanks3141[[#This Row],[RK]],'Ranks w Proj'!$P:$AB,13,FALSE))</f>
        <v>0</v>
      </c>
      <c r="AD68">
        <v>67</v>
      </c>
      <c r="AE68" t="str">
        <f>VLOOKUP(TableWRRanks3242[[#This Row],[RK]],Rankings!A:T,13,FALSE)</f>
        <v>Quentin Johnston</v>
      </c>
      <c r="AF68" t="str">
        <f>IFERROR(INDEX(TableWRCalcPts[TM],MATCH(TableWRRanks3242[[#This Row],[Player]],TableWRCalcPts[PLAYER],0)),"")</f>
        <v>LAC</v>
      </c>
      <c r="AG68">
        <f>IFERROR(INDEX(TableWRCalcPts[BYE],MATCH(TableWRRanks3242[[#This Row],[Player]],TableWRCalcPts[PLAYER],0)),"")</f>
        <v>5</v>
      </c>
      <c r="AH68" s="83">
        <f>VLOOKUP(TableWRRanks3242[[#This Row],[Player]],WR!B:O,4,FALSE)</f>
        <v>0</v>
      </c>
      <c r="AI68" s="83">
        <f>VLOOKUP(TableWRRanks3242[[#This Row],[Player]],WR!B:O,5,FALSE)</f>
        <v>0</v>
      </c>
      <c r="AJ68" s="83">
        <f>VLOOKUP(TableWRRanks3242[[#This Row],[Player]],WR!B:O,6,FALSE)</f>
        <v>91.012983179999992</v>
      </c>
      <c r="AK68" s="83">
        <f>VLOOKUP(TableWRRanks3242[[#This Row],[Player]],WR!B:O,7,FALSE)</f>
        <v>54.425763941639993</v>
      </c>
      <c r="AL68" s="83">
        <f>VLOOKUP(TableWRRanks3242[[#This Row],[Player]],WR!B:O,8,FALSE)</f>
        <v>715.69879583256591</v>
      </c>
      <c r="AM68" s="83">
        <f>VLOOKUP(TableWRRanks3242[[#This Row],[Player]],WR!B:O,9,FALSE)</f>
        <v>4.6261899350393998</v>
      </c>
      <c r="AN68" s="57">
        <f>VLOOKUP(TableWRRanks3242[[#This Row],[Player]],WR!B:O,13,FALSE)</f>
        <v>126.53990116431299</v>
      </c>
      <c r="AO68" s="125">
        <f>IF(VLOOKUP(TableWRRanks3242[[#This Row],[RK]],'Ranks w Proj'!AD:AO,12,FALSE)&lt;0,0,VLOOKUP(TableWRRanks3242[[#This Row],[RK]],'Ranks w Proj'!AD:AO,12,FALSE))</f>
        <v>0</v>
      </c>
      <c r="AQ68">
        <v>67</v>
      </c>
      <c r="AR68">
        <f>VLOOKUP(TableTERanks3343[[#This Row],[RK]],Rankings!A:T,18,FALSE)</f>
        <v>0</v>
      </c>
      <c r="AS68" t="str">
        <f>IFERROR(INDEX(TableTECalcPts[TM],MATCH(TableTERanks3343[[#This Row],[Player]],TableTECalcPts[PLAYER],0)),"")</f>
        <v/>
      </c>
      <c r="AT68" t="str">
        <f>IFERROR(INDEX(TableTECalcPts[BYE],MATCH(TableTERanks3343[[#This Row],[Player]],TableTECalcPts[PLAYER],0)),"")</f>
        <v/>
      </c>
      <c r="AU68" s="83">
        <f>VLOOKUP(TableTERanks3343[[#This Row],[Player]],TE!B:O,4,FALSE)</f>
        <v>0</v>
      </c>
      <c r="AV68" s="83">
        <f>VLOOKUP(TableTERanks3343[[#This Row],[Player]],TE!B:O,5,FALSE)</f>
        <v>0</v>
      </c>
      <c r="AW68" s="83">
        <f>VLOOKUP(TableTERanks3343[[#This Row],[Player]],TE!B:O,6,FALSE)</f>
        <v>0</v>
      </c>
      <c r="AX68" s="83">
        <f>VLOOKUP(TableTERanks3343[[#This Row],[Player]],TE!B:O,7,FALSE)</f>
        <v>0</v>
      </c>
      <c r="AY68" s="57">
        <f>VLOOKUP(TableTERanks3343[[#This Row],[Player]],TE!B:O,11,FALSE)</f>
        <v>0</v>
      </c>
      <c r="AZ68" s="125">
        <f>IF(VLOOKUP(TableTERanks3343[[#This Row],[RK]],'Ranks w Proj'!AQ:AZ,10,FALSE)&lt;0,0,VLOOKUP(TableTERanks3343[[#This Row],[RK]],'Ranks w Proj'!AQ:AZ,10,FALSE))</f>
        <v>0</v>
      </c>
    </row>
    <row r="69" spans="1:52" x14ac:dyDescent="0.2">
      <c r="A69">
        <v>68</v>
      </c>
      <c r="B69">
        <f>VLOOKUP(TableQBRanks3040[[#This Row],[RK]],Rankings!A:T,3,FALSE)</f>
        <v>0</v>
      </c>
      <c r="C69" t="str">
        <f>IFERROR(INDEX(TableQBCalcPts[TM],MATCH(TableQBRanks3040[[#This Row],[Player]],TableQBCalcPts[PLAYER],0)),"")</f>
        <v/>
      </c>
      <c r="D69" t="str">
        <f>IFERROR(INDEX(TableQBCalcPts[BYE],MATCH(TableQBRanks3040[[#This Row],[Player]],TableQBCalcPts[PLAYER],0)),"")</f>
        <v/>
      </c>
      <c r="E69" s="83">
        <f>VLOOKUP(TableQBRanks3040[[#This Row],[Player]],QB!B:O,4,FALSE)</f>
        <v>0</v>
      </c>
      <c r="F69" s="83">
        <f>VLOOKUP(TableQBRanks3040[[#This Row],[Player]],QB!B:O,5,FALSE)</f>
        <v>0</v>
      </c>
      <c r="G69" s="83">
        <f>VLOOKUP(TableQBRanks3040[[#This Row],[Player]],QB!B:O,6,FALSE)</f>
        <v>0</v>
      </c>
      <c r="H69" s="83">
        <f>VLOOKUP(TableQBRanks3040[[#This Row],[Player]],QB!B:O,7,FALSE)</f>
        <v>0</v>
      </c>
      <c r="I69" s="83">
        <f>VLOOKUP(TableQBRanks3040[[#This Row],[Player]],QB!B:O,8,FALSE)</f>
        <v>0</v>
      </c>
      <c r="J69" s="83">
        <f>VLOOKUP(TableQBRanks3040[[#This Row],[Player]],QB!B:O,9,FALSE)</f>
        <v>0</v>
      </c>
      <c r="K69" s="83">
        <f>VLOOKUP(TableQBRanks3040[[#This Row],[Player]],QB!B:O,10,FALSE)</f>
        <v>0</v>
      </c>
      <c r="L69" s="83">
        <f>VLOOKUP(TableQBRanks3040[[#This Row],[Player]],QB!B:O,11,FALSE)</f>
        <v>0</v>
      </c>
      <c r="M69" s="57">
        <f>VLOOKUP(TableQBRanks3040[[#This Row],[Player]],QB!B:O,13,FALSE)</f>
        <v>0</v>
      </c>
      <c r="N69" s="125" t="str">
        <f>IF(VLOOKUP(TableQBRanks3040[[#This Row],[RK]],'Ranks w Proj'!$A:$N,14,FALSE)&lt;0,0,VLOOKUP(TableQBRanks3040[[#This Row],[RK]],'Ranks w Proj'!$A:$N,14,FALSE))</f>
        <v/>
      </c>
      <c r="P69">
        <v>68</v>
      </c>
      <c r="Q69" t="str">
        <f>VLOOKUP(TableRBRanks3141[[#This Row],[RK]],Rankings!A:T,8,FALSE)</f>
        <v>Isaac Guerendo</v>
      </c>
      <c r="R69" t="str">
        <f>IFERROR(INDEX(TableRBCalcPts[TM],MATCH(TableRBRanks3141[[#This Row],[Player]],TableRBCalcPts[PLAYER],0)),"")</f>
        <v>SF</v>
      </c>
      <c r="S69">
        <f>IFERROR(INDEX(TableRBCalcPts[BYE],MATCH(TableRBRanks3141[[#This Row],[Player]],TableRBCalcPts[PLAYER],0)),"")</f>
        <v>9</v>
      </c>
      <c r="T69" s="83">
        <f>VLOOKUP(TableRBRanks3141[[#This Row],[Player]],RB!B:O,4,FALSE)</f>
        <v>73.146905999999987</v>
      </c>
      <c r="U69" s="83">
        <f>VLOOKUP(TableRBRanks3141[[#This Row],[Player]],RB!B:O,5,FALSE)</f>
        <v>330.62401511999991</v>
      </c>
      <c r="V69" s="83">
        <f>VLOOKUP(TableRBRanks3141[[#This Row],[Player]],RB!B:O,6,FALSE)</f>
        <v>2.3407009919999995</v>
      </c>
      <c r="W69" s="83">
        <f>VLOOKUP(TableRBRanks3141[[#This Row],[Player]],RB!B:O,7,FALSE)</f>
        <v>15.976018799999997</v>
      </c>
      <c r="X69" s="83">
        <f>VLOOKUP(TableRBRanks3141[[#This Row],[Player]],RB!B:O,8,FALSE)</f>
        <v>12.109822250399997</v>
      </c>
      <c r="Y69" s="83">
        <f>VLOOKUP(TableRBRanks3141[[#This Row],[Player]],RB!B:O,9,FALSE)</f>
        <v>96.878578003199976</v>
      </c>
      <c r="Z69" s="83">
        <f>VLOOKUP(TableRBRanks3141[[#This Row],[Player]],RB!B:O,10,FALSE)</f>
        <v>0.5207223567671998</v>
      </c>
      <c r="AA69" s="57">
        <f>VLOOKUP(TableRBRanks3141[[#This Row],[Player]],RB!B:O,14,FALSE)</f>
        <v>65.973710530123185</v>
      </c>
      <c r="AB69" s="125">
        <f>IF(VLOOKUP(TableRBRanks3141[[#This Row],[RK]],'Ranks w Proj'!$P:$AB,13,FALSE)&lt;0,0,VLOOKUP(TableRBRanks3141[[#This Row],[RK]],'Ranks w Proj'!$P:$AB,13,FALSE))</f>
        <v>0</v>
      </c>
      <c r="AD69">
        <v>68</v>
      </c>
      <c r="AE69" t="str">
        <f>VLOOKUP(TableWRRanks3242[[#This Row],[RK]],Rankings!A:T,13,FALSE)</f>
        <v>Adam Thielen</v>
      </c>
      <c r="AF69" t="str">
        <f>IFERROR(INDEX(TableWRCalcPts[TM],MATCH(TableWRRanks3242[[#This Row],[Player]],TableWRCalcPts[PLAYER],0)),"")</f>
        <v>CAR</v>
      </c>
      <c r="AG69">
        <f>IFERROR(INDEX(TableWRCalcPts[BYE],MATCH(TableWRRanks3242[[#This Row],[Player]],TableWRCalcPts[PLAYER],0)),"")</f>
        <v>7</v>
      </c>
      <c r="AH69" s="83">
        <f>VLOOKUP(TableWRRanks3242[[#This Row],[Player]],WR!B:O,4,FALSE)</f>
        <v>0</v>
      </c>
      <c r="AI69" s="83">
        <f>VLOOKUP(TableWRRanks3242[[#This Row],[Player]],WR!B:O,5,FALSE)</f>
        <v>0</v>
      </c>
      <c r="AJ69" s="83">
        <f>VLOOKUP(TableWRRanks3242[[#This Row],[Player]],WR!B:O,6,FALSE)</f>
        <v>95.563082999999992</v>
      </c>
      <c r="AK69" s="83">
        <f>VLOOKUP(TableWRRanks3242[[#This Row],[Player]],WR!B:O,7,FALSE)</f>
        <v>62.211567032999994</v>
      </c>
      <c r="AL69" s="83">
        <f>VLOOKUP(TableWRRanks3242[[#This Row],[Player]],WR!B:O,8,FALSE)</f>
        <v>628.33682703329987</v>
      </c>
      <c r="AM69" s="83">
        <f>VLOOKUP(TableWRRanks3242[[#This Row],[Player]],WR!B:O,9,FALSE)</f>
        <v>3.9815402901119996</v>
      </c>
      <c r="AN69" s="57">
        <f>VLOOKUP(TableWRRanks3242[[#This Row],[Player]],WR!B:O,13,FALSE)</f>
        <v>117.82870796050199</v>
      </c>
      <c r="AO69" s="125">
        <f>IF(VLOOKUP(TableWRRanks3242[[#This Row],[RK]],'Ranks w Proj'!AD:AO,12,FALSE)&lt;0,0,VLOOKUP(TableWRRanks3242[[#This Row],[RK]],'Ranks w Proj'!AD:AO,12,FALSE))</f>
        <v>0</v>
      </c>
      <c r="AQ69">
        <v>68</v>
      </c>
      <c r="AR69">
        <f>VLOOKUP(TableTERanks3343[[#This Row],[RK]],Rankings!A:T,18,FALSE)</f>
        <v>0</v>
      </c>
      <c r="AS69" t="str">
        <f>IFERROR(INDEX(TableTECalcPts[TM],MATCH(TableTERanks3343[[#This Row],[Player]],TableTECalcPts[PLAYER],0)),"")</f>
        <v/>
      </c>
      <c r="AT69" t="str">
        <f>IFERROR(INDEX(TableTECalcPts[BYE],MATCH(TableTERanks3343[[#This Row],[Player]],TableTECalcPts[PLAYER],0)),"")</f>
        <v/>
      </c>
      <c r="AU69" s="83">
        <f>VLOOKUP(TableTERanks3343[[#This Row],[Player]],TE!B:O,4,FALSE)</f>
        <v>0</v>
      </c>
      <c r="AV69" s="83">
        <f>VLOOKUP(TableTERanks3343[[#This Row],[Player]],TE!B:O,5,FALSE)</f>
        <v>0</v>
      </c>
      <c r="AW69" s="83">
        <f>VLOOKUP(TableTERanks3343[[#This Row],[Player]],TE!B:O,6,FALSE)</f>
        <v>0</v>
      </c>
      <c r="AX69" s="83">
        <f>VLOOKUP(TableTERanks3343[[#This Row],[Player]],TE!B:O,7,FALSE)</f>
        <v>0</v>
      </c>
      <c r="AY69" s="57">
        <f>VLOOKUP(TableTERanks3343[[#This Row],[Player]],TE!B:O,11,FALSE)</f>
        <v>0</v>
      </c>
      <c r="AZ69" s="125">
        <f>IF(VLOOKUP(TableTERanks3343[[#This Row],[RK]],'Ranks w Proj'!AQ:AZ,10,FALSE)&lt;0,0,VLOOKUP(TableTERanks3343[[#This Row],[RK]],'Ranks w Proj'!AQ:AZ,10,FALSE))</f>
        <v>0</v>
      </c>
    </row>
    <row r="70" spans="1:52" x14ac:dyDescent="0.2">
      <c r="A70">
        <v>69</v>
      </c>
      <c r="B70">
        <f>VLOOKUP(TableQBRanks3040[[#This Row],[RK]],Rankings!A:T,3,FALSE)</f>
        <v>0</v>
      </c>
      <c r="C70" t="str">
        <f>IFERROR(INDEX(TableQBCalcPts[TM],MATCH(TableQBRanks3040[[#This Row],[Player]],TableQBCalcPts[PLAYER],0)),"")</f>
        <v/>
      </c>
      <c r="D70" t="str">
        <f>IFERROR(INDEX(TableQBCalcPts[BYE],MATCH(TableQBRanks3040[[#This Row],[Player]],TableQBCalcPts[PLAYER],0)),"")</f>
        <v/>
      </c>
      <c r="E70" s="83">
        <f>VLOOKUP(TableQBRanks3040[[#This Row],[Player]],QB!B:O,4,FALSE)</f>
        <v>0</v>
      </c>
      <c r="F70" s="83">
        <f>VLOOKUP(TableQBRanks3040[[#This Row],[Player]],QB!B:O,5,FALSE)</f>
        <v>0</v>
      </c>
      <c r="G70" s="83">
        <f>VLOOKUP(TableQBRanks3040[[#This Row],[Player]],QB!B:O,6,FALSE)</f>
        <v>0</v>
      </c>
      <c r="H70" s="83">
        <f>VLOOKUP(TableQBRanks3040[[#This Row],[Player]],QB!B:O,7,FALSE)</f>
        <v>0</v>
      </c>
      <c r="I70" s="83">
        <f>VLOOKUP(TableQBRanks3040[[#This Row],[Player]],QB!B:O,8,FALSE)</f>
        <v>0</v>
      </c>
      <c r="J70" s="83">
        <f>VLOOKUP(TableQBRanks3040[[#This Row],[Player]],QB!B:O,9,FALSE)</f>
        <v>0</v>
      </c>
      <c r="K70" s="83">
        <f>VLOOKUP(TableQBRanks3040[[#This Row],[Player]],QB!B:O,10,FALSE)</f>
        <v>0</v>
      </c>
      <c r="L70" s="83">
        <f>VLOOKUP(TableQBRanks3040[[#This Row],[Player]],QB!B:O,11,FALSE)</f>
        <v>0</v>
      </c>
      <c r="M70" s="57">
        <f>VLOOKUP(TableQBRanks3040[[#This Row],[Player]],QB!B:O,13,FALSE)</f>
        <v>0</v>
      </c>
      <c r="N70" s="125" t="str">
        <f>IF(VLOOKUP(TableQBRanks3040[[#This Row],[RK]],'Ranks w Proj'!$A:$N,14,FALSE)&lt;0,0,VLOOKUP(TableQBRanks3040[[#This Row],[RK]],'Ranks w Proj'!$A:$N,14,FALSE))</f>
        <v/>
      </c>
      <c r="P70">
        <v>69</v>
      </c>
      <c r="Q70" t="str">
        <f>VLOOKUP(TableRBRanks3141[[#This Row],[RK]],Rankings!A:T,8,FALSE)</f>
        <v>Rasheen Ali</v>
      </c>
      <c r="R70" t="str">
        <f>IFERROR(INDEX(TableRBCalcPts[TM],MATCH(TableRBRanks3141[[#This Row],[Player]],TableRBCalcPts[PLAYER],0)),"")</f>
        <v>BAL</v>
      </c>
      <c r="S70">
        <f>IFERROR(INDEX(TableRBCalcPts[BYE],MATCH(TableRBRanks3141[[#This Row],[Player]],TableRBCalcPts[PLAYER],0)),"")</f>
        <v>13</v>
      </c>
      <c r="T70" s="83">
        <f>VLOOKUP(TableRBRanks3141[[#This Row],[Player]],RB!B:O,4,FALSE)</f>
        <v>63.015724799999994</v>
      </c>
      <c r="U70" s="83">
        <f>VLOOKUP(TableRBRanks3141[[#This Row],[Player]],RB!B:O,5,FALSE)</f>
        <v>283.57076159999997</v>
      </c>
      <c r="V70" s="83">
        <f>VLOOKUP(TableRBRanks3141[[#This Row],[Player]],RB!B:O,6,FALSE)</f>
        <v>2.5836447167999999</v>
      </c>
      <c r="W70" s="83">
        <f>VLOOKUP(TableRBRanks3141[[#This Row],[Player]],RB!B:O,7,FALSE)</f>
        <v>10.5869792</v>
      </c>
      <c r="X70" s="83">
        <f>VLOOKUP(TableRBRanks3141[[#This Row],[Player]],RB!B:O,8,FALSE)</f>
        <v>7.9402343999999996</v>
      </c>
      <c r="Y70" s="83">
        <f>VLOOKUP(TableRBRanks3141[[#This Row],[Player]],RB!B:O,9,FALSE)</f>
        <v>63.521875199999997</v>
      </c>
      <c r="Z70" s="83">
        <f>VLOOKUP(TableRBRanks3141[[#This Row],[Player]],RB!B:O,10,FALSE)</f>
        <v>0.317609376</v>
      </c>
      <c r="AA70" s="57">
        <f>VLOOKUP(TableRBRanks3141[[#This Row],[Player]],RB!B:O,14,FALSE)</f>
        <v>56.086905436799995</v>
      </c>
      <c r="AB70" s="125">
        <f>IF(VLOOKUP(TableRBRanks3141[[#This Row],[RK]],'Ranks w Proj'!$P:$AB,13,FALSE)&lt;0,0,VLOOKUP(TableRBRanks3141[[#This Row],[RK]],'Ranks w Proj'!$P:$AB,13,FALSE))</f>
        <v>0</v>
      </c>
      <c r="AD70">
        <v>69</v>
      </c>
      <c r="AE70" t="str">
        <f>VLOOKUP(TableWRRanks3242[[#This Row],[RK]],Rankings!A:T,13,FALSE)</f>
        <v>Demarcus Robinson</v>
      </c>
      <c r="AF70" t="str">
        <f>IFERROR(INDEX(TableWRCalcPts[TM],MATCH(TableWRRanks3242[[#This Row],[Player]],TableWRCalcPts[PLAYER],0)),"")</f>
        <v>LAR</v>
      </c>
      <c r="AG70">
        <f>IFERROR(INDEX(TableWRCalcPts[BYE],MATCH(TableWRRanks3242[[#This Row],[Player]],TableWRCalcPts[PLAYER],0)),"")</f>
        <v>10</v>
      </c>
      <c r="AH70" s="83">
        <f>VLOOKUP(TableWRRanks3242[[#This Row],[Player]],WR!B:O,4,FALSE)</f>
        <v>0</v>
      </c>
      <c r="AI70" s="83">
        <f>VLOOKUP(TableWRRanks3242[[#This Row],[Player]],WR!B:O,5,FALSE)</f>
        <v>0</v>
      </c>
      <c r="AJ70" s="83">
        <f>VLOOKUP(TableWRRanks3242[[#This Row],[Player]],WR!B:O,6,FALSE)</f>
        <v>90.565817999999965</v>
      </c>
      <c r="AK70" s="83">
        <f>VLOOKUP(TableWRRanks3242[[#This Row],[Player]],WR!B:O,7,FALSE)</f>
        <v>58.867781699999981</v>
      </c>
      <c r="AL70" s="83">
        <f>VLOOKUP(TableWRRanks3242[[#This Row],[Player]],WR!B:O,8,FALSE)</f>
        <v>814.14142091099973</v>
      </c>
      <c r="AM70" s="83">
        <f>VLOOKUP(TableWRRanks3242[[#This Row],[Player]],WR!B:O,9,FALSE)</f>
        <v>5.5924392614999983</v>
      </c>
      <c r="AN70" s="57">
        <f>VLOOKUP(TableWRRanks3242[[#This Row],[Player]],WR!B:O,13,FALSE)</f>
        <v>144.40266851009997</v>
      </c>
      <c r="AO70" s="125">
        <f>IF(VLOOKUP(TableWRRanks3242[[#This Row],[RK]],'Ranks w Proj'!AD:AO,12,FALSE)&lt;0,0,VLOOKUP(TableWRRanks3242[[#This Row],[RK]],'Ranks w Proj'!AD:AO,12,FALSE))</f>
        <v>0</v>
      </c>
      <c r="AQ70">
        <v>69</v>
      </c>
      <c r="AR70">
        <f>VLOOKUP(TableTERanks3343[[#This Row],[RK]],Rankings!A:T,18,FALSE)</f>
        <v>0</v>
      </c>
      <c r="AS70" t="str">
        <f>IFERROR(INDEX(TableTECalcPts[TM],MATCH(TableTERanks3343[[#This Row],[Player]],TableTECalcPts[PLAYER],0)),"")</f>
        <v/>
      </c>
      <c r="AT70" t="str">
        <f>IFERROR(INDEX(TableTECalcPts[BYE],MATCH(TableTERanks3343[[#This Row],[Player]],TableTECalcPts[PLAYER],0)),"")</f>
        <v/>
      </c>
      <c r="AU70" s="83">
        <f>VLOOKUP(TableTERanks3343[[#This Row],[Player]],TE!B:O,4,FALSE)</f>
        <v>0</v>
      </c>
      <c r="AV70" s="83">
        <f>VLOOKUP(TableTERanks3343[[#This Row],[Player]],TE!B:O,5,FALSE)</f>
        <v>0</v>
      </c>
      <c r="AW70" s="83">
        <f>VLOOKUP(TableTERanks3343[[#This Row],[Player]],TE!B:O,6,FALSE)</f>
        <v>0</v>
      </c>
      <c r="AX70" s="83">
        <f>VLOOKUP(TableTERanks3343[[#This Row],[Player]],TE!B:O,7,FALSE)</f>
        <v>0</v>
      </c>
      <c r="AY70" s="57">
        <f>VLOOKUP(TableTERanks3343[[#This Row],[Player]],TE!B:O,11,FALSE)</f>
        <v>0</v>
      </c>
      <c r="AZ70" s="125">
        <f>IF(VLOOKUP(TableTERanks3343[[#This Row],[RK]],'Ranks w Proj'!AQ:AZ,10,FALSE)&lt;0,0,VLOOKUP(TableTERanks3343[[#This Row],[RK]],'Ranks w Proj'!AQ:AZ,10,FALSE))</f>
        <v>0</v>
      </c>
    </row>
    <row r="71" spans="1:52" x14ac:dyDescent="0.2">
      <c r="A71">
        <v>70</v>
      </c>
      <c r="B71">
        <f>VLOOKUP(TableQBRanks3040[[#This Row],[RK]],Rankings!A:T,3,FALSE)</f>
        <v>0</v>
      </c>
      <c r="C71" t="str">
        <f>IFERROR(INDEX(TableQBCalcPts[TM],MATCH(TableQBRanks3040[[#This Row],[Player]],TableQBCalcPts[PLAYER],0)),"")</f>
        <v/>
      </c>
      <c r="D71" t="str">
        <f>IFERROR(INDEX(TableQBCalcPts[BYE],MATCH(TableQBRanks3040[[#This Row],[Player]],TableQBCalcPts[PLAYER],0)),"")</f>
        <v/>
      </c>
      <c r="E71" s="83">
        <f>VLOOKUP(TableQBRanks3040[[#This Row],[Player]],QB!B:O,4,FALSE)</f>
        <v>0</v>
      </c>
      <c r="F71" s="83">
        <f>VLOOKUP(TableQBRanks3040[[#This Row],[Player]],QB!B:O,5,FALSE)</f>
        <v>0</v>
      </c>
      <c r="G71" s="83">
        <f>VLOOKUP(TableQBRanks3040[[#This Row],[Player]],QB!B:O,6,FALSE)</f>
        <v>0</v>
      </c>
      <c r="H71" s="83">
        <f>VLOOKUP(TableQBRanks3040[[#This Row],[Player]],QB!B:O,7,FALSE)</f>
        <v>0</v>
      </c>
      <c r="I71" s="83">
        <f>VLOOKUP(TableQBRanks3040[[#This Row],[Player]],QB!B:O,8,FALSE)</f>
        <v>0</v>
      </c>
      <c r="J71" s="83">
        <f>VLOOKUP(TableQBRanks3040[[#This Row],[Player]],QB!B:O,9,FALSE)</f>
        <v>0</v>
      </c>
      <c r="K71" s="83">
        <f>VLOOKUP(TableQBRanks3040[[#This Row],[Player]],QB!B:O,10,FALSE)</f>
        <v>0</v>
      </c>
      <c r="L71" s="83">
        <f>VLOOKUP(TableQBRanks3040[[#This Row],[Player]],QB!B:O,11,FALSE)</f>
        <v>0</v>
      </c>
      <c r="M71" s="57">
        <f>VLOOKUP(TableQBRanks3040[[#This Row],[Player]],QB!B:O,13,FALSE)</f>
        <v>0</v>
      </c>
      <c r="N71" s="125" t="str">
        <f>IF(VLOOKUP(TableQBRanks3040[[#This Row],[RK]],'Ranks w Proj'!$A:$N,14,FALSE)&lt;0,0,VLOOKUP(TableQBRanks3040[[#This Row],[RK]],'Ranks w Proj'!$A:$N,14,FALSE))</f>
        <v/>
      </c>
      <c r="P71">
        <v>70</v>
      </c>
      <c r="Q71" t="str">
        <f>VLOOKUP(TableRBRanks3141[[#This Row],[RK]],Rankings!A:T,8,FALSE)</f>
        <v>Clyde Edwards-Helaire</v>
      </c>
      <c r="R71" t="str">
        <f>IFERROR(INDEX(TableRBCalcPts[TM],MATCH(TableRBRanks3141[[#This Row],[Player]],TableRBCalcPts[PLAYER],0)),"")</f>
        <v>KC</v>
      </c>
      <c r="S71">
        <f>IFERROR(INDEX(TableRBCalcPts[BYE],MATCH(TableRBRanks3141[[#This Row],[Player]],TableRBCalcPts[PLAYER],0)),"")</f>
        <v>10</v>
      </c>
      <c r="T71" s="83">
        <f>VLOOKUP(TableRBRanks3141[[#This Row],[Player]],RB!B:O,4,FALSE)</f>
        <v>67.235839999999996</v>
      </c>
      <c r="U71" s="83">
        <f>VLOOKUP(TableRBRanks3141[[#This Row],[Player]],RB!B:O,5,FALSE)</f>
        <v>279.02873599999998</v>
      </c>
      <c r="V71" s="83">
        <f>VLOOKUP(TableRBRanks3141[[#This Row],[Player]],RB!B:O,6,FALSE)</f>
        <v>2.2187827200000001</v>
      </c>
      <c r="W71" s="83">
        <f>VLOOKUP(TableRBRanks3141[[#This Row],[Player]],RB!B:O,7,FALSE)</f>
        <v>25.213439999999991</v>
      </c>
      <c r="X71" s="83">
        <f>VLOOKUP(TableRBRanks3141[[#This Row],[Player]],RB!B:O,8,FALSE)</f>
        <v>18.733585919999992</v>
      </c>
      <c r="Y71" s="83">
        <f>VLOOKUP(TableRBRanks3141[[#This Row],[Player]],RB!B:O,9,FALSE)</f>
        <v>150.24335907839992</v>
      </c>
      <c r="Z71" s="83">
        <f>VLOOKUP(TableRBRanks3141[[#This Row],[Player]],RB!B:O,10,FALSE)</f>
        <v>0.74934343679999971</v>
      </c>
      <c r="AA71" s="57">
        <f>VLOOKUP(TableRBRanks3141[[#This Row],[Player]],RB!B:O,14,FALSE)</f>
        <v>70.102759408639983</v>
      </c>
      <c r="AB71" s="125">
        <f>IF(VLOOKUP(TableRBRanks3141[[#This Row],[RK]],'Ranks w Proj'!$P:$AB,13,FALSE)&lt;0,0,VLOOKUP(TableRBRanks3141[[#This Row],[RK]],'Ranks w Proj'!$P:$AB,13,FALSE))</f>
        <v>0</v>
      </c>
      <c r="AD71">
        <v>70</v>
      </c>
      <c r="AE71" t="str">
        <f>VLOOKUP(TableWRRanks3242[[#This Row],[RK]],Rankings!A:T,13,FALSE)</f>
        <v>Wan'Dale Robinson</v>
      </c>
      <c r="AF71" t="str">
        <f>IFERROR(INDEX(TableWRCalcPts[TM],MATCH(TableWRRanks3242[[#This Row],[Player]],TableWRCalcPts[PLAYER],0)),"")</f>
        <v>NYG</v>
      </c>
      <c r="AG71">
        <f>IFERROR(INDEX(TableWRCalcPts[BYE],MATCH(TableWRRanks3242[[#This Row],[Player]],TableWRCalcPts[PLAYER],0)),"")</f>
        <v>13</v>
      </c>
      <c r="AH71" s="83">
        <f>VLOOKUP(TableWRRanks3242[[#This Row],[Player]],WR!B:O,4,FALSE)</f>
        <v>52.713238816000008</v>
      </c>
      <c r="AI71" s="83">
        <f>VLOOKUP(TableWRRanks3242[[#This Row],[Player]],WR!B:O,5,FALSE)</f>
        <v>0.43854608000000006</v>
      </c>
      <c r="AJ71" s="83">
        <f>VLOOKUP(TableWRRanks3242[[#This Row],[Player]],WR!B:O,6,FALSE)</f>
        <v>94.159027199999969</v>
      </c>
      <c r="AK71" s="83">
        <f>VLOOKUP(TableWRRanks3242[[#This Row],[Player]],WR!B:O,7,FALSE)</f>
        <v>65.440523903999974</v>
      </c>
      <c r="AL71" s="83">
        <f>VLOOKUP(TableWRRanks3242[[#This Row],[Player]],WR!B:O,8,FALSE)</f>
        <v>647.20678141055976</v>
      </c>
      <c r="AM71" s="83">
        <f>VLOOKUP(TableWRRanks3242[[#This Row],[Player]],WR!B:O,9,FALSE)</f>
        <v>3.2720261951999987</v>
      </c>
      <c r="AN71" s="57">
        <f>VLOOKUP(TableWRRanks3242[[#This Row],[Player]],WR!B:O,13,FALSE)</f>
        <v>124.97569762585596</v>
      </c>
      <c r="AO71" s="125">
        <f>IF(VLOOKUP(TableWRRanks3242[[#This Row],[RK]],'Ranks w Proj'!AD:AO,12,FALSE)&lt;0,0,VLOOKUP(TableWRRanks3242[[#This Row],[RK]],'Ranks w Proj'!AD:AO,12,FALSE))</f>
        <v>0</v>
      </c>
      <c r="AQ71">
        <v>70</v>
      </c>
      <c r="AR71">
        <f>VLOOKUP(TableTERanks3343[[#This Row],[RK]],Rankings!A:T,18,FALSE)</f>
        <v>0</v>
      </c>
      <c r="AS71" t="str">
        <f>IFERROR(INDEX(TableTECalcPts[TM],MATCH(TableTERanks3343[[#This Row],[Player]],TableTECalcPts[PLAYER],0)),"")</f>
        <v/>
      </c>
      <c r="AT71" t="str">
        <f>IFERROR(INDEX(TableTECalcPts[BYE],MATCH(TableTERanks3343[[#This Row],[Player]],TableTECalcPts[PLAYER],0)),"")</f>
        <v/>
      </c>
      <c r="AU71" s="83">
        <f>VLOOKUP(TableTERanks3343[[#This Row],[Player]],TE!B:O,4,FALSE)</f>
        <v>0</v>
      </c>
      <c r="AV71" s="83">
        <f>VLOOKUP(TableTERanks3343[[#This Row],[Player]],TE!B:O,5,FALSE)</f>
        <v>0</v>
      </c>
      <c r="AW71" s="83">
        <f>VLOOKUP(TableTERanks3343[[#This Row],[Player]],TE!B:O,6,FALSE)</f>
        <v>0</v>
      </c>
      <c r="AX71" s="83">
        <f>VLOOKUP(TableTERanks3343[[#This Row],[Player]],TE!B:O,7,FALSE)</f>
        <v>0</v>
      </c>
      <c r="AY71" s="57">
        <f>VLOOKUP(TableTERanks3343[[#This Row],[Player]],TE!B:O,11,FALSE)</f>
        <v>0</v>
      </c>
      <c r="AZ71" s="125">
        <f>IF(VLOOKUP(TableTERanks3343[[#This Row],[RK]],'Ranks w Proj'!AQ:AZ,10,FALSE)&lt;0,0,VLOOKUP(TableTERanks3343[[#This Row],[RK]],'Ranks w Proj'!AQ:AZ,10,FALSE))</f>
        <v>0</v>
      </c>
    </row>
    <row r="72" spans="1:52" x14ac:dyDescent="0.2">
      <c r="A72">
        <v>71</v>
      </c>
      <c r="B72">
        <f>VLOOKUP(TableQBRanks3040[[#This Row],[RK]],Rankings!A:T,3,FALSE)</f>
        <v>0</v>
      </c>
      <c r="C72" t="str">
        <f>IFERROR(INDEX(TableQBCalcPts[TM],MATCH(TableQBRanks3040[[#This Row],[Player]],TableQBCalcPts[PLAYER],0)),"")</f>
        <v/>
      </c>
      <c r="D72" t="str">
        <f>IFERROR(INDEX(TableQBCalcPts[BYE],MATCH(TableQBRanks3040[[#This Row],[Player]],TableQBCalcPts[PLAYER],0)),"")</f>
        <v/>
      </c>
      <c r="E72" s="83">
        <f>VLOOKUP(TableQBRanks3040[[#This Row],[Player]],QB!B:O,4,FALSE)</f>
        <v>0</v>
      </c>
      <c r="F72" s="83">
        <f>VLOOKUP(TableQBRanks3040[[#This Row],[Player]],QB!B:O,5,FALSE)</f>
        <v>0</v>
      </c>
      <c r="G72" s="83">
        <f>VLOOKUP(TableQBRanks3040[[#This Row],[Player]],QB!B:O,6,FALSE)</f>
        <v>0</v>
      </c>
      <c r="H72" s="83">
        <f>VLOOKUP(TableQBRanks3040[[#This Row],[Player]],QB!B:O,7,FALSE)</f>
        <v>0</v>
      </c>
      <c r="I72" s="83">
        <f>VLOOKUP(TableQBRanks3040[[#This Row],[Player]],QB!B:O,8,FALSE)</f>
        <v>0</v>
      </c>
      <c r="J72" s="83">
        <f>VLOOKUP(TableQBRanks3040[[#This Row],[Player]],QB!B:O,9,FALSE)</f>
        <v>0</v>
      </c>
      <c r="K72" s="83">
        <f>VLOOKUP(TableQBRanks3040[[#This Row],[Player]],QB!B:O,10,FALSE)</f>
        <v>0</v>
      </c>
      <c r="L72" s="83">
        <f>VLOOKUP(TableQBRanks3040[[#This Row],[Player]],QB!B:O,11,FALSE)</f>
        <v>0</v>
      </c>
      <c r="M72" s="57">
        <f>VLOOKUP(TableQBRanks3040[[#This Row],[Player]],QB!B:O,13,FALSE)</f>
        <v>0</v>
      </c>
      <c r="N72" s="125" t="str">
        <f>IF(VLOOKUP(TableQBRanks3040[[#This Row],[RK]],'Ranks w Proj'!$A:$N,14,FALSE)&lt;0,0,VLOOKUP(TableQBRanks3040[[#This Row],[RK]],'Ranks w Proj'!$A:$N,14,FALSE))</f>
        <v/>
      </c>
      <c r="P72">
        <v>71</v>
      </c>
      <c r="Q72" t="str">
        <f>VLOOKUP(TableRBRanks3141[[#This Row],[RK]],Rankings!A:T,8,FALSE)</f>
        <v>Will Shipley</v>
      </c>
      <c r="R72" t="str">
        <f>IFERROR(INDEX(TableRBCalcPts[TM],MATCH(TableRBRanks3141[[#This Row],[Player]],TableRBCalcPts[PLAYER],0)),"")</f>
        <v>PHI</v>
      </c>
      <c r="S72">
        <f>IFERROR(INDEX(TableRBCalcPts[BYE],MATCH(TableRBRanks3141[[#This Row],[Player]],TableRBCalcPts[PLAYER],0)),"")</f>
        <v>10</v>
      </c>
      <c r="T72" s="83">
        <f>VLOOKUP(TableRBRanks3141[[#This Row],[Player]],RB!B:O,4,FALSE)</f>
        <v>33.803884799999999</v>
      </c>
      <c r="U72" s="83">
        <f>VLOOKUP(TableRBRanks3141[[#This Row],[Player]],RB!B:O,5,FALSE)</f>
        <v>143.66651039999999</v>
      </c>
      <c r="V72" s="83">
        <f>VLOOKUP(TableRBRanks3141[[#This Row],[Player]],RB!B:O,6,FALSE)</f>
        <v>1.2169398527999999</v>
      </c>
      <c r="W72" s="83">
        <f>VLOOKUP(TableRBRanks3141[[#This Row],[Player]],RB!B:O,7,FALSE)</f>
        <v>22.313894400000002</v>
      </c>
      <c r="X72" s="83">
        <f>VLOOKUP(TableRBRanks3141[[#This Row],[Player]],RB!B:O,8,FALSE)</f>
        <v>16.958559744000002</v>
      </c>
      <c r="Y72" s="83">
        <f>VLOOKUP(TableRBRanks3141[[#This Row],[Player]],RB!B:O,9,FALSE)</f>
        <v>121.59287336448001</v>
      </c>
      <c r="Z72" s="83">
        <f>VLOOKUP(TableRBRanks3141[[#This Row],[Player]],RB!B:O,10,FALSE)</f>
        <v>0.62746671052800007</v>
      </c>
      <c r="AA72" s="57">
        <f>VLOOKUP(TableRBRanks3141[[#This Row],[Player]],RB!B:O,14,FALSE)</f>
        <v>46.071657628416006</v>
      </c>
      <c r="AB72" s="125">
        <f>IF(VLOOKUP(TableRBRanks3141[[#This Row],[RK]],'Ranks w Proj'!$P:$AB,13,FALSE)&lt;0,0,VLOOKUP(TableRBRanks3141[[#This Row],[RK]],'Ranks w Proj'!$P:$AB,13,FALSE))</f>
        <v>0</v>
      </c>
      <c r="AD72">
        <v>71</v>
      </c>
      <c r="AE72" t="str">
        <f>VLOOKUP(TableWRRanks3242[[#This Row],[RK]],Rankings!A:T,13,FALSE)</f>
        <v>Marvin Mims</v>
      </c>
      <c r="AF72" t="str">
        <f>IFERROR(INDEX(TableWRCalcPts[TM],MATCH(TableWRRanks3242[[#This Row],[Player]],TableWRCalcPts[PLAYER],0)),"")</f>
        <v>DEN</v>
      </c>
      <c r="AG72">
        <f>IFERROR(INDEX(TableWRCalcPts[BYE],MATCH(TableWRRanks3242[[#This Row],[Player]],TableWRCalcPts[PLAYER],0)),"")</f>
        <v>9</v>
      </c>
      <c r="AH72" s="83">
        <f>VLOOKUP(TableWRRanks3242[[#This Row],[Player]],WR!B:O,4,FALSE)</f>
        <v>0</v>
      </c>
      <c r="AI72" s="83">
        <f>VLOOKUP(TableWRRanks3242[[#This Row],[Player]],WR!B:O,5,FALSE)</f>
        <v>0</v>
      </c>
      <c r="AJ72" s="83">
        <f>VLOOKUP(TableWRRanks3242[[#This Row],[Player]],WR!B:O,6,FALSE)</f>
        <v>79.921058000000002</v>
      </c>
      <c r="AK72" s="83">
        <f>VLOOKUP(TableWRRanks3242[[#This Row],[Player]],WR!B:O,7,FALSE)</f>
        <v>47.952634799999998</v>
      </c>
      <c r="AL72" s="83">
        <f>VLOOKUP(TableWRRanks3242[[#This Row],[Player]],WR!B:O,8,FALSE)</f>
        <v>616.67088352799999</v>
      </c>
      <c r="AM72" s="83">
        <f>VLOOKUP(TableWRRanks3242[[#This Row],[Player]],WR!B:O,9,FALSE)</f>
        <v>3.116921262</v>
      </c>
      <c r="AN72" s="57">
        <f>VLOOKUP(TableWRRanks3242[[#This Row],[Player]],WR!B:O,13,FALSE)</f>
        <v>104.3449333248</v>
      </c>
      <c r="AO72" s="125">
        <f>IF(VLOOKUP(TableWRRanks3242[[#This Row],[RK]],'Ranks w Proj'!AD:AO,12,FALSE)&lt;0,0,VLOOKUP(TableWRRanks3242[[#This Row],[RK]],'Ranks w Proj'!AD:AO,12,FALSE))</f>
        <v>0</v>
      </c>
      <c r="AQ72">
        <v>71</v>
      </c>
      <c r="AR72">
        <f>VLOOKUP(TableTERanks3343[[#This Row],[RK]],Rankings!A:T,18,FALSE)</f>
        <v>0</v>
      </c>
      <c r="AS72" t="str">
        <f>IFERROR(INDEX(TableTECalcPts[TM],MATCH(TableTERanks3343[[#This Row],[Player]],TableTECalcPts[PLAYER],0)),"")</f>
        <v/>
      </c>
      <c r="AT72" t="str">
        <f>IFERROR(INDEX(TableTECalcPts[BYE],MATCH(TableTERanks3343[[#This Row],[Player]],TableTECalcPts[PLAYER],0)),"")</f>
        <v/>
      </c>
      <c r="AU72" s="83">
        <f>VLOOKUP(TableTERanks3343[[#This Row],[Player]],TE!B:O,4,FALSE)</f>
        <v>0</v>
      </c>
      <c r="AV72" s="83">
        <f>VLOOKUP(TableTERanks3343[[#This Row],[Player]],TE!B:O,5,FALSE)</f>
        <v>0</v>
      </c>
      <c r="AW72" s="83">
        <f>VLOOKUP(TableTERanks3343[[#This Row],[Player]],TE!B:O,6,FALSE)</f>
        <v>0</v>
      </c>
      <c r="AX72" s="83">
        <f>VLOOKUP(TableTERanks3343[[#This Row],[Player]],TE!B:O,7,FALSE)</f>
        <v>0</v>
      </c>
      <c r="AY72" s="57">
        <f>VLOOKUP(TableTERanks3343[[#This Row],[Player]],TE!B:O,11,FALSE)</f>
        <v>0</v>
      </c>
      <c r="AZ72" s="125">
        <f>IF(VLOOKUP(TableTERanks3343[[#This Row],[RK]],'Ranks w Proj'!AQ:AZ,10,FALSE)&lt;0,0,VLOOKUP(TableTERanks3343[[#This Row],[RK]],'Ranks w Proj'!AQ:AZ,10,FALSE))</f>
        <v>0</v>
      </c>
    </row>
    <row r="73" spans="1:52" x14ac:dyDescent="0.2">
      <c r="A73">
        <v>72</v>
      </c>
      <c r="B73">
        <f>VLOOKUP(TableQBRanks3040[[#This Row],[RK]],Rankings!A:T,3,FALSE)</f>
        <v>0</v>
      </c>
      <c r="C73" t="str">
        <f>IFERROR(INDEX(TableQBCalcPts[TM],MATCH(TableQBRanks3040[[#This Row],[Player]],TableQBCalcPts[PLAYER],0)),"")</f>
        <v/>
      </c>
      <c r="D73" t="str">
        <f>IFERROR(INDEX(TableQBCalcPts[BYE],MATCH(TableQBRanks3040[[#This Row],[Player]],TableQBCalcPts[PLAYER],0)),"")</f>
        <v/>
      </c>
      <c r="E73" s="83">
        <f>VLOOKUP(TableQBRanks3040[[#This Row],[Player]],QB!B:O,4,FALSE)</f>
        <v>0</v>
      </c>
      <c r="F73" s="83">
        <f>VLOOKUP(TableQBRanks3040[[#This Row],[Player]],QB!B:O,5,FALSE)</f>
        <v>0</v>
      </c>
      <c r="G73" s="83">
        <f>VLOOKUP(TableQBRanks3040[[#This Row],[Player]],QB!B:O,6,FALSE)</f>
        <v>0</v>
      </c>
      <c r="H73" s="83">
        <f>VLOOKUP(TableQBRanks3040[[#This Row],[Player]],QB!B:O,7,FALSE)</f>
        <v>0</v>
      </c>
      <c r="I73" s="83">
        <f>VLOOKUP(TableQBRanks3040[[#This Row],[Player]],QB!B:O,8,FALSE)</f>
        <v>0</v>
      </c>
      <c r="J73" s="83">
        <f>VLOOKUP(TableQBRanks3040[[#This Row],[Player]],QB!B:O,9,FALSE)</f>
        <v>0</v>
      </c>
      <c r="K73" s="83">
        <f>VLOOKUP(TableQBRanks3040[[#This Row],[Player]],QB!B:O,10,FALSE)</f>
        <v>0</v>
      </c>
      <c r="L73" s="83">
        <f>VLOOKUP(TableQBRanks3040[[#This Row],[Player]],QB!B:O,11,FALSE)</f>
        <v>0</v>
      </c>
      <c r="M73" s="57">
        <f>VLOOKUP(TableQBRanks3040[[#This Row],[Player]],QB!B:O,13,FALSE)</f>
        <v>0</v>
      </c>
      <c r="N73" s="125" t="str">
        <f>IF(VLOOKUP(TableQBRanks3040[[#This Row],[RK]],'Ranks w Proj'!$A:$N,14,FALSE)&lt;0,0,VLOOKUP(TableQBRanks3040[[#This Row],[RK]],'Ranks w Proj'!$A:$N,14,FALSE))</f>
        <v/>
      </c>
      <c r="P73">
        <v>72</v>
      </c>
      <c r="Q73" t="str">
        <f>VLOOKUP(TableRBRanks3141[[#This Row],[RK]],Rankings!A:T,8,FALSE)</f>
        <v>Audric Estime</v>
      </c>
      <c r="R73" t="str">
        <f>IFERROR(INDEX(TableRBCalcPts[TM],MATCH(TableRBRanks3141[[#This Row],[Player]],TableRBCalcPts[PLAYER],0)),"")</f>
        <v>DEN</v>
      </c>
      <c r="S73">
        <f>IFERROR(INDEX(TableRBCalcPts[BYE],MATCH(TableRBRanks3141[[#This Row],[Player]],TableRBCalcPts[PLAYER],0)),"")</f>
        <v>9</v>
      </c>
      <c r="T73" s="83">
        <f>VLOOKUP(TableRBRanks3141[[#This Row],[Player]],RB!B:O,4,FALSE)</f>
        <v>114.27397800000003</v>
      </c>
      <c r="U73" s="83">
        <f>VLOOKUP(TableRBRanks3141[[#This Row],[Player]],RB!B:O,5,FALSE)</f>
        <v>494.80632474000015</v>
      </c>
      <c r="V73" s="83">
        <f>VLOOKUP(TableRBRanks3141[[#This Row],[Player]],RB!B:O,6,FALSE)</f>
        <v>3.6567672960000008</v>
      </c>
      <c r="W73" s="83">
        <f>VLOOKUP(TableRBRanks3141[[#This Row],[Player]],RB!B:O,7,FALSE)</f>
        <v>11.417294</v>
      </c>
      <c r="X73" s="83">
        <f>VLOOKUP(TableRBRanks3141[[#This Row],[Player]],RB!B:O,8,FALSE)</f>
        <v>8.3346246199999996</v>
      </c>
      <c r="Y73" s="83">
        <f>VLOOKUP(TableRBRanks3141[[#This Row],[Player]],RB!B:O,9,FALSE)</f>
        <v>52.091403874999997</v>
      </c>
      <c r="Z73" s="83">
        <f>VLOOKUP(TableRBRanks3141[[#This Row],[Player]],RB!B:O,10,FALSE)</f>
        <v>0.1666924924</v>
      </c>
      <c r="AA73" s="57">
        <f>VLOOKUP(TableRBRanks3141[[#This Row],[Player]],RB!B:O,14,FALSE)</f>
        <v>81.797843901900023</v>
      </c>
      <c r="AB73" s="125">
        <f>IF(VLOOKUP(TableRBRanks3141[[#This Row],[RK]],'Ranks w Proj'!$P:$AB,13,FALSE)&lt;0,0,VLOOKUP(TableRBRanks3141[[#This Row],[RK]],'Ranks w Proj'!$P:$AB,13,FALSE))</f>
        <v>0</v>
      </c>
      <c r="AD73">
        <v>72</v>
      </c>
      <c r="AE73" t="str">
        <f>VLOOKUP(TableWRRanks3242[[#This Row],[RK]],Rankings!A:T,13,FALSE)</f>
        <v>Jermaine Burton</v>
      </c>
      <c r="AF73" t="str">
        <f>IFERROR(INDEX(TableWRCalcPts[TM],MATCH(TableWRRanks3242[[#This Row],[Player]],TableWRCalcPts[PLAYER],0)),"")</f>
        <v>CIN</v>
      </c>
      <c r="AG73">
        <f>IFERROR(INDEX(TableWRCalcPts[BYE],MATCH(TableWRRanks3242[[#This Row],[Player]],TableWRCalcPts[PLAYER],0)),"")</f>
        <v>7</v>
      </c>
      <c r="AH73" s="83">
        <f>VLOOKUP(TableWRRanks3242[[#This Row],[Player]],WR!B:O,4,FALSE)</f>
        <v>0</v>
      </c>
      <c r="AI73" s="83">
        <f>VLOOKUP(TableWRRanks3242[[#This Row],[Player]],WR!B:O,5,FALSE)</f>
        <v>0</v>
      </c>
      <c r="AJ73" s="83">
        <f>VLOOKUP(TableWRRanks3242[[#This Row],[Player]],WR!B:O,6,FALSE)</f>
        <v>81.063855600000011</v>
      </c>
      <c r="AK73" s="83">
        <f>VLOOKUP(TableWRRanks3242[[#This Row],[Player]],WR!B:O,7,FALSE)</f>
        <v>52.772569995600008</v>
      </c>
      <c r="AL73" s="83">
        <f>VLOOKUP(TableWRRanks3242[[#This Row],[Player]],WR!B:O,8,FALSE)</f>
        <v>654.37986794544008</v>
      </c>
      <c r="AM73" s="83">
        <f>VLOOKUP(TableWRRanks3242[[#This Row],[Player]],WR!B:O,9,FALSE)</f>
        <v>4.4856684496260009</v>
      </c>
      <c r="AN73" s="57">
        <f>VLOOKUP(TableWRRanks3242[[#This Row],[Player]],WR!B:O,13,FALSE)</f>
        <v>118.73828249010003</v>
      </c>
      <c r="AO73" s="125">
        <f>IF(VLOOKUP(TableWRRanks3242[[#This Row],[RK]],'Ranks w Proj'!AD:AO,12,FALSE)&lt;0,0,VLOOKUP(TableWRRanks3242[[#This Row],[RK]],'Ranks w Proj'!AD:AO,12,FALSE))</f>
        <v>0</v>
      </c>
      <c r="AQ73">
        <v>72</v>
      </c>
      <c r="AR73">
        <f>VLOOKUP(TableTERanks3343[[#This Row],[RK]],Rankings!A:T,18,FALSE)</f>
        <v>0</v>
      </c>
      <c r="AS73" t="str">
        <f>IFERROR(INDEX(TableTECalcPts[TM],MATCH(TableTERanks3343[[#This Row],[Player]],TableTECalcPts[PLAYER],0)),"")</f>
        <v/>
      </c>
      <c r="AT73" t="str">
        <f>IFERROR(INDEX(TableTECalcPts[BYE],MATCH(TableTERanks3343[[#This Row],[Player]],TableTECalcPts[PLAYER],0)),"")</f>
        <v/>
      </c>
      <c r="AU73" s="83">
        <f>VLOOKUP(TableTERanks3343[[#This Row],[Player]],TE!B:O,4,FALSE)</f>
        <v>0</v>
      </c>
      <c r="AV73" s="83">
        <f>VLOOKUP(TableTERanks3343[[#This Row],[Player]],TE!B:O,5,FALSE)</f>
        <v>0</v>
      </c>
      <c r="AW73" s="83">
        <f>VLOOKUP(TableTERanks3343[[#This Row],[Player]],TE!B:O,6,FALSE)</f>
        <v>0</v>
      </c>
      <c r="AX73" s="83">
        <f>VLOOKUP(TableTERanks3343[[#This Row],[Player]],TE!B:O,7,FALSE)</f>
        <v>0</v>
      </c>
      <c r="AY73" s="57">
        <f>VLOOKUP(TableTERanks3343[[#This Row],[Player]],TE!B:O,11,FALSE)</f>
        <v>0</v>
      </c>
      <c r="AZ73" s="125">
        <f>IF(VLOOKUP(TableTERanks3343[[#This Row],[RK]],'Ranks w Proj'!AQ:AZ,10,FALSE)&lt;0,0,VLOOKUP(TableTERanks3343[[#This Row],[RK]],'Ranks w Proj'!AQ:AZ,10,FALSE))</f>
        <v>0</v>
      </c>
    </row>
    <row r="74" spans="1:52" x14ac:dyDescent="0.2">
      <c r="A74">
        <v>73</v>
      </c>
      <c r="B74">
        <f>VLOOKUP(TableQBRanks3040[[#This Row],[RK]],Rankings!A:T,3,FALSE)</f>
        <v>0</v>
      </c>
      <c r="C74" t="str">
        <f>IFERROR(INDEX(TableQBCalcPts[TM],MATCH(TableQBRanks3040[[#This Row],[Player]],TableQBCalcPts[PLAYER],0)),"")</f>
        <v/>
      </c>
      <c r="D74" t="str">
        <f>IFERROR(INDEX(TableQBCalcPts[BYE],MATCH(TableQBRanks3040[[#This Row],[Player]],TableQBCalcPts[PLAYER],0)),"")</f>
        <v/>
      </c>
      <c r="E74" s="83">
        <f>VLOOKUP(TableQBRanks3040[[#This Row],[Player]],QB!B:O,4,FALSE)</f>
        <v>0</v>
      </c>
      <c r="F74" s="83">
        <f>VLOOKUP(TableQBRanks3040[[#This Row],[Player]],QB!B:O,5,FALSE)</f>
        <v>0</v>
      </c>
      <c r="G74" s="83">
        <f>VLOOKUP(TableQBRanks3040[[#This Row],[Player]],QB!B:O,6,FALSE)</f>
        <v>0</v>
      </c>
      <c r="H74" s="83">
        <f>VLOOKUP(TableQBRanks3040[[#This Row],[Player]],QB!B:O,7,FALSE)</f>
        <v>0</v>
      </c>
      <c r="I74" s="83">
        <f>VLOOKUP(TableQBRanks3040[[#This Row],[Player]],QB!B:O,8,FALSE)</f>
        <v>0</v>
      </c>
      <c r="J74" s="83">
        <f>VLOOKUP(TableQBRanks3040[[#This Row],[Player]],QB!B:O,9,FALSE)</f>
        <v>0</v>
      </c>
      <c r="K74" s="83">
        <f>VLOOKUP(TableQBRanks3040[[#This Row],[Player]],QB!B:O,10,FALSE)</f>
        <v>0</v>
      </c>
      <c r="L74" s="83">
        <f>VLOOKUP(TableQBRanks3040[[#This Row],[Player]],QB!B:O,11,FALSE)</f>
        <v>0</v>
      </c>
      <c r="M74" s="57">
        <f>VLOOKUP(TableQBRanks3040[[#This Row],[Player]],QB!B:O,13,FALSE)</f>
        <v>0</v>
      </c>
      <c r="N74" s="125" t="str">
        <f>IF(VLOOKUP(TableQBRanks3040[[#This Row],[RK]],'Ranks w Proj'!$A:$N,14,FALSE)&lt;0,0,VLOOKUP(TableQBRanks3040[[#This Row],[RK]],'Ranks w Proj'!$A:$N,14,FALSE))</f>
        <v/>
      </c>
      <c r="P74">
        <v>73</v>
      </c>
      <c r="Q74" t="str">
        <f>VLOOKUP(TableRBRanks3141[[#This Row],[RK]],Rankings!A:T,8,FALSE)</f>
        <v>Kimani Vidal</v>
      </c>
      <c r="R74" t="str">
        <f>IFERROR(INDEX(TableRBCalcPts[TM],MATCH(TableRBRanks3141[[#This Row],[Player]],TableRBCalcPts[PLAYER],0)),"")</f>
        <v>LAC</v>
      </c>
      <c r="S74">
        <f>IFERROR(INDEX(TableRBCalcPts[BYE],MATCH(TableRBRanks3141[[#This Row],[Player]],TableRBCalcPts[PLAYER],0)),"")</f>
        <v>5</v>
      </c>
      <c r="T74" s="83">
        <f>VLOOKUP(TableRBRanks3141[[#This Row],[Player]],RB!B:O,4,FALSE)</f>
        <v>62.584358199999997</v>
      </c>
      <c r="U74" s="83">
        <f>VLOOKUP(TableRBRanks3141[[#This Row],[Player]],RB!B:O,5,FALSE)</f>
        <v>270.36442742399998</v>
      </c>
      <c r="V74" s="83">
        <f>VLOOKUP(TableRBRanks3141[[#This Row],[Player]],RB!B:O,6,FALSE)</f>
        <v>2.2530368951999997</v>
      </c>
      <c r="W74" s="83">
        <f>VLOOKUP(TableRBRanks3141[[#This Row],[Player]],RB!B:O,7,FALSE)</f>
        <v>16.750855799999997</v>
      </c>
      <c r="X74" s="83">
        <f>VLOOKUP(TableRBRanks3141[[#This Row],[Player]],RB!B:O,8,FALSE)</f>
        <v>12.261626445599997</v>
      </c>
      <c r="Y74" s="83">
        <f>VLOOKUP(TableRBRanks3141[[#This Row],[Player]],RB!B:O,9,FALSE)</f>
        <v>88.28371040831999</v>
      </c>
      <c r="Z74" s="83">
        <f>VLOOKUP(TableRBRanks3141[[#This Row],[Player]],RB!B:O,10,FALSE)</f>
        <v>0.36784879336799992</v>
      </c>
      <c r="AA74" s="57">
        <f>VLOOKUP(TableRBRanks3141[[#This Row],[Player]],RB!B:O,14,FALSE)</f>
        <v>57.720941137439993</v>
      </c>
      <c r="AB74" s="125">
        <f>IF(VLOOKUP(TableRBRanks3141[[#This Row],[RK]],'Ranks w Proj'!$P:$AB,13,FALSE)&lt;0,0,VLOOKUP(TableRBRanks3141[[#This Row],[RK]],'Ranks w Proj'!$P:$AB,13,FALSE))</f>
        <v>0</v>
      </c>
      <c r="AD74">
        <v>73</v>
      </c>
      <c r="AE74" t="str">
        <f>VLOOKUP(TableWRRanks3242[[#This Row],[RK]],Rankings!A:T,13,FALSE)</f>
        <v>Malachi Corley</v>
      </c>
      <c r="AF74" t="str">
        <f>IFERROR(INDEX(TableWRCalcPts[TM],MATCH(TableWRRanks3242[[#This Row],[Player]],TableWRCalcPts[PLAYER],0)),"")</f>
        <v>NYJ</v>
      </c>
      <c r="AG74">
        <f>IFERROR(INDEX(TableWRCalcPts[BYE],MATCH(TableWRRanks3242[[#This Row],[Player]],TableWRCalcPts[PLAYER],0)),"")</f>
        <v>7</v>
      </c>
      <c r="AH74" s="83">
        <f>VLOOKUP(TableWRRanks3242[[#This Row],[Player]],WR!B:O,4,FALSE)</f>
        <v>24.960496904000003</v>
      </c>
      <c r="AI74" s="83">
        <f>VLOOKUP(TableWRRanks3242[[#This Row],[Player]],WR!B:O,5,FALSE)</f>
        <v>0.14630486640000004</v>
      </c>
      <c r="AJ74" s="83">
        <f>VLOOKUP(TableWRRanks3242[[#This Row],[Player]],WR!B:O,6,FALSE)</f>
        <v>79.989109199999987</v>
      </c>
      <c r="AK74" s="83">
        <f>VLOOKUP(TableWRRanks3242[[#This Row],[Player]],WR!B:O,7,FALSE)</f>
        <v>50.713095232799994</v>
      </c>
      <c r="AL74" s="83">
        <f>VLOOKUP(TableWRRanks3242[[#This Row],[Player]],WR!B:O,8,FALSE)</f>
        <v>611.59992850756794</v>
      </c>
      <c r="AM74" s="83">
        <f>VLOOKUP(TableWRRanks3242[[#This Row],[Player]],WR!B:O,9,FALSE)</f>
        <v>4.3106130947879997</v>
      </c>
      <c r="AN74" s="57">
        <f>VLOOKUP(TableWRRanks3242[[#This Row],[Player]],WR!B:O,13,FALSE)</f>
        <v>115.7540979246848</v>
      </c>
      <c r="AO74" s="125">
        <f>IF(VLOOKUP(TableWRRanks3242[[#This Row],[RK]],'Ranks w Proj'!AD:AO,12,FALSE)&lt;0,0,VLOOKUP(TableWRRanks3242[[#This Row],[RK]],'Ranks w Proj'!AD:AO,12,FALSE))</f>
        <v>0</v>
      </c>
      <c r="AQ74">
        <v>73</v>
      </c>
      <c r="AR74">
        <f>VLOOKUP(TableTERanks3343[[#This Row],[RK]],Rankings!A:T,18,FALSE)</f>
        <v>0</v>
      </c>
      <c r="AS74" t="str">
        <f>IFERROR(INDEX(TableTECalcPts[TM],MATCH(TableTERanks3343[[#This Row],[Player]],TableTECalcPts[PLAYER],0)),"")</f>
        <v/>
      </c>
      <c r="AT74" t="str">
        <f>IFERROR(INDEX(TableTECalcPts[BYE],MATCH(TableTERanks3343[[#This Row],[Player]],TableTECalcPts[PLAYER],0)),"")</f>
        <v/>
      </c>
      <c r="AU74" s="83">
        <f>VLOOKUP(TableTERanks3343[[#This Row],[Player]],TE!B:O,4,FALSE)</f>
        <v>0</v>
      </c>
      <c r="AV74" s="83">
        <f>VLOOKUP(TableTERanks3343[[#This Row],[Player]],TE!B:O,5,FALSE)</f>
        <v>0</v>
      </c>
      <c r="AW74" s="83">
        <f>VLOOKUP(TableTERanks3343[[#This Row],[Player]],TE!B:O,6,FALSE)</f>
        <v>0</v>
      </c>
      <c r="AX74" s="83">
        <f>VLOOKUP(TableTERanks3343[[#This Row],[Player]],TE!B:O,7,FALSE)</f>
        <v>0</v>
      </c>
      <c r="AY74" s="57">
        <f>VLOOKUP(TableTERanks3343[[#This Row],[Player]],TE!B:O,11,FALSE)</f>
        <v>0</v>
      </c>
      <c r="AZ74" s="125">
        <f>IF(VLOOKUP(TableTERanks3343[[#This Row],[RK]],'Ranks w Proj'!AQ:AZ,10,FALSE)&lt;0,0,VLOOKUP(TableTERanks3343[[#This Row],[RK]],'Ranks w Proj'!AQ:AZ,10,FALSE))</f>
        <v>0</v>
      </c>
    </row>
    <row r="75" spans="1:52" x14ac:dyDescent="0.2">
      <c r="A75">
        <v>74</v>
      </c>
      <c r="B75">
        <f>VLOOKUP(TableQBRanks3040[[#This Row],[RK]],Rankings!A:T,3,FALSE)</f>
        <v>0</v>
      </c>
      <c r="C75" t="str">
        <f>IFERROR(INDEX(TableQBCalcPts[TM],MATCH(TableQBRanks3040[[#This Row],[Player]],TableQBCalcPts[PLAYER],0)),"")</f>
        <v/>
      </c>
      <c r="D75" t="str">
        <f>IFERROR(INDEX(TableQBCalcPts[BYE],MATCH(TableQBRanks3040[[#This Row],[Player]],TableQBCalcPts[PLAYER],0)),"")</f>
        <v/>
      </c>
      <c r="E75" s="83">
        <f>VLOOKUP(TableQBRanks3040[[#This Row],[Player]],QB!B:O,4,FALSE)</f>
        <v>0</v>
      </c>
      <c r="F75" s="83">
        <f>VLOOKUP(TableQBRanks3040[[#This Row],[Player]],QB!B:O,5,FALSE)</f>
        <v>0</v>
      </c>
      <c r="G75" s="83">
        <f>VLOOKUP(TableQBRanks3040[[#This Row],[Player]],QB!B:O,6,FALSE)</f>
        <v>0</v>
      </c>
      <c r="H75" s="83">
        <f>VLOOKUP(TableQBRanks3040[[#This Row],[Player]],QB!B:O,7,FALSE)</f>
        <v>0</v>
      </c>
      <c r="I75" s="83">
        <f>VLOOKUP(TableQBRanks3040[[#This Row],[Player]],QB!B:O,8,FALSE)</f>
        <v>0</v>
      </c>
      <c r="J75" s="83">
        <f>VLOOKUP(TableQBRanks3040[[#This Row],[Player]],QB!B:O,9,FALSE)</f>
        <v>0</v>
      </c>
      <c r="K75" s="83">
        <f>VLOOKUP(TableQBRanks3040[[#This Row],[Player]],QB!B:O,10,FALSE)</f>
        <v>0</v>
      </c>
      <c r="L75" s="83">
        <f>VLOOKUP(TableQBRanks3040[[#This Row],[Player]],QB!B:O,11,FALSE)</f>
        <v>0</v>
      </c>
      <c r="M75" s="57">
        <f>VLOOKUP(TableQBRanks3040[[#This Row],[Player]],QB!B:O,13,FALSE)</f>
        <v>0</v>
      </c>
      <c r="N75" s="125" t="str">
        <f>IF(VLOOKUP(TableQBRanks3040[[#This Row],[RK]],'Ranks w Proj'!$A:$N,14,FALSE)&lt;0,0,VLOOKUP(TableQBRanks3040[[#This Row],[RK]],'Ranks w Proj'!$A:$N,14,FALSE))</f>
        <v/>
      </c>
      <c r="P75">
        <v>74</v>
      </c>
      <c r="Q75" t="str">
        <f>VLOOKUP(TableRBRanks3141[[#This Row],[RK]],Rankings!A:T,8,FALSE)</f>
        <v>Jawhar Jordan</v>
      </c>
      <c r="R75" t="str">
        <f>IFERROR(INDEX(TableRBCalcPts[TM],MATCH(TableRBRanks3141[[#This Row],[Player]],TableRBCalcPts[PLAYER],0)),"")</f>
        <v>HOU</v>
      </c>
      <c r="S75">
        <f>IFERROR(INDEX(TableRBCalcPts[BYE],MATCH(TableRBRanks3141[[#This Row],[Player]],TableRBCalcPts[PLAYER],0)),"")</f>
        <v>7</v>
      </c>
      <c r="T75" s="83">
        <f>VLOOKUP(TableRBRanks3141[[#This Row],[Player]],RB!B:O,4,FALSE)</f>
        <v>43.26400000000001</v>
      </c>
      <c r="U75" s="83">
        <f>VLOOKUP(TableRBRanks3141[[#This Row],[Player]],RB!B:O,5,FALSE)</f>
        <v>178.24768000000006</v>
      </c>
      <c r="V75" s="83">
        <f>VLOOKUP(TableRBRanks3141[[#This Row],[Player]],RB!B:O,6,FALSE)</f>
        <v>1.2979200000000002</v>
      </c>
      <c r="W75" s="83">
        <f>VLOOKUP(TableRBRanks3141[[#This Row],[Player]],RB!B:O,7,FALSE)</f>
        <v>35.712767999999997</v>
      </c>
      <c r="X75" s="83">
        <f>VLOOKUP(TableRBRanks3141[[#This Row],[Player]],RB!B:O,8,FALSE)</f>
        <v>27.677395199999999</v>
      </c>
      <c r="Y75" s="83">
        <f>VLOOKUP(TableRBRanks3141[[#This Row],[Player]],RB!B:O,9,FALSE)</f>
        <v>200.66111519999998</v>
      </c>
      <c r="Z75" s="83">
        <f>VLOOKUP(TableRBRanks3141[[#This Row],[Player]],RB!B:O,10,FALSE)</f>
        <v>1.107095808</v>
      </c>
      <c r="AA75" s="57">
        <f>VLOOKUP(TableRBRanks3141[[#This Row],[Player]],RB!B:O,14,FALSE)</f>
        <v>66.159671968000012</v>
      </c>
      <c r="AB75" s="125">
        <f>IF(VLOOKUP(TableRBRanks3141[[#This Row],[RK]],'Ranks w Proj'!$P:$AB,13,FALSE)&lt;0,0,VLOOKUP(TableRBRanks3141[[#This Row],[RK]],'Ranks w Proj'!$P:$AB,13,FALSE))</f>
        <v>0</v>
      </c>
      <c r="AD75">
        <v>74</v>
      </c>
      <c r="AE75" t="str">
        <f>VLOOKUP(TableWRRanks3242[[#This Row],[RK]],Rankings!A:T,13,FALSE)</f>
        <v>Darius Slayton</v>
      </c>
      <c r="AF75" t="str">
        <f>IFERROR(INDEX(TableWRCalcPts[TM],MATCH(TableWRRanks3242[[#This Row],[Player]],TableWRCalcPts[PLAYER],0)),"")</f>
        <v>NYG</v>
      </c>
      <c r="AG75">
        <f>IFERROR(INDEX(TableWRCalcPts[BYE],MATCH(TableWRRanks3242[[#This Row],[Player]],TableWRCalcPts[PLAYER],0)),"")</f>
        <v>13</v>
      </c>
      <c r="AH75" s="83">
        <f>VLOOKUP(TableWRRanks3242[[#This Row],[Player]],WR!B:O,4,FALSE)</f>
        <v>0</v>
      </c>
      <c r="AI75" s="83">
        <f>VLOOKUP(TableWRRanks3242[[#This Row],[Player]],WR!B:O,5,FALSE)</f>
        <v>0</v>
      </c>
      <c r="AJ75" s="83">
        <f>VLOOKUP(TableWRRanks3242[[#This Row],[Player]],WR!B:O,6,FALSE)</f>
        <v>76.504209599999982</v>
      </c>
      <c r="AK75" s="83">
        <f>VLOOKUP(TableWRRanks3242[[#This Row],[Player]],WR!B:O,7,FALSE)</f>
        <v>45.74951734079999</v>
      </c>
      <c r="AL75" s="83">
        <f>VLOOKUP(TableWRRanks3242[[#This Row],[Player]],WR!B:O,8,FALSE)</f>
        <v>605.72360959219191</v>
      </c>
      <c r="AM75" s="83">
        <f>VLOOKUP(TableWRRanks3242[[#This Row],[Player]],WR!B:O,9,FALSE)</f>
        <v>2.7449710404479992</v>
      </c>
      <c r="AN75" s="57">
        <f>VLOOKUP(TableWRRanks3242[[#This Row],[Player]],WR!B:O,13,FALSE)</f>
        <v>99.916945872307195</v>
      </c>
      <c r="AO75" s="125">
        <f>IF(VLOOKUP(TableWRRanks3242[[#This Row],[RK]],'Ranks w Proj'!AD:AO,12,FALSE)&lt;0,0,VLOOKUP(TableWRRanks3242[[#This Row],[RK]],'Ranks w Proj'!AD:AO,12,FALSE))</f>
        <v>0</v>
      </c>
      <c r="AQ75">
        <v>74</v>
      </c>
      <c r="AR75">
        <f>VLOOKUP(TableTERanks3343[[#This Row],[RK]],Rankings!A:T,18,FALSE)</f>
        <v>0</v>
      </c>
      <c r="AS75" t="str">
        <f>IFERROR(INDEX(TableTECalcPts[TM],MATCH(TableTERanks3343[[#This Row],[Player]],TableTECalcPts[PLAYER],0)),"")</f>
        <v/>
      </c>
      <c r="AT75" t="str">
        <f>IFERROR(INDEX(TableTECalcPts[BYE],MATCH(TableTERanks3343[[#This Row],[Player]],TableTECalcPts[PLAYER],0)),"")</f>
        <v/>
      </c>
      <c r="AU75" s="83">
        <f>VLOOKUP(TableTERanks3343[[#This Row],[Player]],TE!B:O,4,FALSE)</f>
        <v>0</v>
      </c>
      <c r="AV75" s="83">
        <f>VLOOKUP(TableTERanks3343[[#This Row],[Player]],TE!B:O,5,FALSE)</f>
        <v>0</v>
      </c>
      <c r="AW75" s="83">
        <f>VLOOKUP(TableTERanks3343[[#This Row],[Player]],TE!B:O,6,FALSE)</f>
        <v>0</v>
      </c>
      <c r="AX75" s="83">
        <f>VLOOKUP(TableTERanks3343[[#This Row],[Player]],TE!B:O,7,FALSE)</f>
        <v>0</v>
      </c>
      <c r="AY75" s="57">
        <f>VLOOKUP(TableTERanks3343[[#This Row],[Player]],TE!B:O,11,FALSE)</f>
        <v>0</v>
      </c>
      <c r="AZ75" s="125">
        <f>IF(VLOOKUP(TableTERanks3343[[#This Row],[RK]],'Ranks w Proj'!AQ:AZ,10,FALSE)&lt;0,0,VLOOKUP(TableTERanks3343[[#This Row],[RK]],'Ranks w Proj'!AQ:AZ,10,FALSE))</f>
        <v>0</v>
      </c>
    </row>
    <row r="76" spans="1:52" x14ac:dyDescent="0.2">
      <c r="A76">
        <v>75</v>
      </c>
      <c r="B76">
        <f>VLOOKUP(TableQBRanks3040[[#This Row],[RK]],Rankings!A:T,3,FALSE)</f>
        <v>0</v>
      </c>
      <c r="C76" t="str">
        <f>IFERROR(INDEX(TableQBCalcPts[TM],MATCH(TableQBRanks3040[[#This Row],[Player]],TableQBCalcPts[PLAYER],0)),"")</f>
        <v/>
      </c>
      <c r="D76" t="str">
        <f>IFERROR(INDEX(TableQBCalcPts[BYE],MATCH(TableQBRanks3040[[#This Row],[Player]],TableQBCalcPts[PLAYER],0)),"")</f>
        <v/>
      </c>
      <c r="E76" s="83">
        <f>VLOOKUP(TableQBRanks3040[[#This Row],[Player]],QB!B:O,4,FALSE)</f>
        <v>0</v>
      </c>
      <c r="F76" s="83">
        <f>VLOOKUP(TableQBRanks3040[[#This Row],[Player]],QB!B:O,5,FALSE)</f>
        <v>0</v>
      </c>
      <c r="G76" s="83">
        <f>VLOOKUP(TableQBRanks3040[[#This Row],[Player]],QB!B:O,6,FALSE)</f>
        <v>0</v>
      </c>
      <c r="H76" s="83">
        <f>VLOOKUP(TableQBRanks3040[[#This Row],[Player]],QB!B:O,7,FALSE)</f>
        <v>0</v>
      </c>
      <c r="I76" s="83">
        <f>VLOOKUP(TableQBRanks3040[[#This Row],[Player]],QB!B:O,8,FALSE)</f>
        <v>0</v>
      </c>
      <c r="J76" s="83">
        <f>VLOOKUP(TableQBRanks3040[[#This Row],[Player]],QB!B:O,9,FALSE)</f>
        <v>0</v>
      </c>
      <c r="K76" s="83">
        <f>VLOOKUP(TableQBRanks3040[[#This Row],[Player]],QB!B:O,10,FALSE)</f>
        <v>0</v>
      </c>
      <c r="L76" s="83">
        <f>VLOOKUP(TableQBRanks3040[[#This Row],[Player]],QB!B:O,11,FALSE)</f>
        <v>0</v>
      </c>
      <c r="M76" s="57">
        <f>VLOOKUP(TableQBRanks3040[[#This Row],[Player]],QB!B:O,13,FALSE)</f>
        <v>0</v>
      </c>
      <c r="N76" s="125" t="str">
        <f>IF(VLOOKUP(TableQBRanks3040[[#This Row],[RK]],'Ranks w Proj'!$A:$N,14,FALSE)&lt;0,0,VLOOKUP(TableQBRanks3040[[#This Row],[RK]],'Ranks w Proj'!$A:$N,14,FALSE))</f>
        <v/>
      </c>
      <c r="P76">
        <v>75</v>
      </c>
      <c r="Q76" t="str">
        <f>VLOOKUP(TableRBRanks3141[[#This Row],[RK]],Rankings!A:T,8,FALSE)</f>
        <v>Jase McClellan</v>
      </c>
      <c r="R76" t="str">
        <f>IFERROR(INDEX(TableRBCalcPts[TM],MATCH(TableRBRanks3141[[#This Row],[Player]],TableRBCalcPts[PLAYER],0)),"")</f>
        <v>ATL</v>
      </c>
      <c r="S76">
        <f>IFERROR(INDEX(TableRBCalcPts[BYE],MATCH(TableRBRanks3141[[#This Row],[Player]],TableRBCalcPts[PLAYER],0)),"")</f>
        <v>11</v>
      </c>
      <c r="T76" s="83">
        <f>VLOOKUP(TableRBRanks3141[[#This Row],[Player]],RB!B:O,4,FALSE)</f>
        <v>23.668999200000002</v>
      </c>
      <c r="U76" s="83">
        <f>VLOOKUP(TableRBRanks3141[[#This Row],[Player]],RB!B:O,5,FALSE)</f>
        <v>98.22634668000002</v>
      </c>
      <c r="V76" s="83">
        <f>VLOOKUP(TableRBRanks3141[[#This Row],[Player]],RB!B:O,6,FALSE)</f>
        <v>0.75740797440000007</v>
      </c>
      <c r="W76" s="83">
        <f>VLOOKUP(TableRBRanks3141[[#This Row],[Player]],RB!B:O,7,FALSE)</f>
        <v>23.005382399999995</v>
      </c>
      <c r="X76" s="83">
        <f>VLOOKUP(TableRBRanks3141[[#This Row],[Player]],RB!B:O,8,FALSE)</f>
        <v>19.163483539199994</v>
      </c>
      <c r="Y76" s="83">
        <f>VLOOKUP(TableRBRanks3141[[#This Row],[Player]],RB!B:O,9,FALSE)</f>
        <v>141.42650851929596</v>
      </c>
      <c r="Z76" s="83">
        <f>VLOOKUP(TableRBRanks3141[[#This Row],[Player]],RB!B:O,10,FALSE)</f>
        <v>0.76653934156799974</v>
      </c>
      <c r="AA76" s="57">
        <f>VLOOKUP(TableRBRanks3141[[#This Row],[Player]],RB!B:O,14,FALSE)</f>
        <v>42.690711185337598</v>
      </c>
      <c r="AB76" s="125">
        <f>IF(VLOOKUP(TableRBRanks3141[[#This Row],[RK]],'Ranks w Proj'!$P:$AB,13,FALSE)&lt;0,0,VLOOKUP(TableRBRanks3141[[#This Row],[RK]],'Ranks w Proj'!$P:$AB,13,FALSE))</f>
        <v>0</v>
      </c>
      <c r="AD76">
        <v>75</v>
      </c>
      <c r="AE76" t="str">
        <f>VLOOKUP(TableWRRanks3242[[#This Row],[RK]],Rankings!A:T,13,FALSE)</f>
        <v>Adonai Mitchell</v>
      </c>
      <c r="AF76" t="str">
        <f>IFERROR(INDEX(TableWRCalcPts[TM],MATCH(TableWRRanks3242[[#This Row],[Player]],TableWRCalcPts[PLAYER],0)),"")</f>
        <v>IND</v>
      </c>
      <c r="AG76">
        <f>IFERROR(INDEX(TableWRCalcPts[BYE],MATCH(TableWRRanks3242[[#This Row],[Player]],TableWRCalcPts[PLAYER],0)),"")</f>
        <v>11</v>
      </c>
      <c r="AH76" s="83">
        <f>VLOOKUP(TableWRRanks3242[[#This Row],[Player]],WR!B:O,4,FALSE)</f>
        <v>0</v>
      </c>
      <c r="AI76" s="83">
        <f>VLOOKUP(TableWRRanks3242[[#This Row],[Player]],WR!B:O,5,FALSE)</f>
        <v>0</v>
      </c>
      <c r="AJ76" s="83">
        <f>VLOOKUP(TableWRRanks3242[[#This Row],[Player]],WR!B:O,6,FALSE)</f>
        <v>85.860544000000004</v>
      </c>
      <c r="AK76" s="83">
        <f>VLOOKUP(TableWRRanks3242[[#This Row],[Player]],WR!B:O,7,FALSE)</f>
        <v>51.602186944000003</v>
      </c>
      <c r="AL76" s="83">
        <f>VLOOKUP(TableWRRanks3242[[#This Row],[Player]],WR!B:O,8,FALSE)</f>
        <v>665.6682115776</v>
      </c>
      <c r="AM76" s="83">
        <f>VLOOKUP(TableWRRanks3242[[#This Row],[Player]],WR!B:O,9,FALSE)</f>
        <v>3.6121530860800006</v>
      </c>
      <c r="AN76" s="57">
        <f>VLOOKUP(TableWRRanks3242[[#This Row],[Player]],WR!B:O,13,FALSE)</f>
        <v>114.04083314624</v>
      </c>
      <c r="AO76" s="125">
        <f>IF(VLOOKUP(TableWRRanks3242[[#This Row],[RK]],'Ranks w Proj'!AD:AO,12,FALSE)&lt;0,0,VLOOKUP(TableWRRanks3242[[#This Row],[RK]],'Ranks w Proj'!AD:AO,12,FALSE))</f>
        <v>0</v>
      </c>
      <c r="AQ76">
        <v>75</v>
      </c>
      <c r="AR76">
        <f>VLOOKUP(TableTERanks3343[[#This Row],[RK]],Rankings!A:T,18,FALSE)</f>
        <v>0</v>
      </c>
      <c r="AS76" t="str">
        <f>IFERROR(INDEX(TableTECalcPts[TM],MATCH(TableTERanks3343[[#This Row],[Player]],TableTECalcPts[PLAYER],0)),"")</f>
        <v/>
      </c>
      <c r="AT76" t="str">
        <f>IFERROR(INDEX(TableTECalcPts[BYE],MATCH(TableTERanks3343[[#This Row],[Player]],TableTECalcPts[PLAYER],0)),"")</f>
        <v/>
      </c>
      <c r="AU76" s="83">
        <f>VLOOKUP(TableTERanks3343[[#This Row],[Player]],TE!B:O,4,FALSE)</f>
        <v>0</v>
      </c>
      <c r="AV76" s="83">
        <f>VLOOKUP(TableTERanks3343[[#This Row],[Player]],TE!B:O,5,FALSE)</f>
        <v>0</v>
      </c>
      <c r="AW76" s="83">
        <f>VLOOKUP(TableTERanks3343[[#This Row],[Player]],TE!B:O,6,FALSE)</f>
        <v>0</v>
      </c>
      <c r="AX76" s="83">
        <f>VLOOKUP(TableTERanks3343[[#This Row],[Player]],TE!B:O,7,FALSE)</f>
        <v>0</v>
      </c>
      <c r="AY76" s="57">
        <f>VLOOKUP(TableTERanks3343[[#This Row],[Player]],TE!B:O,11,FALSE)</f>
        <v>0</v>
      </c>
      <c r="AZ76" s="125">
        <f>IF(VLOOKUP(TableTERanks3343[[#This Row],[RK]],'Ranks w Proj'!AQ:AZ,10,FALSE)&lt;0,0,VLOOKUP(TableTERanks3343[[#This Row],[RK]],'Ranks w Proj'!AQ:AZ,10,FALSE))</f>
        <v>0</v>
      </c>
    </row>
    <row r="77" spans="1:52" x14ac:dyDescent="0.2">
      <c r="A77">
        <v>76</v>
      </c>
      <c r="B77">
        <f>VLOOKUP(TableQBRanks3040[[#This Row],[RK]],Rankings!A:T,3,FALSE)</f>
        <v>0</v>
      </c>
      <c r="C77" t="str">
        <f>IFERROR(INDEX(TableQBCalcPts[TM],MATCH(TableQBRanks3040[[#This Row],[Player]],TableQBCalcPts[PLAYER],0)),"")</f>
        <v/>
      </c>
      <c r="D77" t="str">
        <f>IFERROR(INDEX(TableQBCalcPts[BYE],MATCH(TableQBRanks3040[[#This Row],[Player]],TableQBCalcPts[PLAYER],0)),"")</f>
        <v/>
      </c>
      <c r="E77" s="83">
        <f>VLOOKUP(TableQBRanks3040[[#This Row],[Player]],QB!B:O,4,FALSE)</f>
        <v>0</v>
      </c>
      <c r="F77" s="83">
        <f>VLOOKUP(TableQBRanks3040[[#This Row],[Player]],QB!B:O,5,FALSE)</f>
        <v>0</v>
      </c>
      <c r="G77" s="83">
        <f>VLOOKUP(TableQBRanks3040[[#This Row],[Player]],QB!B:O,6,FALSE)</f>
        <v>0</v>
      </c>
      <c r="H77" s="83">
        <f>VLOOKUP(TableQBRanks3040[[#This Row],[Player]],QB!B:O,7,FALSE)</f>
        <v>0</v>
      </c>
      <c r="I77" s="83">
        <f>VLOOKUP(TableQBRanks3040[[#This Row],[Player]],QB!B:O,8,FALSE)</f>
        <v>0</v>
      </c>
      <c r="J77" s="83">
        <f>VLOOKUP(TableQBRanks3040[[#This Row],[Player]],QB!B:O,9,FALSE)</f>
        <v>0</v>
      </c>
      <c r="K77" s="83">
        <f>VLOOKUP(TableQBRanks3040[[#This Row],[Player]],QB!B:O,10,FALSE)</f>
        <v>0</v>
      </c>
      <c r="L77" s="83">
        <f>VLOOKUP(TableQBRanks3040[[#This Row],[Player]],QB!B:O,11,FALSE)</f>
        <v>0</v>
      </c>
      <c r="M77" s="57">
        <f>VLOOKUP(TableQBRanks3040[[#This Row],[Player]],QB!B:O,13,FALSE)</f>
        <v>0</v>
      </c>
      <c r="N77" s="125" t="str">
        <f>IF(VLOOKUP(TableQBRanks3040[[#This Row],[RK]],'Ranks w Proj'!$A:$N,14,FALSE)&lt;0,0,VLOOKUP(TableQBRanks3040[[#This Row],[RK]],'Ranks w Proj'!$A:$N,14,FALSE))</f>
        <v/>
      </c>
      <c r="P77">
        <v>76</v>
      </c>
      <c r="Q77" t="str">
        <f>VLOOKUP(TableRBRanks3141[[#This Row],[RK]],Rankings!A:T,8,FALSE)</f>
        <v>Royce Freeman</v>
      </c>
      <c r="R77" t="str">
        <f>IFERROR(INDEX(TableRBCalcPts[TM],MATCH(TableRBRanks3141[[#This Row],[Player]],TableRBCalcPts[PLAYER],0)),"")</f>
        <v>DAL</v>
      </c>
      <c r="S77">
        <f>IFERROR(INDEX(TableRBCalcPts[BYE],MATCH(TableRBRanks3141[[#This Row],[Player]],TableRBCalcPts[PLAYER],0)),"")</f>
        <v>7</v>
      </c>
      <c r="T77" s="83">
        <f>VLOOKUP(TableRBRanks3141[[#This Row],[Player]],RB!B:O,4,FALSE)</f>
        <v>24.994615800000002</v>
      </c>
      <c r="U77" s="83">
        <f>VLOOKUP(TableRBRanks3141[[#This Row],[Player]],RB!B:O,5,FALSE)</f>
        <v>104.22754788600001</v>
      </c>
      <c r="V77" s="83">
        <f>VLOOKUP(TableRBRanks3141[[#This Row],[Player]],RB!B:O,6,FALSE)</f>
        <v>0.87481155300000013</v>
      </c>
      <c r="W77" s="83">
        <f>VLOOKUP(TableRBRanks3141[[#This Row],[Player]],RB!B:O,7,FALSE)</f>
        <v>6.0983243999999974</v>
      </c>
      <c r="X77" s="83">
        <f>VLOOKUP(TableRBRanks3141[[#This Row],[Player]],RB!B:O,8,FALSE)</f>
        <v>4.5737432999999985</v>
      </c>
      <c r="Y77" s="83">
        <f>VLOOKUP(TableRBRanks3141[[#This Row],[Player]],RB!B:O,9,FALSE)</f>
        <v>32.382102563999993</v>
      </c>
      <c r="Z77" s="83">
        <f>VLOOKUP(TableRBRanks3141[[#This Row],[Player]],RB!B:O,10,FALSE)</f>
        <v>0.13721229899999995</v>
      </c>
      <c r="AA77" s="57">
        <f>VLOOKUP(TableRBRanks3141[[#This Row],[Player]],RB!B:O,14,FALSE)</f>
        <v>22.019979806999999</v>
      </c>
      <c r="AB77" s="125">
        <f>IF(VLOOKUP(TableRBRanks3141[[#This Row],[RK]],'Ranks w Proj'!$P:$AB,13,FALSE)&lt;0,0,VLOOKUP(TableRBRanks3141[[#This Row],[RK]],'Ranks w Proj'!$P:$AB,13,FALSE))</f>
        <v>0</v>
      </c>
      <c r="AD77">
        <v>76</v>
      </c>
      <c r="AE77" t="str">
        <f>VLOOKUP(TableWRRanks3242[[#This Row],[RK]],Rankings!A:T,13,FALSE)</f>
        <v>Greg Dortch</v>
      </c>
      <c r="AF77" t="str">
        <f>IFERROR(INDEX(TableWRCalcPts[TM],MATCH(TableWRRanks3242[[#This Row],[Player]],TableWRCalcPts[PLAYER],0)),"")</f>
        <v>ARI</v>
      </c>
      <c r="AG77">
        <f>IFERROR(INDEX(TableWRCalcPts[BYE],MATCH(TableWRRanks3242[[#This Row],[Player]],TableWRCalcPts[PLAYER],0)),"")</f>
        <v>14</v>
      </c>
      <c r="AH77" s="83">
        <f>VLOOKUP(TableWRRanks3242[[#This Row],[Player]],WR!B:O,4,FALSE)</f>
        <v>45.582553799999999</v>
      </c>
      <c r="AI77" s="83">
        <f>VLOOKUP(TableWRRanks3242[[#This Row],[Player]],WR!B:O,5,FALSE)</f>
        <v>0.18160380000000001</v>
      </c>
      <c r="AJ77" s="83">
        <f>VLOOKUP(TableWRRanks3242[[#This Row],[Player]],WR!B:O,6,FALSE)</f>
        <v>64.865955</v>
      </c>
      <c r="AK77" s="83">
        <f>VLOOKUP(TableWRRanks3242[[#This Row],[Player]],WR!B:O,7,FALSE)</f>
        <v>42.162870750000003</v>
      </c>
      <c r="AL77" s="83">
        <f>VLOOKUP(TableWRRanks3242[[#This Row],[Player]],WR!B:O,8,FALSE)</f>
        <v>448.19131607250006</v>
      </c>
      <c r="AM77" s="83">
        <f>VLOOKUP(TableWRRanks3242[[#This Row],[Player]],WR!B:O,9,FALSE)</f>
        <v>2.3189578912500002</v>
      </c>
      <c r="AN77" s="57">
        <f>VLOOKUP(TableWRRanks3242[[#This Row],[Player]],WR!B:O,13,FALSE)</f>
        <v>85.462192509750011</v>
      </c>
      <c r="AO77" s="125">
        <f>IF(VLOOKUP(TableWRRanks3242[[#This Row],[RK]],'Ranks w Proj'!AD:AO,12,FALSE)&lt;0,0,VLOOKUP(TableWRRanks3242[[#This Row],[RK]],'Ranks w Proj'!AD:AO,12,FALSE))</f>
        <v>0</v>
      </c>
      <c r="AQ77">
        <v>76</v>
      </c>
      <c r="AR77">
        <f>VLOOKUP(TableTERanks3343[[#This Row],[RK]],Rankings!A:T,18,FALSE)</f>
        <v>0</v>
      </c>
      <c r="AS77" t="str">
        <f>IFERROR(INDEX(TableTECalcPts[TM],MATCH(TableTERanks3343[[#This Row],[Player]],TableTECalcPts[PLAYER],0)),"")</f>
        <v/>
      </c>
      <c r="AT77" t="str">
        <f>IFERROR(INDEX(TableTECalcPts[BYE],MATCH(TableTERanks3343[[#This Row],[Player]],TableTECalcPts[PLAYER],0)),"")</f>
        <v/>
      </c>
      <c r="AU77" s="83">
        <f>VLOOKUP(TableTERanks3343[[#This Row],[Player]],TE!B:O,4,FALSE)</f>
        <v>0</v>
      </c>
      <c r="AV77" s="83">
        <f>VLOOKUP(TableTERanks3343[[#This Row],[Player]],TE!B:O,5,FALSE)</f>
        <v>0</v>
      </c>
      <c r="AW77" s="83">
        <f>VLOOKUP(TableTERanks3343[[#This Row],[Player]],TE!B:O,6,FALSE)</f>
        <v>0</v>
      </c>
      <c r="AX77" s="83">
        <f>VLOOKUP(TableTERanks3343[[#This Row],[Player]],TE!B:O,7,FALSE)</f>
        <v>0</v>
      </c>
      <c r="AY77" s="57">
        <f>VLOOKUP(TableTERanks3343[[#This Row],[Player]],TE!B:O,11,FALSE)</f>
        <v>0</v>
      </c>
      <c r="AZ77" s="125">
        <f>IF(VLOOKUP(TableTERanks3343[[#This Row],[RK]],'Ranks w Proj'!AQ:AZ,10,FALSE)&lt;0,0,VLOOKUP(TableTERanks3343[[#This Row],[RK]],'Ranks w Proj'!AQ:AZ,10,FALSE))</f>
        <v>0</v>
      </c>
    </row>
    <row r="78" spans="1:52" x14ac:dyDescent="0.2">
      <c r="A78">
        <v>77</v>
      </c>
      <c r="B78">
        <f>VLOOKUP(TableQBRanks3040[[#This Row],[RK]],Rankings!A:T,3,FALSE)</f>
        <v>0</v>
      </c>
      <c r="C78" t="str">
        <f>IFERROR(INDEX(TableQBCalcPts[TM],MATCH(TableQBRanks3040[[#This Row],[Player]],TableQBCalcPts[PLAYER],0)),"")</f>
        <v/>
      </c>
      <c r="D78" t="str">
        <f>IFERROR(INDEX(TableQBCalcPts[BYE],MATCH(TableQBRanks3040[[#This Row],[Player]],TableQBCalcPts[PLAYER],0)),"")</f>
        <v/>
      </c>
      <c r="E78" s="83">
        <f>VLOOKUP(TableQBRanks3040[[#This Row],[Player]],QB!B:O,4,FALSE)</f>
        <v>0</v>
      </c>
      <c r="F78" s="83">
        <f>VLOOKUP(TableQBRanks3040[[#This Row],[Player]],QB!B:O,5,FALSE)</f>
        <v>0</v>
      </c>
      <c r="G78" s="83">
        <f>VLOOKUP(TableQBRanks3040[[#This Row],[Player]],QB!B:O,6,FALSE)</f>
        <v>0</v>
      </c>
      <c r="H78" s="83">
        <f>VLOOKUP(TableQBRanks3040[[#This Row],[Player]],QB!B:O,7,FALSE)</f>
        <v>0</v>
      </c>
      <c r="I78" s="83">
        <f>VLOOKUP(TableQBRanks3040[[#This Row],[Player]],QB!B:O,8,FALSE)</f>
        <v>0</v>
      </c>
      <c r="J78" s="83">
        <f>VLOOKUP(TableQBRanks3040[[#This Row],[Player]],QB!B:O,9,FALSE)</f>
        <v>0</v>
      </c>
      <c r="K78" s="83">
        <f>VLOOKUP(TableQBRanks3040[[#This Row],[Player]],QB!B:O,10,FALSE)</f>
        <v>0</v>
      </c>
      <c r="L78" s="83">
        <f>VLOOKUP(TableQBRanks3040[[#This Row],[Player]],QB!B:O,11,FALSE)</f>
        <v>0</v>
      </c>
      <c r="M78" s="57">
        <f>VLOOKUP(TableQBRanks3040[[#This Row],[Player]],QB!B:O,13,FALSE)</f>
        <v>0</v>
      </c>
      <c r="N78" s="125" t="str">
        <f>IF(VLOOKUP(TableQBRanks3040[[#This Row],[RK]],'Ranks w Proj'!$A:$N,14,FALSE)&lt;0,0,VLOOKUP(TableQBRanks3040[[#This Row],[RK]],'Ranks w Proj'!$A:$N,14,FALSE))</f>
        <v/>
      </c>
      <c r="P78">
        <v>77</v>
      </c>
      <c r="Q78" t="str">
        <f>VLOOKUP(TableRBRanks3141[[#This Row],[RK]],Rankings!A:T,8,FALSE)</f>
        <v>Dylan Laube</v>
      </c>
      <c r="R78" t="str">
        <f>IFERROR(INDEX(TableRBCalcPts[TM],MATCH(TableRBRanks3141[[#This Row],[Player]],TableRBCalcPts[PLAYER],0)),"")</f>
        <v>LV</v>
      </c>
      <c r="S78">
        <f>IFERROR(INDEX(TableRBCalcPts[BYE],MATCH(TableRBRanks3141[[#This Row],[Player]],TableRBCalcPts[PLAYER],0)),"")</f>
        <v>13</v>
      </c>
      <c r="T78" s="83">
        <f>VLOOKUP(TableRBRanks3141[[#This Row],[Player]],RB!B:O,4,FALSE)</f>
        <v>63.283500000000004</v>
      </c>
      <c r="U78" s="83">
        <f>VLOOKUP(TableRBRanks3141[[#This Row],[Player]],RB!B:O,5,FALSE)</f>
        <v>267.05637000000002</v>
      </c>
      <c r="V78" s="83">
        <f>VLOOKUP(TableRBRanks3141[[#This Row],[Player]],RB!B:O,6,FALSE)</f>
        <v>2.278206</v>
      </c>
      <c r="W78" s="83">
        <f>VLOOKUP(TableRBRanks3141[[#This Row],[Player]],RB!B:O,7,FALSE)</f>
        <v>23.304399999999994</v>
      </c>
      <c r="X78" s="83">
        <f>VLOOKUP(TableRBRanks3141[[#This Row],[Player]],RB!B:O,8,FALSE)</f>
        <v>17.105429599999994</v>
      </c>
      <c r="Y78" s="83">
        <f>VLOOKUP(TableRBRanks3141[[#This Row],[Player]],RB!B:O,9,FALSE)</f>
        <v>135.13289383999995</v>
      </c>
      <c r="Z78" s="83">
        <f>VLOOKUP(TableRBRanks3141[[#This Row],[Player]],RB!B:O,10,FALSE)</f>
        <v>0.56447917679999982</v>
      </c>
      <c r="AA78" s="57">
        <f>VLOOKUP(TableRBRanks3141[[#This Row],[Player]],RB!B:O,14,FALSE)</f>
        <v>65.827752244799996</v>
      </c>
      <c r="AB78" s="125">
        <f>IF(VLOOKUP(TableRBRanks3141[[#This Row],[RK]],'Ranks w Proj'!$P:$AB,13,FALSE)&lt;0,0,VLOOKUP(TableRBRanks3141[[#This Row],[RK]],'Ranks w Proj'!$P:$AB,13,FALSE))</f>
        <v>0</v>
      </c>
      <c r="AD78">
        <v>77</v>
      </c>
      <c r="AE78" t="str">
        <f>VLOOKUP(TableWRRanks3242[[#This Row],[RK]],Rankings!A:T,13,FALSE)</f>
        <v>Elijah Moore</v>
      </c>
      <c r="AF78" t="str">
        <f>IFERROR(INDEX(TableWRCalcPts[TM],MATCH(TableWRRanks3242[[#This Row],[Player]],TableWRCalcPts[PLAYER],0)),"")</f>
        <v>CLE</v>
      </c>
      <c r="AG78">
        <f>IFERROR(INDEX(TableWRCalcPts[BYE],MATCH(TableWRRanks3242[[#This Row],[Player]],TableWRCalcPts[PLAYER],0)),"")</f>
        <v>5</v>
      </c>
      <c r="AH78" s="83">
        <f>VLOOKUP(TableWRRanks3242[[#This Row],[Player]],WR!B:O,4,FALSE)</f>
        <v>0</v>
      </c>
      <c r="AI78" s="83">
        <f>VLOOKUP(TableWRRanks3242[[#This Row],[Player]],WR!B:O,5,FALSE)</f>
        <v>0</v>
      </c>
      <c r="AJ78" s="83">
        <f>VLOOKUP(TableWRRanks3242[[#This Row],[Player]],WR!B:O,6,FALSE)</f>
        <v>72.583087500000005</v>
      </c>
      <c r="AK78" s="83">
        <f>VLOOKUP(TableWRRanks3242[[#This Row],[Player]],WR!B:O,7,FALSE)</f>
        <v>43.404686325</v>
      </c>
      <c r="AL78" s="83">
        <f>VLOOKUP(TableWRRanks3242[[#This Row],[Player]],WR!B:O,8,FALSE)</f>
        <v>473.1110809425</v>
      </c>
      <c r="AM78" s="83">
        <f>VLOOKUP(TableWRRanks3242[[#This Row],[Player]],WR!B:O,9,FALSE)</f>
        <v>2.6042811795</v>
      </c>
      <c r="AN78" s="57">
        <f>VLOOKUP(TableWRRanks3242[[#This Row],[Player]],WR!B:O,13,FALSE)</f>
        <v>84.639138333749997</v>
      </c>
      <c r="AO78" s="125">
        <f>IF(VLOOKUP(TableWRRanks3242[[#This Row],[RK]],'Ranks w Proj'!AD:AO,12,FALSE)&lt;0,0,VLOOKUP(TableWRRanks3242[[#This Row],[RK]],'Ranks w Proj'!AD:AO,12,FALSE))</f>
        <v>0</v>
      </c>
      <c r="AQ78">
        <v>77</v>
      </c>
      <c r="AR78">
        <f>VLOOKUP(TableTERanks3343[[#This Row],[RK]],Rankings!A:T,18,FALSE)</f>
        <v>0</v>
      </c>
      <c r="AS78" t="str">
        <f>IFERROR(INDEX(TableTECalcPts[TM],MATCH(TableTERanks3343[[#This Row],[Player]],TableTECalcPts[PLAYER],0)),"")</f>
        <v/>
      </c>
      <c r="AT78" t="str">
        <f>IFERROR(INDEX(TableTECalcPts[BYE],MATCH(TableTERanks3343[[#This Row],[Player]],TableTECalcPts[PLAYER],0)),"")</f>
        <v/>
      </c>
      <c r="AU78" s="83">
        <f>VLOOKUP(TableTERanks3343[[#This Row],[Player]],TE!B:O,4,FALSE)</f>
        <v>0</v>
      </c>
      <c r="AV78" s="83">
        <f>VLOOKUP(TableTERanks3343[[#This Row],[Player]],TE!B:O,5,FALSE)</f>
        <v>0</v>
      </c>
      <c r="AW78" s="83">
        <f>VLOOKUP(TableTERanks3343[[#This Row],[Player]],TE!B:O,6,FALSE)</f>
        <v>0</v>
      </c>
      <c r="AX78" s="83">
        <f>VLOOKUP(TableTERanks3343[[#This Row],[Player]],TE!B:O,7,FALSE)</f>
        <v>0</v>
      </c>
      <c r="AY78" s="57">
        <f>VLOOKUP(TableTERanks3343[[#This Row],[Player]],TE!B:O,11,FALSE)</f>
        <v>0</v>
      </c>
      <c r="AZ78" s="125">
        <f>IF(VLOOKUP(TableTERanks3343[[#This Row],[RK]],'Ranks w Proj'!AQ:AZ,10,FALSE)&lt;0,0,VLOOKUP(TableTERanks3343[[#This Row],[RK]],'Ranks w Proj'!AQ:AZ,10,FALSE))</f>
        <v>0</v>
      </c>
    </row>
    <row r="79" spans="1:52" x14ac:dyDescent="0.2">
      <c r="A79">
        <v>78</v>
      </c>
      <c r="B79">
        <f>VLOOKUP(TableQBRanks3040[[#This Row],[RK]],Rankings!A:T,3,FALSE)</f>
        <v>0</v>
      </c>
      <c r="C79" t="str">
        <f>IFERROR(INDEX(TableQBCalcPts[TM],MATCH(TableQBRanks3040[[#This Row],[Player]],TableQBCalcPts[PLAYER],0)),"")</f>
        <v/>
      </c>
      <c r="D79" t="str">
        <f>IFERROR(INDEX(TableQBCalcPts[BYE],MATCH(TableQBRanks3040[[#This Row],[Player]],TableQBCalcPts[PLAYER],0)),"")</f>
        <v/>
      </c>
      <c r="E79" s="83">
        <f>VLOOKUP(TableQBRanks3040[[#This Row],[Player]],QB!B:O,4,FALSE)</f>
        <v>0</v>
      </c>
      <c r="F79" s="83">
        <f>VLOOKUP(TableQBRanks3040[[#This Row],[Player]],QB!B:O,5,FALSE)</f>
        <v>0</v>
      </c>
      <c r="G79" s="83">
        <f>VLOOKUP(TableQBRanks3040[[#This Row],[Player]],QB!B:O,6,FALSE)</f>
        <v>0</v>
      </c>
      <c r="H79" s="83">
        <f>VLOOKUP(TableQBRanks3040[[#This Row],[Player]],QB!B:O,7,FALSE)</f>
        <v>0</v>
      </c>
      <c r="I79" s="83">
        <f>VLOOKUP(TableQBRanks3040[[#This Row],[Player]],QB!B:O,8,FALSE)</f>
        <v>0</v>
      </c>
      <c r="J79" s="83">
        <f>VLOOKUP(TableQBRanks3040[[#This Row],[Player]],QB!B:O,9,FALSE)</f>
        <v>0</v>
      </c>
      <c r="K79" s="83">
        <f>VLOOKUP(TableQBRanks3040[[#This Row],[Player]],QB!B:O,10,FALSE)</f>
        <v>0</v>
      </c>
      <c r="L79" s="83">
        <f>VLOOKUP(TableQBRanks3040[[#This Row],[Player]],QB!B:O,11,FALSE)</f>
        <v>0</v>
      </c>
      <c r="M79" s="57">
        <f>VLOOKUP(TableQBRanks3040[[#This Row],[Player]],QB!B:O,13,FALSE)</f>
        <v>0</v>
      </c>
      <c r="N79" s="125" t="str">
        <f>IF(VLOOKUP(TableQBRanks3040[[#This Row],[RK]],'Ranks w Proj'!$A:$N,14,FALSE)&lt;0,0,VLOOKUP(TableQBRanks3040[[#This Row],[RK]],'Ranks w Proj'!$A:$N,14,FALSE))</f>
        <v/>
      </c>
      <c r="P79">
        <v>78</v>
      </c>
      <c r="Q79" t="str">
        <f>VLOOKUP(TableRBRanks3141[[#This Row],[RK]],Rankings!A:T,8,FALSE)</f>
        <v>Chase Edmonds</v>
      </c>
      <c r="R79" t="str">
        <f>IFERROR(INDEX(TableRBCalcPts[TM],MATCH(TableRBRanks3141[[#This Row],[Player]],TableRBCalcPts[PLAYER],0)),"")</f>
        <v>TB</v>
      </c>
      <c r="S79">
        <f>IFERROR(INDEX(TableRBCalcPts[BYE],MATCH(TableRBRanks3141[[#This Row],[Player]],TableRBCalcPts[PLAYER],0)),"")</f>
        <v>5</v>
      </c>
      <c r="T79" s="83">
        <f>VLOOKUP(TableRBRanks3141[[#This Row],[Player]],RB!B:O,4,FALSE)</f>
        <v>55.144580400000017</v>
      </c>
      <c r="U79" s="83">
        <f>VLOOKUP(TableRBRanks3141[[#This Row],[Player]],RB!B:O,5,FALSE)</f>
        <v>215.61530936400007</v>
      </c>
      <c r="V79" s="83">
        <f>VLOOKUP(TableRBRanks3141[[#This Row],[Player]],RB!B:O,6,FALSE)</f>
        <v>1.4889036708000005</v>
      </c>
      <c r="W79" s="83">
        <f>VLOOKUP(TableRBRanks3141[[#This Row],[Player]],RB!B:O,7,FALSE)</f>
        <v>26.687291399999999</v>
      </c>
      <c r="X79" s="83">
        <f>VLOOKUP(TableRBRanks3141[[#This Row],[Player]],RB!B:O,8,FALSE)</f>
        <v>19.348286264999999</v>
      </c>
      <c r="Y79" s="83">
        <f>VLOOKUP(TableRBRanks3141[[#This Row],[Player]],RB!B:O,9,FALSE)</f>
        <v>137.95328106944999</v>
      </c>
      <c r="Z79" s="83">
        <f>VLOOKUP(TableRBRanks3141[[#This Row],[Player]],RB!B:O,10,FALSE)</f>
        <v>0.77393145060000001</v>
      </c>
      <c r="AA79" s="57">
        <f>VLOOKUP(TableRBRanks3141[[#This Row],[Player]],RB!B:O,14,FALSE)</f>
        <v>58.608012904245008</v>
      </c>
      <c r="AB79" s="125">
        <f>IF(VLOOKUP(TableRBRanks3141[[#This Row],[RK]],'Ranks w Proj'!$P:$AB,13,FALSE)&lt;0,0,VLOOKUP(TableRBRanks3141[[#This Row],[RK]],'Ranks w Proj'!$P:$AB,13,FALSE))</f>
        <v>0</v>
      </c>
      <c r="AD79">
        <v>78</v>
      </c>
      <c r="AE79" t="str">
        <f>VLOOKUP(TableWRRanks3242[[#This Row],[RK]],Rankings!A:T,13,FALSE)</f>
        <v>Darnell Mooney</v>
      </c>
      <c r="AF79" t="str">
        <f>IFERROR(INDEX(TableWRCalcPts[TM],MATCH(TableWRRanks3242[[#This Row],[Player]],TableWRCalcPts[PLAYER],0)),"")</f>
        <v>ATL</v>
      </c>
      <c r="AG79">
        <f>IFERROR(INDEX(TableWRCalcPts[BYE],MATCH(TableWRRanks3242[[#This Row],[Player]],TableWRCalcPts[PLAYER],0)),"")</f>
        <v>11</v>
      </c>
      <c r="AH79" s="83">
        <f>VLOOKUP(TableWRRanks3242[[#This Row],[Player]],WR!B:O,4,FALSE)</f>
        <v>0</v>
      </c>
      <c r="AI79" s="83">
        <f>VLOOKUP(TableWRRanks3242[[#This Row],[Player]],WR!B:O,5,FALSE)</f>
        <v>0</v>
      </c>
      <c r="AJ79" s="83">
        <f>VLOOKUP(TableWRRanks3242[[#This Row],[Player]],WR!B:O,6,FALSE)</f>
        <v>92.02152959999998</v>
      </c>
      <c r="AK79" s="83">
        <f>VLOOKUP(TableWRRanks3242[[#This Row],[Player]],WR!B:O,7,FALSE)</f>
        <v>55.581003878399983</v>
      </c>
      <c r="AL79" s="83">
        <f>VLOOKUP(TableWRRanks3242[[#This Row],[Player]],WR!B:O,8,FALSE)</f>
        <v>772.57595390975973</v>
      </c>
      <c r="AM79" s="83">
        <f>VLOOKUP(TableWRRanks3242[[#This Row],[Player]],WR!B:O,9,FALSE)</f>
        <v>5.5581003878399988</v>
      </c>
      <c r="AN79" s="57">
        <f>VLOOKUP(TableWRRanks3242[[#This Row],[Player]],WR!B:O,13,FALSE)</f>
        <v>138.39669965721598</v>
      </c>
      <c r="AO79" s="125">
        <f>IF(VLOOKUP(TableWRRanks3242[[#This Row],[RK]],'Ranks w Proj'!AD:AO,12,FALSE)&lt;0,0,VLOOKUP(TableWRRanks3242[[#This Row],[RK]],'Ranks w Proj'!AD:AO,12,FALSE))</f>
        <v>0</v>
      </c>
      <c r="AQ79">
        <v>78</v>
      </c>
      <c r="AR79">
        <f>VLOOKUP(TableTERanks3343[[#This Row],[RK]],Rankings!A:T,18,FALSE)</f>
        <v>0</v>
      </c>
      <c r="AS79" t="str">
        <f>IFERROR(INDEX(TableTECalcPts[TM],MATCH(TableTERanks3343[[#This Row],[Player]],TableTECalcPts[PLAYER],0)),"")</f>
        <v/>
      </c>
      <c r="AT79" t="str">
        <f>IFERROR(INDEX(TableTECalcPts[BYE],MATCH(TableTERanks3343[[#This Row],[Player]],TableTECalcPts[PLAYER],0)),"")</f>
        <v/>
      </c>
      <c r="AU79" s="83">
        <f>VLOOKUP(TableTERanks3343[[#This Row],[Player]],TE!B:O,4,FALSE)</f>
        <v>0</v>
      </c>
      <c r="AV79" s="83">
        <f>VLOOKUP(TableTERanks3343[[#This Row],[Player]],TE!B:O,5,FALSE)</f>
        <v>0</v>
      </c>
      <c r="AW79" s="83">
        <f>VLOOKUP(TableTERanks3343[[#This Row],[Player]],TE!B:O,6,FALSE)</f>
        <v>0</v>
      </c>
      <c r="AX79" s="83">
        <f>VLOOKUP(TableTERanks3343[[#This Row],[Player]],TE!B:O,7,FALSE)</f>
        <v>0</v>
      </c>
      <c r="AY79" s="57">
        <f>VLOOKUP(TableTERanks3343[[#This Row],[Player]],TE!B:O,11,FALSE)</f>
        <v>0</v>
      </c>
      <c r="AZ79" s="125">
        <f>IF(VLOOKUP(TableTERanks3343[[#This Row],[RK]],'Ranks w Proj'!AQ:AZ,10,FALSE)&lt;0,0,VLOOKUP(TableTERanks3343[[#This Row],[RK]],'Ranks w Proj'!AQ:AZ,10,FALSE))</f>
        <v>0</v>
      </c>
    </row>
    <row r="80" spans="1:52" x14ac:dyDescent="0.2">
      <c r="A80">
        <v>79</v>
      </c>
      <c r="B80">
        <f>VLOOKUP(TableQBRanks3040[[#This Row],[RK]],Rankings!A:T,3,FALSE)</f>
        <v>0</v>
      </c>
      <c r="C80" t="str">
        <f>IFERROR(INDEX(TableQBCalcPts[TM],MATCH(TableQBRanks3040[[#This Row],[Player]],TableQBCalcPts[PLAYER],0)),"")</f>
        <v/>
      </c>
      <c r="D80" t="str">
        <f>IFERROR(INDEX(TableQBCalcPts[BYE],MATCH(TableQBRanks3040[[#This Row],[Player]],TableQBCalcPts[PLAYER],0)),"")</f>
        <v/>
      </c>
      <c r="E80" s="83">
        <f>VLOOKUP(TableQBRanks3040[[#This Row],[Player]],QB!B:O,4,FALSE)</f>
        <v>0</v>
      </c>
      <c r="F80" s="83">
        <f>VLOOKUP(TableQBRanks3040[[#This Row],[Player]],QB!B:O,5,FALSE)</f>
        <v>0</v>
      </c>
      <c r="G80" s="83">
        <f>VLOOKUP(TableQBRanks3040[[#This Row],[Player]],QB!B:O,6,FALSE)</f>
        <v>0</v>
      </c>
      <c r="H80" s="83">
        <f>VLOOKUP(TableQBRanks3040[[#This Row],[Player]],QB!B:O,7,FALSE)</f>
        <v>0</v>
      </c>
      <c r="I80" s="83">
        <f>VLOOKUP(TableQBRanks3040[[#This Row],[Player]],QB!B:O,8,FALSE)</f>
        <v>0</v>
      </c>
      <c r="J80" s="83">
        <f>VLOOKUP(TableQBRanks3040[[#This Row],[Player]],QB!B:O,9,FALSE)</f>
        <v>0</v>
      </c>
      <c r="K80" s="83">
        <f>VLOOKUP(TableQBRanks3040[[#This Row],[Player]],QB!B:O,10,FALSE)</f>
        <v>0</v>
      </c>
      <c r="L80" s="83">
        <f>VLOOKUP(TableQBRanks3040[[#This Row],[Player]],QB!B:O,11,FALSE)</f>
        <v>0</v>
      </c>
      <c r="M80" s="57">
        <f>VLOOKUP(TableQBRanks3040[[#This Row],[Player]],QB!B:O,13,FALSE)</f>
        <v>0</v>
      </c>
      <c r="N80" s="125" t="str">
        <f>IF(VLOOKUP(TableQBRanks3040[[#This Row],[RK]],'Ranks w Proj'!$A:$N,14,FALSE)&lt;0,0,VLOOKUP(TableQBRanks3040[[#This Row],[RK]],'Ranks w Proj'!$A:$N,14,FALSE))</f>
        <v/>
      </c>
      <c r="P80">
        <v>79</v>
      </c>
      <c r="Q80" t="str">
        <f>VLOOKUP(TableRBRanks3141[[#This Row],[RK]],Rankings!A:T,8,FALSE)</f>
        <v>Eric Gray</v>
      </c>
      <c r="R80" t="str">
        <f>IFERROR(INDEX(TableRBCalcPts[TM],MATCH(TableRBRanks3141[[#This Row],[Player]],TableRBCalcPts[PLAYER],0)),"")</f>
        <v>NYG</v>
      </c>
      <c r="S80">
        <f>IFERROR(INDEX(TableRBCalcPts[BYE],MATCH(TableRBRanks3141[[#This Row],[Player]],TableRBCalcPts[PLAYER],0)),"")</f>
        <v>13</v>
      </c>
      <c r="T80" s="83">
        <f>VLOOKUP(TableRBRanks3141[[#This Row],[Player]],RB!B:O,4,FALSE)</f>
        <v>70.16737280000001</v>
      </c>
      <c r="U80" s="83">
        <f>VLOOKUP(TableRBRanks3141[[#This Row],[Player]],RB!B:O,5,FALSE)</f>
        <v>289.08957593600007</v>
      </c>
      <c r="V80" s="83">
        <f>VLOOKUP(TableRBRanks3141[[#This Row],[Player]],RB!B:O,6,FALSE)</f>
        <v>2.4558580480000005</v>
      </c>
      <c r="W80" s="83">
        <f>VLOOKUP(TableRBRanks3141[[#This Row],[Player]],RB!B:O,7,FALSE)</f>
        <v>17.654817599999994</v>
      </c>
      <c r="X80" s="83">
        <f>VLOOKUP(TableRBRanks3141[[#This Row],[Player]],RB!B:O,8,FALSE)</f>
        <v>13.276422835199996</v>
      </c>
      <c r="Y80" s="83">
        <f>VLOOKUP(TableRBRanks3141[[#This Row],[Player]],RB!B:O,9,FALSE)</f>
        <v>95.988537098495982</v>
      </c>
      <c r="Z80" s="83">
        <f>VLOOKUP(TableRBRanks3141[[#This Row],[Player]],RB!B:O,10,FALSE)</f>
        <v>0.45139837639679992</v>
      </c>
      <c r="AA80" s="57">
        <f>VLOOKUP(TableRBRanks3141[[#This Row],[Player]],RB!B:O,14,FALSE)</f>
        <v>62.589561267430412</v>
      </c>
      <c r="AB80" s="125">
        <f>IF(VLOOKUP(TableRBRanks3141[[#This Row],[RK]],'Ranks w Proj'!$P:$AB,13,FALSE)&lt;0,0,VLOOKUP(TableRBRanks3141[[#This Row],[RK]],'Ranks w Proj'!$P:$AB,13,FALSE))</f>
        <v>0</v>
      </c>
      <c r="AD80">
        <v>79</v>
      </c>
      <c r="AE80" t="str">
        <f>VLOOKUP(TableWRRanks3242[[#This Row],[RK]],Rankings!A:T,13,FALSE)</f>
        <v>Kendrick Bourne</v>
      </c>
      <c r="AF80" t="str">
        <f>IFERROR(INDEX(TableWRCalcPts[TM],MATCH(TableWRRanks3242[[#This Row],[Player]],TableWRCalcPts[PLAYER],0)),"")</f>
        <v>NE</v>
      </c>
      <c r="AG80">
        <f>IFERROR(INDEX(TableWRCalcPts[BYE],MATCH(TableWRRanks3242[[#This Row],[Player]],TableWRCalcPts[PLAYER],0)),"")</f>
        <v>11</v>
      </c>
      <c r="AH80" s="83">
        <f>VLOOKUP(TableWRRanks3242[[#This Row],[Player]],WR!B:O,4,FALSE)</f>
        <v>0</v>
      </c>
      <c r="AI80" s="83">
        <f>VLOOKUP(TableWRRanks3242[[#This Row],[Player]],WR!B:O,5,FALSE)</f>
        <v>0</v>
      </c>
      <c r="AJ80" s="83">
        <f>VLOOKUP(TableWRRanks3242[[#This Row],[Player]],WR!B:O,6,FALSE)</f>
        <v>79.363614399999989</v>
      </c>
      <c r="AK80" s="83">
        <f>VLOOKUP(TableWRRanks3242[[#This Row],[Player]],WR!B:O,7,FALSE)</f>
        <v>46.030896351999992</v>
      </c>
      <c r="AL80" s="83">
        <f>VLOOKUP(TableWRRanks3242[[#This Row],[Player]],WR!B:O,8,FALSE)</f>
        <v>612.21092148159994</v>
      </c>
      <c r="AM80" s="83">
        <f>VLOOKUP(TableWRRanks3242[[#This Row],[Player]],WR!B:O,9,FALSE)</f>
        <v>2.4396375066559997</v>
      </c>
      <c r="AN80" s="57">
        <f>VLOOKUP(TableWRRanks3242[[#This Row],[Player]],WR!B:O,13,FALSE)</f>
        <v>98.874365364095979</v>
      </c>
      <c r="AO80" s="125">
        <f>IF(VLOOKUP(TableWRRanks3242[[#This Row],[RK]],'Ranks w Proj'!AD:AO,12,FALSE)&lt;0,0,VLOOKUP(TableWRRanks3242[[#This Row],[RK]],'Ranks w Proj'!AD:AO,12,FALSE))</f>
        <v>0</v>
      </c>
      <c r="AQ80">
        <v>79</v>
      </c>
      <c r="AR80">
        <f>VLOOKUP(TableTERanks3343[[#This Row],[RK]],Rankings!A:T,18,FALSE)</f>
        <v>0</v>
      </c>
      <c r="AS80" t="str">
        <f>IFERROR(INDEX(TableTECalcPts[TM],MATCH(TableTERanks3343[[#This Row],[Player]],TableTECalcPts[PLAYER],0)),"")</f>
        <v/>
      </c>
      <c r="AT80" t="str">
        <f>IFERROR(INDEX(TableTECalcPts[BYE],MATCH(TableTERanks3343[[#This Row],[Player]],TableTECalcPts[PLAYER],0)),"")</f>
        <v/>
      </c>
      <c r="AU80" s="83">
        <f>VLOOKUP(TableTERanks3343[[#This Row],[Player]],TE!B:O,4,FALSE)</f>
        <v>0</v>
      </c>
      <c r="AV80" s="83">
        <f>VLOOKUP(TableTERanks3343[[#This Row],[Player]],TE!B:O,5,FALSE)</f>
        <v>0</v>
      </c>
      <c r="AW80" s="83">
        <f>VLOOKUP(TableTERanks3343[[#This Row],[Player]],TE!B:O,6,FALSE)</f>
        <v>0</v>
      </c>
      <c r="AX80" s="83">
        <f>VLOOKUP(TableTERanks3343[[#This Row],[Player]],TE!B:O,7,FALSE)</f>
        <v>0</v>
      </c>
      <c r="AY80" s="57">
        <f>VLOOKUP(TableTERanks3343[[#This Row],[Player]],TE!B:O,11,FALSE)</f>
        <v>0</v>
      </c>
      <c r="AZ80" s="125">
        <f>IF(VLOOKUP(TableTERanks3343[[#This Row],[RK]],'Ranks w Proj'!AQ:AZ,10,FALSE)&lt;0,0,VLOOKUP(TableTERanks3343[[#This Row],[RK]],'Ranks w Proj'!AQ:AZ,10,FALSE))</f>
        <v>0</v>
      </c>
    </row>
    <row r="81" spans="16:52" x14ac:dyDescent="0.2">
      <c r="P81">
        <v>80</v>
      </c>
      <c r="Q81" t="str">
        <f>VLOOKUP(TableRBRanks3141[[#This Row],[RK]],Rankings!A:T,8,FALSE)</f>
        <v>Tyrone Tracy</v>
      </c>
      <c r="R81" t="str">
        <f>IFERROR(INDEX(TableRBCalcPts[TM],MATCH(TableRBRanks3141[[#This Row],[Player]],TableRBCalcPts[PLAYER],0)),"")</f>
        <v>NYG</v>
      </c>
      <c r="S81">
        <f>IFERROR(INDEX(TableRBCalcPts[BYE],MATCH(TableRBRanks3141[[#This Row],[Player]],TableRBCalcPts[PLAYER],0)),"")</f>
        <v>13</v>
      </c>
      <c r="T81" s="83">
        <f>VLOOKUP(TableRBRanks3141[[#This Row],[Player]],RB!B:O,4,FALSE)</f>
        <v>65.781912000000005</v>
      </c>
      <c r="U81" s="83">
        <f>VLOOKUP(TableRBRanks3141[[#This Row],[Player]],RB!B:O,5,FALSE)</f>
        <v>277.59966864</v>
      </c>
      <c r="V81" s="83">
        <f>VLOOKUP(TableRBRanks3141[[#This Row],[Player]],RB!B:O,6,FALSE)</f>
        <v>2.1050211840000004</v>
      </c>
      <c r="W81" s="83">
        <f>VLOOKUP(TableRBRanks3141[[#This Row],[Player]],RB!B:O,7,FALSE)</f>
        <v>17.654817599999994</v>
      </c>
      <c r="X81" s="83">
        <f>VLOOKUP(TableRBRanks3141[[#This Row],[Player]],RB!B:O,8,FALSE)</f>
        <v>13.364696923199995</v>
      </c>
      <c r="Y81" s="83">
        <f>VLOOKUP(TableRBRanks3141[[#This Row],[Player]],RB!B:O,9,FALSE)</f>
        <v>97.695934508591961</v>
      </c>
      <c r="Z81" s="83">
        <f>VLOOKUP(TableRBRanks3141[[#This Row],[Player]],RB!B:O,10,FALSE)</f>
        <v>0.46776439231199984</v>
      </c>
      <c r="AA81" s="57">
        <f>VLOOKUP(TableRBRanks3141[[#This Row],[Player]],RB!B:O,14,FALSE)</f>
        <v>59.648622234331199</v>
      </c>
      <c r="AB81" s="125">
        <f>IF(VLOOKUP(TableRBRanks3141[[#This Row],[RK]],'Ranks w Proj'!$P:$AB,13,FALSE)&lt;0,0,VLOOKUP(TableRBRanks3141[[#This Row],[RK]],'Ranks w Proj'!$P:$AB,13,FALSE))</f>
        <v>0</v>
      </c>
      <c r="AD81">
        <v>80</v>
      </c>
      <c r="AE81" t="str">
        <f>VLOOKUP(TableWRRanks3242[[#This Row],[RK]],Rankings!A:T,13,FALSE)</f>
        <v>Rashod Bateman</v>
      </c>
      <c r="AF81" t="str">
        <f>IFERROR(INDEX(TableWRCalcPts[TM],MATCH(TableWRRanks3242[[#This Row],[Player]],TableWRCalcPts[PLAYER],0)),"")</f>
        <v>BAL</v>
      </c>
      <c r="AG81">
        <f>IFERROR(INDEX(TableWRCalcPts[BYE],MATCH(TableWRRanks3242[[#This Row],[Player]],TableWRCalcPts[PLAYER],0)),"")</f>
        <v>13</v>
      </c>
      <c r="AH81" s="83">
        <f>VLOOKUP(TableWRRanks3242[[#This Row],[Player]],WR!B:O,4,FALSE)</f>
        <v>0</v>
      </c>
      <c r="AI81" s="83">
        <f>VLOOKUP(TableWRRanks3242[[#This Row],[Player]],WR!B:O,5,FALSE)</f>
        <v>0</v>
      </c>
      <c r="AJ81" s="83">
        <f>VLOOKUP(TableWRRanks3242[[#This Row],[Player]],WR!B:O,6,FALSE)</f>
        <v>79.402343999999999</v>
      </c>
      <c r="AK81" s="83">
        <f>VLOOKUP(TableWRRanks3242[[#This Row],[Player]],WR!B:O,7,FALSE)</f>
        <v>47.244394679999999</v>
      </c>
      <c r="AL81" s="83">
        <f>VLOOKUP(TableWRRanks3242[[#This Row],[Player]],WR!B:O,8,FALSE)</f>
        <v>607.56291558479995</v>
      </c>
      <c r="AM81" s="83">
        <f>VLOOKUP(TableWRRanks3242[[#This Row],[Player]],WR!B:O,9,FALSE)</f>
        <v>3.3071076276000002</v>
      </c>
      <c r="AN81" s="57">
        <f>VLOOKUP(TableWRRanks3242[[#This Row],[Player]],WR!B:O,13,FALSE)</f>
        <v>104.22113466408</v>
      </c>
      <c r="AO81" s="125">
        <f>IF(VLOOKUP(TableWRRanks3242[[#This Row],[RK]],'Ranks w Proj'!AD:AO,12,FALSE)&lt;0,0,VLOOKUP(TableWRRanks3242[[#This Row],[RK]],'Ranks w Proj'!AD:AO,12,FALSE))</f>
        <v>0</v>
      </c>
      <c r="AQ81">
        <v>80</v>
      </c>
      <c r="AR81">
        <f>VLOOKUP(TableTERanks3343[[#This Row],[RK]],Rankings!A:T,18,FALSE)</f>
        <v>0</v>
      </c>
      <c r="AS81" t="str">
        <f>IFERROR(INDEX(TableTECalcPts[TM],MATCH(TableTERanks3343[[#This Row],[Player]],TableTECalcPts[PLAYER],0)),"")</f>
        <v/>
      </c>
      <c r="AT81" t="str">
        <f>IFERROR(INDEX(TableTECalcPts[BYE],MATCH(TableTERanks3343[[#This Row],[Player]],TableTECalcPts[PLAYER],0)),"")</f>
        <v/>
      </c>
      <c r="AU81" s="83">
        <f>VLOOKUP(TableTERanks3343[[#This Row],[Player]],TE!B:O,4,FALSE)</f>
        <v>0</v>
      </c>
      <c r="AV81" s="83">
        <f>VLOOKUP(TableTERanks3343[[#This Row],[Player]],TE!B:O,5,FALSE)</f>
        <v>0</v>
      </c>
      <c r="AW81" s="83">
        <f>VLOOKUP(TableTERanks3343[[#This Row],[Player]],TE!B:O,6,FALSE)</f>
        <v>0</v>
      </c>
      <c r="AX81" s="83">
        <f>VLOOKUP(TableTERanks3343[[#This Row],[Player]],TE!B:O,7,FALSE)</f>
        <v>0</v>
      </c>
      <c r="AY81" s="57">
        <f>VLOOKUP(TableTERanks3343[[#This Row],[Player]],TE!B:O,11,FALSE)</f>
        <v>0</v>
      </c>
      <c r="AZ81" s="125">
        <f>IF(VLOOKUP(TableTERanks3343[[#This Row],[RK]],'Ranks w Proj'!AQ:AZ,10,FALSE)&lt;0,0,VLOOKUP(TableTERanks3343[[#This Row],[RK]],'Ranks w Proj'!AQ:AZ,10,FALSE))</f>
        <v>0</v>
      </c>
    </row>
    <row r="82" spans="16:52" x14ac:dyDescent="0.2">
      <c r="P82">
        <v>81</v>
      </c>
      <c r="Q82" t="str">
        <f>VLOOKUP(TableRBRanks3141[[#This Row],[RK]],Rankings!A:T,8,FALSE)</f>
        <v>Jamaal Williams</v>
      </c>
      <c r="R82" t="str">
        <f>IFERROR(INDEX(TableRBCalcPts[TM],MATCH(TableRBRanks3141[[#This Row],[Player]],TableRBCalcPts[PLAYER],0)),"")</f>
        <v>NO</v>
      </c>
      <c r="S82">
        <f>IFERROR(INDEX(TableRBCalcPts[BYE],MATCH(TableRBRanks3141[[#This Row],[Player]],TableRBCalcPts[PLAYER],0)),"")</f>
        <v>11</v>
      </c>
      <c r="T82" s="83">
        <f>VLOOKUP(TableRBRanks3141[[#This Row],[Player]],RB!B:O,4,FALSE)</f>
        <v>65.967132000000007</v>
      </c>
      <c r="U82" s="83">
        <f>VLOOKUP(TableRBRanks3141[[#This Row],[Player]],RB!B:O,5,FALSE)</f>
        <v>247.37674500000003</v>
      </c>
      <c r="V82" s="83">
        <f>VLOOKUP(TableRBRanks3141[[#This Row],[Player]],RB!B:O,6,FALSE)</f>
        <v>1.8470796960000002</v>
      </c>
      <c r="W82" s="83">
        <f>VLOOKUP(TableRBRanks3141[[#This Row],[Player]],RB!B:O,7,FALSE)</f>
        <v>11.126658927999998</v>
      </c>
      <c r="X82" s="83">
        <f>VLOOKUP(TableRBRanks3141[[#This Row],[Player]],RB!B:O,8,FALSE)</f>
        <v>8.8234405299039977</v>
      </c>
      <c r="Y82" s="83">
        <f>VLOOKUP(TableRBRanks3141[[#This Row],[Player]],RB!B:O,9,FALSE)</f>
        <v>54.528862474806701</v>
      </c>
      <c r="Z82" s="83">
        <f>VLOOKUP(TableRBRanks3141[[#This Row],[Player]],RB!B:O,10,FALSE)</f>
        <v>0.22058601324759997</v>
      </c>
      <c r="AA82" s="57">
        <f>VLOOKUP(TableRBRanks3141[[#This Row],[Player]],RB!B:O,14,FALSE)</f>
        <v>47.008275267918272</v>
      </c>
      <c r="AB82" s="125">
        <f>IF(VLOOKUP(TableRBRanks3141[[#This Row],[RK]],'Ranks w Proj'!$P:$AB,13,FALSE)&lt;0,0,VLOOKUP(TableRBRanks3141[[#This Row],[RK]],'Ranks w Proj'!$P:$AB,13,FALSE))</f>
        <v>0</v>
      </c>
      <c r="AD82">
        <v>81</v>
      </c>
      <c r="AE82" t="str">
        <f>VLOOKUP(TableWRRanks3242[[#This Row],[RK]],Rankings!A:T,13,FALSE)</f>
        <v>Rondale Moore</v>
      </c>
      <c r="AF82" t="str">
        <f>IFERROR(INDEX(TableWRCalcPts[TM],MATCH(TableWRRanks3242[[#This Row],[Player]],TableWRCalcPts[PLAYER],0)),"")</f>
        <v>ATL</v>
      </c>
      <c r="AG82">
        <f>IFERROR(INDEX(TableWRCalcPts[BYE],MATCH(TableWRRanks3242[[#This Row],[Player]],TableWRCalcPts[PLAYER],0)),"")</f>
        <v>11</v>
      </c>
      <c r="AH82" s="83">
        <f>VLOOKUP(TableWRRanks3242[[#This Row],[Player]],WR!B:O,4,FALSE)</f>
        <v>0</v>
      </c>
      <c r="AI82" s="83">
        <f>VLOOKUP(TableWRRanks3242[[#This Row],[Player]],WR!B:O,5,FALSE)</f>
        <v>0</v>
      </c>
      <c r="AJ82" s="83">
        <f>VLOOKUP(TableWRRanks3242[[#This Row],[Player]],WR!B:O,6,FALSE)</f>
        <v>66.140474399999988</v>
      </c>
      <c r="AK82" s="83">
        <f>VLOOKUP(TableWRRanks3242[[#This Row],[Player]],WR!B:O,7,FALSE)</f>
        <v>47.687282042399993</v>
      </c>
      <c r="AL82" s="83">
        <f>VLOOKUP(TableWRRanks3242[[#This Row],[Player]],WR!B:O,8,FALSE)</f>
        <v>472.10409221975993</v>
      </c>
      <c r="AM82" s="83">
        <f>VLOOKUP(TableWRRanks3242[[#This Row],[Player]],WR!B:O,9,FALSE)</f>
        <v>3.1950478968407996</v>
      </c>
      <c r="AN82" s="57">
        <f>VLOOKUP(TableWRRanks3242[[#This Row],[Player]],WR!B:O,13,FALSE)</f>
        <v>90.224337624220794</v>
      </c>
      <c r="AO82" s="125">
        <f>IF(VLOOKUP(TableWRRanks3242[[#This Row],[RK]],'Ranks w Proj'!AD:AO,12,FALSE)&lt;0,0,VLOOKUP(TableWRRanks3242[[#This Row],[RK]],'Ranks w Proj'!AD:AO,12,FALSE))</f>
        <v>0</v>
      </c>
      <c r="AQ82">
        <v>81</v>
      </c>
      <c r="AR82">
        <f>VLOOKUP(TableTERanks3343[[#This Row],[RK]],Rankings!A:T,18,FALSE)</f>
        <v>0</v>
      </c>
      <c r="AS82" t="str">
        <f>IFERROR(INDEX(TableTECalcPts[TM],MATCH(TableTERanks3343[[#This Row],[Player]],TableTECalcPts[PLAYER],0)),"")</f>
        <v/>
      </c>
      <c r="AT82" t="str">
        <f>IFERROR(INDEX(TableTECalcPts[BYE],MATCH(TableTERanks3343[[#This Row],[Player]],TableTECalcPts[PLAYER],0)),"")</f>
        <v/>
      </c>
      <c r="AU82" s="83">
        <f>VLOOKUP(TableTERanks3343[[#This Row],[Player]],TE!B:O,4,FALSE)</f>
        <v>0</v>
      </c>
      <c r="AV82" s="83">
        <f>VLOOKUP(TableTERanks3343[[#This Row],[Player]],TE!B:O,5,FALSE)</f>
        <v>0</v>
      </c>
      <c r="AW82" s="83">
        <f>VLOOKUP(TableTERanks3343[[#This Row],[Player]],TE!B:O,6,FALSE)</f>
        <v>0</v>
      </c>
      <c r="AX82" s="83">
        <f>VLOOKUP(TableTERanks3343[[#This Row],[Player]],TE!B:O,7,FALSE)</f>
        <v>0</v>
      </c>
      <c r="AY82" s="57">
        <f>VLOOKUP(TableTERanks3343[[#This Row],[Player]],TE!B:O,11,FALSE)</f>
        <v>0</v>
      </c>
      <c r="AZ82" s="125">
        <f>IF(VLOOKUP(TableTERanks3343[[#This Row],[RK]],'Ranks w Proj'!AQ:AZ,10,FALSE)&lt;0,0,VLOOKUP(TableTERanks3343[[#This Row],[RK]],'Ranks w Proj'!AQ:AZ,10,FALSE))</f>
        <v>0</v>
      </c>
    </row>
    <row r="83" spans="16:52" x14ac:dyDescent="0.2">
      <c r="P83">
        <v>82</v>
      </c>
      <c r="Q83" t="str">
        <f>VLOOKUP(TableRBRanks3141[[#This Row],[RK]],Rankings!A:T,8,FALSE)</f>
        <v>Isaiah Davis</v>
      </c>
      <c r="R83" t="str">
        <f>IFERROR(INDEX(TableRBCalcPts[TM],MATCH(TableRBRanks3141[[#This Row],[Player]],TableRBCalcPts[PLAYER],0)),"")</f>
        <v>NYJ</v>
      </c>
      <c r="S83">
        <f>IFERROR(INDEX(TableRBCalcPts[BYE],MATCH(TableRBRanks3141[[#This Row],[Player]],TableRBCalcPts[PLAYER],0)),"")</f>
        <v>7</v>
      </c>
      <c r="T83" s="83">
        <f>VLOOKUP(TableRBRanks3141[[#This Row],[Player]],RB!B:O,4,FALSE)</f>
        <v>35.467846400000006</v>
      </c>
      <c r="U83" s="83">
        <f>VLOOKUP(TableRBRanks3141[[#This Row],[Player]],RB!B:O,5,FALSE)</f>
        <v>150.02899027200004</v>
      </c>
      <c r="V83" s="83">
        <f>VLOOKUP(TableRBRanks3141[[#This Row],[Player]],RB!B:O,6,FALSE)</f>
        <v>1.1349710848000003</v>
      </c>
      <c r="W83" s="83">
        <f>VLOOKUP(TableRBRanks3141[[#This Row],[Player]],RB!B:O,7,FALSE)</f>
        <v>20.737917199999998</v>
      </c>
      <c r="X83" s="83">
        <f>VLOOKUP(TableRBRanks3141[[#This Row],[Player]],RB!B:O,8,FALSE)</f>
        <v>16.382954588</v>
      </c>
      <c r="Y83" s="83">
        <f>VLOOKUP(TableRBRanks3141[[#This Row],[Player]],RB!B:O,9,FALSE)</f>
        <v>123.19981850175999</v>
      </c>
      <c r="Z83" s="83">
        <f>VLOOKUP(TableRBRanks3141[[#This Row],[Player]],RB!B:O,10,FALSE)</f>
        <v>0.65531818352000004</v>
      </c>
      <c r="AA83" s="57">
        <f>VLOOKUP(TableRBRanks3141[[#This Row],[Player]],RB!B:O,14,FALSE)</f>
        <v>46.256093781296009</v>
      </c>
      <c r="AB83" s="125">
        <f>IF(VLOOKUP(TableRBRanks3141[[#This Row],[RK]],'Ranks w Proj'!$P:$AB,13,FALSE)&lt;0,0,VLOOKUP(TableRBRanks3141[[#This Row],[RK]],'Ranks w Proj'!$P:$AB,13,FALSE))</f>
        <v>0</v>
      </c>
      <c r="AD83">
        <v>82</v>
      </c>
      <c r="AE83" t="str">
        <f>VLOOKUP(TableWRRanks3242[[#This Row],[RK]],Rankings!A:T,13,FALSE)</f>
        <v>Ja'Lynn Polk</v>
      </c>
      <c r="AF83" t="str">
        <f>IFERROR(INDEX(TableWRCalcPts[TM],MATCH(TableWRRanks3242[[#This Row],[Player]],TableWRCalcPts[PLAYER],0)),"")</f>
        <v>NE</v>
      </c>
      <c r="AG83">
        <f>IFERROR(INDEX(TableWRCalcPts[BYE],MATCH(TableWRRanks3242[[#This Row],[Player]],TableWRCalcPts[PLAYER],0)),"")</f>
        <v>11</v>
      </c>
      <c r="AH83" s="83">
        <f>VLOOKUP(TableWRRanks3242[[#This Row],[Player]],WR!B:O,4,FALSE)</f>
        <v>0</v>
      </c>
      <c r="AI83" s="83">
        <f>VLOOKUP(TableWRRanks3242[[#This Row],[Player]],WR!B:O,5,FALSE)</f>
        <v>0</v>
      </c>
      <c r="AJ83" s="83">
        <f>VLOOKUP(TableWRRanks3242[[#This Row],[Player]],WR!B:O,6,FALSE)</f>
        <v>73.694784799999994</v>
      </c>
      <c r="AK83" s="83">
        <f>VLOOKUP(TableWRRanks3242[[#This Row],[Player]],WR!B:O,7,FALSE)</f>
        <v>44.732734373599996</v>
      </c>
      <c r="AL83" s="83">
        <f>VLOOKUP(TableWRRanks3242[[#This Row],[Player]],WR!B:O,8,FALSE)</f>
        <v>569.447708575928</v>
      </c>
      <c r="AM83" s="83">
        <f>VLOOKUP(TableWRRanks3242[[#This Row],[Player]],WR!B:O,9,FALSE)</f>
        <v>2.907627734284</v>
      </c>
      <c r="AN83" s="57">
        <f>VLOOKUP(TableWRRanks3242[[#This Row],[Player]],WR!B:O,13,FALSE)</f>
        <v>96.756904450096812</v>
      </c>
      <c r="AO83" s="125">
        <f>IF(VLOOKUP(TableWRRanks3242[[#This Row],[RK]],'Ranks w Proj'!AD:AO,12,FALSE)&lt;0,0,VLOOKUP(TableWRRanks3242[[#This Row],[RK]],'Ranks w Proj'!AD:AO,12,FALSE))</f>
        <v>0</v>
      </c>
      <c r="AQ83">
        <v>82</v>
      </c>
      <c r="AR83">
        <f>VLOOKUP(TableTERanks3343[[#This Row],[RK]],Rankings!A:T,18,FALSE)</f>
        <v>0</v>
      </c>
      <c r="AS83" t="str">
        <f>IFERROR(INDEX(TableTECalcPts[TM],MATCH(TableTERanks3343[[#This Row],[Player]],TableTECalcPts[PLAYER],0)),"")</f>
        <v/>
      </c>
      <c r="AT83" t="str">
        <f>IFERROR(INDEX(TableTECalcPts[BYE],MATCH(TableTERanks3343[[#This Row],[Player]],TableTECalcPts[PLAYER],0)),"")</f>
        <v/>
      </c>
      <c r="AU83" s="83">
        <f>VLOOKUP(TableTERanks3343[[#This Row],[Player]],TE!B:O,4,FALSE)</f>
        <v>0</v>
      </c>
      <c r="AV83" s="83">
        <f>VLOOKUP(TableTERanks3343[[#This Row],[Player]],TE!B:O,5,FALSE)</f>
        <v>0</v>
      </c>
      <c r="AW83" s="83">
        <f>VLOOKUP(TableTERanks3343[[#This Row],[Player]],TE!B:O,6,FALSE)</f>
        <v>0</v>
      </c>
      <c r="AX83" s="83">
        <f>VLOOKUP(TableTERanks3343[[#This Row],[Player]],TE!B:O,7,FALSE)</f>
        <v>0</v>
      </c>
      <c r="AY83" s="57">
        <f>VLOOKUP(TableTERanks3343[[#This Row],[Player]],TE!B:O,11,FALSE)</f>
        <v>0</v>
      </c>
      <c r="AZ83" s="125">
        <f>IF(VLOOKUP(TableTERanks3343[[#This Row],[RK]],'Ranks w Proj'!AQ:AZ,10,FALSE)&lt;0,0,VLOOKUP(TableTERanks3343[[#This Row],[RK]],'Ranks w Proj'!AQ:AZ,10,FALSE))</f>
        <v>0</v>
      </c>
    </row>
    <row r="84" spans="16:52" x14ac:dyDescent="0.2">
      <c r="P84">
        <v>83</v>
      </c>
      <c r="Q84" t="str">
        <f>VLOOKUP(TableRBRanks3141[[#This Row],[RK]],Rankings!A:T,8,FALSE)</f>
        <v>Deuce Vaughn</v>
      </c>
      <c r="R84" t="str">
        <f>IFERROR(INDEX(TableRBCalcPts[TM],MATCH(TableRBRanks3141[[#This Row],[Player]],TableRBCalcPts[PLAYER],0)),"")</f>
        <v>DAL</v>
      </c>
      <c r="S84">
        <f>IFERROR(INDEX(TableRBCalcPts[BYE],MATCH(TableRBRanks3141[[#This Row],[Player]],TableRBCalcPts[PLAYER],0)),"")</f>
        <v>7</v>
      </c>
      <c r="T84" s="83">
        <f>VLOOKUP(TableRBRanks3141[[#This Row],[Player]],RB!B:O,4,FALSE)</f>
        <v>13.633426800000001</v>
      </c>
      <c r="U84" s="83">
        <f>VLOOKUP(TableRBRanks3141[[#This Row],[Player]],RB!B:O,5,FALSE)</f>
        <v>55.488047076000008</v>
      </c>
      <c r="V84" s="83">
        <f>VLOOKUP(TableRBRanks3141[[#This Row],[Player]],RB!B:O,6,FALSE)</f>
        <v>0.34083567000000003</v>
      </c>
      <c r="W84" s="83">
        <f>VLOOKUP(TableRBRanks3141[[#This Row],[Player]],RB!B:O,7,FALSE)</f>
        <v>30.491621999999989</v>
      </c>
      <c r="X84" s="83">
        <f>VLOOKUP(TableRBRanks3141[[#This Row],[Player]],RB!B:O,8,FALSE)</f>
        <v>25.12509652799999</v>
      </c>
      <c r="Y84" s="83">
        <f>VLOOKUP(TableRBRanks3141[[#This Row],[Player]],RB!B:O,9,FALSE)</f>
        <v>193.9657451961599</v>
      </c>
      <c r="Z84" s="83">
        <f>VLOOKUP(TableRBRanks3141[[#This Row],[Player]],RB!B:O,10,FALSE)</f>
        <v>1.0050038611199996</v>
      </c>
      <c r="AA84" s="57">
        <f>VLOOKUP(TableRBRanks3141[[#This Row],[Player]],RB!B:O,14,FALSE)</f>
        <v>45.58296467793599</v>
      </c>
      <c r="AB84" s="125">
        <f>IF(VLOOKUP(TableRBRanks3141[[#This Row],[RK]],'Ranks w Proj'!$P:$AB,13,FALSE)&lt;0,0,VLOOKUP(TableRBRanks3141[[#This Row],[RK]],'Ranks w Proj'!$P:$AB,13,FALSE))</f>
        <v>0</v>
      </c>
      <c r="AD84">
        <v>83</v>
      </c>
      <c r="AE84" t="str">
        <f>VLOOKUP(TableWRRanks3242[[#This Row],[RK]],Rankings!A:T,13,FALSE)</f>
        <v>Troy Franklin</v>
      </c>
      <c r="AF84" t="str">
        <f>IFERROR(INDEX(TableWRCalcPts[TM],MATCH(TableWRRanks3242[[#This Row],[Player]],TableWRCalcPts[PLAYER],0)),"")</f>
        <v>DEN</v>
      </c>
      <c r="AG84">
        <f>IFERROR(INDEX(TableWRCalcPts[BYE],MATCH(TableWRRanks3242[[#This Row],[Player]],TableWRCalcPts[PLAYER],0)),"")</f>
        <v>9</v>
      </c>
      <c r="AH84" s="83">
        <f>VLOOKUP(TableWRRanks3242[[#This Row],[Player]],WR!B:O,4,FALSE)</f>
        <v>0</v>
      </c>
      <c r="AI84" s="83">
        <f>VLOOKUP(TableWRRanks3242[[#This Row],[Player]],WR!B:O,5,FALSE)</f>
        <v>0</v>
      </c>
      <c r="AJ84" s="83">
        <f>VLOOKUP(TableWRRanks3242[[#This Row],[Player]],WR!B:O,6,FALSE)</f>
        <v>68.50376399999999</v>
      </c>
      <c r="AK84" s="83">
        <f>VLOOKUP(TableWRRanks3242[[#This Row],[Player]],WR!B:O,7,FALSE)</f>
        <v>40.759739579999994</v>
      </c>
      <c r="AL84" s="83">
        <f>VLOOKUP(TableWRRanks3242[[#This Row],[Player]],WR!B:O,8,FALSE)</f>
        <v>513.98031610379985</v>
      </c>
      <c r="AM84" s="83">
        <f>VLOOKUP(TableWRRanks3242[[#This Row],[Player]],WR!B:O,9,FALSE)</f>
        <v>3.0569804684999995</v>
      </c>
      <c r="AN84" s="57">
        <f>VLOOKUP(TableWRRanks3242[[#This Row],[Player]],WR!B:O,13,FALSE)</f>
        <v>90.119784211379994</v>
      </c>
      <c r="AO84" s="125">
        <f>IF(VLOOKUP(TableWRRanks3242[[#This Row],[RK]],'Ranks w Proj'!AD:AO,12,FALSE)&lt;0,0,VLOOKUP(TableWRRanks3242[[#This Row],[RK]],'Ranks w Proj'!AD:AO,12,FALSE))</f>
        <v>0</v>
      </c>
      <c r="AQ84">
        <v>83</v>
      </c>
      <c r="AR84">
        <f>VLOOKUP(TableTERanks3343[[#This Row],[RK]],Rankings!A:T,18,FALSE)</f>
        <v>0</v>
      </c>
      <c r="AS84" t="str">
        <f>IFERROR(INDEX(TableTECalcPts[TM],MATCH(TableTERanks3343[[#This Row],[Player]],TableTECalcPts[PLAYER],0)),"")</f>
        <v/>
      </c>
      <c r="AT84" t="str">
        <f>IFERROR(INDEX(TableTECalcPts[BYE],MATCH(TableTERanks3343[[#This Row],[Player]],TableTECalcPts[PLAYER],0)),"")</f>
        <v/>
      </c>
      <c r="AU84" s="83">
        <f>VLOOKUP(TableTERanks3343[[#This Row],[Player]],TE!B:O,4,FALSE)</f>
        <v>0</v>
      </c>
      <c r="AV84" s="83">
        <f>VLOOKUP(TableTERanks3343[[#This Row],[Player]],TE!B:O,5,FALSE)</f>
        <v>0</v>
      </c>
      <c r="AW84" s="83">
        <f>VLOOKUP(TableTERanks3343[[#This Row],[Player]],TE!B:O,6,FALSE)</f>
        <v>0</v>
      </c>
      <c r="AX84" s="83">
        <f>VLOOKUP(TableTERanks3343[[#This Row],[Player]],TE!B:O,7,FALSE)</f>
        <v>0</v>
      </c>
      <c r="AY84" s="57">
        <f>VLOOKUP(TableTERanks3343[[#This Row],[Player]],TE!B:O,11,FALSE)</f>
        <v>0</v>
      </c>
      <c r="AZ84" s="125">
        <f>IF(VLOOKUP(TableTERanks3343[[#This Row],[RK]],'Ranks w Proj'!AQ:AZ,10,FALSE)&lt;0,0,VLOOKUP(TableTERanks3343[[#This Row],[RK]],'Ranks w Proj'!AQ:AZ,10,FALSE))</f>
        <v>0</v>
      </c>
    </row>
    <row r="85" spans="16:52" x14ac:dyDescent="0.2">
      <c r="P85">
        <v>84</v>
      </c>
      <c r="Q85" t="str">
        <f>VLOOKUP(TableRBRanks3141[[#This Row],[RK]],Rankings!A:T,8,FALSE)</f>
        <v>Justice Hill</v>
      </c>
      <c r="R85" t="str">
        <f>IFERROR(INDEX(TableRBCalcPts[TM],MATCH(TableRBRanks3141[[#This Row],[Player]],TableRBCalcPts[PLAYER],0)),"")</f>
        <v>BAL</v>
      </c>
      <c r="S85">
        <f>IFERROR(INDEX(TableRBCalcPts[BYE],MATCH(TableRBRanks3141[[#This Row],[Player]],TableRBCalcPts[PLAYER],0)),"")</f>
        <v>13</v>
      </c>
      <c r="T85" s="83">
        <f>VLOOKUP(TableRBRanks3141[[#This Row],[Player]],RB!B:O,4,FALSE)</f>
        <v>7.8769655999999992</v>
      </c>
      <c r="U85" s="83">
        <f>VLOOKUP(TableRBRanks3141[[#This Row],[Player]],RB!B:O,5,FALSE)</f>
        <v>36.234041759999997</v>
      </c>
      <c r="V85" s="83">
        <f>VLOOKUP(TableRBRanks3141[[#This Row],[Player]],RB!B:O,6,FALSE)</f>
        <v>0.27569379599999999</v>
      </c>
      <c r="W85" s="83">
        <f>VLOOKUP(TableRBRanks3141[[#This Row],[Player]],RB!B:O,7,FALSE)</f>
        <v>13.233724000000002</v>
      </c>
      <c r="X85" s="83">
        <f>VLOOKUP(TableRBRanks3141[[#This Row],[Player]],RB!B:O,8,FALSE)</f>
        <v>10.176733756000003</v>
      </c>
      <c r="Y85" s="83">
        <f>VLOOKUP(TableRBRanks3141[[#This Row],[Player]],RB!B:O,9,FALSE)</f>
        <v>70.219462916400019</v>
      </c>
      <c r="Z85" s="83">
        <f>VLOOKUP(TableRBRanks3141[[#This Row],[Player]],RB!B:O,10,FALSE)</f>
        <v>0.45795301902000007</v>
      </c>
      <c r="AA85" s="57">
        <f>VLOOKUP(TableRBRanks3141[[#This Row],[Player]],RB!B:O,14,FALSE)</f>
        <v>20.135598235760003</v>
      </c>
      <c r="AB85" s="125">
        <f>IF(VLOOKUP(TableRBRanks3141[[#This Row],[RK]],'Ranks w Proj'!$P:$AB,13,FALSE)&lt;0,0,VLOOKUP(TableRBRanks3141[[#This Row],[RK]],'Ranks w Proj'!$P:$AB,13,FALSE))</f>
        <v>0</v>
      </c>
      <c r="AD85">
        <v>84</v>
      </c>
      <c r="AE85" t="str">
        <f>VLOOKUP(TableWRRanks3242[[#This Row],[RK]],Rankings!A:T,13,FALSE)</f>
        <v>Dontayvion Wicks</v>
      </c>
      <c r="AF85" t="str">
        <f>IFERROR(INDEX(TableWRCalcPts[TM],MATCH(TableWRRanks3242[[#This Row],[Player]],TableWRCalcPts[PLAYER],0)),"")</f>
        <v>GB</v>
      </c>
      <c r="AG85">
        <f>IFERROR(INDEX(TableWRCalcPts[BYE],MATCH(TableWRRanks3242[[#This Row],[Player]],TableWRCalcPts[PLAYER],0)),"")</f>
        <v>6</v>
      </c>
      <c r="AH85" s="83">
        <f>VLOOKUP(TableWRRanks3242[[#This Row],[Player]],WR!B:O,4,FALSE)</f>
        <v>0</v>
      </c>
      <c r="AI85" s="83">
        <f>VLOOKUP(TableWRRanks3242[[#This Row],[Player]],WR!B:O,5,FALSE)</f>
        <v>0</v>
      </c>
      <c r="AJ85" s="83">
        <f>VLOOKUP(TableWRRanks3242[[#This Row],[Player]],WR!B:O,6,FALSE)</f>
        <v>39.914224000000004</v>
      </c>
      <c r="AK85" s="83">
        <f>VLOOKUP(TableWRRanks3242[[#This Row],[Player]],WR!B:O,7,FALSE)</f>
        <v>25.385446464000005</v>
      </c>
      <c r="AL85" s="83">
        <f>VLOOKUP(TableWRRanks3242[[#This Row],[Player]],WR!B:O,8,FALSE)</f>
        <v>325.44142366848007</v>
      </c>
      <c r="AM85" s="83">
        <f>VLOOKUP(TableWRRanks3242[[#This Row],[Player]],WR!B:O,9,FALSE)</f>
        <v>2.4116174140800006</v>
      </c>
      <c r="AN85" s="57">
        <f>VLOOKUP(TableWRRanks3242[[#This Row],[Player]],WR!B:O,13,FALSE)</f>
        <v>59.706570083328018</v>
      </c>
      <c r="AO85" s="125">
        <f>IF(VLOOKUP(TableWRRanks3242[[#This Row],[RK]],'Ranks w Proj'!AD:AO,12,FALSE)&lt;0,0,VLOOKUP(TableWRRanks3242[[#This Row],[RK]],'Ranks w Proj'!AD:AO,12,FALSE))</f>
        <v>0</v>
      </c>
      <c r="AQ85">
        <v>84</v>
      </c>
      <c r="AR85">
        <f>VLOOKUP(TableTERanks3343[[#This Row],[RK]],Rankings!A:T,18,FALSE)</f>
        <v>0</v>
      </c>
      <c r="AS85" t="str">
        <f>IFERROR(INDEX(TableTECalcPts[TM],MATCH(TableTERanks3343[[#This Row],[Player]],TableTECalcPts[PLAYER],0)),"")</f>
        <v/>
      </c>
      <c r="AT85" t="str">
        <f>IFERROR(INDEX(TableTECalcPts[BYE],MATCH(TableTERanks3343[[#This Row],[Player]],TableTECalcPts[PLAYER],0)),"")</f>
        <v/>
      </c>
      <c r="AU85" s="83">
        <f>VLOOKUP(TableTERanks3343[[#This Row],[Player]],TE!B:O,4,FALSE)</f>
        <v>0</v>
      </c>
      <c r="AV85" s="83">
        <f>VLOOKUP(TableTERanks3343[[#This Row],[Player]],TE!B:O,5,FALSE)</f>
        <v>0</v>
      </c>
      <c r="AW85" s="83">
        <f>VLOOKUP(TableTERanks3343[[#This Row],[Player]],TE!B:O,6,FALSE)</f>
        <v>0</v>
      </c>
      <c r="AX85" s="83">
        <f>VLOOKUP(TableTERanks3343[[#This Row],[Player]],TE!B:O,7,FALSE)</f>
        <v>0</v>
      </c>
      <c r="AY85" s="57">
        <f>VLOOKUP(TableTERanks3343[[#This Row],[Player]],TE!B:O,11,FALSE)</f>
        <v>0</v>
      </c>
      <c r="AZ85" s="125">
        <f>IF(VLOOKUP(TableTERanks3343[[#This Row],[RK]],'Ranks w Proj'!AQ:AZ,10,FALSE)&lt;0,0,VLOOKUP(TableTERanks3343[[#This Row],[RK]],'Ranks w Proj'!AQ:AZ,10,FALSE))</f>
        <v>0</v>
      </c>
    </row>
    <row r="86" spans="16:52" x14ac:dyDescent="0.2">
      <c r="P86">
        <v>85</v>
      </c>
      <c r="Q86" t="str">
        <f>VLOOKUP(TableRBRanks3141[[#This Row],[RK]],Rankings!A:T,8,FALSE)</f>
        <v>Jaleel McLaughlin</v>
      </c>
      <c r="R86" t="str">
        <f>IFERROR(INDEX(TableRBCalcPts[TM],MATCH(TableRBRanks3141[[#This Row],[Player]],TableRBCalcPts[PLAYER],0)),"")</f>
        <v>DEN</v>
      </c>
      <c r="S86">
        <f>IFERROR(INDEX(TableRBCalcPts[BYE],MATCH(TableRBRanks3141[[#This Row],[Player]],TableRBCalcPts[PLAYER],0)),"")</f>
        <v>9</v>
      </c>
      <c r="T86" s="83">
        <f>VLOOKUP(TableRBRanks3141[[#This Row],[Player]],RB!B:O,4,FALSE)</f>
        <v>17.580612000000002</v>
      </c>
      <c r="U86" s="83">
        <f>VLOOKUP(TableRBRanks3141[[#This Row],[Player]],RB!B:O,5,FALSE)</f>
        <v>81.574039679999998</v>
      </c>
      <c r="V86" s="83">
        <f>VLOOKUP(TableRBRanks3141[[#This Row],[Player]],RB!B:O,6,FALSE)</f>
        <v>0.4922571360000001</v>
      </c>
      <c r="W86" s="83">
        <f>VLOOKUP(TableRBRanks3141[[#This Row],[Player]],RB!B:O,7,FALSE)</f>
        <v>11.417294</v>
      </c>
      <c r="X86" s="83">
        <f>VLOOKUP(TableRBRanks3141[[#This Row],[Player]],RB!B:O,8,FALSE)</f>
        <v>8.7913163799999996</v>
      </c>
      <c r="Y86" s="83">
        <f>VLOOKUP(TableRBRanks3141[[#This Row],[Player]],RB!B:O,9,FALSE)</f>
        <v>55.473206357799995</v>
      </c>
      <c r="Z86" s="83">
        <f>VLOOKUP(TableRBRanks3141[[#This Row],[Player]],RB!B:O,10,FALSE)</f>
        <v>0.21978290950000001</v>
      </c>
      <c r="AA86" s="57">
        <f>VLOOKUP(TableRBRanks3141[[#This Row],[Player]],RB!B:O,14,FALSE)</f>
        <v>22.372623066780001</v>
      </c>
      <c r="AB86" s="125">
        <f>IF(VLOOKUP(TableRBRanks3141[[#This Row],[RK]],'Ranks w Proj'!$P:$AB,13,FALSE)&lt;0,0,VLOOKUP(TableRBRanks3141[[#This Row],[RK]],'Ranks w Proj'!$P:$AB,13,FALSE))</f>
        <v>0</v>
      </c>
      <c r="AD86">
        <v>85</v>
      </c>
      <c r="AE86" t="str">
        <f>VLOOKUP(TableWRRanks3242[[#This Row],[RK]],Rankings!A:T,13,FALSE)</f>
        <v>Andrei Iosivas</v>
      </c>
      <c r="AF86" t="str">
        <f>IFERROR(INDEX(TableWRCalcPts[TM],MATCH(TableWRRanks3242[[#This Row],[Player]],TableWRCalcPts[PLAYER],0)),"")</f>
        <v>CIN</v>
      </c>
      <c r="AG86">
        <f>IFERROR(INDEX(TableWRCalcPts[BYE],MATCH(TableWRRanks3242[[#This Row],[Player]],TableWRCalcPts[PLAYER],0)),"")</f>
        <v>7</v>
      </c>
      <c r="AH86" s="83">
        <f>VLOOKUP(TableWRRanks3242[[#This Row],[Player]],WR!B:O,4,FALSE)</f>
        <v>0</v>
      </c>
      <c r="AI86" s="83">
        <f>VLOOKUP(TableWRRanks3242[[#This Row],[Player]],WR!B:O,5,FALSE)</f>
        <v>0</v>
      </c>
      <c r="AJ86" s="83">
        <f>VLOOKUP(TableWRRanks3242[[#This Row],[Player]],WR!B:O,6,FALSE)</f>
        <v>62.356811999999998</v>
      </c>
      <c r="AK86" s="83">
        <f>VLOOKUP(TableWRRanks3242[[#This Row],[Player]],WR!B:O,7,FALSE)</f>
        <v>39.347148371999999</v>
      </c>
      <c r="AL86" s="83">
        <f>VLOOKUP(TableWRRanks3242[[#This Row],[Player]],WR!B:O,8,FALSE)</f>
        <v>452.49220627799997</v>
      </c>
      <c r="AM86" s="83">
        <f>VLOOKUP(TableWRRanks3242[[#This Row],[Player]],WR!B:O,9,FALSE)</f>
        <v>3.1477718697600001</v>
      </c>
      <c r="AN86" s="57">
        <f>VLOOKUP(TableWRRanks3242[[#This Row],[Player]],WR!B:O,13,FALSE)</f>
        <v>83.809426032359994</v>
      </c>
      <c r="AO86" s="125">
        <f>IF(VLOOKUP(TableWRRanks3242[[#This Row],[RK]],'Ranks w Proj'!AD:AO,12,FALSE)&lt;0,0,VLOOKUP(TableWRRanks3242[[#This Row],[RK]],'Ranks w Proj'!AD:AO,12,FALSE))</f>
        <v>0</v>
      </c>
      <c r="AQ86">
        <v>85</v>
      </c>
      <c r="AR86">
        <f>VLOOKUP(TableTERanks3343[[#This Row],[RK]],Rankings!A:T,18,FALSE)</f>
        <v>0</v>
      </c>
      <c r="AS86" t="str">
        <f>IFERROR(INDEX(TableTECalcPts[TM],MATCH(TableTERanks3343[[#This Row],[Player]],TableTECalcPts[PLAYER],0)),"")</f>
        <v/>
      </c>
      <c r="AT86" t="str">
        <f>IFERROR(INDEX(TableTECalcPts[BYE],MATCH(TableTERanks3343[[#This Row],[Player]],TableTECalcPts[PLAYER],0)),"")</f>
        <v/>
      </c>
      <c r="AU86" s="83">
        <f>VLOOKUP(TableTERanks3343[[#This Row],[Player]],TE!B:O,4,FALSE)</f>
        <v>0</v>
      </c>
      <c r="AV86" s="83">
        <f>VLOOKUP(TableTERanks3343[[#This Row],[Player]],TE!B:O,5,FALSE)</f>
        <v>0</v>
      </c>
      <c r="AW86" s="83">
        <f>VLOOKUP(TableTERanks3343[[#This Row],[Player]],TE!B:O,6,FALSE)</f>
        <v>0</v>
      </c>
      <c r="AX86" s="83">
        <f>VLOOKUP(TableTERanks3343[[#This Row],[Player]],TE!B:O,7,FALSE)</f>
        <v>0</v>
      </c>
      <c r="AY86" s="57">
        <f>VLOOKUP(TableTERanks3343[[#This Row],[Player]],TE!B:O,11,FALSE)</f>
        <v>0</v>
      </c>
      <c r="AZ86" s="125">
        <f>IF(VLOOKUP(TableTERanks3343[[#This Row],[RK]],'Ranks w Proj'!AQ:AZ,10,FALSE)&lt;0,0,VLOOKUP(TableTERanks3343[[#This Row],[RK]],'Ranks w Proj'!AQ:AZ,10,FALSE))</f>
        <v>0</v>
      </c>
    </row>
    <row r="87" spans="16:52" x14ac:dyDescent="0.2">
      <c r="P87">
        <v>86</v>
      </c>
      <c r="Q87" t="str">
        <f>VLOOKUP(TableRBRanks3141[[#This Row],[RK]],Rankings!A:T,8,FALSE)</f>
        <v>Israel Abanikanda</v>
      </c>
      <c r="R87" t="str">
        <f>IFERROR(INDEX(TableRBCalcPts[TM],MATCH(TableRBRanks3141[[#This Row],[Player]],TableRBCalcPts[PLAYER],0)),"")</f>
        <v>NYJ</v>
      </c>
      <c r="S87">
        <f>IFERROR(INDEX(TableRBCalcPts[BYE],MATCH(TableRBRanks3141[[#This Row],[Player]],TableRBCalcPts[PLAYER],0)),"")</f>
        <v>7</v>
      </c>
      <c r="T87" s="83">
        <f>VLOOKUP(TableRBRanks3141[[#This Row],[Player]],RB!B:O,4,FALSE)</f>
        <v>31.034365600000008</v>
      </c>
      <c r="U87" s="83">
        <f>VLOOKUP(TableRBRanks3141[[#This Row],[Player]],RB!B:O,5,FALSE)</f>
        <v>130.34433552000004</v>
      </c>
      <c r="V87" s="83">
        <f>VLOOKUP(TableRBRanks3141[[#This Row],[Player]],RB!B:O,6,FALSE)</f>
        <v>1.0241340648000004</v>
      </c>
      <c r="W87" s="83">
        <f>VLOOKUP(TableRBRanks3141[[#This Row],[Player]],RB!B:O,7,FALSE)</f>
        <v>11.850238399999999</v>
      </c>
      <c r="X87" s="83">
        <f>VLOOKUP(TableRBRanks3141[[#This Row],[Player]],RB!B:O,8,FALSE)</f>
        <v>9.5157414351999989</v>
      </c>
      <c r="Y87" s="83">
        <f>VLOOKUP(TableRBRanks3141[[#This Row],[Player]],RB!B:O,9,FALSE)</f>
        <v>69.750384720015987</v>
      </c>
      <c r="Z87" s="83">
        <f>VLOOKUP(TableRBRanks3141[[#This Row],[Player]],RB!B:O,10,FALSE)</f>
        <v>0.38062965740799998</v>
      </c>
      <c r="AA87" s="57">
        <f>VLOOKUP(TableRBRanks3141[[#This Row],[Player]],RB!B:O,14,FALSE)</f>
        <v>33.195925074849605</v>
      </c>
      <c r="AB87" s="125">
        <f>IF(VLOOKUP(TableRBRanks3141[[#This Row],[RK]],'Ranks w Proj'!$P:$AB,13,FALSE)&lt;0,0,VLOOKUP(TableRBRanks3141[[#This Row],[RK]],'Ranks w Proj'!$P:$AB,13,FALSE))</f>
        <v>0</v>
      </c>
      <c r="AD87">
        <v>86</v>
      </c>
      <c r="AE87" t="str">
        <f>VLOOKUP(TableWRRanks3242[[#This Row],[RK]],Rankings!A:T,13,FALSE)</f>
        <v>Van Jefferson</v>
      </c>
      <c r="AF87" t="str">
        <f>IFERROR(INDEX(TableWRCalcPts[TM],MATCH(TableWRRanks3242[[#This Row],[Player]],TableWRCalcPts[PLAYER],0)),"")</f>
        <v>PIT</v>
      </c>
      <c r="AG87">
        <f>IFERROR(INDEX(TableWRCalcPts[BYE],MATCH(TableWRRanks3242[[#This Row],[Player]],TableWRCalcPts[PLAYER],0)),"")</f>
        <v>6</v>
      </c>
      <c r="AH87" s="83">
        <f>VLOOKUP(TableWRRanks3242[[#This Row],[Player]],WR!B:O,4,FALSE)</f>
        <v>0</v>
      </c>
      <c r="AI87" s="83">
        <f>VLOOKUP(TableWRRanks3242[[#This Row],[Player]],WR!B:O,5,FALSE)</f>
        <v>0</v>
      </c>
      <c r="AJ87" s="83">
        <f>VLOOKUP(TableWRRanks3242[[#This Row],[Player]],WR!B:O,6,FALSE)</f>
        <v>63.859740000000002</v>
      </c>
      <c r="AK87" s="83">
        <f>VLOOKUP(TableWRRanks3242[[#This Row],[Player]],WR!B:O,7,FALSE)</f>
        <v>35.250576480000007</v>
      </c>
      <c r="AL87" s="83">
        <f>VLOOKUP(TableWRRanks3242[[#This Row],[Player]],WR!B:O,8,FALSE)</f>
        <v>482.22788624640009</v>
      </c>
      <c r="AM87" s="83">
        <f>VLOOKUP(TableWRRanks3242[[#This Row],[Player]],WR!B:O,9,FALSE)</f>
        <v>2.7847955419200003</v>
      </c>
      <c r="AN87" s="57">
        <f>VLOOKUP(TableWRRanks3242[[#This Row],[Player]],WR!B:O,13,FALSE)</f>
        <v>82.556850116160007</v>
      </c>
      <c r="AO87" s="125">
        <f>IF(VLOOKUP(TableWRRanks3242[[#This Row],[RK]],'Ranks w Proj'!AD:AO,12,FALSE)&lt;0,0,VLOOKUP(TableWRRanks3242[[#This Row],[RK]],'Ranks w Proj'!AD:AO,12,FALSE))</f>
        <v>0</v>
      </c>
      <c r="AQ87">
        <v>86</v>
      </c>
      <c r="AR87">
        <f>VLOOKUP(TableTERanks3343[[#This Row],[RK]],Rankings!A:T,18,FALSE)</f>
        <v>0</v>
      </c>
      <c r="AS87" t="str">
        <f>IFERROR(INDEX(TableTECalcPts[TM],MATCH(TableTERanks3343[[#This Row],[Player]],TableTECalcPts[PLAYER],0)),"")</f>
        <v/>
      </c>
      <c r="AT87" t="str">
        <f>IFERROR(INDEX(TableTECalcPts[BYE],MATCH(TableTERanks3343[[#This Row],[Player]],TableTECalcPts[PLAYER],0)),"")</f>
        <v/>
      </c>
      <c r="AU87" s="83">
        <f>VLOOKUP(TableTERanks3343[[#This Row],[Player]],TE!B:O,4,FALSE)</f>
        <v>0</v>
      </c>
      <c r="AV87" s="83">
        <f>VLOOKUP(TableTERanks3343[[#This Row],[Player]],TE!B:O,5,FALSE)</f>
        <v>0</v>
      </c>
      <c r="AW87" s="83">
        <f>VLOOKUP(TableTERanks3343[[#This Row],[Player]],TE!B:O,6,FALSE)</f>
        <v>0</v>
      </c>
      <c r="AX87" s="83">
        <f>VLOOKUP(TableTERanks3343[[#This Row],[Player]],TE!B:O,7,FALSE)</f>
        <v>0</v>
      </c>
      <c r="AY87" s="57">
        <f>VLOOKUP(TableTERanks3343[[#This Row],[Player]],TE!B:O,11,FALSE)</f>
        <v>0</v>
      </c>
      <c r="AZ87" s="125" t="str">
        <f>IF(VLOOKUP(TableTERanks3343[[#This Row],[RK]],'Ranks w Proj'!AQ:AZ,10,FALSE)&lt;0,0,VLOOKUP(TableTERanks3343[[#This Row],[RK]],'Ranks w Proj'!AQ:AZ,10,FALSE))</f>
        <v/>
      </c>
    </row>
    <row r="88" spans="16:52" x14ac:dyDescent="0.2">
      <c r="P88">
        <v>87</v>
      </c>
      <c r="Q88" t="str">
        <f>VLOOKUP(TableRBRanks3141[[#This Row],[RK]],Rankings!A:T,8,FALSE)</f>
        <v>Michael Carter</v>
      </c>
      <c r="R88" t="str">
        <f>IFERROR(INDEX(TableRBCalcPts[TM],MATCH(TableRBRanks3141[[#This Row],[Player]],TableRBCalcPts[PLAYER],0)),"")</f>
        <v>ARI</v>
      </c>
      <c r="S88">
        <f>IFERROR(INDEX(TableRBCalcPts[BYE],MATCH(TableRBRanks3141[[#This Row],[Player]],TableRBCalcPts[PLAYER],0)),"")</f>
        <v>14</v>
      </c>
      <c r="T88" s="83">
        <f>VLOOKUP(TableRBRanks3141[[#This Row],[Player]],RB!B:O,4,FALSE)</f>
        <v>18.16038</v>
      </c>
      <c r="U88" s="83">
        <f>VLOOKUP(TableRBRanks3141[[#This Row],[Player]],RB!B:O,5,FALSE)</f>
        <v>75.183973199999997</v>
      </c>
      <c r="V88" s="83">
        <f>VLOOKUP(TableRBRanks3141[[#This Row],[Player]],RB!B:O,6,FALSE)</f>
        <v>0.49033026000000002</v>
      </c>
      <c r="W88" s="83">
        <f>VLOOKUP(TableRBRanks3141[[#This Row],[Player]],RB!B:O,7,FALSE)</f>
        <v>17.690715000000001</v>
      </c>
      <c r="X88" s="83">
        <f>VLOOKUP(TableRBRanks3141[[#This Row],[Player]],RB!B:O,8,FALSE)</f>
        <v>13.356489825000001</v>
      </c>
      <c r="Y88" s="83">
        <f>VLOOKUP(TableRBRanks3141[[#This Row],[Player]],RB!B:O,9,FALSE)</f>
        <v>91.091260606500015</v>
      </c>
      <c r="Z88" s="83">
        <f>VLOOKUP(TableRBRanks3141[[#This Row],[Player]],RB!B:O,10,FALSE)</f>
        <v>0.33391224562500005</v>
      </c>
      <c r="AA88" s="57">
        <f>VLOOKUP(TableRBRanks3141[[#This Row],[Player]],RB!B:O,14,FALSE)</f>
        <v>28.2512233269</v>
      </c>
      <c r="AB88" s="125">
        <f>IF(VLOOKUP(TableRBRanks3141[[#This Row],[RK]],'Ranks w Proj'!$P:$AB,13,FALSE)&lt;0,0,VLOOKUP(TableRBRanks3141[[#This Row],[RK]],'Ranks w Proj'!$P:$AB,13,FALSE))</f>
        <v>0</v>
      </c>
      <c r="AD88">
        <v>87</v>
      </c>
      <c r="AE88" t="str">
        <f>VLOOKUP(TableWRRanks3242[[#This Row],[RK]],Rankings!A:T,13,FALSE)</f>
        <v>Luke McCaffrey</v>
      </c>
      <c r="AF88" t="str">
        <f>IFERROR(INDEX(TableWRCalcPts[TM],MATCH(TableWRRanks3242[[#This Row],[Player]],TableWRCalcPts[PLAYER],0)),"")</f>
        <v>WSH</v>
      </c>
      <c r="AG88">
        <f>IFERROR(INDEX(TableWRCalcPts[BYE],MATCH(TableWRRanks3242[[#This Row],[Player]],TableWRCalcPts[PLAYER],0)),"")</f>
        <v>14</v>
      </c>
      <c r="AH88" s="83">
        <f>VLOOKUP(TableWRRanks3242[[#This Row],[Player]],WR!B:O,4,FALSE)</f>
        <v>0</v>
      </c>
      <c r="AI88" s="83">
        <f>VLOOKUP(TableWRRanks3242[[#This Row],[Player]],WR!B:O,5,FALSE)</f>
        <v>0</v>
      </c>
      <c r="AJ88" s="83">
        <f>VLOOKUP(TableWRRanks3242[[#This Row],[Player]],WR!B:O,6,FALSE)</f>
        <v>63.234357899999992</v>
      </c>
      <c r="AK88" s="83">
        <f>VLOOKUP(TableWRRanks3242[[#This Row],[Player]],WR!B:O,7,FALSE)</f>
        <v>39.015598824299992</v>
      </c>
      <c r="AL88" s="83">
        <f>VLOOKUP(TableWRRanks3242[[#This Row],[Player]],WR!B:O,8,FALSE)</f>
        <v>465.84624996214188</v>
      </c>
      <c r="AM88" s="83">
        <f>VLOOKUP(TableWRRanks3242[[#This Row],[Player]],WR!B:O,9,FALSE)</f>
        <v>2.7701075165252993</v>
      </c>
      <c r="AN88" s="57">
        <f>VLOOKUP(TableWRRanks3242[[#This Row],[Player]],WR!B:O,13,FALSE)</f>
        <v>82.713069507515968</v>
      </c>
      <c r="AO88" s="125">
        <f>IF(VLOOKUP(TableWRRanks3242[[#This Row],[RK]],'Ranks w Proj'!AD:AO,12,FALSE)&lt;0,0,VLOOKUP(TableWRRanks3242[[#This Row],[RK]],'Ranks w Proj'!AD:AO,12,FALSE))</f>
        <v>0</v>
      </c>
      <c r="AQ88">
        <v>87</v>
      </c>
      <c r="AR88">
        <f>VLOOKUP(TableTERanks3343[[#This Row],[RK]],Rankings!A:T,18,FALSE)</f>
        <v>0</v>
      </c>
      <c r="AS88" t="str">
        <f>IFERROR(INDEX(TableTECalcPts[TM],MATCH(TableTERanks3343[[#This Row],[Player]],TableTECalcPts[PLAYER],0)),"")</f>
        <v/>
      </c>
      <c r="AT88" t="str">
        <f>IFERROR(INDEX(TableTECalcPts[BYE],MATCH(TableTERanks3343[[#This Row],[Player]],TableTECalcPts[PLAYER],0)),"")</f>
        <v/>
      </c>
      <c r="AU88" s="83">
        <f>VLOOKUP(TableTERanks3343[[#This Row],[Player]],TE!B:O,4,FALSE)</f>
        <v>0</v>
      </c>
      <c r="AV88" s="83">
        <f>VLOOKUP(TableTERanks3343[[#This Row],[Player]],TE!B:O,5,FALSE)</f>
        <v>0</v>
      </c>
      <c r="AW88" s="83">
        <f>VLOOKUP(TableTERanks3343[[#This Row],[Player]],TE!B:O,6,FALSE)</f>
        <v>0</v>
      </c>
      <c r="AX88" s="83">
        <f>VLOOKUP(TableTERanks3343[[#This Row],[Player]],TE!B:O,7,FALSE)</f>
        <v>0</v>
      </c>
      <c r="AY88" s="57">
        <f>VLOOKUP(TableTERanks3343[[#This Row],[Player]],TE!B:O,11,FALSE)</f>
        <v>0</v>
      </c>
      <c r="AZ88" s="125" t="str">
        <f>IF(VLOOKUP(TableTERanks3343[[#This Row],[RK]],'Ranks w Proj'!AQ:AZ,10,FALSE)&lt;0,0,VLOOKUP(TableTERanks3343[[#This Row],[RK]],'Ranks w Proj'!AQ:AZ,10,FALSE))</f>
        <v/>
      </c>
    </row>
    <row r="89" spans="16:52" x14ac:dyDescent="0.2">
      <c r="P89">
        <v>88</v>
      </c>
      <c r="Q89" t="str">
        <f>VLOOKUP(TableRBRanks3141[[#This Row],[RK]],Rankings!A:T,8,FALSE)</f>
        <v>Trey Sermon</v>
      </c>
      <c r="R89" t="str">
        <f>IFERROR(INDEX(TableRBCalcPts[TM],MATCH(TableRBRanks3141[[#This Row],[Player]],TableRBCalcPts[PLAYER],0)),"")</f>
        <v>IND</v>
      </c>
      <c r="S89">
        <f>IFERROR(INDEX(TableRBCalcPts[BYE],MATCH(TableRBRanks3141[[#This Row],[Player]],TableRBCalcPts[PLAYER],0)),"")</f>
        <v>11</v>
      </c>
      <c r="T89" s="83">
        <f>VLOOKUP(TableRBRanks3141[[#This Row],[Player]],RB!B:O,4,FALSE)</f>
        <v>43.872443999999994</v>
      </c>
      <c r="U89" s="83">
        <f>VLOOKUP(TableRBRanks3141[[#This Row],[Player]],RB!B:O,5,FALSE)</f>
        <v>175.48977599999998</v>
      </c>
      <c r="V89" s="83">
        <f>VLOOKUP(TableRBRanks3141[[#This Row],[Player]],RB!B:O,6,FALSE)</f>
        <v>1.2723008759999999</v>
      </c>
      <c r="W89" s="83">
        <f>VLOOKUP(TableRBRanks3141[[#This Row],[Player]],RB!B:O,7,FALSE)</f>
        <v>16.098852000000001</v>
      </c>
      <c r="X89" s="83">
        <f>VLOOKUP(TableRBRanks3141[[#This Row],[Player]],RB!B:O,8,FALSE)</f>
        <v>11.2691964</v>
      </c>
      <c r="Y89" s="83">
        <f>VLOOKUP(TableRBRanks3141[[#This Row],[Player]],RB!B:O,9,FALSE)</f>
        <v>80.01129444</v>
      </c>
      <c r="Z89" s="83">
        <f>VLOOKUP(TableRBRanks3141[[#This Row],[Player]],RB!B:O,10,FALSE)</f>
        <v>0.22538392800000001</v>
      </c>
      <c r="AA89" s="57">
        <f>VLOOKUP(TableRBRanks3141[[#This Row],[Player]],RB!B:O,14,FALSE)</f>
        <v>40.170814067999999</v>
      </c>
      <c r="AB89" s="125">
        <f>IF(VLOOKUP(TableRBRanks3141[[#This Row],[RK]],'Ranks w Proj'!$P:$AB,13,FALSE)&lt;0,0,VLOOKUP(TableRBRanks3141[[#This Row],[RK]],'Ranks w Proj'!$P:$AB,13,FALSE))</f>
        <v>0</v>
      </c>
      <c r="AD89">
        <v>88</v>
      </c>
      <c r="AE89" t="str">
        <f>VLOOKUP(TableWRRanks3242[[#This Row],[RK]],Rankings!A:T,13,FALSE)</f>
        <v>Josh Reynolds</v>
      </c>
      <c r="AF89" t="str">
        <f>IFERROR(INDEX(TableWRCalcPts[TM],MATCH(TableWRRanks3242[[#This Row],[Player]],TableWRCalcPts[PLAYER],0)),"")</f>
        <v>DEN</v>
      </c>
      <c r="AG89">
        <f>IFERROR(INDEX(TableWRCalcPts[BYE],MATCH(TableWRRanks3242[[#This Row],[Player]],TableWRCalcPts[PLAYER],0)),"")</f>
        <v>9</v>
      </c>
      <c r="AH89" s="83">
        <f>VLOOKUP(TableWRRanks3242[[#This Row],[Player]],WR!B:O,4,FALSE)</f>
        <v>0</v>
      </c>
      <c r="AI89" s="83">
        <f>VLOOKUP(TableWRRanks3242[[#This Row],[Player]],WR!B:O,5,FALSE)</f>
        <v>0</v>
      </c>
      <c r="AJ89" s="83">
        <f>VLOOKUP(TableWRRanks3242[[#This Row],[Player]],WR!B:O,6,FALSE)</f>
        <v>85.629704999999987</v>
      </c>
      <c r="AK89" s="83">
        <f>VLOOKUP(TableWRRanks3242[[#This Row],[Player]],WR!B:O,7,FALSE)</f>
        <v>50.77841506499999</v>
      </c>
      <c r="AL89" s="83">
        <f>VLOOKUP(TableWRRanks3242[[#This Row],[Player]],WR!B:O,8,FALSE)</f>
        <v>601.21643436959982</v>
      </c>
      <c r="AM89" s="83">
        <f>VLOOKUP(TableWRRanks3242[[#This Row],[Player]],WR!B:O,9,FALSE)</f>
        <v>3.3005969792249994</v>
      </c>
      <c r="AN89" s="57">
        <f>VLOOKUP(TableWRRanks3242[[#This Row],[Player]],WR!B:O,13,FALSE)</f>
        <v>105.31443284480997</v>
      </c>
      <c r="AO89" s="125">
        <f>IF(VLOOKUP(TableWRRanks3242[[#This Row],[RK]],'Ranks w Proj'!AD:AO,12,FALSE)&lt;0,0,VLOOKUP(TableWRRanks3242[[#This Row],[RK]],'Ranks w Proj'!AD:AO,12,FALSE))</f>
        <v>0</v>
      </c>
      <c r="AQ89">
        <v>88</v>
      </c>
      <c r="AR89">
        <f>VLOOKUP(TableTERanks3343[[#This Row],[RK]],Rankings!A:T,18,FALSE)</f>
        <v>0</v>
      </c>
      <c r="AS89" t="str">
        <f>IFERROR(INDEX(TableTECalcPts[TM],MATCH(TableTERanks3343[[#This Row],[Player]],TableTECalcPts[PLAYER],0)),"")</f>
        <v/>
      </c>
      <c r="AT89" t="str">
        <f>IFERROR(INDEX(TableTECalcPts[BYE],MATCH(TableTERanks3343[[#This Row],[Player]],TableTECalcPts[PLAYER],0)),"")</f>
        <v/>
      </c>
      <c r="AU89" s="83">
        <f>VLOOKUP(TableTERanks3343[[#This Row],[Player]],TE!B:O,4,FALSE)</f>
        <v>0</v>
      </c>
      <c r="AV89" s="83">
        <f>VLOOKUP(TableTERanks3343[[#This Row],[Player]],TE!B:O,5,FALSE)</f>
        <v>0</v>
      </c>
      <c r="AW89" s="83">
        <f>VLOOKUP(TableTERanks3343[[#This Row],[Player]],TE!B:O,6,FALSE)</f>
        <v>0</v>
      </c>
      <c r="AX89" s="83">
        <f>VLOOKUP(TableTERanks3343[[#This Row],[Player]],TE!B:O,7,FALSE)</f>
        <v>0</v>
      </c>
      <c r="AY89" s="57">
        <f>VLOOKUP(TableTERanks3343[[#This Row],[Player]],TE!B:O,11,FALSE)</f>
        <v>0</v>
      </c>
      <c r="AZ89" s="125" t="str">
        <f>IF(VLOOKUP(TableTERanks3343[[#This Row],[RK]],'Ranks w Proj'!AQ:AZ,10,FALSE)&lt;0,0,VLOOKUP(TableTERanks3343[[#This Row],[RK]],'Ranks w Proj'!AQ:AZ,10,FALSE))</f>
        <v/>
      </c>
    </row>
    <row r="90" spans="16:52" x14ac:dyDescent="0.2">
      <c r="P90">
        <v>89</v>
      </c>
      <c r="Q90" t="str">
        <f>VLOOKUP(TableRBRanks3141[[#This Row],[RK]],Rankings!A:T,8,FALSE)</f>
        <v>D'Ernest Johnson</v>
      </c>
      <c r="R90" t="str">
        <f>IFERROR(INDEX(TableRBCalcPts[TM],MATCH(TableRBRanks3141[[#This Row],[Player]],TableRBCalcPts[PLAYER],0)),"")</f>
        <v>JAX</v>
      </c>
      <c r="S90">
        <f>IFERROR(INDEX(TableRBCalcPts[BYE],MATCH(TableRBRanks3141[[#This Row],[Player]],TableRBCalcPts[PLAYER],0)),"")</f>
        <v>9</v>
      </c>
      <c r="T90" s="83">
        <f>VLOOKUP(TableRBRanks3141[[#This Row],[Player]],RB!B:O,4,FALSE)</f>
        <v>38.579562000000003</v>
      </c>
      <c r="U90" s="83">
        <f>VLOOKUP(TableRBRanks3141[[#This Row],[Player]],RB!B:O,5,FALSE)</f>
        <v>155.47563486000001</v>
      </c>
      <c r="V90" s="83">
        <f>VLOOKUP(TableRBRanks3141[[#This Row],[Player]],RB!B:O,6,FALSE)</f>
        <v>1.2731255460000002</v>
      </c>
      <c r="W90" s="83">
        <f>VLOOKUP(TableRBRanks3141[[#This Row],[Player]],RB!B:O,7,FALSE)</f>
        <v>6.0425819999999977</v>
      </c>
      <c r="X90" s="83">
        <f>VLOOKUP(TableRBRanks3141[[#This Row],[Player]],RB!B:O,8,FALSE)</f>
        <v>4.616532647999998</v>
      </c>
      <c r="Y90" s="83">
        <f>VLOOKUP(TableRBRanks3141[[#This Row],[Player]],RB!B:O,9,FALSE)</f>
        <v>33.654523003919984</v>
      </c>
      <c r="Z90" s="83">
        <f>VLOOKUP(TableRBRanks3141[[#This Row],[Player]],RB!B:O,10,FALSE)</f>
        <v>0.13849597943999994</v>
      </c>
      <c r="AA90" s="57">
        <f>VLOOKUP(TableRBRanks3141[[#This Row],[Player]],RB!B:O,14,FALSE)</f>
        <v>29.691011263031999</v>
      </c>
      <c r="AB90" s="125">
        <f>IF(VLOOKUP(TableRBRanks3141[[#This Row],[RK]],'Ranks w Proj'!$P:$AB,13,FALSE)&lt;0,0,VLOOKUP(TableRBRanks3141[[#This Row],[RK]],'Ranks w Proj'!$P:$AB,13,FALSE))</f>
        <v>0</v>
      </c>
      <c r="AD90">
        <v>89</v>
      </c>
      <c r="AE90" t="str">
        <f>VLOOKUP(TableWRRanks3242[[#This Row],[RK]],Rankings!A:T,13,FALSE)</f>
        <v>Treylon Burks</v>
      </c>
      <c r="AF90" t="str">
        <f>IFERROR(INDEX(TableWRCalcPts[TM],MATCH(TableWRRanks3242[[#This Row],[Player]],TableWRCalcPts[PLAYER],0)),"")</f>
        <v>TEN</v>
      </c>
      <c r="AG90">
        <f>IFERROR(INDEX(TableWRCalcPts[BYE],MATCH(TableWRRanks3242[[#This Row],[Player]],TableWRCalcPts[PLAYER],0)),"")</f>
        <v>7</v>
      </c>
      <c r="AH90" s="83">
        <f>VLOOKUP(TableWRRanks3242[[#This Row],[Player]],WR!B:O,4,FALSE)</f>
        <v>0</v>
      </c>
      <c r="AI90" s="83">
        <f>VLOOKUP(TableWRRanks3242[[#This Row],[Player]],WR!B:O,5,FALSE)</f>
        <v>0</v>
      </c>
      <c r="AJ90" s="83">
        <f>VLOOKUP(TableWRRanks3242[[#This Row],[Player]],WR!B:O,6,FALSE)</f>
        <v>23.459435999999993</v>
      </c>
      <c r="AK90" s="83">
        <f>VLOOKUP(TableWRRanks3242[[#This Row],[Player]],WR!B:O,7,FALSE)</f>
        <v>13.723770059999994</v>
      </c>
      <c r="AL90" s="83">
        <f>VLOOKUP(TableWRRanks3242[[#This Row],[Player]],WR!B:O,8,FALSE)</f>
        <v>187.32946131899993</v>
      </c>
      <c r="AM90" s="83">
        <f>VLOOKUP(TableWRRanks3242[[#This Row],[Player]],WR!B:O,9,FALSE)</f>
        <v>1.0292827544999996</v>
      </c>
      <c r="AN90" s="57">
        <f>VLOOKUP(TableWRRanks3242[[#This Row],[Player]],WR!B:O,13,FALSE)</f>
        <v>31.770527688899989</v>
      </c>
      <c r="AO90" s="125">
        <f>IF(VLOOKUP(TableWRRanks3242[[#This Row],[RK]],'Ranks w Proj'!AD:AO,12,FALSE)&lt;0,0,VLOOKUP(TableWRRanks3242[[#This Row],[RK]],'Ranks w Proj'!AD:AO,12,FALSE))</f>
        <v>0</v>
      </c>
      <c r="AQ90">
        <v>89</v>
      </c>
      <c r="AR90">
        <f>VLOOKUP(TableTERanks3343[[#This Row],[RK]],Rankings!A:T,18,FALSE)</f>
        <v>0</v>
      </c>
      <c r="AS90" t="str">
        <f>IFERROR(INDEX(TableTECalcPts[TM],MATCH(TableTERanks3343[[#This Row],[Player]],TableTECalcPts[PLAYER],0)),"")</f>
        <v/>
      </c>
      <c r="AT90" t="str">
        <f>IFERROR(INDEX(TableTECalcPts[BYE],MATCH(TableTERanks3343[[#This Row],[Player]],TableTECalcPts[PLAYER],0)),"")</f>
        <v/>
      </c>
      <c r="AU90" s="83">
        <f>VLOOKUP(TableTERanks3343[[#This Row],[Player]],TE!B:O,4,FALSE)</f>
        <v>0</v>
      </c>
      <c r="AV90" s="83">
        <f>VLOOKUP(TableTERanks3343[[#This Row],[Player]],TE!B:O,5,FALSE)</f>
        <v>0</v>
      </c>
      <c r="AW90" s="83">
        <f>VLOOKUP(TableTERanks3343[[#This Row],[Player]],TE!B:O,6,FALSE)</f>
        <v>0</v>
      </c>
      <c r="AX90" s="83">
        <f>VLOOKUP(TableTERanks3343[[#This Row],[Player]],TE!B:O,7,FALSE)</f>
        <v>0</v>
      </c>
      <c r="AY90" s="57">
        <f>VLOOKUP(TableTERanks3343[[#This Row],[Player]],TE!B:O,11,FALSE)</f>
        <v>0</v>
      </c>
      <c r="AZ90" s="125" t="str">
        <f>IF(VLOOKUP(TableTERanks3343[[#This Row],[RK]],'Ranks w Proj'!AQ:AZ,10,FALSE)&lt;0,0,VLOOKUP(TableTERanks3343[[#This Row],[RK]],'Ranks w Proj'!AQ:AZ,10,FALSE))</f>
        <v/>
      </c>
    </row>
    <row r="91" spans="16:52" x14ac:dyDescent="0.2">
      <c r="P91">
        <v>90</v>
      </c>
      <c r="Q91" t="str">
        <f>VLOOKUP(TableRBRanks3141[[#This Row],[RK]],Rankings!A:T,8,FALSE)</f>
        <v>Kenny McIntosh</v>
      </c>
      <c r="R91" t="str">
        <f>IFERROR(INDEX(TableRBCalcPts[TM],MATCH(TableRBRanks3141[[#This Row],[Player]],TableRBCalcPts[PLAYER],0)),"")</f>
        <v>SEA</v>
      </c>
      <c r="S91">
        <f>IFERROR(INDEX(TableRBCalcPts[BYE],MATCH(TableRBRanks3141[[#This Row],[Player]],TableRBCalcPts[PLAYER],0)),"")</f>
        <v>5</v>
      </c>
      <c r="T91" s="83">
        <f>VLOOKUP(TableRBRanks3141[[#This Row],[Player]],RB!B:O,4,FALSE)</f>
        <v>21.984879000000003</v>
      </c>
      <c r="U91" s="83">
        <f>VLOOKUP(TableRBRanks3141[[#This Row],[Player]],RB!B:O,5,FALSE)</f>
        <v>91.896794220000004</v>
      </c>
      <c r="V91" s="83">
        <f>VLOOKUP(TableRBRanks3141[[#This Row],[Player]],RB!B:O,6,FALSE)</f>
        <v>0.65954637000000005</v>
      </c>
      <c r="W91" s="83">
        <f>VLOOKUP(TableRBRanks3141[[#This Row],[Player]],RB!B:O,7,FALSE)</f>
        <v>14.512060499999999</v>
      </c>
      <c r="X91" s="83">
        <f>VLOOKUP(TableRBRanks3141[[#This Row],[Player]],RB!B:O,8,FALSE)</f>
        <v>11.406479552999999</v>
      </c>
      <c r="Y91" s="83">
        <f>VLOOKUP(TableRBRanks3141[[#This Row],[Player]],RB!B:O,9,FALSE)</f>
        <v>82.696976759249992</v>
      </c>
      <c r="Z91" s="83">
        <f>VLOOKUP(TableRBRanks3141[[#This Row],[Player]],RB!B:O,10,FALSE)</f>
        <v>0.28516198882499999</v>
      </c>
      <c r="AA91" s="57">
        <f>VLOOKUP(TableRBRanks3141[[#This Row],[Player]],RB!B:O,14,FALSE)</f>
        <v>28.830867027374996</v>
      </c>
      <c r="AB91" s="125">
        <f>IF(VLOOKUP(TableRBRanks3141[[#This Row],[RK]],'Ranks w Proj'!$P:$AB,13,FALSE)&lt;0,0,VLOOKUP(TableRBRanks3141[[#This Row],[RK]],'Ranks w Proj'!$P:$AB,13,FALSE))</f>
        <v>0</v>
      </c>
      <c r="AD91">
        <v>90</v>
      </c>
      <c r="AE91" t="str">
        <f>VLOOKUP(TableWRRanks3242[[#This Row],[RK]],Rankings!A:T,13,FALSE)</f>
        <v>Ricky Pearsall</v>
      </c>
      <c r="AF91" t="str">
        <f>IFERROR(INDEX(TableWRCalcPts[TM],MATCH(TableWRRanks3242[[#This Row],[Player]],TableWRCalcPts[PLAYER],0)),"")</f>
        <v>SF</v>
      </c>
      <c r="AG91">
        <f>IFERROR(INDEX(TableWRCalcPts[BYE],MATCH(TableWRRanks3242[[#This Row],[Player]],TableWRCalcPts[PLAYER],0)),"")</f>
        <v>9</v>
      </c>
      <c r="AH91" s="83">
        <f>VLOOKUP(TableWRRanks3242[[#This Row],[Player]],WR!B:O,4,FALSE)</f>
        <v>0</v>
      </c>
      <c r="AI91" s="83">
        <f>VLOOKUP(TableWRRanks3242[[#This Row],[Player]],WR!B:O,5,FALSE)</f>
        <v>0</v>
      </c>
      <c r="AJ91" s="83">
        <f>VLOOKUP(TableWRRanks3242[[#This Row],[Player]],WR!B:O,6,FALSE)</f>
        <v>42.602716799999996</v>
      </c>
      <c r="AK91" s="83">
        <f>VLOOKUP(TableWRRanks3242[[#This Row],[Player]],WR!B:O,7,FALSE)</f>
        <v>27.521355052799997</v>
      </c>
      <c r="AL91" s="83">
        <f>VLOOKUP(TableWRRanks3242[[#This Row],[Player]],WR!B:O,8,FALSE)</f>
        <v>356.12633438323195</v>
      </c>
      <c r="AM91" s="83">
        <f>VLOOKUP(TableWRRanks3242[[#This Row],[Player]],WR!B:O,9,FALSE)</f>
        <v>2.3393151794880001</v>
      </c>
      <c r="AN91" s="57">
        <f>VLOOKUP(TableWRRanks3242[[#This Row],[Player]],WR!B:O,13,FALSE)</f>
        <v>63.409202041651184</v>
      </c>
      <c r="AO91" s="125">
        <f>IF(VLOOKUP(TableWRRanks3242[[#This Row],[RK]],'Ranks w Proj'!AD:AO,12,FALSE)&lt;0,0,VLOOKUP(TableWRRanks3242[[#This Row],[RK]],'Ranks w Proj'!AD:AO,12,FALSE))</f>
        <v>0</v>
      </c>
      <c r="AQ91">
        <v>90</v>
      </c>
      <c r="AR91">
        <f>VLOOKUP(TableTERanks3343[[#This Row],[RK]],Rankings!A:T,18,FALSE)</f>
        <v>0</v>
      </c>
      <c r="AS91" t="str">
        <f>IFERROR(INDEX(TableTECalcPts[TM],MATCH(TableTERanks3343[[#This Row],[Player]],TableTECalcPts[PLAYER],0)),"")</f>
        <v/>
      </c>
      <c r="AT91" t="str">
        <f>IFERROR(INDEX(TableTECalcPts[BYE],MATCH(TableTERanks3343[[#This Row],[Player]],TableTECalcPts[PLAYER],0)),"")</f>
        <v/>
      </c>
      <c r="AU91" s="83">
        <f>VLOOKUP(TableTERanks3343[[#This Row],[Player]],TE!B:O,4,FALSE)</f>
        <v>0</v>
      </c>
      <c r="AV91" s="83">
        <f>VLOOKUP(TableTERanks3343[[#This Row],[Player]],TE!B:O,5,FALSE)</f>
        <v>0</v>
      </c>
      <c r="AW91" s="83">
        <f>VLOOKUP(TableTERanks3343[[#This Row],[Player]],TE!B:O,6,FALSE)</f>
        <v>0</v>
      </c>
      <c r="AX91" s="83">
        <f>VLOOKUP(TableTERanks3343[[#This Row],[Player]],TE!B:O,7,FALSE)</f>
        <v>0</v>
      </c>
      <c r="AY91" s="57">
        <f>VLOOKUP(TableTERanks3343[[#This Row],[Player]],TE!B:O,11,FALSE)</f>
        <v>0</v>
      </c>
      <c r="AZ91" s="125" t="str">
        <f>IF(VLOOKUP(TableTERanks3343[[#This Row],[RK]],'Ranks w Proj'!AQ:AZ,10,FALSE)&lt;0,0,VLOOKUP(TableTERanks3343[[#This Row],[RK]],'Ranks w Proj'!AQ:AZ,10,FALSE))</f>
        <v/>
      </c>
    </row>
    <row r="92" spans="16:52" x14ac:dyDescent="0.2">
      <c r="P92">
        <v>91</v>
      </c>
      <c r="Q92">
        <f>VLOOKUP(TableRBRanks3141[[#This Row],[RK]],Rankings!A:T,8,FALSE)</f>
        <v>0</v>
      </c>
      <c r="R92" t="str">
        <f>IFERROR(INDEX(TableRBCalcPts[TM],MATCH(TableRBRanks3141[[#This Row],[Player]],TableRBCalcPts[PLAYER],0)),"")</f>
        <v/>
      </c>
      <c r="S92" t="str">
        <f>IFERROR(INDEX(TableRBCalcPts[BYE],MATCH(TableRBRanks3141[[#This Row],[Player]],TableRBCalcPts[PLAYER],0)),"")</f>
        <v/>
      </c>
      <c r="T92" s="83">
        <f>VLOOKUP(TableRBRanks3141[[#This Row],[Player]],RB!B:O,4,FALSE)</f>
        <v>0</v>
      </c>
      <c r="U92" s="83">
        <f>VLOOKUP(TableRBRanks3141[[#This Row],[Player]],RB!B:O,5,FALSE)</f>
        <v>0</v>
      </c>
      <c r="V92" s="83">
        <f>VLOOKUP(TableRBRanks3141[[#This Row],[Player]],RB!B:O,6,FALSE)</f>
        <v>0</v>
      </c>
      <c r="W92" s="83">
        <f>VLOOKUP(TableRBRanks3141[[#This Row],[Player]],RB!B:O,7,FALSE)</f>
        <v>0</v>
      </c>
      <c r="X92" s="83">
        <f>VLOOKUP(TableRBRanks3141[[#This Row],[Player]],RB!B:O,8,FALSE)</f>
        <v>0</v>
      </c>
      <c r="Y92" s="83">
        <f>VLOOKUP(TableRBRanks3141[[#This Row],[Player]],RB!B:O,9,FALSE)</f>
        <v>0</v>
      </c>
      <c r="Z92" s="83">
        <f>VLOOKUP(TableRBRanks3141[[#This Row],[Player]],RB!B:O,10,FALSE)</f>
        <v>0</v>
      </c>
      <c r="AA92" s="57">
        <f>VLOOKUP(TableRBRanks3141[[#This Row],[Player]],RB!B:O,14,FALSE)</f>
        <v>0</v>
      </c>
      <c r="AB92" s="125">
        <f>IF(VLOOKUP(TableRBRanks3141[[#This Row],[RK]],'Ranks w Proj'!$P:$AB,13,FALSE)&lt;0,0,VLOOKUP(TableRBRanks3141[[#This Row],[RK]],'Ranks w Proj'!$P:$AB,13,FALSE))</f>
        <v>0</v>
      </c>
      <c r="AD92">
        <v>91</v>
      </c>
      <c r="AE92" t="str">
        <f>VLOOKUP(TableWRRanks3242[[#This Row],[RK]],Rankings!A:T,13,FALSE)</f>
        <v>JuJu Smith-Schuster</v>
      </c>
      <c r="AF92" t="str">
        <f>IFERROR(INDEX(TableWRCalcPts[TM],MATCH(TableWRRanks3242[[#This Row],[Player]],TableWRCalcPts[PLAYER],0)),"")</f>
        <v>NE</v>
      </c>
      <c r="AG92">
        <f>IFERROR(INDEX(TableWRCalcPts[BYE],MATCH(TableWRRanks3242[[#This Row],[Player]],TableWRCalcPts[PLAYER],0)),"")</f>
        <v>11</v>
      </c>
      <c r="AH92" s="83">
        <f>VLOOKUP(TableWRRanks3242[[#This Row],[Player]],WR!B:O,4,FALSE)</f>
        <v>0</v>
      </c>
      <c r="AI92" s="83">
        <f>VLOOKUP(TableWRRanks3242[[#This Row],[Player]],WR!B:O,5,FALSE)</f>
        <v>0</v>
      </c>
      <c r="AJ92" s="83">
        <f>VLOOKUP(TableWRRanks3242[[#This Row],[Player]],WR!B:O,6,FALSE)</f>
        <v>56.688295999999987</v>
      </c>
      <c r="AK92" s="83">
        <f>VLOOKUP(TableWRRanks3242[[#This Row],[Player]],WR!B:O,7,FALSE)</f>
        <v>35.37349670399999</v>
      </c>
      <c r="AL92" s="83">
        <f>VLOOKUP(TableWRRanks3242[[#This Row],[Player]],WR!B:O,8,FALSE)</f>
        <v>345.5990627980799</v>
      </c>
      <c r="AM92" s="83">
        <f>VLOOKUP(TableWRRanks3242[[#This Row],[Player]],WR!B:O,9,FALSE)</f>
        <v>2.0516628088319995</v>
      </c>
      <c r="AN92" s="57">
        <f>VLOOKUP(TableWRRanks3242[[#This Row],[Player]],WR!B:O,13,FALSE)</f>
        <v>64.556631484799979</v>
      </c>
      <c r="AO92" s="125">
        <f>IF(VLOOKUP(TableWRRanks3242[[#This Row],[RK]],'Ranks w Proj'!AD:AO,12,FALSE)&lt;0,0,VLOOKUP(TableWRRanks3242[[#This Row],[RK]],'Ranks w Proj'!AD:AO,12,FALSE))</f>
        <v>0</v>
      </c>
      <c r="AQ92">
        <v>91</v>
      </c>
      <c r="AR92">
        <f>VLOOKUP(TableTERanks3343[[#This Row],[RK]],Rankings!A:T,18,FALSE)</f>
        <v>0</v>
      </c>
      <c r="AS92" t="str">
        <f>IFERROR(INDEX(TableTECalcPts[TM],MATCH(TableTERanks3343[[#This Row],[Player]],TableTECalcPts[PLAYER],0)),"")</f>
        <v/>
      </c>
      <c r="AT92" t="str">
        <f>IFERROR(INDEX(TableTECalcPts[BYE],MATCH(TableTERanks3343[[#This Row],[Player]],TableTECalcPts[PLAYER],0)),"")</f>
        <v/>
      </c>
      <c r="AU92" s="83">
        <f>VLOOKUP(TableTERanks3343[[#This Row],[Player]],TE!B:O,4,FALSE)</f>
        <v>0</v>
      </c>
      <c r="AV92" s="83">
        <f>VLOOKUP(TableTERanks3343[[#This Row],[Player]],TE!B:O,5,FALSE)</f>
        <v>0</v>
      </c>
      <c r="AW92" s="83">
        <f>VLOOKUP(TableTERanks3343[[#This Row],[Player]],TE!B:O,6,FALSE)</f>
        <v>0</v>
      </c>
      <c r="AX92" s="83">
        <f>VLOOKUP(TableTERanks3343[[#This Row],[Player]],TE!B:O,7,FALSE)</f>
        <v>0</v>
      </c>
      <c r="AY92" s="57">
        <f>VLOOKUP(TableTERanks3343[[#This Row],[Player]],TE!B:O,11,FALSE)</f>
        <v>0</v>
      </c>
      <c r="AZ92" s="125" t="str">
        <f>IF(VLOOKUP(TableTERanks3343[[#This Row],[RK]],'Ranks w Proj'!AQ:AZ,10,FALSE)&lt;0,0,VLOOKUP(TableTERanks3343[[#This Row],[RK]],'Ranks w Proj'!AQ:AZ,10,FALSE))</f>
        <v/>
      </c>
    </row>
    <row r="93" spans="16:52" x14ac:dyDescent="0.2">
      <c r="P93">
        <v>92</v>
      </c>
      <c r="Q93">
        <f>VLOOKUP(TableRBRanks3141[[#This Row],[RK]],Rankings!A:T,8,FALSE)</f>
        <v>0</v>
      </c>
      <c r="R93" t="str">
        <f>IFERROR(INDEX(TableRBCalcPts[TM],MATCH(TableRBRanks3141[[#This Row],[Player]],TableRBCalcPts[PLAYER],0)),"")</f>
        <v/>
      </c>
      <c r="S93" t="str">
        <f>IFERROR(INDEX(TableRBCalcPts[BYE],MATCH(TableRBRanks3141[[#This Row],[Player]],TableRBCalcPts[PLAYER],0)),"")</f>
        <v/>
      </c>
      <c r="T93" s="83">
        <f>VLOOKUP(TableRBRanks3141[[#This Row],[Player]],RB!B:O,4,FALSE)</f>
        <v>0</v>
      </c>
      <c r="U93" s="83">
        <f>VLOOKUP(TableRBRanks3141[[#This Row],[Player]],RB!B:O,5,FALSE)</f>
        <v>0</v>
      </c>
      <c r="V93" s="83">
        <f>VLOOKUP(TableRBRanks3141[[#This Row],[Player]],RB!B:O,6,FALSE)</f>
        <v>0</v>
      </c>
      <c r="W93" s="83">
        <f>VLOOKUP(TableRBRanks3141[[#This Row],[Player]],RB!B:O,7,FALSE)</f>
        <v>0</v>
      </c>
      <c r="X93" s="83">
        <f>VLOOKUP(TableRBRanks3141[[#This Row],[Player]],RB!B:O,8,FALSE)</f>
        <v>0</v>
      </c>
      <c r="Y93" s="83">
        <f>VLOOKUP(TableRBRanks3141[[#This Row],[Player]],RB!B:O,9,FALSE)</f>
        <v>0</v>
      </c>
      <c r="Z93" s="83">
        <f>VLOOKUP(TableRBRanks3141[[#This Row],[Player]],RB!B:O,10,FALSE)</f>
        <v>0</v>
      </c>
      <c r="AA93" s="57">
        <f>VLOOKUP(TableRBRanks3141[[#This Row],[Player]],RB!B:O,14,FALSE)</f>
        <v>0</v>
      </c>
      <c r="AB93" s="125">
        <f>IF(VLOOKUP(TableRBRanks3141[[#This Row],[RK]],'Ranks w Proj'!$P:$AB,13,FALSE)&lt;0,0,VLOOKUP(TableRBRanks3141[[#This Row],[RK]],'Ranks w Proj'!$P:$AB,13,FALSE))</f>
        <v>0</v>
      </c>
      <c r="AD93">
        <v>92</v>
      </c>
      <c r="AE93" t="str">
        <f>VLOOKUP(TableWRRanks3242[[#This Row],[RK]],Rankings!A:T,13,FALSE)</f>
        <v>Jalin Hyatt</v>
      </c>
      <c r="AF93" t="str">
        <f>IFERROR(INDEX(TableWRCalcPts[TM],MATCH(TableWRRanks3242[[#This Row],[Player]],TableWRCalcPts[PLAYER],0)),"")</f>
        <v>NYG</v>
      </c>
      <c r="AG93">
        <f>IFERROR(INDEX(TableWRCalcPts[BYE],MATCH(TableWRRanks3242[[#This Row],[Player]],TableWRCalcPts[PLAYER],0)),"")</f>
        <v>13</v>
      </c>
      <c r="AH93" s="83">
        <f>VLOOKUP(TableWRRanks3242[[#This Row],[Player]],WR!B:O,4,FALSE)</f>
        <v>0</v>
      </c>
      <c r="AI93" s="83">
        <f>VLOOKUP(TableWRRanks3242[[#This Row],[Player]],WR!B:O,5,FALSE)</f>
        <v>0</v>
      </c>
      <c r="AJ93" s="83">
        <f>VLOOKUP(TableWRRanks3242[[#This Row],[Player]],WR!B:O,6,FALSE)</f>
        <v>29.424695999999987</v>
      </c>
      <c r="AK93" s="83">
        <f>VLOOKUP(TableWRRanks3242[[#This Row],[Player]],WR!B:O,7,FALSE)</f>
        <v>16.507254455999995</v>
      </c>
      <c r="AL93" s="83">
        <f>VLOOKUP(TableWRRanks3242[[#This Row],[Player]],WR!B:O,8,FALSE)</f>
        <v>232.75228782959991</v>
      </c>
      <c r="AM93" s="83">
        <f>VLOOKUP(TableWRRanks3242[[#This Row],[Player]],WR!B:O,9,FALSE)</f>
        <v>0.90789899507999972</v>
      </c>
      <c r="AN93" s="57">
        <f>VLOOKUP(TableWRRanks3242[[#This Row],[Player]],WR!B:O,13,FALSE)</f>
        <v>36.976249981439992</v>
      </c>
      <c r="AO93" s="125">
        <f>IF(VLOOKUP(TableWRRanks3242[[#This Row],[RK]],'Ranks w Proj'!AD:AO,12,FALSE)&lt;0,0,VLOOKUP(TableWRRanks3242[[#This Row],[RK]],'Ranks w Proj'!AD:AO,12,FALSE))</f>
        <v>0</v>
      </c>
      <c r="AQ93">
        <v>92</v>
      </c>
      <c r="AR93">
        <f>VLOOKUP(TableTERanks3343[[#This Row],[RK]],Rankings!A:T,18,FALSE)</f>
        <v>0</v>
      </c>
      <c r="AS93" t="str">
        <f>IFERROR(INDEX(TableTECalcPts[TM],MATCH(TableTERanks3343[[#This Row],[Player]],TableTECalcPts[PLAYER],0)),"")</f>
        <v/>
      </c>
      <c r="AT93" t="str">
        <f>IFERROR(INDEX(TableTECalcPts[BYE],MATCH(TableTERanks3343[[#This Row],[Player]],TableTECalcPts[PLAYER],0)),"")</f>
        <v/>
      </c>
      <c r="AU93" s="83">
        <f>VLOOKUP(TableTERanks3343[[#This Row],[Player]],TE!B:O,4,FALSE)</f>
        <v>0</v>
      </c>
      <c r="AV93" s="83">
        <f>VLOOKUP(TableTERanks3343[[#This Row],[Player]],TE!B:O,5,FALSE)</f>
        <v>0</v>
      </c>
      <c r="AW93" s="83">
        <f>VLOOKUP(TableTERanks3343[[#This Row],[Player]],TE!B:O,6,FALSE)</f>
        <v>0</v>
      </c>
      <c r="AX93" s="83">
        <f>VLOOKUP(TableTERanks3343[[#This Row],[Player]],TE!B:O,7,FALSE)</f>
        <v>0</v>
      </c>
      <c r="AY93" s="57">
        <f>VLOOKUP(TableTERanks3343[[#This Row],[Player]],TE!B:O,11,FALSE)</f>
        <v>0</v>
      </c>
      <c r="AZ93" s="125" t="str">
        <f>IF(VLOOKUP(TableTERanks3343[[#This Row],[RK]],'Ranks w Proj'!AQ:AZ,10,FALSE)&lt;0,0,VLOOKUP(TableTERanks3343[[#This Row],[RK]],'Ranks w Proj'!AQ:AZ,10,FALSE))</f>
        <v/>
      </c>
    </row>
    <row r="94" spans="16:52" x14ac:dyDescent="0.2">
      <c r="P94">
        <v>93</v>
      </c>
      <c r="Q94">
        <f>VLOOKUP(TableRBRanks3141[[#This Row],[RK]],Rankings!A:T,8,FALSE)</f>
        <v>0</v>
      </c>
      <c r="R94" t="str">
        <f>IFERROR(INDEX(TableRBCalcPts[TM],MATCH(TableRBRanks3141[[#This Row],[Player]],TableRBCalcPts[PLAYER],0)),"")</f>
        <v/>
      </c>
      <c r="S94" t="str">
        <f>IFERROR(INDEX(TableRBCalcPts[BYE],MATCH(TableRBRanks3141[[#This Row],[Player]],TableRBCalcPts[PLAYER],0)),"")</f>
        <v/>
      </c>
      <c r="T94" s="83">
        <f>VLOOKUP(TableRBRanks3141[[#This Row],[Player]],RB!B:O,4,FALSE)</f>
        <v>0</v>
      </c>
      <c r="U94" s="83">
        <f>VLOOKUP(TableRBRanks3141[[#This Row],[Player]],RB!B:O,5,FALSE)</f>
        <v>0</v>
      </c>
      <c r="V94" s="83">
        <f>VLOOKUP(TableRBRanks3141[[#This Row],[Player]],RB!B:O,6,FALSE)</f>
        <v>0</v>
      </c>
      <c r="W94" s="83">
        <f>VLOOKUP(TableRBRanks3141[[#This Row],[Player]],RB!B:O,7,FALSE)</f>
        <v>0</v>
      </c>
      <c r="X94" s="83">
        <f>VLOOKUP(TableRBRanks3141[[#This Row],[Player]],RB!B:O,8,FALSE)</f>
        <v>0</v>
      </c>
      <c r="Y94" s="83">
        <f>VLOOKUP(TableRBRanks3141[[#This Row],[Player]],RB!B:O,9,FALSE)</f>
        <v>0</v>
      </c>
      <c r="Z94" s="83">
        <f>VLOOKUP(TableRBRanks3141[[#This Row],[Player]],RB!B:O,10,FALSE)</f>
        <v>0</v>
      </c>
      <c r="AA94" s="57">
        <f>VLOOKUP(TableRBRanks3141[[#This Row],[Player]],RB!B:O,14,FALSE)</f>
        <v>0</v>
      </c>
      <c r="AB94" s="125">
        <f>IF(VLOOKUP(TableRBRanks3141[[#This Row],[RK]],'Ranks w Proj'!$P:$AB,13,FALSE)&lt;0,0,VLOOKUP(TableRBRanks3141[[#This Row],[RK]],'Ranks w Proj'!$P:$AB,13,FALSE))</f>
        <v>0</v>
      </c>
      <c r="AD94">
        <v>93</v>
      </c>
      <c r="AE94" t="str">
        <f>VLOOKUP(TableWRRanks3242[[#This Row],[RK]],Rankings!A:T,13,FALSE)</f>
        <v>DeVante Parker</v>
      </c>
      <c r="AF94" t="str">
        <f>IFERROR(INDEX(TableWRCalcPts[TM],MATCH(TableWRRanks3242[[#This Row],[Player]],TableWRCalcPts[PLAYER],0)),"")</f>
        <v>PHI</v>
      </c>
      <c r="AG94">
        <f>IFERROR(INDEX(TableWRCalcPts[BYE],MATCH(TableWRRanks3242[[#This Row],[Player]],TableWRCalcPts[PLAYER],0)),"")</f>
        <v>10</v>
      </c>
      <c r="AH94" s="83">
        <f>VLOOKUP(TableWRRanks3242[[#This Row],[Player]],WR!B:O,4,FALSE)</f>
        <v>0</v>
      </c>
      <c r="AI94" s="83">
        <f>VLOOKUP(TableWRRanks3242[[#This Row],[Player]],WR!B:O,5,FALSE)</f>
        <v>0</v>
      </c>
      <c r="AJ94" s="83">
        <f>VLOOKUP(TableWRRanks3242[[#This Row],[Player]],WR!B:O,6,FALSE)</f>
        <v>41.838552000000007</v>
      </c>
      <c r="AK94" s="83">
        <f>VLOOKUP(TableWRRanks3242[[#This Row],[Player]],WR!B:O,7,FALSE)</f>
        <v>25.186808304000003</v>
      </c>
      <c r="AL94" s="83">
        <f>VLOOKUP(TableWRRanks3242[[#This Row],[Player]],WR!B:O,8,FALSE)</f>
        <v>321.13180587600004</v>
      </c>
      <c r="AM94" s="83">
        <f>VLOOKUP(TableWRRanks3242[[#This Row],[Player]],WR!B:O,9,FALSE)</f>
        <v>1.8890106228000001</v>
      </c>
      <c r="AN94" s="57">
        <f>VLOOKUP(TableWRRanks3242[[#This Row],[Player]],WR!B:O,13,FALSE)</f>
        <v>56.040648476400008</v>
      </c>
      <c r="AO94" s="125">
        <f>IF(VLOOKUP(TableWRRanks3242[[#This Row],[RK]],'Ranks w Proj'!AD:AO,12,FALSE)&lt;0,0,VLOOKUP(TableWRRanks3242[[#This Row],[RK]],'Ranks w Proj'!AD:AO,12,FALSE))</f>
        <v>0</v>
      </c>
      <c r="AQ94">
        <v>93</v>
      </c>
      <c r="AR94">
        <f>VLOOKUP(TableTERanks3343[[#This Row],[RK]],Rankings!A:T,18,FALSE)</f>
        <v>0</v>
      </c>
      <c r="AS94" t="str">
        <f>IFERROR(INDEX(TableTECalcPts[TM],MATCH(TableTERanks3343[[#This Row],[Player]],TableTECalcPts[PLAYER],0)),"")</f>
        <v/>
      </c>
      <c r="AT94" t="str">
        <f>IFERROR(INDEX(TableTECalcPts[BYE],MATCH(TableTERanks3343[[#This Row],[Player]],TableTECalcPts[PLAYER],0)),"")</f>
        <v/>
      </c>
      <c r="AU94" s="83">
        <f>VLOOKUP(TableTERanks3343[[#This Row],[Player]],TE!B:O,4,FALSE)</f>
        <v>0</v>
      </c>
      <c r="AV94" s="83">
        <f>VLOOKUP(TableTERanks3343[[#This Row],[Player]],TE!B:O,5,FALSE)</f>
        <v>0</v>
      </c>
      <c r="AW94" s="83">
        <f>VLOOKUP(TableTERanks3343[[#This Row],[Player]],TE!B:O,6,FALSE)</f>
        <v>0</v>
      </c>
      <c r="AX94" s="83">
        <f>VLOOKUP(TableTERanks3343[[#This Row],[Player]],TE!B:O,7,FALSE)</f>
        <v>0</v>
      </c>
      <c r="AY94" s="57">
        <f>VLOOKUP(TableTERanks3343[[#This Row],[Player]],TE!B:O,11,FALSE)</f>
        <v>0</v>
      </c>
      <c r="AZ94" s="125" t="str">
        <f>IF(VLOOKUP(TableTERanks3343[[#This Row],[RK]],'Ranks w Proj'!AQ:AZ,10,FALSE)&lt;0,0,VLOOKUP(TableTERanks3343[[#This Row],[RK]],'Ranks w Proj'!AQ:AZ,10,FALSE))</f>
        <v/>
      </c>
    </row>
    <row r="95" spans="16:52" x14ac:dyDescent="0.2">
      <c r="P95">
        <v>94</v>
      </c>
      <c r="Q95">
        <f>VLOOKUP(TableRBRanks3141[[#This Row],[RK]],Rankings!A:T,8,FALSE)</f>
        <v>0</v>
      </c>
      <c r="R95" t="str">
        <f>IFERROR(INDEX(TableRBCalcPts[TM],MATCH(TableRBRanks3141[[#This Row],[Player]],TableRBCalcPts[PLAYER],0)),"")</f>
        <v/>
      </c>
      <c r="S95" t="str">
        <f>IFERROR(INDEX(TableRBCalcPts[BYE],MATCH(TableRBRanks3141[[#This Row],[Player]],TableRBCalcPts[PLAYER],0)),"")</f>
        <v/>
      </c>
      <c r="T95" s="83">
        <f>VLOOKUP(TableRBRanks3141[[#This Row],[Player]],RB!B:O,4,FALSE)</f>
        <v>0</v>
      </c>
      <c r="U95" s="83">
        <f>VLOOKUP(TableRBRanks3141[[#This Row],[Player]],RB!B:O,5,FALSE)</f>
        <v>0</v>
      </c>
      <c r="V95" s="83">
        <f>VLOOKUP(TableRBRanks3141[[#This Row],[Player]],RB!B:O,6,FALSE)</f>
        <v>0</v>
      </c>
      <c r="W95" s="83">
        <f>VLOOKUP(TableRBRanks3141[[#This Row],[Player]],RB!B:O,7,FALSE)</f>
        <v>0</v>
      </c>
      <c r="X95" s="83">
        <f>VLOOKUP(TableRBRanks3141[[#This Row],[Player]],RB!B:O,8,FALSE)</f>
        <v>0</v>
      </c>
      <c r="Y95" s="83">
        <f>VLOOKUP(TableRBRanks3141[[#This Row],[Player]],RB!B:O,9,FALSE)</f>
        <v>0</v>
      </c>
      <c r="Z95" s="83">
        <f>VLOOKUP(TableRBRanks3141[[#This Row],[Player]],RB!B:O,10,FALSE)</f>
        <v>0</v>
      </c>
      <c r="AA95" s="57">
        <f>VLOOKUP(TableRBRanks3141[[#This Row],[Player]],RB!B:O,14,FALSE)</f>
        <v>0</v>
      </c>
      <c r="AB95" s="125">
        <f>IF(VLOOKUP(TableRBRanks3141[[#This Row],[RK]],'Ranks w Proj'!$P:$AB,13,FALSE)&lt;0,0,VLOOKUP(TableRBRanks3141[[#This Row],[RK]],'Ranks w Proj'!$P:$AB,13,FALSE))</f>
        <v>0</v>
      </c>
      <c r="AD95">
        <v>94</v>
      </c>
      <c r="AE95" t="str">
        <f>VLOOKUP(TableWRRanks3242[[#This Row],[RK]],Rankings!A:T,13,FALSE)</f>
        <v>Kadarius Toney</v>
      </c>
      <c r="AF95" t="str">
        <f>IFERROR(INDEX(TableWRCalcPts[TM],MATCH(TableWRRanks3242[[#This Row],[Player]],TableWRCalcPts[PLAYER],0)),"")</f>
        <v>KC</v>
      </c>
      <c r="AG95">
        <f>IFERROR(INDEX(TableWRCalcPts[BYE],MATCH(TableWRRanks3242[[#This Row],[Player]],TableWRCalcPts[PLAYER],0)),"")</f>
        <v>10</v>
      </c>
      <c r="AH95" s="83">
        <f>VLOOKUP(TableWRRanks3242[[#This Row],[Player]],WR!B:O,4,FALSE)</f>
        <v>0</v>
      </c>
      <c r="AI95" s="83">
        <f>VLOOKUP(TableWRRanks3242[[#This Row],[Player]],WR!B:O,5,FALSE)</f>
        <v>0</v>
      </c>
      <c r="AJ95" s="83">
        <f>VLOOKUP(TableWRRanks3242[[#This Row],[Player]],WR!B:O,6,FALSE)</f>
        <v>37.820159999999987</v>
      </c>
      <c r="AK95" s="83">
        <f>VLOOKUP(TableWRRanks3242[[#This Row],[Player]],WR!B:O,7,FALSE)</f>
        <v>27.19269503999999</v>
      </c>
      <c r="AL95" s="83">
        <f>VLOOKUP(TableWRRanks3242[[#This Row],[Player]],WR!B:O,8,FALSE)</f>
        <v>268.39190004479985</v>
      </c>
      <c r="AM95" s="83">
        <f>VLOOKUP(TableWRRanks3242[[#This Row],[Player]],WR!B:O,9,FALSE)</f>
        <v>2.3113790783999995</v>
      </c>
      <c r="AN95" s="57">
        <f>VLOOKUP(TableWRRanks3242[[#This Row],[Player]],WR!B:O,13,FALSE)</f>
        <v>54.303811994879979</v>
      </c>
      <c r="AO95" s="125">
        <f>IF(VLOOKUP(TableWRRanks3242[[#This Row],[RK]],'Ranks w Proj'!AD:AO,12,FALSE)&lt;0,0,VLOOKUP(TableWRRanks3242[[#This Row],[RK]],'Ranks w Proj'!AD:AO,12,FALSE))</f>
        <v>0</v>
      </c>
      <c r="AQ95">
        <v>94</v>
      </c>
      <c r="AR95">
        <f>VLOOKUP(TableTERanks3343[[#This Row],[RK]],Rankings!A:T,18,FALSE)</f>
        <v>0</v>
      </c>
      <c r="AS95" t="str">
        <f>IFERROR(INDEX(TableTECalcPts[TM],MATCH(TableTERanks3343[[#This Row],[Player]],TableTECalcPts[PLAYER],0)),"")</f>
        <v/>
      </c>
      <c r="AT95" t="str">
        <f>IFERROR(INDEX(TableTECalcPts[BYE],MATCH(TableTERanks3343[[#This Row],[Player]],TableTECalcPts[PLAYER],0)),"")</f>
        <v/>
      </c>
      <c r="AU95" s="83">
        <f>VLOOKUP(TableTERanks3343[[#This Row],[Player]],TE!B:O,4,FALSE)</f>
        <v>0</v>
      </c>
      <c r="AV95" s="83">
        <f>VLOOKUP(TableTERanks3343[[#This Row],[Player]],TE!B:O,5,FALSE)</f>
        <v>0</v>
      </c>
      <c r="AW95" s="83">
        <f>VLOOKUP(TableTERanks3343[[#This Row],[Player]],TE!B:O,6,FALSE)</f>
        <v>0</v>
      </c>
      <c r="AX95" s="83">
        <f>VLOOKUP(TableTERanks3343[[#This Row],[Player]],TE!B:O,7,FALSE)</f>
        <v>0</v>
      </c>
      <c r="AY95" s="57">
        <f>VLOOKUP(TableTERanks3343[[#This Row],[Player]],TE!B:O,11,FALSE)</f>
        <v>0</v>
      </c>
      <c r="AZ95" s="125" t="str">
        <f>IF(VLOOKUP(TableTERanks3343[[#This Row],[RK]],'Ranks w Proj'!AQ:AZ,10,FALSE)&lt;0,0,VLOOKUP(TableTERanks3343[[#This Row],[RK]],'Ranks w Proj'!AQ:AZ,10,FALSE))</f>
        <v/>
      </c>
    </row>
    <row r="96" spans="16:52" x14ac:dyDescent="0.2">
      <c r="P96">
        <v>95</v>
      </c>
      <c r="Q96">
        <f>VLOOKUP(TableRBRanks3141[[#This Row],[RK]],Rankings!A:T,8,FALSE)</f>
        <v>0</v>
      </c>
      <c r="R96" t="str">
        <f>IFERROR(INDEX(TableRBCalcPts[TM],MATCH(TableRBRanks3141[[#This Row],[Player]],TableRBCalcPts[PLAYER],0)),"")</f>
        <v/>
      </c>
      <c r="S96" t="str">
        <f>IFERROR(INDEX(TableRBCalcPts[BYE],MATCH(TableRBRanks3141[[#This Row],[Player]],TableRBCalcPts[PLAYER],0)),"")</f>
        <v/>
      </c>
      <c r="T96" s="83">
        <f>VLOOKUP(TableRBRanks3141[[#This Row],[Player]],RB!B:O,4,FALSE)</f>
        <v>0</v>
      </c>
      <c r="U96" s="83">
        <f>VLOOKUP(TableRBRanks3141[[#This Row],[Player]],RB!B:O,5,FALSE)</f>
        <v>0</v>
      </c>
      <c r="V96" s="83">
        <f>VLOOKUP(TableRBRanks3141[[#This Row],[Player]],RB!B:O,6,FALSE)</f>
        <v>0</v>
      </c>
      <c r="W96" s="83">
        <f>VLOOKUP(TableRBRanks3141[[#This Row],[Player]],RB!B:O,7,FALSE)</f>
        <v>0</v>
      </c>
      <c r="X96" s="83">
        <f>VLOOKUP(TableRBRanks3141[[#This Row],[Player]],RB!B:O,8,FALSE)</f>
        <v>0</v>
      </c>
      <c r="Y96" s="83">
        <f>VLOOKUP(TableRBRanks3141[[#This Row],[Player]],RB!B:O,9,FALSE)</f>
        <v>0</v>
      </c>
      <c r="Z96" s="83">
        <f>VLOOKUP(TableRBRanks3141[[#This Row],[Player]],RB!B:O,10,FALSE)</f>
        <v>0</v>
      </c>
      <c r="AA96" s="57">
        <f>VLOOKUP(TableRBRanks3141[[#This Row],[Player]],RB!B:O,14,FALSE)</f>
        <v>0</v>
      </c>
      <c r="AB96" s="125">
        <f>IF(VLOOKUP(TableRBRanks3141[[#This Row],[RK]],'Ranks w Proj'!$P:$AB,13,FALSE)&lt;0,0,VLOOKUP(TableRBRanks3141[[#This Row],[RK]],'Ranks w Proj'!$P:$AB,13,FALSE))</f>
        <v>0</v>
      </c>
      <c r="AD96">
        <v>95</v>
      </c>
      <c r="AE96" t="str">
        <f>VLOOKUP(TableWRRanks3242[[#This Row],[RK]],Rankings!A:T,13,FALSE)</f>
        <v>Cedric Tillman</v>
      </c>
      <c r="AF96" t="str">
        <f>IFERROR(INDEX(TableWRCalcPts[TM],MATCH(TableWRRanks3242[[#This Row],[Player]],TableWRCalcPts[PLAYER],0)),"")</f>
        <v>CLE</v>
      </c>
      <c r="AG96">
        <f>IFERROR(INDEX(TableWRCalcPts[BYE],MATCH(TableWRRanks3242[[#This Row],[Player]],TableWRCalcPts[PLAYER],0)),"")</f>
        <v>5</v>
      </c>
      <c r="AH96" s="83">
        <f>VLOOKUP(TableWRRanks3242[[#This Row],[Player]],WR!B:O,4,FALSE)</f>
        <v>0</v>
      </c>
      <c r="AI96" s="83">
        <f>VLOOKUP(TableWRRanks3242[[#This Row],[Player]],WR!B:O,5,FALSE)</f>
        <v>0</v>
      </c>
      <c r="AJ96" s="83">
        <f>VLOOKUP(TableWRRanks3242[[#This Row],[Player]],WR!B:O,6,FALSE)</f>
        <v>32.259149999999998</v>
      </c>
      <c r="AK96" s="83">
        <f>VLOOKUP(TableWRRanks3242[[#This Row],[Player]],WR!B:O,7,FALSE)</f>
        <v>18.065124000000001</v>
      </c>
      <c r="AL96" s="83">
        <f>VLOOKUP(TableWRRanks3242[[#This Row],[Player]],WR!B:O,8,FALSE)</f>
        <v>224.00753760000001</v>
      </c>
      <c r="AM96" s="83">
        <f>VLOOKUP(TableWRRanks3242[[#This Row],[Player]],WR!B:O,9,FALSE)</f>
        <v>1.4452099200000001</v>
      </c>
      <c r="AN96" s="57">
        <f>VLOOKUP(TableWRRanks3242[[#This Row],[Player]],WR!B:O,13,FALSE)</f>
        <v>40.104575279999999</v>
      </c>
      <c r="AO96" s="125">
        <f>IF(VLOOKUP(TableWRRanks3242[[#This Row],[RK]],'Ranks w Proj'!AD:AO,12,FALSE)&lt;0,0,VLOOKUP(TableWRRanks3242[[#This Row],[RK]],'Ranks w Proj'!AD:AO,12,FALSE))</f>
        <v>0</v>
      </c>
      <c r="AQ96">
        <v>95</v>
      </c>
      <c r="AR96">
        <f>VLOOKUP(TableTERanks3343[[#This Row],[RK]],Rankings!A:T,18,FALSE)</f>
        <v>0</v>
      </c>
      <c r="AS96" t="str">
        <f>IFERROR(INDEX(TableTECalcPts[TM],MATCH(TableTERanks3343[[#This Row],[Player]],TableTECalcPts[PLAYER],0)),"")</f>
        <v/>
      </c>
      <c r="AT96" t="str">
        <f>IFERROR(INDEX(TableTECalcPts[BYE],MATCH(TableTERanks3343[[#This Row],[Player]],TableTECalcPts[PLAYER],0)),"")</f>
        <v/>
      </c>
      <c r="AU96" s="83">
        <f>VLOOKUP(TableTERanks3343[[#This Row],[Player]],TE!B:O,4,FALSE)</f>
        <v>0</v>
      </c>
      <c r="AV96" s="83">
        <f>VLOOKUP(TableTERanks3343[[#This Row],[Player]],TE!B:O,5,FALSE)</f>
        <v>0</v>
      </c>
      <c r="AW96" s="83">
        <f>VLOOKUP(TableTERanks3343[[#This Row],[Player]],TE!B:O,6,FALSE)</f>
        <v>0</v>
      </c>
      <c r="AX96" s="83">
        <f>VLOOKUP(TableTERanks3343[[#This Row],[Player]],TE!B:O,7,FALSE)</f>
        <v>0</v>
      </c>
      <c r="AY96" s="57">
        <f>VLOOKUP(TableTERanks3343[[#This Row],[Player]],TE!B:O,11,FALSE)</f>
        <v>0</v>
      </c>
      <c r="AZ96" s="125" t="str">
        <f>IF(VLOOKUP(TableTERanks3343[[#This Row],[RK]],'Ranks w Proj'!AQ:AZ,10,FALSE)&lt;0,0,VLOOKUP(TableTERanks3343[[#This Row],[RK]],'Ranks w Proj'!AQ:AZ,10,FALSE))</f>
        <v/>
      </c>
    </row>
    <row r="97" spans="16:52" x14ac:dyDescent="0.2">
      <c r="P97">
        <v>96</v>
      </c>
      <c r="Q97">
        <f>VLOOKUP(TableRBRanks3141[[#This Row],[RK]],Rankings!A:T,8,FALSE)</f>
        <v>0</v>
      </c>
      <c r="R97" t="str">
        <f>IFERROR(INDEX(TableRBCalcPts[TM],MATCH(TableRBRanks3141[[#This Row],[Player]],TableRBCalcPts[PLAYER],0)),"")</f>
        <v/>
      </c>
      <c r="S97" t="str">
        <f>IFERROR(INDEX(TableRBCalcPts[BYE],MATCH(TableRBRanks3141[[#This Row],[Player]],TableRBCalcPts[PLAYER],0)),"")</f>
        <v/>
      </c>
      <c r="T97" s="83">
        <f>VLOOKUP(TableRBRanks3141[[#This Row],[Player]],RB!B:O,4,FALSE)</f>
        <v>0</v>
      </c>
      <c r="U97" s="83">
        <f>VLOOKUP(TableRBRanks3141[[#This Row],[Player]],RB!B:O,5,FALSE)</f>
        <v>0</v>
      </c>
      <c r="V97" s="83">
        <f>VLOOKUP(TableRBRanks3141[[#This Row],[Player]],RB!B:O,6,FALSE)</f>
        <v>0</v>
      </c>
      <c r="W97" s="83">
        <f>VLOOKUP(TableRBRanks3141[[#This Row],[Player]],RB!B:O,7,FALSE)</f>
        <v>0</v>
      </c>
      <c r="X97" s="83">
        <f>VLOOKUP(TableRBRanks3141[[#This Row],[Player]],RB!B:O,8,FALSE)</f>
        <v>0</v>
      </c>
      <c r="Y97" s="83">
        <f>VLOOKUP(TableRBRanks3141[[#This Row],[Player]],RB!B:O,9,FALSE)</f>
        <v>0</v>
      </c>
      <c r="Z97" s="83">
        <f>VLOOKUP(TableRBRanks3141[[#This Row],[Player]],RB!B:O,10,FALSE)</f>
        <v>0</v>
      </c>
      <c r="AA97" s="57">
        <f>VLOOKUP(TableRBRanks3141[[#This Row],[Player]],RB!B:O,14,FALSE)</f>
        <v>0</v>
      </c>
      <c r="AB97" s="125">
        <f>IF(VLOOKUP(TableRBRanks3141[[#This Row],[RK]],'Ranks w Proj'!$P:$AB,13,FALSE)&lt;0,0,VLOOKUP(TableRBRanks3141[[#This Row],[RK]],'Ranks w Proj'!$P:$AB,13,FALSE))</f>
        <v>0</v>
      </c>
      <c r="AD97">
        <v>96</v>
      </c>
      <c r="AE97" t="str">
        <f>VLOOKUP(TableWRRanks3242[[#This Row],[RK]],Rankings!A:T,13,FALSE)</f>
        <v>Javon Baker</v>
      </c>
      <c r="AF97" t="str">
        <f>IFERROR(INDEX(TableWRCalcPts[TM],MATCH(TableWRRanks3242[[#This Row],[Player]],TableWRCalcPts[PLAYER],0)),"")</f>
        <v>NE</v>
      </c>
      <c r="AG97">
        <f>IFERROR(INDEX(TableWRCalcPts[BYE],MATCH(TableWRRanks3242[[#This Row],[Player]],TableWRCalcPts[PLAYER],0)),"")</f>
        <v>11</v>
      </c>
      <c r="AH97" s="83">
        <f>VLOOKUP(TableWRRanks3242[[#This Row],[Player]],WR!B:O,4,FALSE)</f>
        <v>0</v>
      </c>
      <c r="AI97" s="83">
        <f>VLOOKUP(TableWRRanks3242[[#This Row],[Player]],WR!B:O,5,FALSE)</f>
        <v>0</v>
      </c>
      <c r="AJ97" s="83">
        <f>VLOOKUP(TableWRRanks3242[[#This Row],[Player]],WR!B:O,6,FALSE)</f>
        <v>28.344147999999993</v>
      </c>
      <c r="AK97" s="83">
        <f>VLOOKUP(TableWRRanks3242[[#This Row],[Player]],WR!B:O,7,FALSE)</f>
        <v>16.751391467999994</v>
      </c>
      <c r="AL97" s="83">
        <f>VLOOKUP(TableWRRanks3242[[#This Row],[Player]],WR!B:O,8,FALSE)</f>
        <v>215.75792210783993</v>
      </c>
      <c r="AM97" s="83">
        <f>VLOOKUP(TableWRRanks3242[[#This Row],[Player]],WR!B:O,9,FALSE)</f>
        <v>1.1055918368879998</v>
      </c>
      <c r="AN97" s="57">
        <f>VLOOKUP(TableWRRanks3242[[#This Row],[Player]],WR!B:O,13,FALSE)</f>
        <v>36.585038966111988</v>
      </c>
      <c r="AO97" s="125">
        <f>IF(VLOOKUP(TableWRRanks3242[[#This Row],[RK]],'Ranks w Proj'!AD:AO,12,FALSE)&lt;0,0,VLOOKUP(TableWRRanks3242[[#This Row],[RK]],'Ranks w Proj'!AD:AO,12,FALSE))</f>
        <v>0</v>
      </c>
      <c r="AQ97">
        <v>96</v>
      </c>
      <c r="AR97">
        <f>VLOOKUP(TableTERanks3343[[#This Row],[RK]],Rankings!A:T,18,FALSE)</f>
        <v>0</v>
      </c>
      <c r="AS97" t="str">
        <f>IFERROR(INDEX(TableTECalcPts[TM],MATCH(TableTERanks3343[[#This Row],[Player]],TableTECalcPts[PLAYER],0)),"")</f>
        <v/>
      </c>
      <c r="AT97" t="str">
        <f>IFERROR(INDEX(TableTECalcPts[BYE],MATCH(TableTERanks3343[[#This Row],[Player]],TableTECalcPts[PLAYER],0)),"")</f>
        <v/>
      </c>
      <c r="AU97" s="83">
        <f>VLOOKUP(TableTERanks3343[[#This Row],[Player]],TE!B:O,4,FALSE)</f>
        <v>0</v>
      </c>
      <c r="AV97" s="83">
        <f>VLOOKUP(TableTERanks3343[[#This Row],[Player]],TE!B:O,5,FALSE)</f>
        <v>0</v>
      </c>
      <c r="AW97" s="83">
        <f>VLOOKUP(TableTERanks3343[[#This Row],[Player]],TE!B:O,6,FALSE)</f>
        <v>0</v>
      </c>
      <c r="AX97" s="83">
        <f>VLOOKUP(TableTERanks3343[[#This Row],[Player]],TE!B:O,7,FALSE)</f>
        <v>0</v>
      </c>
      <c r="AY97" s="57">
        <f>VLOOKUP(TableTERanks3343[[#This Row],[Player]],TE!B:O,11,FALSE)</f>
        <v>0</v>
      </c>
      <c r="AZ97" s="125" t="str">
        <f>IF(VLOOKUP(TableTERanks3343[[#This Row],[RK]],'Ranks w Proj'!AQ:AZ,10,FALSE)&lt;0,0,VLOOKUP(TableTERanks3343[[#This Row],[RK]],'Ranks w Proj'!AQ:AZ,10,FALSE))</f>
        <v/>
      </c>
    </row>
    <row r="98" spans="16:52" x14ac:dyDescent="0.2">
      <c r="P98">
        <v>97</v>
      </c>
      <c r="Q98">
        <f>VLOOKUP(TableRBRanks3141[[#This Row],[RK]],Rankings!A:T,8,FALSE)</f>
        <v>0</v>
      </c>
      <c r="R98" t="str">
        <f>IFERROR(INDEX(TableRBCalcPts[TM],MATCH(TableRBRanks3141[[#This Row],[Player]],TableRBCalcPts[PLAYER],0)),"")</f>
        <v/>
      </c>
      <c r="S98" t="str">
        <f>IFERROR(INDEX(TableRBCalcPts[BYE],MATCH(TableRBRanks3141[[#This Row],[Player]],TableRBCalcPts[PLAYER],0)),"")</f>
        <v/>
      </c>
      <c r="T98" s="83">
        <f>VLOOKUP(TableRBRanks3141[[#This Row],[Player]],RB!B:O,4,FALSE)</f>
        <v>0</v>
      </c>
      <c r="U98" s="83">
        <f>VLOOKUP(TableRBRanks3141[[#This Row],[Player]],RB!B:O,5,FALSE)</f>
        <v>0</v>
      </c>
      <c r="V98" s="83">
        <f>VLOOKUP(TableRBRanks3141[[#This Row],[Player]],RB!B:O,6,FALSE)</f>
        <v>0</v>
      </c>
      <c r="W98" s="83">
        <f>VLOOKUP(TableRBRanks3141[[#This Row],[Player]],RB!B:O,7,FALSE)</f>
        <v>0</v>
      </c>
      <c r="X98" s="83">
        <f>VLOOKUP(TableRBRanks3141[[#This Row],[Player]],RB!B:O,8,FALSE)</f>
        <v>0</v>
      </c>
      <c r="Y98" s="83">
        <f>VLOOKUP(TableRBRanks3141[[#This Row],[Player]],RB!B:O,9,FALSE)</f>
        <v>0</v>
      </c>
      <c r="Z98" s="83">
        <f>VLOOKUP(TableRBRanks3141[[#This Row],[Player]],RB!B:O,10,FALSE)</f>
        <v>0</v>
      </c>
      <c r="AA98" s="57">
        <f>VLOOKUP(TableRBRanks3141[[#This Row],[Player]],RB!B:O,14,FALSE)</f>
        <v>0</v>
      </c>
      <c r="AB98" s="125">
        <f>IF(VLOOKUP(TableRBRanks3141[[#This Row],[RK]],'Ranks w Proj'!$P:$AB,13,FALSE)&lt;0,0,VLOOKUP(TableRBRanks3141[[#This Row],[RK]],'Ranks w Proj'!$P:$AB,13,FALSE))</f>
        <v>0</v>
      </c>
      <c r="AD98">
        <v>97</v>
      </c>
      <c r="AE98" t="str">
        <f>VLOOKUP(TableWRRanks3242[[#This Row],[RK]],Rankings!A:T,13,FALSE)</f>
        <v>Devontez Walker</v>
      </c>
      <c r="AF98" t="str">
        <f>IFERROR(INDEX(TableWRCalcPts[TM],MATCH(TableWRRanks3242[[#This Row],[Player]],TableWRCalcPts[PLAYER],0)),"")</f>
        <v>BAL</v>
      </c>
      <c r="AG98">
        <f>IFERROR(INDEX(TableWRCalcPts[BYE],MATCH(TableWRRanks3242[[#This Row],[Player]],TableWRCalcPts[PLAYER],0)),"")</f>
        <v>13</v>
      </c>
      <c r="AH98" s="83">
        <f>VLOOKUP(TableWRRanks3242[[#This Row],[Player]],WR!B:O,4,FALSE)</f>
        <v>0</v>
      </c>
      <c r="AI98" s="83">
        <f>VLOOKUP(TableWRRanks3242[[#This Row],[Player]],WR!B:O,5,FALSE)</f>
        <v>0</v>
      </c>
      <c r="AJ98" s="83">
        <f>VLOOKUP(TableWRRanks3242[[#This Row],[Player]],WR!B:O,6,FALSE)</f>
        <v>31.760937600000002</v>
      </c>
      <c r="AK98" s="83">
        <f>VLOOKUP(TableWRRanks3242[[#This Row],[Player]],WR!B:O,7,FALSE)</f>
        <v>18.707192246400002</v>
      </c>
      <c r="AL98" s="83">
        <f>VLOOKUP(TableWRRanks3242[[#This Row],[Player]],WR!B:O,8,FALSE)</f>
        <v>246.37372188508803</v>
      </c>
      <c r="AM98" s="83">
        <f>VLOOKUP(TableWRRanks3242[[#This Row],[Player]],WR!B:O,9,FALSE)</f>
        <v>1.3095034572480002</v>
      </c>
      <c r="AN98" s="57">
        <f>VLOOKUP(TableWRRanks3242[[#This Row],[Player]],WR!B:O,13,FALSE)</f>
        <v>41.847989055196805</v>
      </c>
      <c r="AO98" s="125">
        <f>IF(VLOOKUP(TableWRRanks3242[[#This Row],[RK]],'Ranks w Proj'!AD:AO,12,FALSE)&lt;0,0,VLOOKUP(TableWRRanks3242[[#This Row],[RK]],'Ranks w Proj'!AD:AO,12,FALSE))</f>
        <v>0</v>
      </c>
      <c r="AQ98">
        <v>97</v>
      </c>
      <c r="AR98">
        <f>VLOOKUP(TableTERanks3343[[#This Row],[RK]],Rankings!A:T,18,FALSE)</f>
        <v>0</v>
      </c>
      <c r="AS98" t="str">
        <f>IFERROR(INDEX(TableTECalcPts[TM],MATCH(TableTERanks3343[[#This Row],[Player]],TableTECalcPts[PLAYER],0)),"")</f>
        <v/>
      </c>
      <c r="AT98" t="str">
        <f>IFERROR(INDEX(TableTECalcPts[BYE],MATCH(TableTERanks3343[[#This Row],[Player]],TableTECalcPts[PLAYER],0)),"")</f>
        <v/>
      </c>
      <c r="AU98" s="83">
        <f>VLOOKUP(TableTERanks3343[[#This Row],[Player]],TE!B:O,4,FALSE)</f>
        <v>0</v>
      </c>
      <c r="AV98" s="83">
        <f>VLOOKUP(TableTERanks3343[[#This Row],[Player]],TE!B:O,5,FALSE)</f>
        <v>0</v>
      </c>
      <c r="AW98" s="83">
        <f>VLOOKUP(TableTERanks3343[[#This Row],[Player]],TE!B:O,6,FALSE)</f>
        <v>0</v>
      </c>
      <c r="AX98" s="83">
        <f>VLOOKUP(TableTERanks3343[[#This Row],[Player]],TE!B:O,7,FALSE)</f>
        <v>0</v>
      </c>
      <c r="AY98" s="57">
        <f>VLOOKUP(TableTERanks3343[[#This Row],[Player]],TE!B:O,11,FALSE)</f>
        <v>0</v>
      </c>
      <c r="AZ98" s="125" t="str">
        <f>IF(VLOOKUP(TableTERanks3343[[#This Row],[RK]],'Ranks w Proj'!AQ:AZ,10,FALSE)&lt;0,0,VLOOKUP(TableTERanks3343[[#This Row],[RK]],'Ranks w Proj'!AQ:AZ,10,FALSE))</f>
        <v/>
      </c>
    </row>
    <row r="99" spans="16:52" x14ac:dyDescent="0.2">
      <c r="P99">
        <v>98</v>
      </c>
      <c r="Q99">
        <f>VLOOKUP(TableRBRanks3141[[#This Row],[RK]],Rankings!A:T,8,FALSE)</f>
        <v>0</v>
      </c>
      <c r="R99" t="str">
        <f>IFERROR(INDEX(TableRBCalcPts[TM],MATCH(TableRBRanks3141[[#This Row],[Player]],TableRBCalcPts[PLAYER],0)),"")</f>
        <v/>
      </c>
      <c r="S99" t="str">
        <f>IFERROR(INDEX(TableRBCalcPts[BYE],MATCH(TableRBRanks3141[[#This Row],[Player]],TableRBCalcPts[PLAYER],0)),"")</f>
        <v/>
      </c>
      <c r="T99" s="83">
        <f>VLOOKUP(TableRBRanks3141[[#This Row],[Player]],RB!B:O,4,FALSE)</f>
        <v>0</v>
      </c>
      <c r="U99" s="83">
        <f>VLOOKUP(TableRBRanks3141[[#This Row],[Player]],RB!B:O,5,FALSE)</f>
        <v>0</v>
      </c>
      <c r="V99" s="83">
        <f>VLOOKUP(TableRBRanks3141[[#This Row],[Player]],RB!B:O,6,FALSE)</f>
        <v>0</v>
      </c>
      <c r="W99" s="83">
        <f>VLOOKUP(TableRBRanks3141[[#This Row],[Player]],RB!B:O,7,FALSE)</f>
        <v>0</v>
      </c>
      <c r="X99" s="83">
        <f>VLOOKUP(TableRBRanks3141[[#This Row],[Player]],RB!B:O,8,FALSE)</f>
        <v>0</v>
      </c>
      <c r="Y99" s="83">
        <f>VLOOKUP(TableRBRanks3141[[#This Row],[Player]],RB!B:O,9,FALSE)</f>
        <v>0</v>
      </c>
      <c r="Z99" s="83">
        <f>VLOOKUP(TableRBRanks3141[[#This Row],[Player]],RB!B:O,10,FALSE)</f>
        <v>0</v>
      </c>
      <c r="AA99" s="57">
        <f>VLOOKUP(TableRBRanks3141[[#This Row],[Player]],RB!B:O,14,FALSE)</f>
        <v>0</v>
      </c>
      <c r="AB99" s="125">
        <f>IF(VLOOKUP(TableRBRanks3141[[#This Row],[RK]],'Ranks w Proj'!$P:$AB,13,FALSE)&lt;0,0,VLOOKUP(TableRBRanks3141[[#This Row],[RK]],'Ranks w Proj'!$P:$AB,13,FALSE))</f>
        <v>0</v>
      </c>
      <c r="AD99">
        <v>98</v>
      </c>
      <c r="AE99" t="str">
        <f>VLOOKUP(TableWRRanks3242[[#This Row],[RK]],Rankings!A:T,13,FALSE)</f>
        <v>Trey Palmer</v>
      </c>
      <c r="AF99" t="str">
        <f>IFERROR(INDEX(TableWRCalcPts[TM],MATCH(TableWRRanks3242[[#This Row],[Player]],TableWRCalcPts[PLAYER],0)),"")</f>
        <v>TB</v>
      </c>
      <c r="AG99">
        <f>IFERROR(INDEX(TableWRCalcPts[BYE],MATCH(TableWRRanks3242[[#This Row],[Player]],TableWRCalcPts[PLAYER],0)),"")</f>
        <v>5</v>
      </c>
      <c r="AH99" s="83">
        <f>VLOOKUP(TableWRRanks3242[[#This Row],[Player]],WR!B:O,4,FALSE)</f>
        <v>24.730223364</v>
      </c>
      <c r="AI99" s="83">
        <f>VLOOKUP(TableWRRanks3242[[#This Row],[Player]],WR!B:O,5,FALSE)</f>
        <v>0.1866431952</v>
      </c>
      <c r="AJ99" s="83">
        <f>VLOOKUP(TableWRRanks3242[[#This Row],[Player]],WR!B:O,6,FALSE)</f>
        <v>56.3398374</v>
      </c>
      <c r="AK99" s="83">
        <f>VLOOKUP(TableWRRanks3242[[#This Row],[Player]],WR!B:O,7,FALSE)</f>
        <v>33.184164228599997</v>
      </c>
      <c r="AL99" s="83">
        <f>VLOOKUP(TableWRRanks3242[[#This Row],[Player]],WR!B:O,8,FALSE)</f>
        <v>426.08466869522397</v>
      </c>
      <c r="AM99" s="83">
        <f>VLOOKUP(TableWRRanks3242[[#This Row],[Player]],WR!B:O,9,FALSE)</f>
        <v>2.3228914960020002</v>
      </c>
      <c r="AN99" s="57">
        <f>VLOOKUP(TableWRRanks3242[[#This Row],[Player]],WR!B:O,13,FALSE)</f>
        <v>76.730779467434402</v>
      </c>
      <c r="AO99" s="125">
        <f>IF(VLOOKUP(TableWRRanks3242[[#This Row],[RK]],'Ranks w Proj'!AD:AO,12,FALSE)&lt;0,0,VLOOKUP(TableWRRanks3242[[#This Row],[RK]],'Ranks w Proj'!AD:AO,12,FALSE))</f>
        <v>0</v>
      </c>
      <c r="AQ99">
        <v>98</v>
      </c>
      <c r="AR99">
        <f>VLOOKUP(TableTERanks3343[[#This Row],[RK]],Rankings!A:T,18,FALSE)</f>
        <v>0</v>
      </c>
      <c r="AS99" t="str">
        <f>IFERROR(INDEX(TableTECalcPts[TM],MATCH(TableTERanks3343[[#This Row],[Player]],TableTECalcPts[PLAYER],0)),"")</f>
        <v/>
      </c>
      <c r="AT99" t="str">
        <f>IFERROR(INDEX(TableTECalcPts[BYE],MATCH(TableTERanks3343[[#This Row],[Player]],TableTECalcPts[PLAYER],0)),"")</f>
        <v/>
      </c>
      <c r="AU99" s="83">
        <f>VLOOKUP(TableTERanks3343[[#This Row],[Player]],TE!B:O,4,FALSE)</f>
        <v>0</v>
      </c>
      <c r="AV99" s="83">
        <f>VLOOKUP(TableTERanks3343[[#This Row],[Player]],TE!B:O,5,FALSE)</f>
        <v>0</v>
      </c>
      <c r="AW99" s="83">
        <f>VLOOKUP(TableTERanks3343[[#This Row],[Player]],TE!B:O,6,FALSE)</f>
        <v>0</v>
      </c>
      <c r="AX99" s="83">
        <f>VLOOKUP(TableTERanks3343[[#This Row],[Player]],TE!B:O,7,FALSE)</f>
        <v>0</v>
      </c>
      <c r="AY99" s="57">
        <f>VLOOKUP(TableTERanks3343[[#This Row],[Player]],TE!B:O,11,FALSE)</f>
        <v>0</v>
      </c>
      <c r="AZ99" s="125" t="str">
        <f>IF(VLOOKUP(TableTERanks3343[[#This Row],[RK]],'Ranks w Proj'!AQ:AZ,10,FALSE)&lt;0,0,VLOOKUP(TableTERanks3343[[#This Row],[RK]],'Ranks w Proj'!AQ:AZ,10,FALSE))</f>
        <v/>
      </c>
    </row>
    <row r="100" spans="16:52" x14ac:dyDescent="0.2">
      <c r="P100">
        <v>99</v>
      </c>
      <c r="Q100">
        <f>VLOOKUP(TableRBRanks3141[[#This Row],[RK]],Rankings!A:T,8,FALSE)</f>
        <v>0</v>
      </c>
      <c r="R100" t="str">
        <f>IFERROR(INDEX(TableRBCalcPts[TM],MATCH(TableRBRanks3141[[#This Row],[Player]],TableRBCalcPts[PLAYER],0)),"")</f>
        <v/>
      </c>
      <c r="S100" t="str">
        <f>IFERROR(INDEX(TableRBCalcPts[BYE],MATCH(TableRBRanks3141[[#This Row],[Player]],TableRBCalcPts[PLAYER],0)),"")</f>
        <v/>
      </c>
      <c r="T100" s="83">
        <f>VLOOKUP(TableRBRanks3141[[#This Row],[Player]],RB!B:O,4,FALSE)</f>
        <v>0</v>
      </c>
      <c r="U100" s="83">
        <f>VLOOKUP(TableRBRanks3141[[#This Row],[Player]],RB!B:O,5,FALSE)</f>
        <v>0</v>
      </c>
      <c r="V100" s="83">
        <f>VLOOKUP(TableRBRanks3141[[#This Row],[Player]],RB!B:O,6,FALSE)</f>
        <v>0</v>
      </c>
      <c r="W100" s="83">
        <f>VLOOKUP(TableRBRanks3141[[#This Row],[Player]],RB!B:O,7,FALSE)</f>
        <v>0</v>
      </c>
      <c r="X100" s="83">
        <f>VLOOKUP(TableRBRanks3141[[#This Row],[Player]],RB!B:O,8,FALSE)</f>
        <v>0</v>
      </c>
      <c r="Y100" s="83">
        <f>VLOOKUP(TableRBRanks3141[[#This Row],[Player]],RB!B:O,9,FALSE)</f>
        <v>0</v>
      </c>
      <c r="Z100" s="83">
        <f>VLOOKUP(TableRBRanks3141[[#This Row],[Player]],RB!B:O,10,FALSE)</f>
        <v>0</v>
      </c>
      <c r="AA100" s="57">
        <f>VLOOKUP(TableRBRanks3141[[#This Row],[Player]],RB!B:O,14,FALSE)</f>
        <v>0</v>
      </c>
      <c r="AB100" s="125">
        <f>IF(VLOOKUP(TableRBRanks3141[[#This Row],[RK]],'Ranks w Proj'!$P:$AB,13,FALSE)&lt;0,0,VLOOKUP(TableRBRanks3141[[#This Row],[RK]],'Ranks w Proj'!$P:$AB,13,FALSE))</f>
        <v>0</v>
      </c>
      <c r="AD100">
        <v>99</v>
      </c>
      <c r="AE100" t="str">
        <f>VLOOKUP(TableWRRanks3242[[#This Row],[RK]],Rankings!A:T,13,FALSE)</f>
        <v>Kalif Raymond</v>
      </c>
      <c r="AF100" t="str">
        <f>IFERROR(INDEX(TableWRCalcPts[TM],MATCH(TableWRRanks3242[[#This Row],[Player]],TableWRCalcPts[PLAYER],0)),"")</f>
        <v>DET</v>
      </c>
      <c r="AG100">
        <f>IFERROR(INDEX(TableWRCalcPts[BYE],MATCH(TableWRRanks3242[[#This Row],[Player]],TableWRCalcPts[PLAYER],0)),"")</f>
        <v>9</v>
      </c>
      <c r="AH100" s="83">
        <f>VLOOKUP(TableWRRanks3242[[#This Row],[Player]],WR!B:O,4,FALSE)</f>
        <v>0</v>
      </c>
      <c r="AI100" s="83">
        <f>VLOOKUP(TableWRRanks3242[[#This Row],[Player]],WR!B:O,5,FALSE)</f>
        <v>0</v>
      </c>
      <c r="AJ100" s="83">
        <f>VLOOKUP(TableWRRanks3242[[#This Row],[Player]],WR!B:O,6,FALSE)</f>
        <v>41.487221999999996</v>
      </c>
      <c r="AK100" s="83">
        <f>VLOOKUP(TableWRRanks3242[[#This Row],[Player]],WR!B:O,7,FALSE)</f>
        <v>29.207004287999997</v>
      </c>
      <c r="AL100" s="83">
        <f>VLOOKUP(TableWRRanks3242[[#This Row],[Player]],WR!B:O,8,FALSE)</f>
        <v>351.36026158463994</v>
      </c>
      <c r="AM100" s="83">
        <f>VLOOKUP(TableWRRanks3242[[#This Row],[Player]],WR!B:O,9,FALSE)</f>
        <v>1.7524202572799998</v>
      </c>
      <c r="AN100" s="57">
        <f>VLOOKUP(TableWRRanks3242[[#This Row],[Player]],WR!B:O,13,FALSE)</f>
        <v>60.254049846143992</v>
      </c>
      <c r="AO100" s="125">
        <f>IF(VLOOKUP(TableWRRanks3242[[#This Row],[RK]],'Ranks w Proj'!AD:AO,12,FALSE)&lt;0,0,VLOOKUP(TableWRRanks3242[[#This Row],[RK]],'Ranks w Proj'!AD:AO,12,FALSE))</f>
        <v>0</v>
      </c>
      <c r="AQ100">
        <v>99</v>
      </c>
      <c r="AR100">
        <f>VLOOKUP(TableTERanks3343[[#This Row],[RK]],Rankings!A:T,18,FALSE)</f>
        <v>0</v>
      </c>
      <c r="AS100" t="str">
        <f>IFERROR(INDEX(TableTECalcPts[TM],MATCH(TableTERanks3343[[#This Row],[Player]],TableTECalcPts[PLAYER],0)),"")</f>
        <v/>
      </c>
      <c r="AT100" t="str">
        <f>IFERROR(INDEX(TableTECalcPts[BYE],MATCH(TableTERanks3343[[#This Row],[Player]],TableTECalcPts[PLAYER],0)),"")</f>
        <v/>
      </c>
      <c r="AU100" s="83">
        <f>VLOOKUP(TableTERanks3343[[#This Row],[Player]],TE!B:O,4,FALSE)</f>
        <v>0</v>
      </c>
      <c r="AV100" s="83">
        <f>VLOOKUP(TableTERanks3343[[#This Row],[Player]],TE!B:O,5,FALSE)</f>
        <v>0</v>
      </c>
      <c r="AW100" s="83">
        <f>VLOOKUP(TableTERanks3343[[#This Row],[Player]],TE!B:O,6,FALSE)</f>
        <v>0</v>
      </c>
      <c r="AX100" s="83">
        <f>VLOOKUP(TableTERanks3343[[#This Row],[Player]],TE!B:O,7,FALSE)</f>
        <v>0</v>
      </c>
      <c r="AY100" s="57">
        <f>VLOOKUP(TableTERanks3343[[#This Row],[Player]],TE!B:O,11,FALSE)</f>
        <v>0</v>
      </c>
      <c r="AZ100" s="125" t="str">
        <f>IF(VLOOKUP(TableTERanks3343[[#This Row],[RK]],'Ranks w Proj'!AQ:AZ,10,FALSE)&lt;0,0,VLOOKUP(TableTERanks3343[[#This Row],[RK]],'Ranks w Proj'!AQ:AZ,10,FALSE))</f>
        <v/>
      </c>
    </row>
    <row r="101" spans="16:52" x14ac:dyDescent="0.2">
      <c r="P101">
        <v>100</v>
      </c>
      <c r="Q101">
        <f>VLOOKUP(TableRBRanks3141[[#This Row],[RK]],Rankings!A:T,8,FALSE)</f>
        <v>0</v>
      </c>
      <c r="R101" t="str">
        <f>IFERROR(INDEX(TableRBCalcPts[TM],MATCH(TableRBRanks3141[[#This Row],[Player]],TableRBCalcPts[PLAYER],0)),"")</f>
        <v/>
      </c>
      <c r="S101" t="str">
        <f>IFERROR(INDEX(TableRBCalcPts[BYE],MATCH(TableRBRanks3141[[#This Row],[Player]],TableRBCalcPts[PLAYER],0)),"")</f>
        <v/>
      </c>
      <c r="T101" s="83">
        <f>VLOOKUP(TableRBRanks3141[[#This Row],[Player]],RB!B:O,4,FALSE)</f>
        <v>0</v>
      </c>
      <c r="U101" s="83">
        <f>VLOOKUP(TableRBRanks3141[[#This Row],[Player]],RB!B:O,5,FALSE)</f>
        <v>0</v>
      </c>
      <c r="V101" s="83">
        <f>VLOOKUP(TableRBRanks3141[[#This Row],[Player]],RB!B:O,6,FALSE)</f>
        <v>0</v>
      </c>
      <c r="W101" s="83">
        <f>VLOOKUP(TableRBRanks3141[[#This Row],[Player]],RB!B:O,7,FALSE)</f>
        <v>0</v>
      </c>
      <c r="X101" s="83">
        <f>VLOOKUP(TableRBRanks3141[[#This Row],[Player]],RB!B:O,8,FALSE)</f>
        <v>0</v>
      </c>
      <c r="Y101" s="83">
        <f>VLOOKUP(TableRBRanks3141[[#This Row],[Player]],RB!B:O,9,FALSE)</f>
        <v>0</v>
      </c>
      <c r="Z101" s="83">
        <f>VLOOKUP(TableRBRanks3141[[#This Row],[Player]],RB!B:O,10,FALSE)</f>
        <v>0</v>
      </c>
      <c r="AA101" s="57">
        <f>VLOOKUP(TableRBRanks3141[[#This Row],[Player]],RB!B:O,14,FALSE)</f>
        <v>0</v>
      </c>
      <c r="AB101" s="125">
        <f>IF(VLOOKUP(TableRBRanks3141[[#This Row],[RK]],'Ranks w Proj'!$P:$AB,13,FALSE)&lt;0,0,VLOOKUP(TableRBRanks3141[[#This Row],[RK]],'Ranks w Proj'!$P:$AB,13,FALSE))</f>
        <v>0</v>
      </c>
      <c r="AD101">
        <v>100</v>
      </c>
      <c r="AE101" t="str">
        <f>VLOOKUP(TableWRRanks3242[[#This Row],[RK]],Rankings!A:T,13,FALSE)</f>
        <v>Nelson Agholor</v>
      </c>
      <c r="AF101" t="str">
        <f>IFERROR(INDEX(TableWRCalcPts[TM],MATCH(TableWRRanks3242[[#This Row],[Player]],TableWRCalcPts[PLAYER],0)),"")</f>
        <v>BAL</v>
      </c>
      <c r="AG101">
        <f>IFERROR(INDEX(TableWRCalcPts[BYE],MATCH(TableWRRanks3242[[#This Row],[Player]],TableWRCalcPts[PLAYER],0)),"")</f>
        <v>13</v>
      </c>
      <c r="AH101" s="83">
        <f>VLOOKUP(TableWRRanks3242[[#This Row],[Player]],WR!B:O,4,FALSE)</f>
        <v>0</v>
      </c>
      <c r="AI101" s="83">
        <f>VLOOKUP(TableWRRanks3242[[#This Row],[Player]],WR!B:O,5,FALSE)</f>
        <v>0</v>
      </c>
      <c r="AJ101" s="83">
        <f>VLOOKUP(TableWRRanks3242[[#This Row],[Player]],WR!B:O,6,FALSE)</f>
        <v>63.521875200000004</v>
      </c>
      <c r="AK101" s="83">
        <f>VLOOKUP(TableWRRanks3242[[#This Row],[Player]],WR!B:O,7,FALSE)</f>
        <v>40.082303251200003</v>
      </c>
      <c r="AL101" s="83">
        <f>VLOOKUP(TableWRRanks3242[[#This Row],[Player]],WR!B:O,8,FALSE)</f>
        <v>462.95060255136008</v>
      </c>
      <c r="AM101" s="83">
        <f>VLOOKUP(TableWRRanks3242[[#This Row],[Player]],WR!B:O,9,FALSE)</f>
        <v>3.2065842600960002</v>
      </c>
      <c r="AN101" s="57">
        <f>VLOOKUP(TableWRRanks3242[[#This Row],[Player]],WR!B:O,13,FALSE)</f>
        <v>85.575717441312008</v>
      </c>
      <c r="AO101" s="125">
        <f>IF(VLOOKUP(TableWRRanks3242[[#This Row],[RK]],'Ranks w Proj'!AD:AO,12,FALSE)&lt;0,0,VLOOKUP(TableWRRanks3242[[#This Row],[RK]],'Ranks w Proj'!AD:AO,12,FALSE))</f>
        <v>0</v>
      </c>
      <c r="AQ101">
        <v>100</v>
      </c>
      <c r="AR101">
        <f>VLOOKUP(TableTERanks3343[[#This Row],[RK]],Rankings!A:T,18,FALSE)</f>
        <v>0</v>
      </c>
      <c r="AS101" t="str">
        <f>IFERROR(INDEX(TableTECalcPts[TM],MATCH(TableTERanks3343[[#This Row],[Player]],TableTECalcPts[PLAYER],0)),"")</f>
        <v/>
      </c>
      <c r="AT101" t="str">
        <f>IFERROR(INDEX(TableTECalcPts[BYE],MATCH(TableTERanks3343[[#This Row],[Player]],TableTECalcPts[PLAYER],0)),"")</f>
        <v/>
      </c>
      <c r="AU101" s="83">
        <f>VLOOKUP(TableTERanks3343[[#This Row],[Player]],TE!B:O,4,FALSE)</f>
        <v>0</v>
      </c>
      <c r="AV101" s="83">
        <f>VLOOKUP(TableTERanks3343[[#This Row],[Player]],TE!B:O,5,FALSE)</f>
        <v>0</v>
      </c>
      <c r="AW101" s="83">
        <f>VLOOKUP(TableTERanks3343[[#This Row],[Player]],TE!B:O,6,FALSE)</f>
        <v>0</v>
      </c>
      <c r="AX101" s="83">
        <f>VLOOKUP(TableTERanks3343[[#This Row],[Player]],TE!B:O,7,FALSE)</f>
        <v>0</v>
      </c>
      <c r="AY101" s="57">
        <f>VLOOKUP(TableTERanks3343[[#This Row],[Player]],TE!B:O,11,FALSE)</f>
        <v>0</v>
      </c>
      <c r="AZ101" s="125" t="str">
        <f>IF(VLOOKUP(TableTERanks3343[[#This Row],[RK]],'Ranks w Proj'!AQ:AZ,10,FALSE)&lt;0,0,VLOOKUP(TableTERanks3343[[#This Row],[RK]],'Ranks w Proj'!AQ:AZ,10,FALSE))</f>
        <v/>
      </c>
    </row>
    <row r="102" spans="16:52" x14ac:dyDescent="0.2">
      <c r="P102">
        <v>101</v>
      </c>
      <c r="Q102">
        <f>VLOOKUP(TableRBRanks3141[[#This Row],[RK]],Rankings!A:T,8,FALSE)</f>
        <v>0</v>
      </c>
      <c r="R102" t="str">
        <f>IFERROR(INDEX(TableRBCalcPts[TM],MATCH(TableRBRanks3141[[#This Row],[Player]],TableRBCalcPts[PLAYER],0)),"")</f>
        <v/>
      </c>
      <c r="S102" t="str">
        <f>IFERROR(INDEX(TableRBCalcPts[BYE],MATCH(TableRBRanks3141[[#This Row],[Player]],TableRBCalcPts[PLAYER],0)),"")</f>
        <v/>
      </c>
      <c r="T102" s="83">
        <f>VLOOKUP(TableRBRanks3141[[#This Row],[Player]],RB!B:O,4,FALSE)</f>
        <v>0</v>
      </c>
      <c r="U102" s="83">
        <f>VLOOKUP(TableRBRanks3141[[#This Row],[Player]],RB!B:O,5,FALSE)</f>
        <v>0</v>
      </c>
      <c r="V102" s="83">
        <f>VLOOKUP(TableRBRanks3141[[#This Row],[Player]],RB!B:O,6,FALSE)</f>
        <v>0</v>
      </c>
      <c r="W102" s="83">
        <f>VLOOKUP(TableRBRanks3141[[#This Row],[Player]],RB!B:O,7,FALSE)</f>
        <v>0</v>
      </c>
      <c r="X102" s="83">
        <f>VLOOKUP(TableRBRanks3141[[#This Row],[Player]],RB!B:O,8,FALSE)</f>
        <v>0</v>
      </c>
      <c r="Y102" s="83">
        <f>VLOOKUP(TableRBRanks3141[[#This Row],[Player]],RB!B:O,9,FALSE)</f>
        <v>0</v>
      </c>
      <c r="Z102" s="83">
        <f>VLOOKUP(TableRBRanks3141[[#This Row],[Player]],RB!B:O,10,FALSE)</f>
        <v>0</v>
      </c>
      <c r="AA102" s="57">
        <f>VLOOKUP(TableRBRanks3141[[#This Row],[Player]],RB!B:O,14,FALSE)</f>
        <v>0</v>
      </c>
      <c r="AB102" s="125">
        <f>IF(VLOOKUP(TableRBRanks3141[[#This Row],[RK]],'Ranks w Proj'!$P:$AB,13,FALSE)&lt;0,0,VLOOKUP(TableRBRanks3141[[#This Row],[RK]],'Ranks w Proj'!$P:$AB,13,FALSE))</f>
        <v>0</v>
      </c>
      <c r="AD102">
        <v>101</v>
      </c>
      <c r="AE102" t="str">
        <f>VLOOKUP(TableWRRanks3242[[#This Row],[RK]],Rankings!A:T,13,FALSE)</f>
        <v>Cedrick Wilson</v>
      </c>
      <c r="AF102" t="str">
        <f>IFERROR(INDEX(TableWRCalcPts[TM],MATCH(TableWRRanks3242[[#This Row],[Player]],TableWRCalcPts[PLAYER],0)),"")</f>
        <v>NO</v>
      </c>
      <c r="AG102">
        <f>IFERROR(INDEX(TableWRCalcPts[BYE],MATCH(TableWRRanks3242[[#This Row],[Player]],TableWRCalcPts[PLAYER],0)),"")</f>
        <v>11</v>
      </c>
      <c r="AH102" s="83">
        <f>VLOOKUP(TableWRRanks3242[[#This Row],[Player]],WR!B:O,4,FALSE)</f>
        <v>0</v>
      </c>
      <c r="AI102" s="83">
        <f>VLOOKUP(TableWRRanks3242[[#This Row],[Player]],WR!B:O,5,FALSE)</f>
        <v>0</v>
      </c>
      <c r="AJ102" s="83">
        <f>VLOOKUP(TableWRRanks3242[[#This Row],[Player]],WR!B:O,6,FALSE)</f>
        <v>61.196624103999987</v>
      </c>
      <c r="AK102" s="83">
        <f>VLOOKUP(TableWRRanks3242[[#This Row],[Player]],WR!B:O,7,FALSE)</f>
        <v>36.717974462399994</v>
      </c>
      <c r="AL102" s="83">
        <f>VLOOKUP(TableWRRanks3242[[#This Row],[Player]],WR!B:O,8,FALSE)</f>
        <v>396.55412419391996</v>
      </c>
      <c r="AM102" s="83">
        <f>VLOOKUP(TableWRRanks3242[[#This Row],[Player]],WR!B:O,9,FALSE)</f>
        <v>1.9827706209695997</v>
      </c>
      <c r="AN102" s="57">
        <f>VLOOKUP(TableWRRanks3242[[#This Row],[Player]],WR!B:O,13,FALSE)</f>
        <v>69.911023376409588</v>
      </c>
      <c r="AO102" s="125">
        <f>IF(VLOOKUP(TableWRRanks3242[[#This Row],[RK]],'Ranks w Proj'!AD:AO,12,FALSE)&lt;0,0,VLOOKUP(TableWRRanks3242[[#This Row],[RK]],'Ranks w Proj'!AD:AO,12,FALSE))</f>
        <v>0</v>
      </c>
    </row>
    <row r="103" spans="16:52" x14ac:dyDescent="0.2">
      <c r="P103">
        <v>102</v>
      </c>
      <c r="Q103">
        <f>VLOOKUP(TableRBRanks3141[[#This Row],[RK]],Rankings!A:T,8,FALSE)</f>
        <v>0</v>
      </c>
      <c r="R103" t="str">
        <f>IFERROR(INDEX(TableRBCalcPts[TM],MATCH(TableRBRanks3141[[#This Row],[Player]],TableRBCalcPts[PLAYER],0)),"")</f>
        <v/>
      </c>
      <c r="S103" t="str">
        <f>IFERROR(INDEX(TableRBCalcPts[BYE],MATCH(TableRBRanks3141[[#This Row],[Player]],TableRBCalcPts[PLAYER],0)),"")</f>
        <v/>
      </c>
      <c r="T103" s="83">
        <f>VLOOKUP(TableRBRanks3141[[#This Row],[Player]],RB!B:O,4,FALSE)</f>
        <v>0</v>
      </c>
      <c r="U103" s="83">
        <f>VLOOKUP(TableRBRanks3141[[#This Row],[Player]],RB!B:O,5,FALSE)</f>
        <v>0</v>
      </c>
      <c r="V103" s="83">
        <f>VLOOKUP(TableRBRanks3141[[#This Row],[Player]],RB!B:O,6,FALSE)</f>
        <v>0</v>
      </c>
      <c r="W103" s="83">
        <f>VLOOKUP(TableRBRanks3141[[#This Row],[Player]],RB!B:O,7,FALSE)</f>
        <v>0</v>
      </c>
      <c r="X103" s="83">
        <f>VLOOKUP(TableRBRanks3141[[#This Row],[Player]],RB!B:O,8,FALSE)</f>
        <v>0</v>
      </c>
      <c r="Y103" s="83">
        <f>VLOOKUP(TableRBRanks3141[[#This Row],[Player]],RB!B:O,9,FALSE)</f>
        <v>0</v>
      </c>
      <c r="Z103" s="83">
        <f>VLOOKUP(TableRBRanks3141[[#This Row],[Player]],RB!B:O,10,FALSE)</f>
        <v>0</v>
      </c>
      <c r="AA103" s="57">
        <f>VLOOKUP(TableRBRanks3141[[#This Row],[Player]],RB!B:O,14,FALSE)</f>
        <v>0</v>
      </c>
      <c r="AB103" s="125">
        <f>IF(VLOOKUP(TableRBRanks3141[[#This Row],[RK]],'Ranks w Proj'!$P:$AB,13,FALSE)&lt;0,0,VLOOKUP(TableRBRanks3141[[#This Row],[RK]],'Ranks w Proj'!$P:$AB,13,FALSE))</f>
        <v>0</v>
      </c>
      <c r="AD103">
        <v>102</v>
      </c>
      <c r="AE103" t="str">
        <f>VLOOKUP(TableWRRanks3242[[#This Row],[RK]],Rankings!A:T,13,FALSE)</f>
        <v>Jalen McMillan</v>
      </c>
      <c r="AF103" t="str">
        <f>IFERROR(INDEX(TableWRCalcPts[TM],MATCH(TableWRRanks3242[[#This Row],[Player]],TableWRCalcPts[PLAYER],0)),"")</f>
        <v>TB</v>
      </c>
      <c r="AG103">
        <f>IFERROR(INDEX(TableWRCalcPts[BYE],MATCH(TableWRRanks3242[[#This Row],[Player]],TableWRCalcPts[PLAYER],0)),"")</f>
        <v>5</v>
      </c>
      <c r="AH103" s="83">
        <f>VLOOKUP(TableWRRanks3242[[#This Row],[Player]],WR!B:O,4,FALSE)</f>
        <v>0</v>
      </c>
      <c r="AI103" s="83">
        <f>VLOOKUP(TableWRRanks3242[[#This Row],[Player]],WR!B:O,5,FALSE)</f>
        <v>0</v>
      </c>
      <c r="AJ103" s="83">
        <f>VLOOKUP(TableWRRanks3242[[#This Row],[Player]],WR!B:O,6,FALSE)</f>
        <v>53.374582799999999</v>
      </c>
      <c r="AK103" s="83">
        <f>VLOOKUP(TableWRRanks3242[[#This Row],[Player]],WR!B:O,7,FALSE)</f>
        <v>32.558495508</v>
      </c>
      <c r="AL103" s="83">
        <f>VLOOKUP(TableWRRanks3242[[#This Row],[Player]],WR!B:O,8,FALSE)</f>
        <v>383.53907708423998</v>
      </c>
      <c r="AM103" s="83">
        <f>VLOOKUP(TableWRRanks3242[[#This Row],[Player]],WR!B:O,9,FALSE)</f>
        <v>2.2790946855600001</v>
      </c>
      <c r="AN103" s="57">
        <f>VLOOKUP(TableWRRanks3242[[#This Row],[Player]],WR!B:O,13,FALSE)</f>
        <v>68.307723575783996</v>
      </c>
      <c r="AO103" s="125">
        <f>IF(VLOOKUP(TableWRRanks3242[[#This Row],[RK]],'Ranks w Proj'!AD:AO,12,FALSE)&lt;0,0,VLOOKUP(TableWRRanks3242[[#This Row],[RK]],'Ranks w Proj'!AD:AO,12,FALSE))</f>
        <v>0</v>
      </c>
    </row>
    <row r="104" spans="16:52" x14ac:dyDescent="0.2">
      <c r="P104">
        <v>103</v>
      </c>
      <c r="Q104">
        <f>VLOOKUP(TableRBRanks3141[[#This Row],[RK]],Rankings!A:T,8,FALSE)</f>
        <v>0</v>
      </c>
      <c r="R104" t="str">
        <f>IFERROR(INDEX(TableRBCalcPts[TM],MATCH(TableRBRanks3141[[#This Row],[Player]],TableRBCalcPts[PLAYER],0)),"")</f>
        <v/>
      </c>
      <c r="S104" t="str">
        <f>IFERROR(INDEX(TableRBCalcPts[BYE],MATCH(TableRBRanks3141[[#This Row],[Player]],TableRBCalcPts[PLAYER],0)),"")</f>
        <v/>
      </c>
      <c r="T104" s="83">
        <f>VLOOKUP(TableRBRanks3141[[#This Row],[Player]],RB!B:O,4,FALSE)</f>
        <v>0</v>
      </c>
      <c r="U104" s="83">
        <f>VLOOKUP(TableRBRanks3141[[#This Row],[Player]],RB!B:O,5,FALSE)</f>
        <v>0</v>
      </c>
      <c r="V104" s="83">
        <f>VLOOKUP(TableRBRanks3141[[#This Row],[Player]],RB!B:O,6,FALSE)</f>
        <v>0</v>
      </c>
      <c r="W104" s="83">
        <f>VLOOKUP(TableRBRanks3141[[#This Row],[Player]],RB!B:O,7,FALSE)</f>
        <v>0</v>
      </c>
      <c r="X104" s="83">
        <f>VLOOKUP(TableRBRanks3141[[#This Row],[Player]],RB!B:O,8,FALSE)</f>
        <v>0</v>
      </c>
      <c r="Y104" s="83">
        <f>VLOOKUP(TableRBRanks3141[[#This Row],[Player]],RB!B:O,9,FALSE)</f>
        <v>0</v>
      </c>
      <c r="Z104" s="83">
        <f>VLOOKUP(TableRBRanks3141[[#This Row],[Player]],RB!B:O,10,FALSE)</f>
        <v>0</v>
      </c>
      <c r="AA104" s="57">
        <f>VLOOKUP(TableRBRanks3141[[#This Row],[Player]],RB!B:O,14,FALSE)</f>
        <v>0</v>
      </c>
      <c r="AB104" s="125">
        <f>IF(VLOOKUP(TableRBRanks3141[[#This Row],[RK]],'Ranks w Proj'!$P:$AB,13,FALSE)&lt;0,0,VLOOKUP(TableRBRanks3141[[#This Row],[RK]],'Ranks w Proj'!$P:$AB,13,FALSE))</f>
        <v>0</v>
      </c>
      <c r="AD104">
        <v>103</v>
      </c>
      <c r="AE104" t="str">
        <f>VLOOKUP(TableWRRanks3242[[#This Row],[RK]],Rankings!A:T,13,FALSE)</f>
        <v>A.T. Perry</v>
      </c>
      <c r="AF104" t="str">
        <f>IFERROR(INDEX(TableWRCalcPts[TM],MATCH(TableWRRanks3242[[#This Row],[Player]],TableWRCalcPts[PLAYER],0)),"")</f>
        <v>NO</v>
      </c>
      <c r="AG104">
        <f>IFERROR(INDEX(TableWRCalcPts[BYE],MATCH(TableWRRanks3242[[#This Row],[Player]],TableWRCalcPts[PLAYER],0)),"")</f>
        <v>11</v>
      </c>
      <c r="AH104" s="83">
        <f>VLOOKUP(TableWRRanks3242[[#This Row],[Player]],WR!B:O,4,FALSE)</f>
        <v>0</v>
      </c>
      <c r="AI104" s="83">
        <f>VLOOKUP(TableWRRanks3242[[#This Row],[Player]],WR!B:O,5,FALSE)</f>
        <v>0</v>
      </c>
      <c r="AJ104" s="83">
        <f>VLOOKUP(TableWRRanks3242[[#This Row],[Player]],WR!B:O,6,FALSE)</f>
        <v>33.379976783999993</v>
      </c>
      <c r="AK104" s="83">
        <f>VLOOKUP(TableWRRanks3242[[#This Row],[Player]],WR!B:O,7,FALSE)</f>
        <v>19.894466163263996</v>
      </c>
      <c r="AL104" s="83">
        <f>VLOOKUP(TableWRRanks3242[[#This Row],[Player]],WR!B:O,8,FALSE)</f>
        <v>257.23544749100347</v>
      </c>
      <c r="AM104" s="83">
        <f>VLOOKUP(TableWRRanks3242[[#This Row],[Player]],WR!B:O,9,FALSE)</f>
        <v>1.6910296238774398</v>
      </c>
      <c r="AN104" s="57">
        <f>VLOOKUP(TableWRRanks3242[[#This Row],[Player]],WR!B:O,13,FALSE)</f>
        <v>45.816955573996985</v>
      </c>
      <c r="AO104" s="125">
        <f>IF(VLOOKUP(TableWRRanks3242[[#This Row],[RK]],'Ranks w Proj'!AD:AO,12,FALSE)&lt;0,0,VLOOKUP(TableWRRanks3242[[#This Row],[RK]],'Ranks w Proj'!AD:AO,12,FALSE))</f>
        <v>0</v>
      </c>
    </row>
    <row r="105" spans="16:52" x14ac:dyDescent="0.2">
      <c r="P105">
        <v>104</v>
      </c>
      <c r="Q105">
        <f>VLOOKUP(TableRBRanks3141[[#This Row],[RK]],Rankings!A:T,8,FALSE)</f>
        <v>0</v>
      </c>
      <c r="R105" t="str">
        <f>IFERROR(INDEX(TableRBCalcPts[TM],MATCH(TableRBRanks3141[[#This Row],[Player]],TableRBCalcPts[PLAYER],0)),"")</f>
        <v/>
      </c>
      <c r="S105" t="str">
        <f>IFERROR(INDEX(TableRBCalcPts[BYE],MATCH(TableRBRanks3141[[#This Row],[Player]],TableRBCalcPts[PLAYER],0)),"")</f>
        <v/>
      </c>
      <c r="T105" s="83">
        <f>VLOOKUP(TableRBRanks3141[[#This Row],[Player]],RB!B:O,4,FALSE)</f>
        <v>0</v>
      </c>
      <c r="U105" s="83">
        <f>VLOOKUP(TableRBRanks3141[[#This Row],[Player]],RB!B:O,5,FALSE)</f>
        <v>0</v>
      </c>
      <c r="V105" s="83">
        <f>VLOOKUP(TableRBRanks3141[[#This Row],[Player]],RB!B:O,6,FALSE)</f>
        <v>0</v>
      </c>
      <c r="W105" s="83">
        <f>VLOOKUP(TableRBRanks3141[[#This Row],[Player]],RB!B:O,7,FALSE)</f>
        <v>0</v>
      </c>
      <c r="X105" s="83">
        <f>VLOOKUP(TableRBRanks3141[[#This Row],[Player]],RB!B:O,8,FALSE)</f>
        <v>0</v>
      </c>
      <c r="Y105" s="83">
        <f>VLOOKUP(TableRBRanks3141[[#This Row],[Player]],RB!B:O,9,FALSE)</f>
        <v>0</v>
      </c>
      <c r="Z105" s="83">
        <f>VLOOKUP(TableRBRanks3141[[#This Row],[Player]],RB!B:O,10,FALSE)</f>
        <v>0</v>
      </c>
      <c r="AA105" s="57">
        <f>VLOOKUP(TableRBRanks3141[[#This Row],[Player]],RB!B:O,14,FALSE)</f>
        <v>0</v>
      </c>
      <c r="AB105" s="125">
        <f>IF(VLOOKUP(TableRBRanks3141[[#This Row],[RK]],'Ranks w Proj'!$P:$AB,13,FALSE)&lt;0,0,VLOOKUP(TableRBRanks3141[[#This Row],[RK]],'Ranks w Proj'!$P:$AB,13,FALSE))</f>
        <v>0</v>
      </c>
      <c r="AD105">
        <v>104</v>
      </c>
      <c r="AE105" t="str">
        <f>VLOOKUP(TableWRRanks3242[[#This Row],[RK]],Rankings!A:T,13,FALSE)</f>
        <v>Brandon Powell</v>
      </c>
      <c r="AF105" t="str">
        <f>IFERROR(INDEX(TableWRCalcPts[TM],MATCH(TableWRRanks3242[[#This Row],[Player]],TableWRCalcPts[PLAYER],0)),"")</f>
        <v>MIN</v>
      </c>
      <c r="AG105">
        <f>IFERROR(INDEX(TableWRCalcPts[BYE],MATCH(TableWRRanks3242[[#This Row],[Player]],TableWRCalcPts[PLAYER],0)),"")</f>
        <v>13</v>
      </c>
      <c r="AH105" s="83">
        <f>VLOOKUP(TableWRRanks3242[[#This Row],[Player]],WR!B:O,4,FALSE)</f>
        <v>0</v>
      </c>
      <c r="AI105" s="83">
        <f>VLOOKUP(TableWRRanks3242[[#This Row],[Player]],WR!B:O,5,FALSE)</f>
        <v>0</v>
      </c>
      <c r="AJ105" s="83">
        <f>VLOOKUP(TableWRRanks3242[[#This Row],[Player]],WR!B:O,6,FALSE)</f>
        <v>55.989359999999998</v>
      </c>
      <c r="AK105" s="83">
        <f>VLOOKUP(TableWRRanks3242[[#This Row],[Player]],WR!B:O,7,FALSE)</f>
        <v>33.593615999999997</v>
      </c>
      <c r="AL105" s="83">
        <f>VLOOKUP(TableWRRanks3242[[#This Row],[Player]],WR!B:O,8,FALSE)</f>
        <v>340.63926623999998</v>
      </c>
      <c r="AM105" s="83">
        <f>VLOOKUP(TableWRRanks3242[[#This Row],[Player]],WR!B:O,9,FALSE)</f>
        <v>1.6796807999999999</v>
      </c>
      <c r="AN105" s="57">
        <f>VLOOKUP(TableWRRanks3242[[#This Row],[Player]],WR!B:O,13,FALSE)</f>
        <v>60.938819423999995</v>
      </c>
      <c r="AO105" s="125">
        <f>IF(VLOOKUP(TableWRRanks3242[[#This Row],[RK]],'Ranks w Proj'!AD:AO,12,FALSE)&lt;0,0,VLOOKUP(TableWRRanks3242[[#This Row],[RK]],'Ranks w Proj'!AD:AO,12,FALSE))</f>
        <v>0</v>
      </c>
    </row>
    <row r="106" spans="16:52" x14ac:dyDescent="0.2">
      <c r="P106">
        <v>105</v>
      </c>
      <c r="Q106">
        <f>VLOOKUP(TableRBRanks3141[[#This Row],[RK]],Rankings!A:T,8,FALSE)</f>
        <v>0</v>
      </c>
      <c r="R106" t="str">
        <f>IFERROR(INDEX(TableRBCalcPts[TM],MATCH(TableRBRanks3141[[#This Row],[Player]],TableRBCalcPts[PLAYER],0)),"")</f>
        <v/>
      </c>
      <c r="S106" t="str">
        <f>IFERROR(INDEX(TableRBCalcPts[BYE],MATCH(TableRBRanks3141[[#This Row],[Player]],TableRBCalcPts[PLAYER],0)),"")</f>
        <v/>
      </c>
      <c r="T106" s="83">
        <f>VLOOKUP(TableRBRanks3141[[#This Row],[Player]],RB!B:O,4,FALSE)</f>
        <v>0</v>
      </c>
      <c r="U106" s="83">
        <f>VLOOKUP(TableRBRanks3141[[#This Row],[Player]],RB!B:O,5,FALSE)</f>
        <v>0</v>
      </c>
      <c r="V106" s="83">
        <f>VLOOKUP(TableRBRanks3141[[#This Row],[Player]],RB!B:O,6,FALSE)</f>
        <v>0</v>
      </c>
      <c r="W106" s="83">
        <f>VLOOKUP(TableRBRanks3141[[#This Row],[Player]],RB!B:O,7,FALSE)</f>
        <v>0</v>
      </c>
      <c r="X106" s="83">
        <f>VLOOKUP(TableRBRanks3141[[#This Row],[Player]],RB!B:O,8,FALSE)</f>
        <v>0</v>
      </c>
      <c r="Y106" s="83">
        <f>VLOOKUP(TableRBRanks3141[[#This Row],[Player]],RB!B:O,9,FALSE)</f>
        <v>0</v>
      </c>
      <c r="Z106" s="83">
        <f>VLOOKUP(TableRBRanks3141[[#This Row],[Player]],RB!B:O,10,FALSE)</f>
        <v>0</v>
      </c>
      <c r="AA106" s="57">
        <f>VLOOKUP(TableRBRanks3141[[#This Row],[Player]],RB!B:O,14,FALSE)</f>
        <v>0</v>
      </c>
      <c r="AB106" s="125">
        <f>IF(VLOOKUP(TableRBRanks3141[[#This Row],[RK]],'Ranks w Proj'!$P:$AB,13,FALSE)&lt;0,0,VLOOKUP(TableRBRanks3141[[#This Row],[RK]],'Ranks w Proj'!$P:$AB,13,FALSE))</f>
        <v>0</v>
      </c>
      <c r="AD106">
        <v>105</v>
      </c>
      <c r="AE106" t="str">
        <f>VLOOKUP(TableWRRanks3242[[#This Row],[RK]],Rankings!A:T,13,FALSE)</f>
        <v>Tre Tucker</v>
      </c>
      <c r="AF106" t="str">
        <f>IFERROR(INDEX(TableWRCalcPts[TM],MATCH(TableWRRanks3242[[#This Row],[Player]],TableWRCalcPts[PLAYER],0)),"")</f>
        <v>LV</v>
      </c>
      <c r="AG106">
        <f>IFERROR(INDEX(TableWRCalcPts[BYE],MATCH(TableWRRanks3242[[#This Row],[Player]],TableWRCalcPts[PLAYER],0)),"")</f>
        <v>13</v>
      </c>
      <c r="AH106" s="83">
        <f>VLOOKUP(TableWRRanks3242[[#This Row],[Player]],WR!B:O,4,FALSE)</f>
        <v>0</v>
      </c>
      <c r="AI106" s="83">
        <f>VLOOKUP(TableWRRanks3242[[#This Row],[Player]],WR!B:O,5,FALSE)</f>
        <v>0</v>
      </c>
      <c r="AJ106" s="83">
        <f>VLOOKUP(TableWRRanks3242[[#This Row],[Player]],WR!B:O,6,FALSE)</f>
        <v>30.295719999999992</v>
      </c>
      <c r="AK106" s="83">
        <f>VLOOKUP(TableWRRanks3242[[#This Row],[Player]],WR!B:O,7,FALSE)</f>
        <v>17.177673239999994</v>
      </c>
      <c r="AL106" s="83">
        <f>VLOOKUP(TableWRRanks3242[[#This Row],[Player]],WR!B:O,8,FALSE)</f>
        <v>241.17453228959991</v>
      </c>
      <c r="AM106" s="83">
        <f>VLOOKUP(TableWRRanks3242[[#This Row],[Player]],WR!B:O,9,FALSE)</f>
        <v>0.94477202819999961</v>
      </c>
      <c r="AN106" s="57">
        <f>VLOOKUP(TableWRRanks3242[[#This Row],[Player]],WR!B:O,13,FALSE)</f>
        <v>38.374922018159985</v>
      </c>
      <c r="AO106" s="125">
        <f>IF(VLOOKUP(TableWRRanks3242[[#This Row],[RK]],'Ranks w Proj'!AD:AO,12,FALSE)&lt;0,0,VLOOKUP(TableWRRanks3242[[#This Row],[RK]],'Ranks w Proj'!AD:AO,12,FALSE))</f>
        <v>0</v>
      </c>
    </row>
    <row r="107" spans="16:52" x14ac:dyDescent="0.2">
      <c r="P107">
        <v>106</v>
      </c>
      <c r="Q107">
        <f>VLOOKUP(TableRBRanks3141[[#This Row],[RK]],Rankings!A:T,8,FALSE)</f>
        <v>0</v>
      </c>
      <c r="R107" t="str">
        <f>IFERROR(INDEX(TableRBCalcPts[TM],MATCH(TableRBRanks3141[[#This Row],[Player]],TableRBCalcPts[PLAYER],0)),"")</f>
        <v/>
      </c>
      <c r="S107" t="str">
        <f>IFERROR(INDEX(TableRBCalcPts[BYE],MATCH(TableRBRanks3141[[#This Row],[Player]],TableRBCalcPts[PLAYER],0)),"")</f>
        <v/>
      </c>
      <c r="T107" s="83">
        <f>VLOOKUP(TableRBRanks3141[[#This Row],[Player]],RB!B:O,4,FALSE)</f>
        <v>0</v>
      </c>
      <c r="U107" s="83">
        <f>VLOOKUP(TableRBRanks3141[[#This Row],[Player]],RB!B:O,5,FALSE)</f>
        <v>0</v>
      </c>
      <c r="V107" s="83">
        <f>VLOOKUP(TableRBRanks3141[[#This Row],[Player]],RB!B:O,6,FALSE)</f>
        <v>0</v>
      </c>
      <c r="W107" s="83">
        <f>VLOOKUP(TableRBRanks3141[[#This Row],[Player]],RB!B:O,7,FALSE)</f>
        <v>0</v>
      </c>
      <c r="X107" s="83">
        <f>VLOOKUP(TableRBRanks3141[[#This Row],[Player]],RB!B:O,8,FALSE)</f>
        <v>0</v>
      </c>
      <c r="Y107" s="83">
        <f>VLOOKUP(TableRBRanks3141[[#This Row],[Player]],RB!B:O,9,FALSE)</f>
        <v>0</v>
      </c>
      <c r="Z107" s="83">
        <f>VLOOKUP(TableRBRanks3141[[#This Row],[Player]],RB!B:O,10,FALSE)</f>
        <v>0</v>
      </c>
      <c r="AA107" s="57">
        <f>VLOOKUP(TableRBRanks3141[[#This Row],[Player]],RB!B:O,14,FALSE)</f>
        <v>0</v>
      </c>
      <c r="AB107" s="125">
        <f>IF(VLOOKUP(TableRBRanks3141[[#This Row],[RK]],'Ranks w Proj'!$P:$AB,13,FALSE)&lt;0,0,VLOOKUP(TableRBRanks3141[[#This Row],[RK]],'Ranks w Proj'!$P:$AB,13,FALSE))</f>
        <v>0</v>
      </c>
      <c r="AD107">
        <v>106</v>
      </c>
      <c r="AE107" t="str">
        <f>VLOOKUP(TableWRRanks3242[[#This Row],[RK]],Rankings!A:T,13,FALSE)</f>
        <v>Jamison Crowder</v>
      </c>
      <c r="AF107" t="str">
        <f>IFERROR(INDEX(TableWRCalcPts[TM],MATCH(TableWRRanks3242[[#This Row],[Player]],TableWRCalcPts[PLAYER],0)),"")</f>
        <v>WSH</v>
      </c>
      <c r="AG107">
        <f>IFERROR(INDEX(TableWRCalcPts[BYE],MATCH(TableWRRanks3242[[#This Row],[Player]],TableWRCalcPts[PLAYER],0)),"")</f>
        <v>14</v>
      </c>
      <c r="AH107" s="83">
        <f>VLOOKUP(TableWRRanks3242[[#This Row],[Player]],WR!B:O,4,FALSE)</f>
        <v>0</v>
      </c>
      <c r="AI107" s="83">
        <f>VLOOKUP(TableWRRanks3242[[#This Row],[Player]],WR!B:O,5,FALSE)</f>
        <v>0</v>
      </c>
      <c r="AJ107" s="83">
        <f>VLOOKUP(TableWRRanks3242[[#This Row],[Player]],WR!B:O,6,FALSE)</f>
        <v>39.877523000000004</v>
      </c>
      <c r="AK107" s="83">
        <f>VLOOKUP(TableWRRanks3242[[#This Row],[Player]],WR!B:O,7,FALSE)</f>
        <v>25.122839490000004</v>
      </c>
      <c r="AL107" s="83">
        <f>VLOOKUP(TableWRRanks3242[[#This Row],[Player]],WR!B:O,8,FALSE)</f>
        <v>251.22839490000004</v>
      </c>
      <c r="AM107" s="83">
        <f>VLOOKUP(TableWRRanks3242[[#This Row],[Player]],WR!B:O,9,FALSE)</f>
        <v>1.3817561719500002</v>
      </c>
      <c r="AN107" s="57">
        <f>VLOOKUP(TableWRRanks3242[[#This Row],[Player]],WR!B:O,13,FALSE)</f>
        <v>45.974796266700011</v>
      </c>
      <c r="AO107" s="125">
        <f>IF(VLOOKUP(TableWRRanks3242[[#This Row],[RK]],'Ranks w Proj'!AD:AO,12,FALSE)&lt;0,0,VLOOKUP(TableWRRanks3242[[#This Row],[RK]],'Ranks w Proj'!AD:AO,12,FALSE))</f>
        <v>0</v>
      </c>
    </row>
    <row r="108" spans="16:52" x14ac:dyDescent="0.2">
      <c r="P108">
        <v>107</v>
      </c>
      <c r="Q108">
        <f>VLOOKUP(TableRBRanks3141[[#This Row],[RK]],Rankings!A:T,8,FALSE)</f>
        <v>0</v>
      </c>
      <c r="R108" t="str">
        <f>IFERROR(INDEX(TableRBCalcPts[TM],MATCH(TableRBRanks3141[[#This Row],[Player]],TableRBCalcPts[PLAYER],0)),"")</f>
        <v/>
      </c>
      <c r="S108" t="str">
        <f>IFERROR(INDEX(TableRBCalcPts[BYE],MATCH(TableRBRanks3141[[#This Row],[Player]],TableRBCalcPts[PLAYER],0)),"")</f>
        <v/>
      </c>
      <c r="T108" s="83">
        <f>VLOOKUP(TableRBRanks3141[[#This Row],[Player]],RB!B:O,4,FALSE)</f>
        <v>0</v>
      </c>
      <c r="U108" s="83">
        <f>VLOOKUP(TableRBRanks3141[[#This Row],[Player]],RB!B:O,5,FALSE)</f>
        <v>0</v>
      </c>
      <c r="V108" s="83">
        <f>VLOOKUP(TableRBRanks3141[[#This Row],[Player]],RB!B:O,6,FALSE)</f>
        <v>0</v>
      </c>
      <c r="W108" s="83">
        <f>VLOOKUP(TableRBRanks3141[[#This Row],[Player]],RB!B:O,7,FALSE)</f>
        <v>0</v>
      </c>
      <c r="X108" s="83">
        <f>VLOOKUP(TableRBRanks3141[[#This Row],[Player]],RB!B:O,8,FALSE)</f>
        <v>0</v>
      </c>
      <c r="Y108" s="83">
        <f>VLOOKUP(TableRBRanks3141[[#This Row],[Player]],RB!B:O,9,FALSE)</f>
        <v>0</v>
      </c>
      <c r="Z108" s="83">
        <f>VLOOKUP(TableRBRanks3141[[#This Row],[Player]],RB!B:O,10,FALSE)</f>
        <v>0</v>
      </c>
      <c r="AA108" s="57">
        <f>VLOOKUP(TableRBRanks3141[[#This Row],[Player]],RB!B:O,14,FALSE)</f>
        <v>0</v>
      </c>
      <c r="AB108" s="125">
        <f>IF(VLOOKUP(TableRBRanks3141[[#This Row],[RK]],'Ranks w Proj'!$P:$AB,13,FALSE)&lt;0,0,VLOOKUP(TableRBRanks3141[[#This Row],[RK]],'Ranks w Proj'!$P:$AB,13,FALSE))</f>
        <v>0</v>
      </c>
      <c r="AD108">
        <v>107</v>
      </c>
      <c r="AE108" t="str">
        <f>VLOOKUP(TableWRRanks3242[[#This Row],[RK]],Rankings!A:T,13,FALSE)</f>
        <v>Jalen Tolbert</v>
      </c>
      <c r="AF108" t="str">
        <f>IFERROR(INDEX(TableWRCalcPts[TM],MATCH(TableWRRanks3242[[#This Row],[Player]],TableWRCalcPts[PLAYER],0)),"")</f>
        <v>DAL</v>
      </c>
      <c r="AG108">
        <f>IFERROR(INDEX(TableWRCalcPts[BYE],MATCH(TableWRRanks3242[[#This Row],[Player]],TableWRCalcPts[PLAYER],0)),"")</f>
        <v>7</v>
      </c>
      <c r="AH108" s="83">
        <f>VLOOKUP(TableWRRanks3242[[#This Row],[Player]],WR!B:O,4,FALSE)</f>
        <v>0</v>
      </c>
      <c r="AI108" s="83">
        <f>VLOOKUP(TableWRRanks3242[[#This Row],[Player]],WR!B:O,5,FALSE)</f>
        <v>0</v>
      </c>
      <c r="AJ108" s="83">
        <f>VLOOKUP(TableWRRanks3242[[#This Row],[Player]],WR!B:O,6,FALSE)</f>
        <v>60.983243999999978</v>
      </c>
      <c r="AK108" s="83">
        <f>VLOOKUP(TableWRRanks3242[[#This Row],[Player]],WR!B:O,7,FALSE)</f>
        <v>37.260762083999985</v>
      </c>
      <c r="AL108" s="83">
        <f>VLOOKUP(TableWRRanks3242[[#This Row],[Player]],WR!B:O,8,FALSE)</f>
        <v>486.99816043787985</v>
      </c>
      <c r="AM108" s="83">
        <f>VLOOKUP(TableWRRanks3242[[#This Row],[Player]],WR!B:O,9,FALSE)</f>
        <v>2.7945571562999989</v>
      </c>
      <c r="AN108" s="57">
        <f>VLOOKUP(TableWRRanks3242[[#This Row],[Player]],WR!B:O,13,FALSE)</f>
        <v>84.097540023587982</v>
      </c>
      <c r="AO108" s="125">
        <f>IF(VLOOKUP(TableWRRanks3242[[#This Row],[RK]],'Ranks w Proj'!AD:AO,12,FALSE)&lt;0,0,VLOOKUP(TableWRRanks3242[[#This Row],[RK]],'Ranks w Proj'!AD:AO,12,FALSE))</f>
        <v>0</v>
      </c>
    </row>
    <row r="109" spans="16:52" x14ac:dyDescent="0.2">
      <c r="P109">
        <v>108</v>
      </c>
      <c r="Q109">
        <f>VLOOKUP(TableRBRanks3141[[#This Row],[RK]],Rankings!A:T,8,FALSE)</f>
        <v>0</v>
      </c>
      <c r="R109" t="str">
        <f>IFERROR(INDEX(TableRBCalcPts[TM],MATCH(TableRBRanks3141[[#This Row],[Player]],TableRBCalcPts[PLAYER],0)),"")</f>
        <v/>
      </c>
      <c r="S109" t="str">
        <f>IFERROR(INDEX(TableRBCalcPts[BYE],MATCH(TableRBRanks3141[[#This Row],[Player]],TableRBCalcPts[PLAYER],0)),"")</f>
        <v/>
      </c>
      <c r="T109" s="83">
        <f>VLOOKUP(TableRBRanks3141[[#This Row],[Player]],RB!B:O,4,FALSE)</f>
        <v>0</v>
      </c>
      <c r="U109" s="83">
        <f>VLOOKUP(TableRBRanks3141[[#This Row],[Player]],RB!B:O,5,FALSE)</f>
        <v>0</v>
      </c>
      <c r="V109" s="83">
        <f>VLOOKUP(TableRBRanks3141[[#This Row],[Player]],RB!B:O,6,FALSE)</f>
        <v>0</v>
      </c>
      <c r="W109" s="83">
        <f>VLOOKUP(TableRBRanks3141[[#This Row],[Player]],RB!B:O,7,FALSE)</f>
        <v>0</v>
      </c>
      <c r="X109" s="83">
        <f>VLOOKUP(TableRBRanks3141[[#This Row],[Player]],RB!B:O,8,FALSE)</f>
        <v>0</v>
      </c>
      <c r="Y109" s="83">
        <f>VLOOKUP(TableRBRanks3141[[#This Row],[Player]],RB!B:O,9,FALSE)</f>
        <v>0</v>
      </c>
      <c r="Z109" s="83">
        <f>VLOOKUP(TableRBRanks3141[[#This Row],[Player]],RB!B:O,10,FALSE)</f>
        <v>0</v>
      </c>
      <c r="AA109" s="57">
        <f>VLOOKUP(TableRBRanks3141[[#This Row],[Player]],RB!B:O,14,FALSE)</f>
        <v>0</v>
      </c>
      <c r="AB109" s="125">
        <f>IF(VLOOKUP(TableRBRanks3141[[#This Row],[RK]],'Ranks w Proj'!$P:$AB,13,FALSE)&lt;0,0,VLOOKUP(TableRBRanks3141[[#This Row],[RK]],'Ranks w Proj'!$P:$AB,13,FALSE))</f>
        <v>0</v>
      </c>
      <c r="AD109">
        <v>108</v>
      </c>
      <c r="AE109" t="str">
        <f>VLOOKUP(TableWRRanks3242[[#This Row],[RK]],Rankings!A:T,13,FALSE)</f>
        <v>KhaDarel Hodge</v>
      </c>
      <c r="AF109" t="str">
        <f>IFERROR(INDEX(TableWRCalcPts[TM],MATCH(TableWRRanks3242[[#This Row],[Player]],TableWRCalcPts[PLAYER],0)),"")</f>
        <v>ATL</v>
      </c>
      <c r="AG109">
        <f>IFERROR(INDEX(TableWRCalcPts[BYE],MATCH(TableWRRanks3242[[#This Row],[Player]],TableWRCalcPts[PLAYER],0)),"")</f>
        <v>11</v>
      </c>
      <c r="AH109" s="83">
        <f>VLOOKUP(TableWRRanks3242[[#This Row],[Player]],WR!B:O,4,FALSE)</f>
        <v>0</v>
      </c>
      <c r="AI109" s="83">
        <f>VLOOKUP(TableWRRanks3242[[#This Row],[Player]],WR!B:O,5,FALSE)</f>
        <v>0</v>
      </c>
      <c r="AJ109" s="83">
        <f>VLOOKUP(TableWRRanks3242[[#This Row],[Player]],WR!B:O,6,FALSE)</f>
        <v>17.254036799999994</v>
      </c>
      <c r="AK109" s="83">
        <f>VLOOKUP(TableWRRanks3242[[#This Row],[Player]],WR!B:O,7,FALSE)</f>
        <v>10.593978595199996</v>
      </c>
      <c r="AL109" s="83">
        <f>VLOOKUP(TableWRRanks3242[[#This Row],[Player]],WR!B:O,8,FALSE)</f>
        <v>106.57542466771196</v>
      </c>
      <c r="AM109" s="83">
        <f>VLOOKUP(TableWRRanks3242[[#This Row],[Player]],WR!B:O,9,FALSE)</f>
        <v>0.74157850166399975</v>
      </c>
      <c r="AN109" s="57">
        <f>VLOOKUP(TableWRRanks3242[[#This Row],[Player]],WR!B:O,13,FALSE)</f>
        <v>20.404002774355192</v>
      </c>
      <c r="AO109" s="125">
        <f>IF(VLOOKUP(TableWRRanks3242[[#This Row],[RK]],'Ranks w Proj'!AD:AO,12,FALSE)&lt;0,0,VLOOKUP(TableWRRanks3242[[#This Row],[RK]],'Ranks w Proj'!AD:AO,12,FALSE))</f>
        <v>0</v>
      </c>
    </row>
    <row r="110" spans="16:52" x14ac:dyDescent="0.2">
      <c r="P110">
        <v>109</v>
      </c>
      <c r="Q110">
        <f>VLOOKUP(TableRBRanks3141[[#This Row],[RK]],Rankings!A:T,8,FALSE)</f>
        <v>0</v>
      </c>
      <c r="R110" t="str">
        <f>IFERROR(INDEX(TableRBCalcPts[TM],MATCH(TableRBRanks3141[[#This Row],[Player]],TableRBCalcPts[PLAYER],0)),"")</f>
        <v/>
      </c>
      <c r="S110" t="str">
        <f>IFERROR(INDEX(TableRBCalcPts[BYE],MATCH(TableRBRanks3141[[#This Row],[Player]],TableRBCalcPts[PLAYER],0)),"")</f>
        <v/>
      </c>
      <c r="T110" s="83">
        <f>VLOOKUP(TableRBRanks3141[[#This Row],[Player]],RB!B:O,4,FALSE)</f>
        <v>0</v>
      </c>
      <c r="U110" s="83">
        <f>VLOOKUP(TableRBRanks3141[[#This Row],[Player]],RB!B:O,5,FALSE)</f>
        <v>0</v>
      </c>
      <c r="V110" s="83">
        <f>VLOOKUP(TableRBRanks3141[[#This Row],[Player]],RB!B:O,6,FALSE)</f>
        <v>0</v>
      </c>
      <c r="W110" s="83">
        <f>VLOOKUP(TableRBRanks3141[[#This Row],[Player]],RB!B:O,7,FALSE)</f>
        <v>0</v>
      </c>
      <c r="X110" s="83">
        <f>VLOOKUP(TableRBRanks3141[[#This Row],[Player]],RB!B:O,8,FALSE)</f>
        <v>0</v>
      </c>
      <c r="Y110" s="83">
        <f>VLOOKUP(TableRBRanks3141[[#This Row],[Player]],RB!B:O,9,FALSE)</f>
        <v>0</v>
      </c>
      <c r="Z110" s="83">
        <f>VLOOKUP(TableRBRanks3141[[#This Row],[Player]],RB!B:O,10,FALSE)</f>
        <v>0</v>
      </c>
      <c r="AA110" s="57">
        <f>VLOOKUP(TableRBRanks3141[[#This Row],[Player]],RB!B:O,14,FALSE)</f>
        <v>0</v>
      </c>
      <c r="AB110" s="125">
        <f>IF(VLOOKUP(TableRBRanks3141[[#This Row],[RK]],'Ranks w Proj'!$P:$AB,13,FALSE)&lt;0,0,VLOOKUP(TableRBRanks3141[[#This Row],[RK]],'Ranks w Proj'!$P:$AB,13,FALSE))</f>
        <v>0</v>
      </c>
      <c r="AD110">
        <v>109</v>
      </c>
      <c r="AE110" t="str">
        <f>VLOOKUP(TableWRRanks3242[[#This Row],[RK]],Rankings!A:T,13,FALSE)</f>
        <v>Justin Watson</v>
      </c>
      <c r="AF110" t="str">
        <f>IFERROR(INDEX(TableWRCalcPts[TM],MATCH(TableWRRanks3242[[#This Row],[Player]],TableWRCalcPts[PLAYER],0)),"")</f>
        <v>KC</v>
      </c>
      <c r="AG110">
        <f>IFERROR(INDEX(TableWRCalcPts[BYE],MATCH(TableWRRanks3242[[#This Row],[Player]],TableWRCalcPts[PLAYER],0)),"")</f>
        <v>10</v>
      </c>
      <c r="AH110" s="83">
        <f>VLOOKUP(TableWRRanks3242[[#This Row],[Player]],WR!B:O,4,FALSE)</f>
        <v>0</v>
      </c>
      <c r="AI110" s="83">
        <f>VLOOKUP(TableWRRanks3242[[#This Row],[Player]],WR!B:O,5,FALSE)</f>
        <v>0</v>
      </c>
      <c r="AJ110" s="83">
        <f>VLOOKUP(TableWRRanks3242[[#This Row],[Player]],WR!B:O,6,FALSE)</f>
        <v>28.365119999999994</v>
      </c>
      <c r="AK110" s="83">
        <f>VLOOKUP(TableWRRanks3242[[#This Row],[Player]],WR!B:O,7,FALSE)</f>
        <v>14.352750719999998</v>
      </c>
      <c r="AL110" s="83">
        <f>VLOOKUP(TableWRRanks3242[[#This Row],[Player]],WR!B:O,8,FALSE)</f>
        <v>220.88883358079997</v>
      </c>
      <c r="AM110" s="83">
        <f>VLOOKUP(TableWRRanks3242[[#This Row],[Player]],WR!B:O,9,FALSE)</f>
        <v>1.3635113183999998</v>
      </c>
      <c r="AN110" s="57">
        <f>VLOOKUP(TableWRRanks3242[[#This Row],[Player]],WR!B:O,13,FALSE)</f>
        <v>37.446326628479994</v>
      </c>
      <c r="AO110" s="125">
        <f>IF(VLOOKUP(TableWRRanks3242[[#This Row],[RK]],'Ranks w Proj'!AD:AO,12,FALSE)&lt;0,0,VLOOKUP(TableWRRanks3242[[#This Row],[RK]],'Ranks w Proj'!AD:AO,12,FALSE))</f>
        <v>0</v>
      </c>
    </row>
    <row r="111" spans="16:52" x14ac:dyDescent="0.2">
      <c r="P111">
        <v>110</v>
      </c>
      <c r="Q111">
        <f>VLOOKUP(TableRBRanks3141[[#This Row],[RK]],Rankings!A:T,8,FALSE)</f>
        <v>0</v>
      </c>
      <c r="R111" t="str">
        <f>IFERROR(INDEX(TableRBCalcPts[TM],MATCH(TableRBRanks3141[[#This Row],[Player]],TableRBCalcPts[PLAYER],0)),"")</f>
        <v/>
      </c>
      <c r="S111" t="str">
        <f>IFERROR(INDEX(TableRBCalcPts[BYE],MATCH(TableRBRanks3141[[#This Row],[Player]],TableRBCalcPts[PLAYER],0)),"")</f>
        <v/>
      </c>
      <c r="T111" s="83">
        <f>VLOOKUP(TableRBRanks3141[[#This Row],[Player]],RB!B:O,4,FALSE)</f>
        <v>0</v>
      </c>
      <c r="U111" s="83">
        <f>VLOOKUP(TableRBRanks3141[[#This Row],[Player]],RB!B:O,5,FALSE)</f>
        <v>0</v>
      </c>
      <c r="V111" s="83">
        <f>VLOOKUP(TableRBRanks3141[[#This Row],[Player]],RB!B:O,6,FALSE)</f>
        <v>0</v>
      </c>
      <c r="W111" s="83">
        <f>VLOOKUP(TableRBRanks3141[[#This Row],[Player]],RB!B:O,7,FALSE)</f>
        <v>0</v>
      </c>
      <c r="X111" s="83">
        <f>VLOOKUP(TableRBRanks3141[[#This Row],[Player]],RB!B:O,8,FALSE)</f>
        <v>0</v>
      </c>
      <c r="Y111" s="83">
        <f>VLOOKUP(TableRBRanks3141[[#This Row],[Player]],RB!B:O,9,FALSE)</f>
        <v>0</v>
      </c>
      <c r="Z111" s="83">
        <f>VLOOKUP(TableRBRanks3141[[#This Row],[Player]],RB!B:O,10,FALSE)</f>
        <v>0</v>
      </c>
      <c r="AA111" s="57">
        <f>VLOOKUP(TableRBRanks3141[[#This Row],[Player]],RB!B:O,14,FALSE)</f>
        <v>0</v>
      </c>
      <c r="AB111" s="125" t="str">
        <f>IF(VLOOKUP(TableRBRanks3141[[#This Row],[RK]],'Ranks w Proj'!$P:$AB,13,FALSE)&lt;0,0,VLOOKUP(TableRBRanks3141[[#This Row],[RK]],'Ranks w Proj'!$P:$AB,13,FALSE))</f>
        <v/>
      </c>
      <c r="AD111">
        <v>110</v>
      </c>
      <c r="AE111" t="str">
        <f>VLOOKUP(TableWRRanks3242[[#This Row],[RK]],Rankings!A:T,13,FALSE)</f>
        <v>Allen Lazard</v>
      </c>
      <c r="AF111" t="str">
        <f>IFERROR(INDEX(TableWRCalcPts[TM],MATCH(TableWRRanks3242[[#This Row],[Player]],TableWRCalcPts[PLAYER],0)),"")</f>
        <v>NYJ</v>
      </c>
      <c r="AG111">
        <f>IFERROR(INDEX(TableWRCalcPts[BYE],MATCH(TableWRRanks3242[[#This Row],[Player]],TableWRCalcPts[PLAYER],0)),"")</f>
        <v>7</v>
      </c>
      <c r="AH111" s="83">
        <f>VLOOKUP(TableWRRanks3242[[#This Row],[Player]],WR!B:O,4,FALSE)</f>
        <v>0</v>
      </c>
      <c r="AI111" s="83">
        <f>VLOOKUP(TableWRRanks3242[[#This Row],[Player]],WR!B:O,5,FALSE)</f>
        <v>0</v>
      </c>
      <c r="AJ111" s="83">
        <f>VLOOKUP(TableWRRanks3242[[#This Row],[Player]],WR!B:O,6,FALSE)</f>
        <v>29.625595999999998</v>
      </c>
      <c r="AK111" s="83">
        <f>VLOOKUP(TableWRRanks3242[[#This Row],[Player]],WR!B:O,7,FALSE)</f>
        <v>17.834608791999997</v>
      </c>
      <c r="AL111" s="83">
        <f>VLOOKUP(TableWRRanks3242[[#This Row],[Player]],WR!B:O,8,FALSE)</f>
        <v>232.91999082351998</v>
      </c>
      <c r="AM111" s="83">
        <f>VLOOKUP(TableWRRanks3242[[#This Row],[Player]],WR!B:O,9,FALSE)</f>
        <v>1.6051147912799997</v>
      </c>
      <c r="AN111" s="57">
        <f>VLOOKUP(TableWRRanks3242[[#This Row],[Player]],WR!B:O,13,FALSE)</f>
        <v>41.839992226031995</v>
      </c>
      <c r="AO111" s="125">
        <f>IF(VLOOKUP(TableWRRanks3242[[#This Row],[RK]],'Ranks w Proj'!AD:AO,12,FALSE)&lt;0,0,VLOOKUP(TableWRRanks3242[[#This Row],[RK]],'Ranks w Proj'!AD:AO,12,FALSE))</f>
        <v>0</v>
      </c>
    </row>
    <row r="112" spans="16:52" x14ac:dyDescent="0.2">
      <c r="P112">
        <v>111</v>
      </c>
      <c r="Q112">
        <f>VLOOKUP(TableRBRanks3141[[#This Row],[RK]],Rankings!A:T,8,FALSE)</f>
        <v>0</v>
      </c>
      <c r="R112" t="str">
        <f>IFERROR(INDEX(TableRBCalcPts[TM],MATCH(TableRBRanks3141[[#This Row],[Player]],TableRBCalcPts[PLAYER],0)),"")</f>
        <v/>
      </c>
      <c r="S112" t="str">
        <f>IFERROR(INDEX(TableRBCalcPts[BYE],MATCH(TableRBRanks3141[[#This Row],[Player]],TableRBCalcPts[PLAYER],0)),"")</f>
        <v/>
      </c>
      <c r="T112" s="83">
        <f>VLOOKUP(TableRBRanks3141[[#This Row],[Player]],RB!B:O,4,FALSE)</f>
        <v>0</v>
      </c>
      <c r="U112" s="83">
        <f>VLOOKUP(TableRBRanks3141[[#This Row],[Player]],RB!B:O,5,FALSE)</f>
        <v>0</v>
      </c>
      <c r="V112" s="83">
        <f>VLOOKUP(TableRBRanks3141[[#This Row],[Player]],RB!B:O,6,FALSE)</f>
        <v>0</v>
      </c>
      <c r="W112" s="83">
        <f>VLOOKUP(TableRBRanks3141[[#This Row],[Player]],RB!B:O,7,FALSE)</f>
        <v>0</v>
      </c>
      <c r="X112" s="83">
        <f>VLOOKUP(TableRBRanks3141[[#This Row],[Player]],RB!B:O,8,FALSE)</f>
        <v>0</v>
      </c>
      <c r="Y112" s="83">
        <f>VLOOKUP(TableRBRanks3141[[#This Row],[Player]],RB!B:O,9,FALSE)</f>
        <v>0</v>
      </c>
      <c r="Z112" s="83">
        <f>VLOOKUP(TableRBRanks3141[[#This Row],[Player]],RB!B:O,10,FALSE)</f>
        <v>0</v>
      </c>
      <c r="AA112" s="57">
        <f>VLOOKUP(TableRBRanks3141[[#This Row],[Player]],RB!B:O,14,FALSE)</f>
        <v>0</v>
      </c>
      <c r="AB112" s="125" t="str">
        <f>IF(VLOOKUP(TableRBRanks3141[[#This Row],[RK]],'Ranks w Proj'!$P:$AB,13,FALSE)&lt;0,0,VLOOKUP(TableRBRanks3141[[#This Row],[RK]],'Ranks w Proj'!$P:$AB,13,FALSE))</f>
        <v/>
      </c>
      <c r="AD112">
        <v>111</v>
      </c>
      <c r="AE112" t="str">
        <f>VLOOKUP(TableWRRanks3242[[#This Row],[RK]],Rankings!A:T,13,FALSE)</f>
        <v>Calvin Austin</v>
      </c>
      <c r="AF112" t="str">
        <f>IFERROR(INDEX(TableWRCalcPts[TM],MATCH(TableWRRanks3242[[#This Row],[Player]],TableWRCalcPts[PLAYER],0)),"")</f>
        <v>PIT</v>
      </c>
      <c r="AG112">
        <f>IFERROR(INDEX(TableWRCalcPts[BYE],MATCH(TableWRRanks3242[[#This Row],[Player]],TableWRCalcPts[PLAYER],0)),"")</f>
        <v>6</v>
      </c>
      <c r="AH112" s="83">
        <f>VLOOKUP(TableWRRanks3242[[#This Row],[Player]],WR!B:O,4,FALSE)</f>
        <v>0</v>
      </c>
      <c r="AI112" s="83">
        <f>VLOOKUP(TableWRRanks3242[[#This Row],[Player]],WR!B:O,5,FALSE)</f>
        <v>0</v>
      </c>
      <c r="AJ112" s="83">
        <f>VLOOKUP(TableWRRanks3242[[#This Row],[Player]],WR!B:O,6,FALSE)</f>
        <v>27.525750000000002</v>
      </c>
      <c r="AK112" s="83">
        <f>VLOOKUP(TableWRRanks3242[[#This Row],[Player]],WR!B:O,7,FALSE)</f>
        <v>16.37782125</v>
      </c>
      <c r="AL112" s="83">
        <f>VLOOKUP(TableWRRanks3242[[#This Row],[Player]],WR!B:O,8,FALSE)</f>
        <v>168.36400244999999</v>
      </c>
      <c r="AM112" s="83">
        <f>VLOOKUP(TableWRRanks3242[[#This Row],[Player]],WR!B:O,9,FALSE)</f>
        <v>0.98266927500000001</v>
      </c>
      <c r="AN112" s="57">
        <f>VLOOKUP(TableWRRanks3242[[#This Row],[Player]],WR!B:O,13,FALSE)</f>
        <v>30.921326519999997</v>
      </c>
      <c r="AO112" s="125">
        <f>IF(VLOOKUP(TableWRRanks3242[[#This Row],[RK]],'Ranks w Proj'!AD:AO,12,FALSE)&lt;0,0,VLOOKUP(TableWRRanks3242[[#This Row],[RK]],'Ranks w Proj'!AD:AO,12,FALSE))</f>
        <v>0</v>
      </c>
    </row>
    <row r="113" spans="16:41" x14ac:dyDescent="0.2">
      <c r="P113">
        <v>112</v>
      </c>
      <c r="Q113">
        <f>VLOOKUP(TableRBRanks3141[[#This Row],[RK]],Rankings!A:T,8,FALSE)</f>
        <v>0</v>
      </c>
      <c r="R113" t="str">
        <f>IFERROR(INDEX(TableRBCalcPts[TM],MATCH(TableRBRanks3141[[#This Row],[Player]],TableRBCalcPts[PLAYER],0)),"")</f>
        <v/>
      </c>
      <c r="S113" t="str">
        <f>IFERROR(INDEX(TableRBCalcPts[BYE],MATCH(TableRBRanks3141[[#This Row],[Player]],TableRBCalcPts[PLAYER],0)),"")</f>
        <v/>
      </c>
      <c r="T113" s="83">
        <f>VLOOKUP(TableRBRanks3141[[#This Row],[Player]],RB!B:O,4,FALSE)</f>
        <v>0</v>
      </c>
      <c r="U113" s="83">
        <f>VLOOKUP(TableRBRanks3141[[#This Row],[Player]],RB!B:O,5,FALSE)</f>
        <v>0</v>
      </c>
      <c r="V113" s="83">
        <f>VLOOKUP(TableRBRanks3141[[#This Row],[Player]],RB!B:O,6,FALSE)</f>
        <v>0</v>
      </c>
      <c r="W113" s="83">
        <f>VLOOKUP(TableRBRanks3141[[#This Row],[Player]],RB!B:O,7,FALSE)</f>
        <v>0</v>
      </c>
      <c r="X113" s="83">
        <f>VLOOKUP(TableRBRanks3141[[#This Row],[Player]],RB!B:O,8,FALSE)</f>
        <v>0</v>
      </c>
      <c r="Y113" s="83">
        <f>VLOOKUP(TableRBRanks3141[[#This Row],[Player]],RB!B:O,9,FALSE)</f>
        <v>0</v>
      </c>
      <c r="Z113" s="83">
        <f>VLOOKUP(TableRBRanks3141[[#This Row],[Player]],RB!B:O,10,FALSE)</f>
        <v>0</v>
      </c>
      <c r="AA113" s="57">
        <f>VLOOKUP(TableRBRanks3141[[#This Row],[Player]],RB!B:O,14,FALSE)</f>
        <v>0</v>
      </c>
      <c r="AB113" s="125" t="str">
        <f>IF(VLOOKUP(TableRBRanks3141[[#This Row],[RK]],'Ranks w Proj'!$P:$AB,13,FALSE)&lt;0,0,VLOOKUP(TableRBRanks3141[[#This Row],[RK]],'Ranks w Proj'!$P:$AB,13,FALSE))</f>
        <v/>
      </c>
      <c r="AD113">
        <v>112</v>
      </c>
      <c r="AE113" t="str">
        <f>VLOOKUP(TableWRRanks3242[[#This Row],[RK]],Rankings!A:T,13,FALSE)</f>
        <v>Jake Bobo</v>
      </c>
      <c r="AF113" t="str">
        <f>IFERROR(INDEX(TableWRCalcPts[TM],MATCH(TableWRRanks3242[[#This Row],[Player]],TableWRCalcPts[PLAYER],0)),"")</f>
        <v>SEA</v>
      </c>
      <c r="AG113">
        <f>IFERROR(INDEX(TableWRCalcPts[BYE],MATCH(TableWRRanks3242[[#This Row],[Player]],TableWRCalcPts[PLAYER],0)),"")</f>
        <v>5</v>
      </c>
      <c r="AH113" s="83">
        <f>VLOOKUP(TableWRRanks3242[[#This Row],[Player]],WR!B:O,4,FALSE)</f>
        <v>0</v>
      </c>
      <c r="AI113" s="83">
        <f>VLOOKUP(TableWRRanks3242[[#This Row],[Player]],WR!B:O,5,FALSE)</f>
        <v>0</v>
      </c>
      <c r="AJ113" s="83">
        <f>VLOOKUP(TableWRRanks3242[[#This Row],[Player]],WR!B:O,6,FALSE)</f>
        <v>29.024120999999997</v>
      </c>
      <c r="AK113" s="83">
        <f>VLOOKUP(TableWRRanks3242[[#This Row],[Player]],WR!B:O,7,FALSE)</f>
        <v>19.097871617999999</v>
      </c>
      <c r="AL113" s="83">
        <f>VLOOKUP(TableWRRanks3242[[#This Row],[Player]],WR!B:O,8,FALSE)</f>
        <v>207.02092833911999</v>
      </c>
      <c r="AM113" s="83">
        <f>VLOOKUP(TableWRRanks3242[[#This Row],[Player]],WR!B:O,9,FALSE)</f>
        <v>1.33685101326</v>
      </c>
      <c r="AN113" s="57">
        <f>VLOOKUP(TableWRRanks3242[[#This Row],[Player]],WR!B:O,13,FALSE)</f>
        <v>38.272134722472003</v>
      </c>
      <c r="AO113" s="125">
        <f>IF(VLOOKUP(TableWRRanks3242[[#This Row],[RK]],'Ranks w Proj'!AD:AO,12,FALSE)&lt;0,0,VLOOKUP(TableWRRanks3242[[#This Row],[RK]],'Ranks w Proj'!AD:AO,12,FALSE))</f>
        <v>0</v>
      </c>
    </row>
    <row r="114" spans="16:41" x14ac:dyDescent="0.2">
      <c r="P114">
        <v>113</v>
      </c>
      <c r="Q114">
        <f>VLOOKUP(TableRBRanks3141[[#This Row],[RK]],Rankings!A:T,8,FALSE)</f>
        <v>0</v>
      </c>
      <c r="R114" t="str">
        <f>IFERROR(INDEX(TableRBCalcPts[TM],MATCH(TableRBRanks3141[[#This Row],[Player]],TableRBCalcPts[PLAYER],0)),"")</f>
        <v/>
      </c>
      <c r="S114" t="str">
        <f>IFERROR(INDEX(TableRBCalcPts[BYE],MATCH(TableRBRanks3141[[#This Row],[Player]],TableRBCalcPts[PLAYER],0)),"")</f>
        <v/>
      </c>
      <c r="T114" s="83">
        <f>VLOOKUP(TableRBRanks3141[[#This Row],[Player]],RB!B:O,4,FALSE)</f>
        <v>0</v>
      </c>
      <c r="U114" s="83">
        <f>VLOOKUP(TableRBRanks3141[[#This Row],[Player]],RB!B:O,5,FALSE)</f>
        <v>0</v>
      </c>
      <c r="V114" s="83">
        <f>VLOOKUP(TableRBRanks3141[[#This Row],[Player]],RB!B:O,6,FALSE)</f>
        <v>0</v>
      </c>
      <c r="W114" s="83">
        <f>VLOOKUP(TableRBRanks3141[[#This Row],[Player]],RB!B:O,7,FALSE)</f>
        <v>0</v>
      </c>
      <c r="X114" s="83">
        <f>VLOOKUP(TableRBRanks3141[[#This Row],[Player]],RB!B:O,8,FALSE)</f>
        <v>0</v>
      </c>
      <c r="Y114" s="83">
        <f>VLOOKUP(TableRBRanks3141[[#This Row],[Player]],RB!B:O,9,FALSE)</f>
        <v>0</v>
      </c>
      <c r="Z114" s="83">
        <f>VLOOKUP(TableRBRanks3141[[#This Row],[Player]],RB!B:O,10,FALSE)</f>
        <v>0</v>
      </c>
      <c r="AA114" s="57">
        <f>VLOOKUP(TableRBRanks3141[[#This Row],[Player]],RB!B:O,14,FALSE)</f>
        <v>0</v>
      </c>
      <c r="AB114" s="125" t="str">
        <f>IF(VLOOKUP(TableRBRanks3141[[#This Row],[RK]],'Ranks w Proj'!$P:$AB,13,FALSE)&lt;0,0,VLOOKUP(TableRBRanks3141[[#This Row],[RK]],'Ranks w Proj'!$P:$AB,13,FALSE))</f>
        <v/>
      </c>
      <c r="AD114">
        <v>113</v>
      </c>
      <c r="AE114" t="str">
        <f>VLOOKUP(TableWRRanks3242[[#This Row],[RK]],Rankings!A:T,13,FALSE)</f>
        <v>Quez Watkins</v>
      </c>
      <c r="AF114" t="str">
        <f>IFERROR(INDEX(TableWRCalcPts[TM],MATCH(TableWRRanks3242[[#This Row],[Player]],TableWRCalcPts[PLAYER],0)),"")</f>
        <v>PIT</v>
      </c>
      <c r="AG114">
        <f>IFERROR(INDEX(TableWRCalcPts[BYE],MATCH(TableWRRanks3242[[#This Row],[Player]],TableWRCalcPts[PLAYER],0)),"")</f>
        <v>6</v>
      </c>
      <c r="AH114" s="83">
        <f>VLOOKUP(TableWRRanks3242[[#This Row],[Player]],WR!B:O,4,FALSE)</f>
        <v>0</v>
      </c>
      <c r="AI114" s="83">
        <f>VLOOKUP(TableWRRanks3242[[#This Row],[Player]],WR!B:O,5,FALSE)</f>
        <v>0</v>
      </c>
      <c r="AJ114" s="83">
        <f>VLOOKUP(TableWRRanks3242[[#This Row],[Player]],WR!B:O,6,FALSE)</f>
        <v>13.762875000000001</v>
      </c>
      <c r="AK114" s="83">
        <f>VLOOKUP(TableWRRanks3242[[#This Row],[Player]],WR!B:O,7,FALSE)</f>
        <v>7.9411788750000003</v>
      </c>
      <c r="AL114" s="83">
        <f>VLOOKUP(TableWRRanks3242[[#This Row],[Player]],WR!B:O,8,FALSE)</f>
        <v>101.329442445</v>
      </c>
      <c r="AM114" s="83">
        <f>VLOOKUP(TableWRRanks3242[[#This Row],[Player]],WR!B:O,9,FALSE)</f>
        <v>0.47647073249999999</v>
      </c>
      <c r="AN114" s="57">
        <f>VLOOKUP(TableWRRanks3242[[#This Row],[Player]],WR!B:O,13,FALSE)</f>
        <v>16.962358077000001</v>
      </c>
      <c r="AO114" s="125">
        <f>IF(VLOOKUP(TableWRRanks3242[[#This Row],[RK]],'Ranks w Proj'!AD:AO,12,FALSE)&lt;0,0,VLOOKUP(TableWRRanks3242[[#This Row],[RK]],'Ranks w Proj'!AD:AO,12,FALSE))</f>
        <v>0</v>
      </c>
    </row>
    <row r="115" spans="16:41" x14ac:dyDescent="0.2">
      <c r="P115">
        <v>114</v>
      </c>
      <c r="Q115">
        <f>VLOOKUP(TableRBRanks3141[[#This Row],[RK]],Rankings!A:T,8,FALSE)</f>
        <v>0</v>
      </c>
      <c r="R115" t="str">
        <f>IFERROR(INDEX(TableRBCalcPts[TM],MATCH(TableRBRanks3141[[#This Row],[Player]],TableRBCalcPts[PLAYER],0)),"")</f>
        <v/>
      </c>
      <c r="S115" t="str">
        <f>IFERROR(INDEX(TableRBCalcPts[BYE],MATCH(TableRBRanks3141[[#This Row],[Player]],TableRBCalcPts[PLAYER],0)),"")</f>
        <v/>
      </c>
      <c r="T115" s="83">
        <f>VLOOKUP(TableRBRanks3141[[#This Row],[Player]],RB!B:O,4,FALSE)</f>
        <v>0</v>
      </c>
      <c r="U115" s="83">
        <f>VLOOKUP(TableRBRanks3141[[#This Row],[Player]],RB!B:O,5,FALSE)</f>
        <v>0</v>
      </c>
      <c r="V115" s="83">
        <f>VLOOKUP(TableRBRanks3141[[#This Row],[Player]],RB!B:O,6,FALSE)</f>
        <v>0</v>
      </c>
      <c r="W115" s="83">
        <f>VLOOKUP(TableRBRanks3141[[#This Row],[Player]],RB!B:O,7,FALSE)</f>
        <v>0</v>
      </c>
      <c r="X115" s="83">
        <f>VLOOKUP(TableRBRanks3141[[#This Row],[Player]],RB!B:O,8,FALSE)</f>
        <v>0</v>
      </c>
      <c r="Y115" s="83">
        <f>VLOOKUP(TableRBRanks3141[[#This Row],[Player]],RB!B:O,9,FALSE)</f>
        <v>0</v>
      </c>
      <c r="Z115" s="83">
        <f>VLOOKUP(TableRBRanks3141[[#This Row],[Player]],RB!B:O,10,FALSE)</f>
        <v>0</v>
      </c>
      <c r="AA115" s="57">
        <f>VLOOKUP(TableRBRanks3141[[#This Row],[Player]],RB!B:O,14,FALSE)</f>
        <v>0</v>
      </c>
      <c r="AB115" s="125" t="str">
        <f>IF(VLOOKUP(TableRBRanks3141[[#This Row],[RK]],'Ranks w Proj'!$P:$AB,13,FALSE)&lt;0,0,VLOOKUP(TableRBRanks3141[[#This Row],[RK]],'Ranks w Proj'!$P:$AB,13,FALSE))</f>
        <v/>
      </c>
      <c r="AD115">
        <v>114</v>
      </c>
      <c r="AE115" t="str">
        <f>VLOOKUP(TableWRRanks3242[[#This Row],[RK]],Rankings!A:T,13,FALSE)</f>
        <v>Derius Davis</v>
      </c>
      <c r="AF115" t="str">
        <f>IFERROR(INDEX(TableWRCalcPts[TM],MATCH(TableWRRanks3242[[#This Row],[Player]],TableWRCalcPts[PLAYER],0)),"")</f>
        <v>LAC</v>
      </c>
      <c r="AG115">
        <f>IFERROR(INDEX(TableWRCalcPts[BYE],MATCH(TableWRRanks3242[[#This Row],[Player]],TableWRCalcPts[PLAYER],0)),"")</f>
        <v>5</v>
      </c>
      <c r="AH115" s="83">
        <f>VLOOKUP(TableWRRanks3242[[#This Row],[Player]],WR!B:O,4,FALSE)</f>
        <v>0</v>
      </c>
      <c r="AI115" s="83">
        <f>VLOOKUP(TableWRRanks3242[[#This Row],[Player]],WR!B:O,5,FALSE)</f>
        <v>0</v>
      </c>
      <c r="AJ115" s="83">
        <f>VLOOKUP(TableWRRanks3242[[#This Row],[Player]],WR!B:O,6,FALSE)</f>
        <v>27.918092999999995</v>
      </c>
      <c r="AK115" s="83">
        <f>VLOOKUP(TableWRRanks3242[[#This Row],[Player]],WR!B:O,7,FALSE)</f>
        <v>19.626419378999994</v>
      </c>
      <c r="AL115" s="83">
        <f>VLOOKUP(TableWRRanks3242[[#This Row],[Player]],WR!B:O,8,FALSE)</f>
        <v>201.56332702232993</v>
      </c>
      <c r="AM115" s="83">
        <f>VLOOKUP(TableWRRanks3242[[#This Row],[Player]],WR!B:O,9,FALSE)</f>
        <v>1.1775851627399996</v>
      </c>
      <c r="AN115" s="57">
        <f>VLOOKUP(TableWRRanks3242[[#This Row],[Player]],WR!B:O,13,FALSE)</f>
        <v>37.035053368172989</v>
      </c>
      <c r="AO115" s="125">
        <f>IF(VLOOKUP(TableWRRanks3242[[#This Row],[RK]],'Ranks w Proj'!AD:AO,12,FALSE)&lt;0,0,VLOOKUP(TableWRRanks3242[[#This Row],[RK]],'Ranks w Proj'!AD:AO,12,FALSE))</f>
        <v>0</v>
      </c>
    </row>
    <row r="116" spans="16:41" x14ac:dyDescent="0.2">
      <c r="P116">
        <v>115</v>
      </c>
      <c r="Q116">
        <f>VLOOKUP(TableRBRanks3141[[#This Row],[RK]],Rankings!A:T,8,FALSE)</f>
        <v>0</v>
      </c>
      <c r="R116" t="str">
        <f>IFERROR(INDEX(TableRBCalcPts[TM],MATCH(TableRBRanks3141[[#This Row],[Player]],TableRBCalcPts[PLAYER],0)),"")</f>
        <v/>
      </c>
      <c r="S116" t="str">
        <f>IFERROR(INDEX(TableRBCalcPts[BYE],MATCH(TableRBRanks3141[[#This Row],[Player]],TableRBCalcPts[PLAYER],0)),"")</f>
        <v/>
      </c>
      <c r="T116" s="83">
        <f>VLOOKUP(TableRBRanks3141[[#This Row],[Player]],RB!B:O,4,FALSE)</f>
        <v>0</v>
      </c>
      <c r="U116" s="83">
        <f>VLOOKUP(TableRBRanks3141[[#This Row],[Player]],RB!B:O,5,FALSE)</f>
        <v>0</v>
      </c>
      <c r="V116" s="83">
        <f>VLOOKUP(TableRBRanks3141[[#This Row],[Player]],RB!B:O,6,FALSE)</f>
        <v>0</v>
      </c>
      <c r="W116" s="83">
        <f>VLOOKUP(TableRBRanks3141[[#This Row],[Player]],RB!B:O,7,FALSE)</f>
        <v>0</v>
      </c>
      <c r="X116" s="83">
        <f>VLOOKUP(TableRBRanks3141[[#This Row],[Player]],RB!B:O,8,FALSE)</f>
        <v>0</v>
      </c>
      <c r="Y116" s="83">
        <f>VLOOKUP(TableRBRanks3141[[#This Row],[Player]],RB!B:O,9,FALSE)</f>
        <v>0</v>
      </c>
      <c r="Z116" s="83">
        <f>VLOOKUP(TableRBRanks3141[[#This Row],[Player]],RB!B:O,10,FALSE)</f>
        <v>0</v>
      </c>
      <c r="AA116" s="57">
        <f>VLOOKUP(TableRBRanks3141[[#This Row],[Player]],RB!B:O,14,FALSE)</f>
        <v>0</v>
      </c>
      <c r="AB116" s="125" t="str">
        <f>IF(VLOOKUP(TableRBRanks3141[[#This Row],[RK]],'Ranks w Proj'!$P:$AB,13,FALSE)&lt;0,0,VLOOKUP(TableRBRanks3141[[#This Row],[RK]],'Ranks w Proj'!$P:$AB,13,FALSE))</f>
        <v/>
      </c>
      <c r="AD116">
        <v>115</v>
      </c>
      <c r="AE116" t="str">
        <f>VLOOKUP(TableWRRanks3242[[#This Row],[RK]],Rankings!A:T,13,FALSE)</f>
        <v>Braxton Berrios</v>
      </c>
      <c r="AF116" t="str">
        <f>IFERROR(INDEX(TableWRCalcPts[TM],MATCH(TableWRRanks3242[[#This Row],[Player]],TableWRCalcPts[PLAYER],0)),"")</f>
        <v>MIA</v>
      </c>
      <c r="AG116">
        <f>IFERROR(INDEX(TableWRCalcPts[BYE],MATCH(TableWRRanks3242[[#This Row],[Player]],TableWRCalcPts[PLAYER],0)),"")</f>
        <v>10</v>
      </c>
      <c r="AH116" s="83">
        <f>VLOOKUP(TableWRRanks3242[[#This Row],[Player]],WR!B:O,4,FALSE)</f>
        <v>0</v>
      </c>
      <c r="AI116" s="83">
        <f>VLOOKUP(TableWRRanks3242[[#This Row],[Player]],WR!B:O,5,FALSE)</f>
        <v>0</v>
      </c>
      <c r="AJ116" s="83">
        <f>VLOOKUP(TableWRRanks3242[[#This Row],[Player]],WR!B:O,6,FALSE)</f>
        <v>14.658251999999999</v>
      </c>
      <c r="AK116" s="83">
        <f>VLOOKUP(TableWRRanks3242[[#This Row],[Player]],WR!B:O,7,FALSE)</f>
        <v>8.7949511999999999</v>
      </c>
      <c r="AL116" s="83">
        <f>VLOOKUP(TableWRRanks3242[[#This Row],[Player]],WR!B:O,8,FALSE)</f>
        <v>87.949511999999999</v>
      </c>
      <c r="AM116" s="83">
        <f>VLOOKUP(TableWRRanks3242[[#This Row],[Player]],WR!B:O,9,FALSE)</f>
        <v>0.43974756000000004</v>
      </c>
      <c r="AN116" s="57">
        <f>VLOOKUP(TableWRRanks3242[[#This Row],[Player]],WR!B:O,13,FALSE)</f>
        <v>15.83091216</v>
      </c>
      <c r="AO116" s="125">
        <f>IF(VLOOKUP(TableWRRanks3242[[#This Row],[RK]],'Ranks w Proj'!AD:AO,12,FALSE)&lt;0,0,VLOOKUP(TableWRRanks3242[[#This Row],[RK]],'Ranks w Proj'!AD:AO,12,FALSE))</f>
        <v>0</v>
      </c>
    </row>
    <row r="117" spans="16:41" x14ac:dyDescent="0.2">
      <c r="P117">
        <v>116</v>
      </c>
      <c r="Q117">
        <f>VLOOKUP(TableRBRanks3141[[#This Row],[RK]],Rankings!A:T,8,FALSE)</f>
        <v>0</v>
      </c>
      <c r="R117" t="str">
        <f>IFERROR(INDEX(TableRBCalcPts[TM],MATCH(TableRBRanks3141[[#This Row],[Player]],TableRBCalcPts[PLAYER],0)),"")</f>
        <v/>
      </c>
      <c r="S117" t="str">
        <f>IFERROR(INDEX(TableRBCalcPts[BYE],MATCH(TableRBRanks3141[[#This Row],[Player]],TableRBCalcPts[PLAYER],0)),"")</f>
        <v/>
      </c>
      <c r="T117" s="83">
        <f>VLOOKUP(TableRBRanks3141[[#This Row],[Player]],RB!B:O,4,FALSE)</f>
        <v>0</v>
      </c>
      <c r="U117" s="83">
        <f>VLOOKUP(TableRBRanks3141[[#This Row],[Player]],RB!B:O,5,FALSE)</f>
        <v>0</v>
      </c>
      <c r="V117" s="83">
        <f>VLOOKUP(TableRBRanks3141[[#This Row],[Player]],RB!B:O,6,FALSE)</f>
        <v>0</v>
      </c>
      <c r="W117" s="83">
        <f>VLOOKUP(TableRBRanks3141[[#This Row],[Player]],RB!B:O,7,FALSE)</f>
        <v>0</v>
      </c>
      <c r="X117" s="83">
        <f>VLOOKUP(TableRBRanks3141[[#This Row],[Player]],RB!B:O,8,FALSE)</f>
        <v>0</v>
      </c>
      <c r="Y117" s="83">
        <f>VLOOKUP(TableRBRanks3141[[#This Row],[Player]],RB!B:O,9,FALSE)</f>
        <v>0</v>
      </c>
      <c r="Z117" s="83">
        <f>VLOOKUP(TableRBRanks3141[[#This Row],[Player]],RB!B:O,10,FALSE)</f>
        <v>0</v>
      </c>
      <c r="AA117" s="57">
        <f>VLOOKUP(TableRBRanks3141[[#This Row],[Player]],RB!B:O,14,FALSE)</f>
        <v>0</v>
      </c>
      <c r="AB117" s="125" t="str">
        <f>IF(VLOOKUP(TableRBRanks3141[[#This Row],[RK]],'Ranks w Proj'!$P:$AB,13,FALSE)&lt;0,0,VLOOKUP(TableRBRanks3141[[#This Row],[RK]],'Ranks w Proj'!$P:$AB,13,FALSE))</f>
        <v/>
      </c>
      <c r="AD117">
        <v>116</v>
      </c>
      <c r="AE117" t="str">
        <f>VLOOKUP(TableWRRanks3242[[#This Row],[RK]],Rankings!A:T,13,FALSE)</f>
        <v>K.J. Osborn</v>
      </c>
      <c r="AF117" t="str">
        <f>IFERROR(INDEX(TableWRCalcPts[TM],MATCH(TableWRRanks3242[[#This Row],[Player]],TableWRCalcPts[PLAYER],0)),"")</f>
        <v>NE</v>
      </c>
      <c r="AG117">
        <f>IFERROR(INDEX(TableWRCalcPts[BYE],MATCH(TableWRRanks3242[[#This Row],[Player]],TableWRCalcPts[PLAYER],0)),"")</f>
        <v>11</v>
      </c>
      <c r="AH117" s="83">
        <f>VLOOKUP(TableWRRanks3242[[#This Row],[Player]],WR!B:O,4,FALSE)</f>
        <v>0</v>
      </c>
      <c r="AI117" s="83">
        <f>VLOOKUP(TableWRRanks3242[[#This Row],[Player]],WR!B:O,5,FALSE)</f>
        <v>0</v>
      </c>
      <c r="AJ117" s="83">
        <f>VLOOKUP(TableWRRanks3242[[#This Row],[Player]],WR!B:O,6,FALSE)</f>
        <v>28.344147999999993</v>
      </c>
      <c r="AK117" s="83">
        <f>VLOOKUP(TableWRRanks3242[[#This Row],[Player]],WR!B:O,7,FALSE)</f>
        <v>17.063177095999997</v>
      </c>
      <c r="AL117" s="83">
        <f>VLOOKUP(TableWRRanks3242[[#This Row],[Player]],WR!B:O,8,FALSE)</f>
        <v>194.17895535247999</v>
      </c>
      <c r="AM117" s="83">
        <f>VLOOKUP(TableWRRanks3242[[#This Row],[Player]],WR!B:O,9,FALSE)</f>
        <v>1.1091065112399998</v>
      </c>
      <c r="AN117" s="57">
        <f>VLOOKUP(TableWRRanks3242[[#This Row],[Player]],WR!B:O,13,FALSE)</f>
        <v>34.604123150687997</v>
      </c>
      <c r="AO117" s="125">
        <f>IF(VLOOKUP(TableWRRanks3242[[#This Row],[RK]],'Ranks w Proj'!AD:AO,12,FALSE)&lt;0,0,VLOOKUP(TableWRRanks3242[[#This Row],[RK]],'Ranks w Proj'!AD:AO,12,FALSE))</f>
        <v>0</v>
      </c>
    </row>
    <row r="118" spans="16:41" x14ac:dyDescent="0.2">
      <c r="P118">
        <v>117</v>
      </c>
      <c r="Q118">
        <f>VLOOKUP(TableRBRanks3141[[#This Row],[RK]],Rankings!A:T,8,FALSE)</f>
        <v>0</v>
      </c>
      <c r="R118" t="str">
        <f>IFERROR(INDEX(TableRBCalcPts[TM],MATCH(TableRBRanks3141[[#This Row],[Player]],TableRBCalcPts[PLAYER],0)),"")</f>
        <v/>
      </c>
      <c r="S118" t="str">
        <f>IFERROR(INDEX(TableRBCalcPts[BYE],MATCH(TableRBRanks3141[[#This Row],[Player]],TableRBCalcPts[PLAYER],0)),"")</f>
        <v/>
      </c>
      <c r="T118" s="83">
        <f>VLOOKUP(TableRBRanks3141[[#This Row],[Player]],RB!B:O,4,FALSE)</f>
        <v>0</v>
      </c>
      <c r="U118" s="83">
        <f>VLOOKUP(TableRBRanks3141[[#This Row],[Player]],RB!B:O,5,FALSE)</f>
        <v>0</v>
      </c>
      <c r="V118" s="83">
        <f>VLOOKUP(TableRBRanks3141[[#This Row],[Player]],RB!B:O,6,FALSE)</f>
        <v>0</v>
      </c>
      <c r="W118" s="83">
        <f>VLOOKUP(TableRBRanks3141[[#This Row],[Player]],RB!B:O,7,FALSE)</f>
        <v>0</v>
      </c>
      <c r="X118" s="83">
        <f>VLOOKUP(TableRBRanks3141[[#This Row],[Player]],RB!B:O,8,FALSE)</f>
        <v>0</v>
      </c>
      <c r="Y118" s="83">
        <f>VLOOKUP(TableRBRanks3141[[#This Row],[Player]],RB!B:O,9,FALSE)</f>
        <v>0</v>
      </c>
      <c r="Z118" s="83">
        <f>VLOOKUP(TableRBRanks3141[[#This Row],[Player]],RB!B:O,10,FALSE)</f>
        <v>0</v>
      </c>
      <c r="AA118" s="57">
        <f>VLOOKUP(TableRBRanks3141[[#This Row],[Player]],RB!B:O,14,FALSE)</f>
        <v>0</v>
      </c>
      <c r="AB118" s="125" t="str">
        <f>IF(VLOOKUP(TableRBRanks3141[[#This Row],[RK]],'Ranks w Proj'!$P:$AB,13,FALSE)&lt;0,0,VLOOKUP(TableRBRanks3141[[#This Row],[RK]],'Ranks w Proj'!$P:$AB,13,FALSE))</f>
        <v/>
      </c>
      <c r="AD118">
        <v>117</v>
      </c>
      <c r="AE118" t="str">
        <f>VLOOKUP(TableWRRanks3242[[#This Row],[RK]],Rankings!A:T,13,FALSE)</f>
        <v>Skyy Moore</v>
      </c>
      <c r="AF118" t="str">
        <f>IFERROR(INDEX(TableWRCalcPts[TM],MATCH(TableWRRanks3242[[#This Row],[Player]],TableWRCalcPts[PLAYER],0)),"")</f>
        <v>KC</v>
      </c>
      <c r="AG118">
        <f>IFERROR(INDEX(TableWRCalcPts[BYE],MATCH(TableWRRanks3242[[#This Row],[Player]],TableWRCalcPts[PLAYER],0)),"")</f>
        <v>10</v>
      </c>
      <c r="AH118" s="83">
        <f>VLOOKUP(TableWRRanks3242[[#This Row],[Player]],WR!B:O,4,FALSE)</f>
        <v>0</v>
      </c>
      <c r="AI118" s="83">
        <f>VLOOKUP(TableWRRanks3242[[#This Row],[Player]],WR!B:O,5,FALSE)</f>
        <v>0</v>
      </c>
      <c r="AJ118" s="83">
        <f>VLOOKUP(TableWRRanks3242[[#This Row],[Player]],WR!B:O,6,FALSE)</f>
        <v>22.061759999999996</v>
      </c>
      <c r="AK118" s="83">
        <f>VLOOKUP(TableWRRanks3242[[#This Row],[Player]],WR!B:O,7,FALSE)</f>
        <v>13.347364799999998</v>
      </c>
      <c r="AL118" s="83">
        <f>VLOOKUP(TableWRRanks3242[[#This Row],[Player]],WR!B:O,8,FALSE)</f>
        <v>160.83574583999999</v>
      </c>
      <c r="AM118" s="83">
        <f>VLOOKUP(TableWRRanks3242[[#This Row],[Player]],WR!B:O,9,FALSE)</f>
        <v>1.0677891839999998</v>
      </c>
      <c r="AN118" s="57">
        <f>VLOOKUP(TableWRRanks3242[[#This Row],[Player]],WR!B:O,13,FALSE)</f>
        <v>29.163992088000001</v>
      </c>
      <c r="AO118" s="125">
        <f>IF(VLOOKUP(TableWRRanks3242[[#This Row],[RK]],'Ranks w Proj'!AD:AO,12,FALSE)&lt;0,0,VLOOKUP(TableWRRanks3242[[#This Row],[RK]],'Ranks w Proj'!AD:AO,12,FALSE))</f>
        <v>0</v>
      </c>
    </row>
    <row r="119" spans="16:41" x14ac:dyDescent="0.2">
      <c r="P119">
        <v>118</v>
      </c>
      <c r="Q119">
        <f>VLOOKUP(TableRBRanks3141[[#This Row],[RK]],Rankings!A:T,8,FALSE)</f>
        <v>0</v>
      </c>
      <c r="R119" t="str">
        <f>IFERROR(INDEX(TableRBCalcPts[TM],MATCH(TableRBRanks3141[[#This Row],[Player]],TableRBCalcPts[PLAYER],0)),"")</f>
        <v/>
      </c>
      <c r="S119" t="str">
        <f>IFERROR(INDEX(TableRBCalcPts[BYE],MATCH(TableRBRanks3141[[#This Row],[Player]],TableRBCalcPts[PLAYER],0)),"")</f>
        <v/>
      </c>
      <c r="T119" s="83">
        <f>VLOOKUP(TableRBRanks3141[[#This Row],[Player]],RB!B:O,4,FALSE)</f>
        <v>0</v>
      </c>
      <c r="U119" s="83">
        <f>VLOOKUP(TableRBRanks3141[[#This Row],[Player]],RB!B:O,5,FALSE)</f>
        <v>0</v>
      </c>
      <c r="V119" s="83">
        <f>VLOOKUP(TableRBRanks3141[[#This Row],[Player]],RB!B:O,6,FALSE)</f>
        <v>0</v>
      </c>
      <c r="W119" s="83">
        <f>VLOOKUP(TableRBRanks3141[[#This Row],[Player]],RB!B:O,7,FALSE)</f>
        <v>0</v>
      </c>
      <c r="X119" s="83">
        <f>VLOOKUP(TableRBRanks3141[[#This Row],[Player]],RB!B:O,8,FALSE)</f>
        <v>0</v>
      </c>
      <c r="Y119" s="83">
        <f>VLOOKUP(TableRBRanks3141[[#This Row],[Player]],RB!B:O,9,FALSE)</f>
        <v>0</v>
      </c>
      <c r="Z119" s="83">
        <f>VLOOKUP(TableRBRanks3141[[#This Row],[Player]],RB!B:O,10,FALSE)</f>
        <v>0</v>
      </c>
      <c r="AA119" s="57">
        <f>VLOOKUP(TableRBRanks3141[[#This Row],[Player]],RB!B:O,14,FALSE)</f>
        <v>0</v>
      </c>
      <c r="AB119" s="125" t="str">
        <f>IF(VLOOKUP(TableRBRanks3141[[#This Row],[RK]],'Ranks w Proj'!$P:$AB,13,FALSE)&lt;0,0,VLOOKUP(TableRBRanks3141[[#This Row],[RK]],'Ranks w Proj'!$P:$AB,13,FALSE))</f>
        <v/>
      </c>
      <c r="AD119">
        <v>118</v>
      </c>
      <c r="AE119" t="str">
        <f>VLOOKUP(TableWRRanks3242[[#This Row],[RK]],Rankings!A:T,13,FALSE)</f>
        <v>Mack Hollins</v>
      </c>
      <c r="AF119" t="str">
        <f>IFERROR(INDEX(TableWRCalcPts[TM],MATCH(TableWRRanks3242[[#This Row],[Player]],TableWRCalcPts[PLAYER],0)),"")</f>
        <v>BUF</v>
      </c>
      <c r="AG119">
        <f>IFERROR(INDEX(TableWRCalcPts[BYE],MATCH(TableWRRanks3242[[#This Row],[Player]],TableWRCalcPts[PLAYER],0)),"")</f>
        <v>13</v>
      </c>
      <c r="AH119" s="83">
        <f>VLOOKUP(TableWRRanks3242[[#This Row],[Player]],WR!B:O,4,FALSE)</f>
        <v>22.444395903999997</v>
      </c>
      <c r="AI119" s="83">
        <f>VLOOKUP(TableWRRanks3242[[#This Row],[Player]],WR!B:O,5,FALSE)</f>
        <v>6.7064927999999996E-2</v>
      </c>
      <c r="AJ119" s="83">
        <f>VLOOKUP(TableWRRanks3242[[#This Row],[Player]],WR!B:O,6,FALSE)</f>
        <v>24.295219199999995</v>
      </c>
      <c r="AK119" s="83">
        <f>VLOOKUP(TableWRRanks3242[[#This Row],[Player]],WR!B:O,7,FALSE)</f>
        <v>14.528541081599997</v>
      </c>
      <c r="AL119" s="83">
        <f>VLOOKUP(TableWRRanks3242[[#This Row],[Player]],WR!B:O,8,FALSE)</f>
        <v>187.41817995263997</v>
      </c>
      <c r="AM119" s="83">
        <f>VLOOKUP(TableWRRanks3242[[#This Row],[Player]],WR!B:O,9,FALSE)</f>
        <v>1.0896405811199996</v>
      </c>
      <c r="AN119" s="57">
        <f>VLOOKUP(TableWRRanks3242[[#This Row],[Player]],WR!B:O,13,FALSE)</f>
        <v>35.190761181183994</v>
      </c>
      <c r="AO119" s="125">
        <f>IF(VLOOKUP(TableWRRanks3242[[#This Row],[RK]],'Ranks w Proj'!AD:AO,12,FALSE)&lt;0,0,VLOOKUP(TableWRRanks3242[[#This Row],[RK]],'Ranks w Proj'!AD:AO,12,FALSE))</f>
        <v>0</v>
      </c>
    </row>
    <row r="120" spans="16:41" x14ac:dyDescent="0.2">
      <c r="P120">
        <v>119</v>
      </c>
      <c r="Q120">
        <f>VLOOKUP(TableRBRanks3141[[#This Row],[RK]],Rankings!A:T,8,FALSE)</f>
        <v>0</v>
      </c>
      <c r="R120" t="str">
        <f>IFERROR(INDEX(TableRBCalcPts[TM],MATCH(TableRBRanks3141[[#This Row],[Player]],TableRBCalcPts[PLAYER],0)),"")</f>
        <v/>
      </c>
      <c r="S120" t="str">
        <f>IFERROR(INDEX(TableRBCalcPts[BYE],MATCH(TableRBRanks3141[[#This Row],[Player]],TableRBCalcPts[PLAYER],0)),"")</f>
        <v/>
      </c>
      <c r="T120" s="83">
        <f>VLOOKUP(TableRBRanks3141[[#This Row],[Player]],RB!B:O,4,FALSE)</f>
        <v>0</v>
      </c>
      <c r="U120" s="83">
        <f>VLOOKUP(TableRBRanks3141[[#This Row],[Player]],RB!B:O,5,FALSE)</f>
        <v>0</v>
      </c>
      <c r="V120" s="83">
        <f>VLOOKUP(TableRBRanks3141[[#This Row],[Player]],RB!B:O,6,FALSE)</f>
        <v>0</v>
      </c>
      <c r="W120" s="83">
        <f>VLOOKUP(TableRBRanks3141[[#This Row],[Player]],RB!B:O,7,FALSE)</f>
        <v>0</v>
      </c>
      <c r="X120" s="83">
        <f>VLOOKUP(TableRBRanks3141[[#This Row],[Player]],RB!B:O,8,FALSE)</f>
        <v>0</v>
      </c>
      <c r="Y120" s="83">
        <f>VLOOKUP(TableRBRanks3141[[#This Row],[Player]],RB!B:O,9,FALSE)</f>
        <v>0</v>
      </c>
      <c r="Z120" s="83">
        <f>VLOOKUP(TableRBRanks3141[[#This Row],[Player]],RB!B:O,10,FALSE)</f>
        <v>0</v>
      </c>
      <c r="AA120" s="57">
        <f>VLOOKUP(TableRBRanks3141[[#This Row],[Player]],RB!B:O,14,FALSE)</f>
        <v>0</v>
      </c>
      <c r="AB120" s="125" t="str">
        <f>IF(VLOOKUP(TableRBRanks3141[[#This Row],[RK]],'Ranks w Proj'!$P:$AB,13,FALSE)&lt;0,0,VLOOKUP(TableRBRanks3141[[#This Row],[RK]],'Ranks w Proj'!$P:$AB,13,FALSE))</f>
        <v/>
      </c>
      <c r="AD120">
        <v>119</v>
      </c>
      <c r="AE120" t="str">
        <f>VLOOKUP(TableWRRanks3242[[#This Row],[RK]],Rankings!A:T,13,FALSE)</f>
        <v>Xavier Gipson</v>
      </c>
      <c r="AF120" t="str">
        <f>IFERROR(INDEX(TableWRCalcPts[TM],MATCH(TableWRRanks3242[[#This Row],[Player]],TableWRCalcPts[PLAYER],0)),"")</f>
        <v>NYJ</v>
      </c>
      <c r="AG120">
        <f>IFERROR(INDEX(TableWRCalcPts[BYE],MATCH(TableWRRanks3242[[#This Row],[Player]],TableWRCalcPts[PLAYER],0)),"")</f>
        <v>7</v>
      </c>
      <c r="AH120" s="83">
        <f>VLOOKUP(TableWRRanks3242[[#This Row],[Player]],WR!B:O,4,FALSE)</f>
        <v>0</v>
      </c>
      <c r="AI120" s="83">
        <f>VLOOKUP(TableWRRanks3242[[#This Row],[Player]],WR!B:O,5,FALSE)</f>
        <v>0</v>
      </c>
      <c r="AJ120" s="83">
        <f>VLOOKUP(TableWRRanks3242[[#This Row],[Player]],WR!B:O,6,FALSE)</f>
        <v>17.775357599999996</v>
      </c>
      <c r="AK120" s="83">
        <f>VLOOKUP(TableWRRanks3242[[#This Row],[Player]],WR!B:O,7,FALSE)</f>
        <v>10.807417420799997</v>
      </c>
      <c r="AL120" s="83">
        <f>VLOOKUP(TableWRRanks3242[[#This Row],[Player]],WR!B:O,8,FALSE)</f>
        <v>119.20581415142395</v>
      </c>
      <c r="AM120" s="83">
        <f>VLOOKUP(TableWRRanks3242[[#This Row],[Player]],WR!B:O,9,FALSE)</f>
        <v>0.86459339366399979</v>
      </c>
      <c r="AN120" s="57">
        <f>VLOOKUP(TableWRRanks3242[[#This Row],[Player]],WR!B:O,13,FALSE)</f>
        <v>22.511850487526392</v>
      </c>
      <c r="AO120" s="125">
        <f>IF(VLOOKUP(TableWRRanks3242[[#This Row],[RK]],'Ranks w Proj'!AD:AO,12,FALSE)&lt;0,0,VLOOKUP(TableWRRanks3242[[#This Row],[RK]],'Ranks w Proj'!AD:AO,12,FALSE))</f>
        <v>0</v>
      </c>
    </row>
    <row r="121" spans="16:41" x14ac:dyDescent="0.2">
      <c r="P121">
        <v>120</v>
      </c>
      <c r="Q121">
        <f>VLOOKUP(TableRBRanks3141[[#This Row],[RK]],Rankings!A:T,8,FALSE)</f>
        <v>0</v>
      </c>
      <c r="R121" t="str">
        <f>IFERROR(INDEX(TableRBCalcPts[TM],MATCH(TableRBRanks3141[[#This Row],[Player]],TableRBCalcPts[PLAYER],0)),"")</f>
        <v/>
      </c>
      <c r="S121" t="str">
        <f>IFERROR(INDEX(TableRBCalcPts[BYE],MATCH(TableRBRanks3141[[#This Row],[Player]],TableRBCalcPts[PLAYER],0)),"")</f>
        <v/>
      </c>
      <c r="T121" s="83">
        <f>VLOOKUP(TableRBRanks3141[[#This Row],[Player]],RB!B:O,4,FALSE)</f>
        <v>0</v>
      </c>
      <c r="U121" s="83">
        <f>VLOOKUP(TableRBRanks3141[[#This Row],[Player]],RB!B:O,5,FALSE)</f>
        <v>0</v>
      </c>
      <c r="V121" s="83">
        <f>VLOOKUP(TableRBRanks3141[[#This Row],[Player]],RB!B:O,6,FALSE)</f>
        <v>0</v>
      </c>
      <c r="W121" s="83">
        <f>VLOOKUP(TableRBRanks3141[[#This Row],[Player]],RB!B:O,7,FALSE)</f>
        <v>0</v>
      </c>
      <c r="X121" s="83">
        <f>VLOOKUP(TableRBRanks3141[[#This Row],[Player]],RB!B:O,8,FALSE)</f>
        <v>0</v>
      </c>
      <c r="Y121" s="83">
        <f>VLOOKUP(TableRBRanks3141[[#This Row],[Player]],RB!B:O,9,FALSE)</f>
        <v>0</v>
      </c>
      <c r="Z121" s="83">
        <f>VLOOKUP(TableRBRanks3141[[#This Row],[Player]],RB!B:O,10,FALSE)</f>
        <v>0</v>
      </c>
      <c r="AA121" s="57">
        <f>VLOOKUP(TableRBRanks3141[[#This Row],[Player]],RB!B:O,14,FALSE)</f>
        <v>0</v>
      </c>
      <c r="AB121" s="125" t="str">
        <f>IF(VLOOKUP(TableRBRanks3141[[#This Row],[RK]],'Ranks w Proj'!$P:$AB,13,FALSE)&lt;0,0,VLOOKUP(TableRBRanks3141[[#This Row],[RK]],'Ranks w Proj'!$P:$AB,13,FALSE))</f>
        <v/>
      </c>
      <c r="AD121">
        <v>120</v>
      </c>
      <c r="AE121" t="str">
        <f>VLOOKUP(TableWRRanks3242[[#This Row],[RK]],Rankings!A:T,13,FALSE)</f>
        <v>KaVontae Turpin</v>
      </c>
      <c r="AF121" t="str">
        <f>IFERROR(INDEX(TableWRCalcPts[TM],MATCH(TableWRRanks3242[[#This Row],[Player]],TableWRCalcPts[PLAYER],0)),"")</f>
        <v>DAL</v>
      </c>
      <c r="AG121">
        <f>IFERROR(INDEX(TableWRCalcPts[BYE],MATCH(TableWRRanks3242[[#This Row],[Player]],TableWRCalcPts[PLAYER],0)),"")</f>
        <v>7</v>
      </c>
      <c r="AH121" s="83">
        <f>VLOOKUP(TableWRRanks3242[[#This Row],[Player]],WR!B:O,4,FALSE)</f>
        <v>0</v>
      </c>
      <c r="AI121" s="83">
        <f>VLOOKUP(TableWRRanks3242[[#This Row],[Player]],WR!B:O,5,FALSE)</f>
        <v>0</v>
      </c>
      <c r="AJ121" s="83">
        <f>VLOOKUP(TableWRRanks3242[[#This Row],[Player]],WR!B:O,6,FALSE)</f>
        <v>24.39329759999999</v>
      </c>
      <c r="AK121" s="83">
        <f>VLOOKUP(TableWRRanks3242[[#This Row],[Player]],WR!B:O,7,FALSE)</f>
        <v>15.294597595199994</v>
      </c>
      <c r="AL121" s="83">
        <f>VLOOKUP(TableWRRanks3242[[#This Row],[Player]],WR!B:O,8,FALSE)</f>
        <v>177.57027808027192</v>
      </c>
      <c r="AM121" s="83">
        <f>VLOOKUP(TableWRRanks3242[[#This Row],[Player]],WR!B:O,9,FALSE)</f>
        <v>1.3765137835679995</v>
      </c>
      <c r="AN121" s="57">
        <f>VLOOKUP(TableWRRanks3242[[#This Row],[Player]],WR!B:O,13,FALSE)</f>
        <v>33.663409307035188</v>
      </c>
      <c r="AO121" s="125">
        <f>IF(VLOOKUP(TableWRRanks3242[[#This Row],[RK]],'Ranks w Proj'!AD:AO,12,FALSE)&lt;0,0,VLOOKUP(TableWRRanks3242[[#This Row],[RK]],'Ranks w Proj'!AD:AO,12,FALSE))</f>
        <v>0</v>
      </c>
    </row>
    <row r="122" spans="16:41" x14ac:dyDescent="0.2">
      <c r="P122">
        <v>121</v>
      </c>
      <c r="Q122">
        <f>VLOOKUP(TableRBRanks3141[[#This Row],[RK]],Rankings!A:T,8,FALSE)</f>
        <v>0</v>
      </c>
      <c r="R122" t="str">
        <f>IFERROR(INDEX(TableRBCalcPts[TM],MATCH(TableRBRanks3141[[#This Row],[Player]],TableRBCalcPts[PLAYER],0)),"")</f>
        <v/>
      </c>
      <c r="S122" t="str">
        <f>IFERROR(INDEX(TableRBCalcPts[BYE],MATCH(TableRBRanks3141[[#This Row],[Player]],TableRBCalcPts[PLAYER],0)),"")</f>
        <v/>
      </c>
      <c r="T122" s="83">
        <f>VLOOKUP(TableRBRanks3141[[#This Row],[Player]],RB!B:O,4,FALSE)</f>
        <v>0</v>
      </c>
      <c r="U122" s="83">
        <f>VLOOKUP(TableRBRanks3141[[#This Row],[Player]],RB!B:O,5,FALSE)</f>
        <v>0</v>
      </c>
      <c r="V122" s="83">
        <f>VLOOKUP(TableRBRanks3141[[#This Row],[Player]],RB!B:O,6,FALSE)</f>
        <v>0</v>
      </c>
      <c r="W122" s="83">
        <f>VLOOKUP(TableRBRanks3141[[#This Row],[Player]],RB!B:O,7,FALSE)</f>
        <v>0</v>
      </c>
      <c r="X122" s="83">
        <f>VLOOKUP(TableRBRanks3141[[#This Row],[Player]],RB!B:O,8,FALSE)</f>
        <v>0</v>
      </c>
      <c r="Y122" s="83">
        <f>VLOOKUP(TableRBRanks3141[[#This Row],[Player]],RB!B:O,9,FALSE)</f>
        <v>0</v>
      </c>
      <c r="Z122" s="83">
        <f>VLOOKUP(TableRBRanks3141[[#This Row],[Player]],RB!B:O,10,FALSE)</f>
        <v>0</v>
      </c>
      <c r="AA122" s="57">
        <f>VLOOKUP(TableRBRanks3141[[#This Row],[Player]],RB!B:O,14,FALSE)</f>
        <v>0</v>
      </c>
      <c r="AB122" s="125" t="str">
        <f>IF(VLOOKUP(TableRBRanks3141[[#This Row],[RK]],'Ranks w Proj'!$P:$AB,13,FALSE)&lt;0,0,VLOOKUP(TableRBRanks3141[[#This Row],[RK]],'Ranks w Proj'!$P:$AB,13,FALSE))</f>
        <v/>
      </c>
      <c r="AD122">
        <v>121</v>
      </c>
      <c r="AE122" t="str">
        <f>VLOOKUP(TableWRRanks3242[[#This Row],[RK]],Rankings!A:T,13,FALSE)</f>
        <v>Alec Pierce</v>
      </c>
      <c r="AF122" t="str">
        <f>IFERROR(INDEX(TableWRCalcPts[TM],MATCH(TableWRRanks3242[[#This Row],[Player]],TableWRCalcPts[PLAYER],0)),"")</f>
        <v>IND</v>
      </c>
      <c r="AG122">
        <f>IFERROR(INDEX(TableWRCalcPts[BYE],MATCH(TableWRRanks3242[[#This Row],[Player]],TableWRCalcPts[PLAYER],0)),"")</f>
        <v>11</v>
      </c>
      <c r="AH122" s="83">
        <f>VLOOKUP(TableWRRanks3242[[#This Row],[Player]],WR!B:O,4,FALSE)</f>
        <v>0</v>
      </c>
      <c r="AI122" s="83">
        <f>VLOOKUP(TableWRRanks3242[[#This Row],[Player]],WR!B:O,5,FALSE)</f>
        <v>0</v>
      </c>
      <c r="AJ122" s="83">
        <f>VLOOKUP(TableWRRanks3242[[#This Row],[Player]],WR!B:O,6,FALSE)</f>
        <v>26.831420000000001</v>
      </c>
      <c r="AK122" s="83">
        <f>VLOOKUP(TableWRRanks3242[[#This Row],[Player]],WR!B:O,7,FALSE)</f>
        <v>13.818181300000001</v>
      </c>
      <c r="AL122" s="83">
        <f>VLOOKUP(TableWRRanks3242[[#This Row],[Player]],WR!B:O,8,FALSE)</f>
        <v>200.639992476</v>
      </c>
      <c r="AM122" s="83">
        <f>VLOOKUP(TableWRRanks3242[[#This Row],[Player]],WR!B:O,9,FALSE)</f>
        <v>0.87054542190000006</v>
      </c>
      <c r="AN122" s="57">
        <f>VLOOKUP(TableWRRanks3242[[#This Row],[Player]],WR!B:O,13,FALSE)</f>
        <v>32.196362429000004</v>
      </c>
      <c r="AO122" s="125">
        <f>IF(VLOOKUP(TableWRRanks3242[[#This Row],[RK]],'Ranks w Proj'!AD:AO,12,FALSE)&lt;0,0,VLOOKUP(TableWRRanks3242[[#This Row],[RK]],'Ranks w Proj'!AD:AO,12,FALSE))</f>
        <v>0</v>
      </c>
    </row>
    <row r="123" spans="16:41" x14ac:dyDescent="0.2">
      <c r="P123">
        <v>122</v>
      </c>
      <c r="Q123">
        <f>VLOOKUP(TableRBRanks3141[[#This Row],[RK]],Rankings!A:T,8,FALSE)</f>
        <v>0</v>
      </c>
      <c r="R123" t="str">
        <f>IFERROR(INDEX(TableRBCalcPts[TM],MATCH(TableRBRanks3141[[#This Row],[Player]],TableRBCalcPts[PLAYER],0)),"")</f>
        <v/>
      </c>
      <c r="S123" t="str">
        <f>IFERROR(INDEX(TableRBCalcPts[BYE],MATCH(TableRBRanks3141[[#This Row],[Player]],TableRBCalcPts[PLAYER],0)),"")</f>
        <v/>
      </c>
      <c r="T123" s="83">
        <f>VLOOKUP(TableRBRanks3141[[#This Row],[Player]],RB!B:O,4,FALSE)</f>
        <v>0</v>
      </c>
      <c r="U123" s="83">
        <f>VLOOKUP(TableRBRanks3141[[#This Row],[Player]],RB!B:O,5,FALSE)</f>
        <v>0</v>
      </c>
      <c r="V123" s="83">
        <f>VLOOKUP(TableRBRanks3141[[#This Row],[Player]],RB!B:O,6,FALSE)</f>
        <v>0</v>
      </c>
      <c r="W123" s="83">
        <f>VLOOKUP(TableRBRanks3141[[#This Row],[Player]],RB!B:O,7,FALSE)</f>
        <v>0</v>
      </c>
      <c r="X123" s="83">
        <f>VLOOKUP(TableRBRanks3141[[#This Row],[Player]],RB!B:O,8,FALSE)</f>
        <v>0</v>
      </c>
      <c r="Y123" s="83">
        <f>VLOOKUP(TableRBRanks3141[[#This Row],[Player]],RB!B:O,9,FALSE)</f>
        <v>0</v>
      </c>
      <c r="Z123" s="83">
        <f>VLOOKUP(TableRBRanks3141[[#This Row],[Player]],RB!B:O,10,FALSE)</f>
        <v>0</v>
      </c>
      <c r="AA123" s="57">
        <f>VLOOKUP(TableRBRanks3141[[#This Row],[Player]],RB!B:O,14,FALSE)</f>
        <v>0</v>
      </c>
      <c r="AB123" s="125" t="str">
        <f>IF(VLOOKUP(TableRBRanks3141[[#This Row],[RK]],'Ranks w Proj'!$P:$AB,13,FALSE)&lt;0,0,VLOOKUP(TableRBRanks3141[[#This Row],[RK]],'Ranks w Proj'!$P:$AB,13,FALSE))</f>
        <v/>
      </c>
      <c r="AD123">
        <v>122</v>
      </c>
      <c r="AE123" t="str">
        <f>VLOOKUP(TableWRRanks3242[[#This Row],[RK]],Rankings!A:T,13,FALSE)</f>
        <v>Ben Skowronek</v>
      </c>
      <c r="AF123" t="str">
        <f>IFERROR(INDEX(TableWRCalcPts[TM],MATCH(TableWRRanks3242[[#This Row],[Player]],TableWRCalcPts[PLAYER],0)),"")</f>
        <v>LAR</v>
      </c>
      <c r="AG123">
        <f>IFERROR(INDEX(TableWRCalcPts[BYE],MATCH(TableWRRanks3242[[#This Row],[Player]],TableWRCalcPts[PLAYER],0)),"")</f>
        <v>10</v>
      </c>
      <c r="AH123" s="83">
        <f>VLOOKUP(TableWRRanks3242[[#This Row],[Player]],WR!B:O,4,FALSE)</f>
        <v>0</v>
      </c>
      <c r="AI123" s="83">
        <f>VLOOKUP(TableWRRanks3242[[#This Row],[Player]],WR!B:O,5,FALSE)</f>
        <v>0</v>
      </c>
      <c r="AJ123" s="83">
        <f>VLOOKUP(TableWRRanks3242[[#This Row],[Player]],WR!B:O,6,FALSE)</f>
        <v>24.150884799999993</v>
      </c>
      <c r="AK123" s="83">
        <f>VLOOKUP(TableWRRanks3242[[#This Row],[Player]],WR!B:O,7,FALSE)</f>
        <v>14.997699460799996</v>
      </c>
      <c r="AL123" s="83">
        <f>VLOOKUP(TableWRRanks3242[[#This Row],[Player]],WR!B:O,8,FALSE)</f>
        <v>148.47722466191996</v>
      </c>
      <c r="AM123" s="83">
        <f>VLOOKUP(TableWRRanks3242[[#This Row],[Player]],WR!B:O,9,FALSE)</f>
        <v>0.97485046495199978</v>
      </c>
      <c r="AN123" s="57">
        <f>VLOOKUP(TableWRRanks3242[[#This Row],[Player]],WR!B:O,13,FALSE)</f>
        <v>28.195674986303992</v>
      </c>
      <c r="AO123" s="125">
        <f>IF(VLOOKUP(TableWRRanks3242[[#This Row],[RK]],'Ranks w Proj'!AD:AO,12,FALSE)&lt;0,0,VLOOKUP(TableWRRanks3242[[#This Row],[RK]],'Ranks w Proj'!AD:AO,12,FALSE))</f>
        <v>0</v>
      </c>
    </row>
    <row r="124" spans="16:41" x14ac:dyDescent="0.2">
      <c r="P124">
        <v>123</v>
      </c>
      <c r="Q124">
        <f>VLOOKUP(TableRBRanks3141[[#This Row],[RK]],Rankings!A:T,8,FALSE)</f>
        <v>0</v>
      </c>
      <c r="R124" t="str">
        <f>IFERROR(INDEX(TableRBCalcPts[TM],MATCH(TableRBRanks3141[[#This Row],[Player]],TableRBCalcPts[PLAYER],0)),"")</f>
        <v/>
      </c>
      <c r="S124" t="str">
        <f>IFERROR(INDEX(TableRBCalcPts[BYE],MATCH(TableRBRanks3141[[#This Row],[Player]],TableRBCalcPts[PLAYER],0)),"")</f>
        <v/>
      </c>
      <c r="T124" s="83">
        <f>VLOOKUP(TableRBRanks3141[[#This Row],[Player]],RB!B:O,4,FALSE)</f>
        <v>0</v>
      </c>
      <c r="U124" s="83">
        <f>VLOOKUP(TableRBRanks3141[[#This Row],[Player]],RB!B:O,5,FALSE)</f>
        <v>0</v>
      </c>
      <c r="V124" s="83">
        <f>VLOOKUP(TableRBRanks3141[[#This Row],[Player]],RB!B:O,6,FALSE)</f>
        <v>0</v>
      </c>
      <c r="W124" s="83">
        <f>VLOOKUP(TableRBRanks3141[[#This Row],[Player]],RB!B:O,7,FALSE)</f>
        <v>0</v>
      </c>
      <c r="X124" s="83">
        <f>VLOOKUP(TableRBRanks3141[[#This Row],[Player]],RB!B:O,8,FALSE)</f>
        <v>0</v>
      </c>
      <c r="Y124" s="83">
        <f>VLOOKUP(TableRBRanks3141[[#This Row],[Player]],RB!B:O,9,FALSE)</f>
        <v>0</v>
      </c>
      <c r="Z124" s="83">
        <f>VLOOKUP(TableRBRanks3141[[#This Row],[Player]],RB!B:O,10,FALSE)</f>
        <v>0</v>
      </c>
      <c r="AA124" s="57">
        <f>VLOOKUP(TableRBRanks3141[[#This Row],[Player]],RB!B:O,14,FALSE)</f>
        <v>0</v>
      </c>
      <c r="AB124" s="125" t="str">
        <f>IF(VLOOKUP(TableRBRanks3141[[#This Row],[RK]],'Ranks w Proj'!$P:$AB,13,FALSE)&lt;0,0,VLOOKUP(TableRBRanks3141[[#This Row],[RK]],'Ranks w Proj'!$P:$AB,13,FALSE))</f>
        <v/>
      </c>
      <c r="AD124">
        <v>123</v>
      </c>
      <c r="AE124" t="str">
        <f>VLOOKUP(TableWRRanks3242[[#This Row],[RK]],Rankings!A:T,13,FALSE)</f>
        <v>Donovan Peoples-Jones</v>
      </c>
      <c r="AF124" t="str">
        <f>IFERROR(INDEX(TableWRCalcPts[TM],MATCH(TableWRRanks3242[[#This Row],[Player]],TableWRCalcPts[PLAYER],0)),"")</f>
        <v>DET</v>
      </c>
      <c r="AG124">
        <f>IFERROR(INDEX(TableWRCalcPts[BYE],MATCH(TableWRRanks3242[[#This Row],[Player]],TableWRCalcPts[PLAYER],0)),"")</f>
        <v>9</v>
      </c>
      <c r="AH124" s="83">
        <f>VLOOKUP(TableWRRanks3242[[#This Row],[Player]],WR!B:O,4,FALSE)</f>
        <v>0</v>
      </c>
      <c r="AI124" s="83">
        <f>VLOOKUP(TableWRRanks3242[[#This Row],[Player]],WR!B:O,5,FALSE)</f>
        <v>0</v>
      </c>
      <c r="AJ124" s="83">
        <f>VLOOKUP(TableWRRanks3242[[#This Row],[Player]],WR!B:O,6,FALSE)</f>
        <v>23.706983999999995</v>
      </c>
      <c r="AK124" s="83">
        <f>VLOOKUP(TableWRRanks3242[[#This Row],[Player]],WR!B:O,7,FALSE)</f>
        <v>13.323325007999998</v>
      </c>
      <c r="AL124" s="83">
        <f>VLOOKUP(TableWRRanks3242[[#This Row],[Player]],WR!B:O,8,FALSE)</f>
        <v>184.79451786095996</v>
      </c>
      <c r="AM124" s="83">
        <f>VLOOKUP(TableWRRanks3242[[#This Row],[Player]],WR!B:O,9,FALSE)</f>
        <v>0.93263275055999995</v>
      </c>
      <c r="AN124" s="57">
        <f>VLOOKUP(TableWRRanks3242[[#This Row],[Player]],WR!B:O,13,FALSE)</f>
        <v>30.736910793455994</v>
      </c>
      <c r="AO124" s="125">
        <f>IF(VLOOKUP(TableWRRanks3242[[#This Row],[RK]],'Ranks w Proj'!AD:AO,12,FALSE)&lt;0,0,VLOOKUP(TableWRRanks3242[[#This Row],[RK]],'Ranks w Proj'!AD:AO,12,FALSE))</f>
        <v>0</v>
      </c>
    </row>
    <row r="125" spans="16:41" x14ac:dyDescent="0.2">
      <c r="P125">
        <v>124</v>
      </c>
      <c r="Q125">
        <f>VLOOKUP(TableRBRanks3141[[#This Row],[RK]],Rankings!A:T,8,FALSE)</f>
        <v>0</v>
      </c>
      <c r="R125" t="str">
        <f>IFERROR(INDEX(TableRBCalcPts[TM],MATCH(TableRBRanks3141[[#This Row],[Player]],TableRBCalcPts[PLAYER],0)),"")</f>
        <v/>
      </c>
      <c r="S125" t="str">
        <f>IFERROR(INDEX(TableRBCalcPts[BYE],MATCH(TableRBRanks3141[[#This Row],[Player]],TableRBCalcPts[PLAYER],0)),"")</f>
        <v/>
      </c>
      <c r="T125" s="83">
        <f>VLOOKUP(TableRBRanks3141[[#This Row],[Player]],RB!B:O,4,FALSE)</f>
        <v>0</v>
      </c>
      <c r="U125" s="83">
        <f>VLOOKUP(TableRBRanks3141[[#This Row],[Player]],RB!B:O,5,FALSE)</f>
        <v>0</v>
      </c>
      <c r="V125" s="83">
        <f>VLOOKUP(TableRBRanks3141[[#This Row],[Player]],RB!B:O,6,FALSE)</f>
        <v>0</v>
      </c>
      <c r="W125" s="83">
        <f>VLOOKUP(TableRBRanks3141[[#This Row],[Player]],RB!B:O,7,FALSE)</f>
        <v>0</v>
      </c>
      <c r="X125" s="83">
        <f>VLOOKUP(TableRBRanks3141[[#This Row],[Player]],RB!B:O,8,FALSE)</f>
        <v>0</v>
      </c>
      <c r="Y125" s="83">
        <f>VLOOKUP(TableRBRanks3141[[#This Row],[Player]],RB!B:O,9,FALSE)</f>
        <v>0</v>
      </c>
      <c r="Z125" s="83">
        <f>VLOOKUP(TableRBRanks3141[[#This Row],[Player]],RB!B:O,10,FALSE)</f>
        <v>0</v>
      </c>
      <c r="AA125" s="57">
        <f>VLOOKUP(TableRBRanks3141[[#This Row],[Player]],RB!B:O,14,FALSE)</f>
        <v>0</v>
      </c>
      <c r="AB125" s="125" t="str">
        <f>IF(VLOOKUP(TableRBRanks3141[[#This Row],[RK]],'Ranks w Proj'!$P:$AB,13,FALSE)&lt;0,0,VLOOKUP(TableRBRanks3141[[#This Row],[RK]],'Ranks w Proj'!$P:$AB,13,FALSE))</f>
        <v/>
      </c>
      <c r="AD125">
        <v>124</v>
      </c>
      <c r="AE125" t="str">
        <f>VLOOKUP(TableWRRanks3242[[#This Row],[RK]],Rankings!A:T,13,FALSE)</f>
        <v>Jauan Jennings</v>
      </c>
      <c r="AF125" t="str">
        <f>IFERROR(INDEX(TableWRCalcPts[TM],MATCH(TableWRRanks3242[[#This Row],[Player]],TableWRCalcPts[PLAYER],0)),"")</f>
        <v>SF</v>
      </c>
      <c r="AG125">
        <f>IFERROR(INDEX(TableWRCalcPts[BYE],MATCH(TableWRRanks3242[[#This Row],[Player]],TableWRCalcPts[PLAYER],0)),"")</f>
        <v>9</v>
      </c>
      <c r="AH125" s="83">
        <f>VLOOKUP(TableWRRanks3242[[#This Row],[Player]],WR!B:O,4,FALSE)</f>
        <v>0</v>
      </c>
      <c r="AI125" s="83">
        <f>VLOOKUP(TableWRRanks3242[[#This Row],[Player]],WR!B:O,5,FALSE)</f>
        <v>0</v>
      </c>
      <c r="AJ125" s="83">
        <f>VLOOKUP(TableWRRanks3242[[#This Row],[Player]],WR!B:O,6,FALSE)</f>
        <v>21.301358399999998</v>
      </c>
      <c r="AK125" s="83">
        <f>VLOOKUP(TableWRRanks3242[[#This Row],[Player]],WR!B:O,7,FALSE)</f>
        <v>13.228143566399998</v>
      </c>
      <c r="AL125" s="83">
        <f>VLOOKUP(TableWRRanks3242[[#This Row],[Player]],WR!B:O,8,FALSE)</f>
        <v>166.41004606531197</v>
      </c>
      <c r="AM125" s="83">
        <f>VLOOKUP(TableWRRanks3242[[#This Row],[Player]],WR!B:O,9,FALSE)</f>
        <v>0.99211076747999982</v>
      </c>
      <c r="AN125" s="57">
        <f>VLOOKUP(TableWRRanks3242[[#This Row],[Player]],WR!B:O,13,FALSE)</f>
        <v>29.207740994611196</v>
      </c>
      <c r="AO125" s="125">
        <f>IF(VLOOKUP(TableWRRanks3242[[#This Row],[RK]],'Ranks w Proj'!AD:AO,12,FALSE)&lt;0,0,VLOOKUP(TableWRRanks3242[[#This Row],[RK]],'Ranks w Proj'!AD:AO,12,FALSE))</f>
        <v>0</v>
      </c>
    </row>
    <row r="126" spans="16:41" x14ac:dyDescent="0.2">
      <c r="P126">
        <v>125</v>
      </c>
      <c r="Q126">
        <f>VLOOKUP(TableRBRanks3141[[#This Row],[RK]],Rankings!A:T,8,FALSE)</f>
        <v>0</v>
      </c>
      <c r="R126" t="str">
        <f>IFERROR(INDEX(TableRBCalcPts[TM],MATCH(TableRBRanks3141[[#This Row],[Player]],TableRBCalcPts[PLAYER],0)),"")</f>
        <v/>
      </c>
      <c r="S126" t="str">
        <f>IFERROR(INDEX(TableRBCalcPts[BYE],MATCH(TableRBRanks3141[[#This Row],[Player]],TableRBCalcPts[PLAYER],0)),"")</f>
        <v/>
      </c>
      <c r="T126" s="83">
        <f>VLOOKUP(TableRBRanks3141[[#This Row],[Player]],RB!B:O,4,FALSE)</f>
        <v>0</v>
      </c>
      <c r="U126" s="83">
        <f>VLOOKUP(TableRBRanks3141[[#This Row],[Player]],RB!B:O,5,FALSE)</f>
        <v>0</v>
      </c>
      <c r="V126" s="83">
        <f>VLOOKUP(TableRBRanks3141[[#This Row],[Player]],RB!B:O,6,FALSE)</f>
        <v>0</v>
      </c>
      <c r="W126" s="83">
        <f>VLOOKUP(TableRBRanks3141[[#This Row],[Player]],RB!B:O,7,FALSE)</f>
        <v>0</v>
      </c>
      <c r="X126" s="83">
        <f>VLOOKUP(TableRBRanks3141[[#This Row],[Player]],RB!B:O,8,FALSE)</f>
        <v>0</v>
      </c>
      <c r="Y126" s="83">
        <f>VLOOKUP(TableRBRanks3141[[#This Row],[Player]],RB!B:O,9,FALSE)</f>
        <v>0</v>
      </c>
      <c r="Z126" s="83">
        <f>VLOOKUP(TableRBRanks3141[[#This Row],[Player]],RB!B:O,10,FALSE)</f>
        <v>0</v>
      </c>
      <c r="AA126" s="57">
        <f>VLOOKUP(TableRBRanks3141[[#This Row],[Player]],RB!B:O,14,FALSE)</f>
        <v>0</v>
      </c>
      <c r="AB126" s="125" t="str">
        <f>IF(VLOOKUP(TableRBRanks3141[[#This Row],[RK]],'Ranks w Proj'!$P:$AB,13,FALSE)&lt;0,0,VLOOKUP(TableRBRanks3141[[#This Row],[RK]],'Ranks w Proj'!$P:$AB,13,FALSE))</f>
        <v/>
      </c>
      <c r="AD126">
        <v>125</v>
      </c>
      <c r="AE126">
        <f>VLOOKUP(TableWRRanks3242[[#This Row],[RK]],Rankings!A:T,13,FALSE)</f>
        <v>0</v>
      </c>
      <c r="AF126" t="str">
        <f>IFERROR(INDEX(TableWRCalcPts[TM],MATCH(TableWRRanks3242[[#This Row],[Player]],TableWRCalcPts[PLAYER],0)),"")</f>
        <v/>
      </c>
      <c r="AG126" t="str">
        <f>IFERROR(INDEX(TableWRCalcPts[BYE],MATCH(TableWRRanks3242[[#This Row],[Player]],TableWRCalcPts[PLAYER],0)),"")</f>
        <v/>
      </c>
      <c r="AH126" s="83">
        <f>VLOOKUP(TableWRRanks3242[[#This Row],[Player]],WR!B:O,4,FALSE)</f>
        <v>0</v>
      </c>
      <c r="AI126" s="83">
        <f>VLOOKUP(TableWRRanks3242[[#This Row],[Player]],WR!B:O,5,FALSE)</f>
        <v>0</v>
      </c>
      <c r="AJ126" s="83">
        <f>VLOOKUP(TableWRRanks3242[[#This Row],[Player]],WR!B:O,6,FALSE)</f>
        <v>0</v>
      </c>
      <c r="AK126" s="83">
        <f>VLOOKUP(TableWRRanks3242[[#This Row],[Player]],WR!B:O,7,FALSE)</f>
        <v>0</v>
      </c>
      <c r="AL126" s="83">
        <f>VLOOKUP(TableWRRanks3242[[#This Row],[Player]],WR!B:O,8,FALSE)</f>
        <v>0</v>
      </c>
      <c r="AM126" s="83">
        <f>VLOOKUP(TableWRRanks3242[[#This Row],[Player]],WR!B:O,9,FALSE)</f>
        <v>0</v>
      </c>
      <c r="AN126" s="57">
        <f>VLOOKUP(TableWRRanks3242[[#This Row],[Player]],WR!B:O,13,FALSE)</f>
        <v>0</v>
      </c>
      <c r="AO126" s="125">
        <f>IF(VLOOKUP(TableWRRanks3242[[#This Row],[RK]],'Ranks w Proj'!AD:AO,12,FALSE)&lt;0,0,VLOOKUP(TableWRRanks3242[[#This Row],[RK]],'Ranks w Proj'!AD:AO,12,FALSE))</f>
        <v>0</v>
      </c>
    </row>
    <row r="127" spans="16:41" x14ac:dyDescent="0.2">
      <c r="P127">
        <v>126</v>
      </c>
      <c r="Q127">
        <f>VLOOKUP(TableRBRanks3141[[#This Row],[RK]],Rankings!A:T,8,FALSE)</f>
        <v>0</v>
      </c>
      <c r="R127" t="str">
        <f>IFERROR(INDEX(TableRBCalcPts[TM],MATCH(TableRBRanks3141[[#This Row],[Player]],TableRBCalcPts[PLAYER],0)),"")</f>
        <v/>
      </c>
      <c r="S127" t="str">
        <f>IFERROR(INDEX(TableRBCalcPts[BYE],MATCH(TableRBRanks3141[[#This Row],[Player]],TableRBCalcPts[PLAYER],0)),"")</f>
        <v/>
      </c>
      <c r="T127" s="83">
        <f>VLOOKUP(TableRBRanks3141[[#This Row],[Player]],RB!B:O,4,FALSE)</f>
        <v>0</v>
      </c>
      <c r="U127" s="83">
        <f>VLOOKUP(TableRBRanks3141[[#This Row],[Player]],RB!B:O,5,FALSE)</f>
        <v>0</v>
      </c>
      <c r="V127" s="83">
        <f>VLOOKUP(TableRBRanks3141[[#This Row],[Player]],RB!B:O,6,FALSE)</f>
        <v>0</v>
      </c>
      <c r="W127" s="83">
        <f>VLOOKUP(TableRBRanks3141[[#This Row],[Player]],RB!B:O,7,FALSE)</f>
        <v>0</v>
      </c>
      <c r="X127" s="83">
        <f>VLOOKUP(TableRBRanks3141[[#This Row],[Player]],RB!B:O,8,FALSE)</f>
        <v>0</v>
      </c>
      <c r="Y127" s="83">
        <f>VLOOKUP(TableRBRanks3141[[#This Row],[Player]],RB!B:O,9,FALSE)</f>
        <v>0</v>
      </c>
      <c r="Z127" s="83">
        <f>VLOOKUP(TableRBRanks3141[[#This Row],[Player]],RB!B:O,10,FALSE)</f>
        <v>0</v>
      </c>
      <c r="AA127" s="57">
        <f>VLOOKUP(TableRBRanks3141[[#This Row],[Player]],RB!B:O,14,FALSE)</f>
        <v>0</v>
      </c>
      <c r="AB127" s="125" t="str">
        <f>IF(VLOOKUP(TableRBRanks3141[[#This Row],[RK]],'Ranks w Proj'!$P:$AB,13,FALSE)&lt;0,0,VLOOKUP(TableRBRanks3141[[#This Row],[RK]],'Ranks w Proj'!$P:$AB,13,FALSE))</f>
        <v/>
      </c>
      <c r="AD127">
        <v>126</v>
      </c>
      <c r="AE127">
        <f>VLOOKUP(TableWRRanks3242[[#This Row],[RK]],Rankings!A:T,13,FALSE)</f>
        <v>0</v>
      </c>
      <c r="AF127" t="str">
        <f>IFERROR(INDEX(TableWRCalcPts[TM],MATCH(TableWRRanks3242[[#This Row],[Player]],TableWRCalcPts[PLAYER],0)),"")</f>
        <v/>
      </c>
      <c r="AG127" t="str">
        <f>IFERROR(INDEX(TableWRCalcPts[BYE],MATCH(TableWRRanks3242[[#This Row],[Player]],TableWRCalcPts[PLAYER],0)),"")</f>
        <v/>
      </c>
      <c r="AH127" s="83">
        <f>VLOOKUP(TableWRRanks3242[[#This Row],[Player]],WR!B:O,4,FALSE)</f>
        <v>0</v>
      </c>
      <c r="AI127" s="83">
        <f>VLOOKUP(TableWRRanks3242[[#This Row],[Player]],WR!B:O,5,FALSE)</f>
        <v>0</v>
      </c>
      <c r="AJ127" s="83">
        <f>VLOOKUP(TableWRRanks3242[[#This Row],[Player]],WR!B:O,6,FALSE)</f>
        <v>0</v>
      </c>
      <c r="AK127" s="83">
        <f>VLOOKUP(TableWRRanks3242[[#This Row],[Player]],WR!B:O,7,FALSE)</f>
        <v>0</v>
      </c>
      <c r="AL127" s="83">
        <f>VLOOKUP(TableWRRanks3242[[#This Row],[Player]],WR!B:O,8,FALSE)</f>
        <v>0</v>
      </c>
      <c r="AM127" s="83">
        <f>VLOOKUP(TableWRRanks3242[[#This Row],[Player]],WR!B:O,9,FALSE)</f>
        <v>0</v>
      </c>
      <c r="AN127" s="57">
        <f>VLOOKUP(TableWRRanks3242[[#This Row],[Player]],WR!B:O,13,FALSE)</f>
        <v>0</v>
      </c>
      <c r="AO127" s="125">
        <f>IF(VLOOKUP(TableWRRanks3242[[#This Row],[RK]],'Ranks w Proj'!AD:AO,12,FALSE)&lt;0,0,VLOOKUP(TableWRRanks3242[[#This Row],[RK]],'Ranks w Proj'!AD:AO,12,FALSE))</f>
        <v>0</v>
      </c>
    </row>
    <row r="128" spans="16:41" x14ac:dyDescent="0.2">
      <c r="P128">
        <v>127</v>
      </c>
      <c r="Q128">
        <f>VLOOKUP(TableRBRanks3141[[#This Row],[RK]],Rankings!A:T,8,FALSE)</f>
        <v>0</v>
      </c>
      <c r="R128" t="str">
        <f>IFERROR(INDEX(TableRBCalcPts[TM],MATCH(TableRBRanks3141[[#This Row],[Player]],TableRBCalcPts[PLAYER],0)),"")</f>
        <v/>
      </c>
      <c r="S128" t="str">
        <f>IFERROR(INDEX(TableRBCalcPts[BYE],MATCH(TableRBRanks3141[[#This Row],[Player]],TableRBCalcPts[PLAYER],0)),"")</f>
        <v/>
      </c>
      <c r="T128" s="83">
        <f>VLOOKUP(TableRBRanks3141[[#This Row],[Player]],RB!B:O,4,FALSE)</f>
        <v>0</v>
      </c>
      <c r="U128" s="83">
        <f>VLOOKUP(TableRBRanks3141[[#This Row],[Player]],RB!B:O,5,FALSE)</f>
        <v>0</v>
      </c>
      <c r="V128" s="83">
        <f>VLOOKUP(TableRBRanks3141[[#This Row],[Player]],RB!B:O,6,FALSE)</f>
        <v>0</v>
      </c>
      <c r="W128" s="83">
        <f>VLOOKUP(TableRBRanks3141[[#This Row],[Player]],RB!B:O,7,FALSE)</f>
        <v>0</v>
      </c>
      <c r="X128" s="83">
        <f>VLOOKUP(TableRBRanks3141[[#This Row],[Player]],RB!B:O,8,FALSE)</f>
        <v>0</v>
      </c>
      <c r="Y128" s="83">
        <f>VLOOKUP(TableRBRanks3141[[#This Row],[Player]],RB!B:O,9,FALSE)</f>
        <v>0</v>
      </c>
      <c r="Z128" s="83">
        <f>VLOOKUP(TableRBRanks3141[[#This Row],[Player]],RB!B:O,10,FALSE)</f>
        <v>0</v>
      </c>
      <c r="AA128" s="57">
        <f>VLOOKUP(TableRBRanks3141[[#This Row],[Player]],RB!B:O,14,FALSE)</f>
        <v>0</v>
      </c>
      <c r="AB128" s="125" t="str">
        <f>IF(VLOOKUP(TableRBRanks3141[[#This Row],[RK]],'Ranks w Proj'!$P:$AB,13,FALSE)&lt;0,0,VLOOKUP(TableRBRanks3141[[#This Row],[RK]],'Ranks w Proj'!$P:$AB,13,FALSE))</f>
        <v/>
      </c>
      <c r="AD128">
        <v>127</v>
      </c>
      <c r="AE128">
        <f>VLOOKUP(TableWRRanks3242[[#This Row],[RK]],Rankings!A:T,13,FALSE)</f>
        <v>0</v>
      </c>
      <c r="AF128" t="str">
        <f>IFERROR(INDEX(TableWRCalcPts[TM],MATCH(TableWRRanks3242[[#This Row],[Player]],TableWRCalcPts[PLAYER],0)),"")</f>
        <v/>
      </c>
      <c r="AG128" t="str">
        <f>IFERROR(INDEX(TableWRCalcPts[BYE],MATCH(TableWRRanks3242[[#This Row],[Player]],TableWRCalcPts[PLAYER],0)),"")</f>
        <v/>
      </c>
      <c r="AH128" s="83">
        <f>VLOOKUP(TableWRRanks3242[[#This Row],[Player]],WR!B:O,4,FALSE)</f>
        <v>0</v>
      </c>
      <c r="AI128" s="83">
        <f>VLOOKUP(TableWRRanks3242[[#This Row],[Player]],WR!B:O,5,FALSE)</f>
        <v>0</v>
      </c>
      <c r="AJ128" s="83">
        <f>VLOOKUP(TableWRRanks3242[[#This Row],[Player]],WR!B:O,6,FALSE)</f>
        <v>0</v>
      </c>
      <c r="AK128" s="83">
        <f>VLOOKUP(TableWRRanks3242[[#This Row],[Player]],WR!B:O,7,FALSE)</f>
        <v>0</v>
      </c>
      <c r="AL128" s="83">
        <f>VLOOKUP(TableWRRanks3242[[#This Row],[Player]],WR!B:O,8,FALSE)</f>
        <v>0</v>
      </c>
      <c r="AM128" s="83">
        <f>VLOOKUP(TableWRRanks3242[[#This Row],[Player]],WR!B:O,9,FALSE)</f>
        <v>0</v>
      </c>
      <c r="AN128" s="57">
        <f>VLOOKUP(TableWRRanks3242[[#This Row],[Player]],WR!B:O,13,FALSE)</f>
        <v>0</v>
      </c>
      <c r="AO128" s="125">
        <f>IF(VLOOKUP(TableWRRanks3242[[#This Row],[RK]],'Ranks w Proj'!AD:AO,12,FALSE)&lt;0,0,VLOOKUP(TableWRRanks3242[[#This Row],[RK]],'Ranks w Proj'!AD:AO,12,FALSE))</f>
        <v>0</v>
      </c>
    </row>
    <row r="129" spans="16:41" x14ac:dyDescent="0.2">
      <c r="P129">
        <v>128</v>
      </c>
      <c r="Q129">
        <f>VLOOKUP(TableRBRanks3141[[#This Row],[RK]],Rankings!A:T,8,FALSE)</f>
        <v>0</v>
      </c>
      <c r="R129" t="str">
        <f>IFERROR(INDEX(TableRBCalcPts[TM],MATCH(TableRBRanks3141[[#This Row],[Player]],TableRBCalcPts[PLAYER],0)),"")</f>
        <v/>
      </c>
      <c r="S129" t="str">
        <f>IFERROR(INDEX(TableRBCalcPts[BYE],MATCH(TableRBRanks3141[[#This Row],[Player]],TableRBCalcPts[PLAYER],0)),"")</f>
        <v/>
      </c>
      <c r="T129" s="83">
        <f>VLOOKUP(TableRBRanks3141[[#This Row],[Player]],RB!B:O,4,FALSE)</f>
        <v>0</v>
      </c>
      <c r="U129" s="83">
        <f>VLOOKUP(TableRBRanks3141[[#This Row],[Player]],RB!B:O,5,FALSE)</f>
        <v>0</v>
      </c>
      <c r="V129" s="83">
        <f>VLOOKUP(TableRBRanks3141[[#This Row],[Player]],RB!B:O,6,FALSE)</f>
        <v>0</v>
      </c>
      <c r="W129" s="83">
        <f>VLOOKUP(TableRBRanks3141[[#This Row],[Player]],RB!B:O,7,FALSE)</f>
        <v>0</v>
      </c>
      <c r="X129" s="83">
        <f>VLOOKUP(TableRBRanks3141[[#This Row],[Player]],RB!B:O,8,FALSE)</f>
        <v>0</v>
      </c>
      <c r="Y129" s="83">
        <f>VLOOKUP(TableRBRanks3141[[#This Row],[Player]],RB!B:O,9,FALSE)</f>
        <v>0</v>
      </c>
      <c r="Z129" s="83">
        <f>VLOOKUP(TableRBRanks3141[[#This Row],[Player]],RB!B:O,10,FALSE)</f>
        <v>0</v>
      </c>
      <c r="AA129" s="57">
        <f>VLOOKUP(TableRBRanks3141[[#This Row],[Player]],RB!B:O,14,FALSE)</f>
        <v>0</v>
      </c>
      <c r="AB129" s="125" t="str">
        <f>IF(VLOOKUP(TableRBRanks3141[[#This Row],[RK]],'Ranks w Proj'!$P:$AB,13,FALSE)&lt;0,0,VLOOKUP(TableRBRanks3141[[#This Row],[RK]],'Ranks w Proj'!$P:$AB,13,FALSE))</f>
        <v/>
      </c>
      <c r="AD129">
        <v>128</v>
      </c>
      <c r="AE129">
        <f>VLOOKUP(TableWRRanks3242[[#This Row],[RK]],Rankings!A:T,13,FALSE)</f>
        <v>0</v>
      </c>
      <c r="AF129" t="str">
        <f>IFERROR(INDEX(TableWRCalcPts[TM],MATCH(TableWRRanks3242[[#This Row],[Player]],TableWRCalcPts[PLAYER],0)),"")</f>
        <v/>
      </c>
      <c r="AG129" t="str">
        <f>IFERROR(INDEX(TableWRCalcPts[BYE],MATCH(TableWRRanks3242[[#This Row],[Player]],TableWRCalcPts[PLAYER],0)),"")</f>
        <v/>
      </c>
      <c r="AH129" s="83">
        <f>VLOOKUP(TableWRRanks3242[[#This Row],[Player]],WR!B:O,4,FALSE)</f>
        <v>0</v>
      </c>
      <c r="AI129" s="83">
        <f>VLOOKUP(TableWRRanks3242[[#This Row],[Player]],WR!B:O,5,FALSE)</f>
        <v>0</v>
      </c>
      <c r="AJ129" s="83">
        <f>VLOOKUP(TableWRRanks3242[[#This Row],[Player]],WR!B:O,6,FALSE)</f>
        <v>0</v>
      </c>
      <c r="AK129" s="83">
        <f>VLOOKUP(TableWRRanks3242[[#This Row],[Player]],WR!B:O,7,FALSE)</f>
        <v>0</v>
      </c>
      <c r="AL129" s="83">
        <f>VLOOKUP(TableWRRanks3242[[#This Row],[Player]],WR!B:O,8,FALSE)</f>
        <v>0</v>
      </c>
      <c r="AM129" s="83">
        <f>VLOOKUP(TableWRRanks3242[[#This Row],[Player]],WR!B:O,9,FALSE)</f>
        <v>0</v>
      </c>
      <c r="AN129" s="57">
        <f>VLOOKUP(TableWRRanks3242[[#This Row],[Player]],WR!B:O,13,FALSE)</f>
        <v>0</v>
      </c>
      <c r="AO129" s="125">
        <f>IF(VLOOKUP(TableWRRanks3242[[#This Row],[RK]],'Ranks w Proj'!AD:AO,12,FALSE)&lt;0,0,VLOOKUP(TableWRRanks3242[[#This Row],[RK]],'Ranks w Proj'!AD:AO,12,FALSE))</f>
        <v>0</v>
      </c>
    </row>
    <row r="130" spans="16:41" x14ac:dyDescent="0.2">
      <c r="P130">
        <v>129</v>
      </c>
      <c r="Q130">
        <f>VLOOKUP(TableRBRanks3141[[#This Row],[RK]],Rankings!A:T,8,FALSE)</f>
        <v>0</v>
      </c>
      <c r="R130" t="str">
        <f>IFERROR(INDEX(TableRBCalcPts[TM],MATCH(TableRBRanks3141[[#This Row],[Player]],TableRBCalcPts[PLAYER],0)),"")</f>
        <v/>
      </c>
      <c r="S130" t="str">
        <f>IFERROR(INDEX(TableRBCalcPts[BYE],MATCH(TableRBRanks3141[[#This Row],[Player]],TableRBCalcPts[PLAYER],0)),"")</f>
        <v/>
      </c>
      <c r="T130" s="83">
        <f>VLOOKUP(TableRBRanks3141[[#This Row],[Player]],RB!B:O,4,FALSE)</f>
        <v>0</v>
      </c>
      <c r="U130" s="83">
        <f>VLOOKUP(TableRBRanks3141[[#This Row],[Player]],RB!B:O,5,FALSE)</f>
        <v>0</v>
      </c>
      <c r="V130" s="83">
        <f>VLOOKUP(TableRBRanks3141[[#This Row],[Player]],RB!B:O,6,FALSE)</f>
        <v>0</v>
      </c>
      <c r="W130" s="83">
        <f>VLOOKUP(TableRBRanks3141[[#This Row],[Player]],RB!B:O,7,FALSE)</f>
        <v>0</v>
      </c>
      <c r="X130" s="83">
        <f>VLOOKUP(TableRBRanks3141[[#This Row],[Player]],RB!B:O,8,FALSE)</f>
        <v>0</v>
      </c>
      <c r="Y130" s="83">
        <f>VLOOKUP(TableRBRanks3141[[#This Row],[Player]],RB!B:O,9,FALSE)</f>
        <v>0</v>
      </c>
      <c r="Z130" s="83">
        <f>VLOOKUP(TableRBRanks3141[[#This Row],[Player]],RB!B:O,10,FALSE)</f>
        <v>0</v>
      </c>
      <c r="AA130" s="57">
        <f>VLOOKUP(TableRBRanks3141[[#This Row],[Player]],RB!B:O,14,FALSE)</f>
        <v>0</v>
      </c>
      <c r="AB130" s="125" t="str">
        <f>IF(VLOOKUP(TableRBRanks3141[[#This Row],[RK]],'Ranks w Proj'!$P:$AB,13,FALSE)&lt;0,0,VLOOKUP(TableRBRanks3141[[#This Row],[RK]],'Ranks w Proj'!$P:$AB,13,FALSE))</f>
        <v/>
      </c>
      <c r="AD130">
        <v>129</v>
      </c>
      <c r="AE130">
        <f>VLOOKUP(TableWRRanks3242[[#This Row],[RK]],Rankings!A:T,13,FALSE)</f>
        <v>0</v>
      </c>
      <c r="AF130" t="str">
        <f>IFERROR(INDEX(TableWRCalcPts[TM],MATCH(TableWRRanks3242[[#This Row],[Player]],TableWRCalcPts[PLAYER],0)),"")</f>
        <v/>
      </c>
      <c r="AG130" t="str">
        <f>IFERROR(INDEX(TableWRCalcPts[BYE],MATCH(TableWRRanks3242[[#This Row],[Player]],TableWRCalcPts[PLAYER],0)),"")</f>
        <v/>
      </c>
      <c r="AH130" s="83">
        <f>VLOOKUP(TableWRRanks3242[[#This Row],[Player]],WR!B:O,4,FALSE)</f>
        <v>0</v>
      </c>
      <c r="AI130" s="83">
        <f>VLOOKUP(TableWRRanks3242[[#This Row],[Player]],WR!B:O,5,FALSE)</f>
        <v>0</v>
      </c>
      <c r="AJ130" s="83">
        <f>VLOOKUP(TableWRRanks3242[[#This Row],[Player]],WR!B:O,6,FALSE)</f>
        <v>0</v>
      </c>
      <c r="AK130" s="83">
        <f>VLOOKUP(TableWRRanks3242[[#This Row],[Player]],WR!B:O,7,FALSE)</f>
        <v>0</v>
      </c>
      <c r="AL130" s="83">
        <f>VLOOKUP(TableWRRanks3242[[#This Row],[Player]],WR!B:O,8,FALSE)</f>
        <v>0</v>
      </c>
      <c r="AM130" s="83">
        <f>VLOOKUP(TableWRRanks3242[[#This Row],[Player]],WR!B:O,9,FALSE)</f>
        <v>0</v>
      </c>
      <c r="AN130" s="57">
        <f>VLOOKUP(TableWRRanks3242[[#This Row],[Player]],WR!B:O,13,FALSE)</f>
        <v>0</v>
      </c>
      <c r="AO130" s="125">
        <f>IF(VLOOKUP(TableWRRanks3242[[#This Row],[RK]],'Ranks w Proj'!AD:AO,12,FALSE)&lt;0,0,VLOOKUP(TableWRRanks3242[[#This Row],[RK]],'Ranks w Proj'!AD:AO,12,FALSE))</f>
        <v>0</v>
      </c>
    </row>
    <row r="131" spans="16:41" x14ac:dyDescent="0.2">
      <c r="P131">
        <v>130</v>
      </c>
      <c r="Q131">
        <f>VLOOKUP(TableRBRanks3141[[#This Row],[RK]],Rankings!A:T,8,FALSE)</f>
        <v>0</v>
      </c>
      <c r="R131" t="str">
        <f>IFERROR(INDEX(TableRBCalcPts[TM],MATCH(TableRBRanks3141[[#This Row],[Player]],TableRBCalcPts[PLAYER],0)),"")</f>
        <v/>
      </c>
      <c r="S131" t="str">
        <f>IFERROR(INDEX(TableRBCalcPts[BYE],MATCH(TableRBRanks3141[[#This Row],[Player]],TableRBCalcPts[PLAYER],0)),"")</f>
        <v/>
      </c>
      <c r="T131" s="83">
        <f>VLOOKUP(TableRBRanks3141[[#This Row],[Player]],RB!B:O,4,FALSE)</f>
        <v>0</v>
      </c>
      <c r="U131" s="83">
        <f>VLOOKUP(TableRBRanks3141[[#This Row],[Player]],RB!B:O,5,FALSE)</f>
        <v>0</v>
      </c>
      <c r="V131" s="83">
        <f>VLOOKUP(TableRBRanks3141[[#This Row],[Player]],RB!B:O,6,FALSE)</f>
        <v>0</v>
      </c>
      <c r="W131" s="83">
        <f>VLOOKUP(TableRBRanks3141[[#This Row],[Player]],RB!B:O,7,FALSE)</f>
        <v>0</v>
      </c>
      <c r="X131" s="83">
        <f>VLOOKUP(TableRBRanks3141[[#This Row],[Player]],RB!B:O,8,FALSE)</f>
        <v>0</v>
      </c>
      <c r="Y131" s="83">
        <f>VLOOKUP(TableRBRanks3141[[#This Row],[Player]],RB!B:O,9,FALSE)</f>
        <v>0</v>
      </c>
      <c r="Z131" s="83">
        <f>VLOOKUP(TableRBRanks3141[[#This Row],[Player]],RB!B:O,10,FALSE)</f>
        <v>0</v>
      </c>
      <c r="AA131" s="57">
        <f>VLOOKUP(TableRBRanks3141[[#This Row],[Player]],RB!B:O,14,FALSE)</f>
        <v>0</v>
      </c>
      <c r="AB131" s="125" t="str">
        <f>IF(VLOOKUP(TableRBRanks3141[[#This Row],[RK]],'Ranks w Proj'!$P:$AB,13,FALSE)&lt;0,0,VLOOKUP(TableRBRanks3141[[#This Row],[RK]],'Ranks w Proj'!$P:$AB,13,FALSE))</f>
        <v/>
      </c>
      <c r="AD131">
        <v>130</v>
      </c>
      <c r="AE131">
        <f>VLOOKUP(TableWRRanks3242[[#This Row],[RK]],Rankings!A:T,13,FALSE)</f>
        <v>0</v>
      </c>
      <c r="AF131" t="str">
        <f>IFERROR(INDEX(TableWRCalcPts[TM],MATCH(TableWRRanks3242[[#This Row],[Player]],TableWRCalcPts[PLAYER],0)),"")</f>
        <v/>
      </c>
      <c r="AG131" t="str">
        <f>IFERROR(INDEX(TableWRCalcPts[BYE],MATCH(TableWRRanks3242[[#This Row],[Player]],TableWRCalcPts[PLAYER],0)),"")</f>
        <v/>
      </c>
      <c r="AH131" s="83">
        <f>VLOOKUP(TableWRRanks3242[[#This Row],[Player]],WR!B:O,4,FALSE)</f>
        <v>0</v>
      </c>
      <c r="AI131" s="83">
        <f>VLOOKUP(TableWRRanks3242[[#This Row],[Player]],WR!B:O,5,FALSE)</f>
        <v>0</v>
      </c>
      <c r="AJ131" s="83">
        <f>VLOOKUP(TableWRRanks3242[[#This Row],[Player]],WR!B:O,6,FALSE)</f>
        <v>0</v>
      </c>
      <c r="AK131" s="83">
        <f>VLOOKUP(TableWRRanks3242[[#This Row],[Player]],WR!B:O,7,FALSE)</f>
        <v>0</v>
      </c>
      <c r="AL131" s="83">
        <f>VLOOKUP(TableWRRanks3242[[#This Row],[Player]],WR!B:O,8,FALSE)</f>
        <v>0</v>
      </c>
      <c r="AM131" s="83">
        <f>VLOOKUP(TableWRRanks3242[[#This Row],[Player]],WR!B:O,9,FALSE)</f>
        <v>0</v>
      </c>
      <c r="AN131" s="57">
        <f>VLOOKUP(TableWRRanks3242[[#This Row],[Player]],WR!B:O,13,FALSE)</f>
        <v>0</v>
      </c>
      <c r="AO131" s="125">
        <f>IF(VLOOKUP(TableWRRanks3242[[#This Row],[RK]],'Ranks w Proj'!AD:AO,12,FALSE)&lt;0,0,VLOOKUP(TableWRRanks3242[[#This Row],[RK]],'Ranks w Proj'!AD:AO,12,FALSE))</f>
        <v>0</v>
      </c>
    </row>
    <row r="132" spans="16:41" x14ac:dyDescent="0.2">
      <c r="P132">
        <v>131</v>
      </c>
      <c r="Q132">
        <f>VLOOKUP(TableRBRanks3141[[#This Row],[RK]],Rankings!A:T,8,FALSE)</f>
        <v>0</v>
      </c>
      <c r="R132" t="str">
        <f>IFERROR(INDEX(TableRBCalcPts[TM],MATCH(TableRBRanks3141[[#This Row],[Player]],TableRBCalcPts[PLAYER],0)),"")</f>
        <v/>
      </c>
      <c r="S132" t="str">
        <f>IFERROR(INDEX(TableRBCalcPts[BYE],MATCH(TableRBRanks3141[[#This Row],[Player]],TableRBCalcPts[PLAYER],0)),"")</f>
        <v/>
      </c>
      <c r="T132" s="83">
        <f>VLOOKUP(TableRBRanks3141[[#This Row],[Player]],RB!B:O,4,FALSE)</f>
        <v>0</v>
      </c>
      <c r="U132" s="83">
        <f>VLOOKUP(TableRBRanks3141[[#This Row],[Player]],RB!B:O,5,FALSE)</f>
        <v>0</v>
      </c>
      <c r="V132" s="83">
        <f>VLOOKUP(TableRBRanks3141[[#This Row],[Player]],RB!B:O,6,FALSE)</f>
        <v>0</v>
      </c>
      <c r="W132" s="83">
        <f>VLOOKUP(TableRBRanks3141[[#This Row],[Player]],RB!B:O,7,FALSE)</f>
        <v>0</v>
      </c>
      <c r="X132" s="83">
        <f>VLOOKUP(TableRBRanks3141[[#This Row],[Player]],RB!B:O,8,FALSE)</f>
        <v>0</v>
      </c>
      <c r="Y132" s="83">
        <f>VLOOKUP(TableRBRanks3141[[#This Row],[Player]],RB!B:O,9,FALSE)</f>
        <v>0</v>
      </c>
      <c r="Z132" s="83">
        <f>VLOOKUP(TableRBRanks3141[[#This Row],[Player]],RB!B:O,10,FALSE)</f>
        <v>0</v>
      </c>
      <c r="AA132" s="57">
        <f>VLOOKUP(TableRBRanks3141[[#This Row],[Player]],RB!B:O,14,FALSE)</f>
        <v>0</v>
      </c>
      <c r="AB132" s="125" t="str">
        <f>IF(VLOOKUP(TableRBRanks3141[[#This Row],[RK]],'Ranks w Proj'!$P:$AB,13,FALSE)&lt;0,0,VLOOKUP(TableRBRanks3141[[#This Row],[RK]],'Ranks w Proj'!$P:$AB,13,FALSE))</f>
        <v/>
      </c>
      <c r="AD132">
        <v>131</v>
      </c>
      <c r="AE132">
        <f>VLOOKUP(TableWRRanks3242[[#This Row],[RK]],Rankings!A:T,13,FALSE)</f>
        <v>0</v>
      </c>
      <c r="AF132" t="str">
        <f>IFERROR(INDEX(TableWRCalcPts[TM],MATCH(TableWRRanks3242[[#This Row],[Player]],TableWRCalcPts[PLAYER],0)),"")</f>
        <v/>
      </c>
      <c r="AG132" t="str">
        <f>IFERROR(INDEX(TableWRCalcPts[BYE],MATCH(TableWRRanks3242[[#This Row],[Player]],TableWRCalcPts[PLAYER],0)),"")</f>
        <v/>
      </c>
      <c r="AH132" s="83">
        <f>VLOOKUP(TableWRRanks3242[[#This Row],[Player]],WR!B:O,4,FALSE)</f>
        <v>0</v>
      </c>
      <c r="AI132" s="83">
        <f>VLOOKUP(TableWRRanks3242[[#This Row],[Player]],WR!B:O,5,FALSE)</f>
        <v>0</v>
      </c>
      <c r="AJ132" s="83">
        <f>VLOOKUP(TableWRRanks3242[[#This Row],[Player]],WR!B:O,6,FALSE)</f>
        <v>0</v>
      </c>
      <c r="AK132" s="83">
        <f>VLOOKUP(TableWRRanks3242[[#This Row],[Player]],WR!B:O,7,FALSE)</f>
        <v>0</v>
      </c>
      <c r="AL132" s="83">
        <f>VLOOKUP(TableWRRanks3242[[#This Row],[Player]],WR!B:O,8,FALSE)</f>
        <v>0</v>
      </c>
      <c r="AM132" s="83">
        <f>VLOOKUP(TableWRRanks3242[[#This Row],[Player]],WR!B:O,9,FALSE)</f>
        <v>0</v>
      </c>
      <c r="AN132" s="57">
        <f>VLOOKUP(TableWRRanks3242[[#This Row],[Player]],WR!B:O,13,FALSE)</f>
        <v>0</v>
      </c>
      <c r="AO132" s="125">
        <f>IF(VLOOKUP(TableWRRanks3242[[#This Row],[RK]],'Ranks w Proj'!AD:AO,12,FALSE)&lt;0,0,VLOOKUP(TableWRRanks3242[[#This Row],[RK]],'Ranks w Proj'!AD:AO,12,FALSE))</f>
        <v>0</v>
      </c>
    </row>
    <row r="133" spans="16:41" x14ac:dyDescent="0.2">
      <c r="P133">
        <v>132</v>
      </c>
      <c r="Q133">
        <f>VLOOKUP(TableRBRanks3141[[#This Row],[RK]],Rankings!A:T,8,FALSE)</f>
        <v>0</v>
      </c>
      <c r="R133" t="str">
        <f>IFERROR(INDEX(TableRBCalcPts[TM],MATCH(TableRBRanks3141[[#This Row],[Player]],TableRBCalcPts[PLAYER],0)),"")</f>
        <v/>
      </c>
      <c r="S133" t="str">
        <f>IFERROR(INDEX(TableRBCalcPts[BYE],MATCH(TableRBRanks3141[[#This Row],[Player]],TableRBCalcPts[PLAYER],0)),"")</f>
        <v/>
      </c>
      <c r="T133" s="83">
        <f>VLOOKUP(TableRBRanks3141[[#This Row],[Player]],RB!B:O,4,FALSE)</f>
        <v>0</v>
      </c>
      <c r="U133" s="83">
        <f>VLOOKUP(TableRBRanks3141[[#This Row],[Player]],RB!B:O,5,FALSE)</f>
        <v>0</v>
      </c>
      <c r="V133" s="83">
        <f>VLOOKUP(TableRBRanks3141[[#This Row],[Player]],RB!B:O,6,FALSE)</f>
        <v>0</v>
      </c>
      <c r="W133" s="83">
        <f>VLOOKUP(TableRBRanks3141[[#This Row],[Player]],RB!B:O,7,FALSE)</f>
        <v>0</v>
      </c>
      <c r="X133" s="83">
        <f>VLOOKUP(TableRBRanks3141[[#This Row],[Player]],RB!B:O,8,FALSE)</f>
        <v>0</v>
      </c>
      <c r="Y133" s="83">
        <f>VLOOKUP(TableRBRanks3141[[#This Row],[Player]],RB!B:O,9,FALSE)</f>
        <v>0</v>
      </c>
      <c r="Z133" s="83">
        <f>VLOOKUP(TableRBRanks3141[[#This Row],[Player]],RB!B:O,10,FALSE)</f>
        <v>0</v>
      </c>
      <c r="AA133" s="57">
        <f>VLOOKUP(TableRBRanks3141[[#This Row],[Player]],RB!B:O,14,FALSE)</f>
        <v>0</v>
      </c>
      <c r="AB133" s="125" t="str">
        <f>IF(VLOOKUP(TableRBRanks3141[[#This Row],[RK]],'Ranks w Proj'!$P:$AB,13,FALSE)&lt;0,0,VLOOKUP(TableRBRanks3141[[#This Row],[RK]],'Ranks w Proj'!$P:$AB,13,FALSE))</f>
        <v/>
      </c>
      <c r="AD133">
        <v>132</v>
      </c>
      <c r="AE133">
        <f>VLOOKUP(TableWRRanks3242[[#This Row],[RK]],Rankings!A:T,13,FALSE)</f>
        <v>0</v>
      </c>
      <c r="AF133" t="str">
        <f>IFERROR(INDEX(TableWRCalcPts[TM],MATCH(TableWRRanks3242[[#This Row],[Player]],TableWRCalcPts[PLAYER],0)),"")</f>
        <v/>
      </c>
      <c r="AG133" t="str">
        <f>IFERROR(INDEX(TableWRCalcPts[BYE],MATCH(TableWRRanks3242[[#This Row],[Player]],TableWRCalcPts[PLAYER],0)),"")</f>
        <v/>
      </c>
      <c r="AH133" s="83">
        <f>VLOOKUP(TableWRRanks3242[[#This Row],[Player]],WR!B:O,4,FALSE)</f>
        <v>0</v>
      </c>
      <c r="AI133" s="83">
        <f>VLOOKUP(TableWRRanks3242[[#This Row],[Player]],WR!B:O,5,FALSE)</f>
        <v>0</v>
      </c>
      <c r="AJ133" s="83">
        <f>VLOOKUP(TableWRRanks3242[[#This Row],[Player]],WR!B:O,6,FALSE)</f>
        <v>0</v>
      </c>
      <c r="AK133" s="83">
        <f>VLOOKUP(TableWRRanks3242[[#This Row],[Player]],WR!B:O,7,FALSE)</f>
        <v>0</v>
      </c>
      <c r="AL133" s="83">
        <f>VLOOKUP(TableWRRanks3242[[#This Row],[Player]],WR!B:O,8,FALSE)</f>
        <v>0</v>
      </c>
      <c r="AM133" s="83">
        <f>VLOOKUP(TableWRRanks3242[[#This Row],[Player]],WR!B:O,9,FALSE)</f>
        <v>0</v>
      </c>
      <c r="AN133" s="57">
        <f>VLOOKUP(TableWRRanks3242[[#This Row],[Player]],WR!B:O,13,FALSE)</f>
        <v>0</v>
      </c>
      <c r="AO133" s="125">
        <f>IF(VLOOKUP(TableWRRanks3242[[#This Row],[RK]],'Ranks w Proj'!AD:AO,12,FALSE)&lt;0,0,VLOOKUP(TableWRRanks3242[[#This Row],[RK]],'Ranks w Proj'!AD:AO,12,FALSE))</f>
        <v>0</v>
      </c>
    </row>
    <row r="134" spans="16:41" x14ac:dyDescent="0.2">
      <c r="P134">
        <v>133</v>
      </c>
      <c r="Q134">
        <f>VLOOKUP(TableRBRanks3141[[#This Row],[RK]],Rankings!A:T,8,FALSE)</f>
        <v>0</v>
      </c>
      <c r="R134" t="str">
        <f>IFERROR(INDEX(TableRBCalcPts[TM],MATCH(TableRBRanks3141[[#This Row],[Player]],TableRBCalcPts[PLAYER],0)),"")</f>
        <v/>
      </c>
      <c r="S134" t="str">
        <f>IFERROR(INDEX(TableRBCalcPts[BYE],MATCH(TableRBRanks3141[[#This Row],[Player]],TableRBCalcPts[PLAYER],0)),"")</f>
        <v/>
      </c>
      <c r="T134" s="83">
        <f>VLOOKUP(TableRBRanks3141[[#This Row],[Player]],RB!B:O,4,FALSE)</f>
        <v>0</v>
      </c>
      <c r="U134" s="83">
        <f>VLOOKUP(TableRBRanks3141[[#This Row],[Player]],RB!B:O,5,FALSE)</f>
        <v>0</v>
      </c>
      <c r="V134" s="83">
        <f>VLOOKUP(TableRBRanks3141[[#This Row],[Player]],RB!B:O,6,FALSE)</f>
        <v>0</v>
      </c>
      <c r="W134" s="83">
        <f>VLOOKUP(TableRBRanks3141[[#This Row],[Player]],RB!B:O,7,FALSE)</f>
        <v>0</v>
      </c>
      <c r="X134" s="83">
        <f>VLOOKUP(TableRBRanks3141[[#This Row],[Player]],RB!B:O,8,FALSE)</f>
        <v>0</v>
      </c>
      <c r="Y134" s="83">
        <f>VLOOKUP(TableRBRanks3141[[#This Row],[Player]],RB!B:O,9,FALSE)</f>
        <v>0</v>
      </c>
      <c r="Z134" s="83">
        <f>VLOOKUP(TableRBRanks3141[[#This Row],[Player]],RB!B:O,10,FALSE)</f>
        <v>0</v>
      </c>
      <c r="AA134" s="57">
        <f>VLOOKUP(TableRBRanks3141[[#This Row],[Player]],RB!B:O,14,FALSE)</f>
        <v>0</v>
      </c>
      <c r="AB134" s="125" t="str">
        <f>IF(VLOOKUP(TableRBRanks3141[[#This Row],[RK]],'Ranks w Proj'!$P:$AB,13,FALSE)&lt;0,0,VLOOKUP(TableRBRanks3141[[#This Row],[RK]],'Ranks w Proj'!$P:$AB,13,FALSE))</f>
        <v/>
      </c>
      <c r="AD134">
        <v>133</v>
      </c>
      <c r="AE134">
        <f>VLOOKUP(TableWRRanks3242[[#This Row],[RK]],Rankings!A:T,13,FALSE)</f>
        <v>0</v>
      </c>
      <c r="AF134" t="str">
        <f>IFERROR(INDEX(TableWRCalcPts[TM],MATCH(TableWRRanks3242[[#This Row],[Player]],TableWRCalcPts[PLAYER],0)),"")</f>
        <v/>
      </c>
      <c r="AG134" t="str">
        <f>IFERROR(INDEX(TableWRCalcPts[BYE],MATCH(TableWRRanks3242[[#This Row],[Player]],TableWRCalcPts[PLAYER],0)),"")</f>
        <v/>
      </c>
      <c r="AH134" s="83">
        <f>VLOOKUP(TableWRRanks3242[[#This Row],[Player]],WR!B:O,4,FALSE)</f>
        <v>0</v>
      </c>
      <c r="AI134" s="83">
        <f>VLOOKUP(TableWRRanks3242[[#This Row],[Player]],WR!B:O,5,FALSE)</f>
        <v>0</v>
      </c>
      <c r="AJ134" s="83">
        <f>VLOOKUP(TableWRRanks3242[[#This Row],[Player]],WR!B:O,6,FALSE)</f>
        <v>0</v>
      </c>
      <c r="AK134" s="83">
        <f>VLOOKUP(TableWRRanks3242[[#This Row],[Player]],WR!B:O,7,FALSE)</f>
        <v>0</v>
      </c>
      <c r="AL134" s="83">
        <f>VLOOKUP(TableWRRanks3242[[#This Row],[Player]],WR!B:O,8,FALSE)</f>
        <v>0</v>
      </c>
      <c r="AM134" s="83">
        <f>VLOOKUP(TableWRRanks3242[[#This Row],[Player]],WR!B:O,9,FALSE)</f>
        <v>0</v>
      </c>
      <c r="AN134" s="57">
        <f>VLOOKUP(TableWRRanks3242[[#This Row],[Player]],WR!B:O,13,FALSE)</f>
        <v>0</v>
      </c>
      <c r="AO134" s="125">
        <f>IF(VLOOKUP(TableWRRanks3242[[#This Row],[RK]],'Ranks w Proj'!AD:AO,12,FALSE)&lt;0,0,VLOOKUP(TableWRRanks3242[[#This Row],[RK]],'Ranks w Proj'!AD:AO,12,FALSE))</f>
        <v>0</v>
      </c>
    </row>
    <row r="135" spans="16:41" x14ac:dyDescent="0.2">
      <c r="P135">
        <v>134</v>
      </c>
      <c r="Q135">
        <f>VLOOKUP(TableRBRanks3141[[#This Row],[RK]],Rankings!A:T,8,FALSE)</f>
        <v>0</v>
      </c>
      <c r="R135" t="str">
        <f>IFERROR(INDEX(TableRBCalcPts[TM],MATCH(TableRBRanks3141[[#This Row],[Player]],TableRBCalcPts[PLAYER],0)),"")</f>
        <v/>
      </c>
      <c r="S135" t="str">
        <f>IFERROR(INDEX(TableRBCalcPts[BYE],MATCH(TableRBRanks3141[[#This Row],[Player]],TableRBCalcPts[PLAYER],0)),"")</f>
        <v/>
      </c>
      <c r="T135" s="83">
        <f>VLOOKUP(TableRBRanks3141[[#This Row],[Player]],RB!B:O,4,FALSE)</f>
        <v>0</v>
      </c>
      <c r="U135" s="83">
        <f>VLOOKUP(TableRBRanks3141[[#This Row],[Player]],RB!B:O,5,FALSE)</f>
        <v>0</v>
      </c>
      <c r="V135" s="83">
        <f>VLOOKUP(TableRBRanks3141[[#This Row],[Player]],RB!B:O,6,FALSE)</f>
        <v>0</v>
      </c>
      <c r="W135" s="83">
        <f>VLOOKUP(TableRBRanks3141[[#This Row],[Player]],RB!B:O,7,FALSE)</f>
        <v>0</v>
      </c>
      <c r="X135" s="83">
        <f>VLOOKUP(TableRBRanks3141[[#This Row],[Player]],RB!B:O,8,FALSE)</f>
        <v>0</v>
      </c>
      <c r="Y135" s="83">
        <f>VLOOKUP(TableRBRanks3141[[#This Row],[Player]],RB!B:O,9,FALSE)</f>
        <v>0</v>
      </c>
      <c r="Z135" s="83">
        <f>VLOOKUP(TableRBRanks3141[[#This Row],[Player]],RB!B:O,10,FALSE)</f>
        <v>0</v>
      </c>
      <c r="AA135" s="57">
        <f>VLOOKUP(TableRBRanks3141[[#This Row],[Player]],RB!B:O,14,FALSE)</f>
        <v>0</v>
      </c>
      <c r="AB135" s="125" t="str">
        <f>IF(VLOOKUP(TableRBRanks3141[[#This Row],[RK]],'Ranks w Proj'!$P:$AB,13,FALSE)&lt;0,0,VLOOKUP(TableRBRanks3141[[#This Row],[RK]],'Ranks w Proj'!$P:$AB,13,FALSE))</f>
        <v/>
      </c>
      <c r="AD135">
        <v>134</v>
      </c>
      <c r="AE135">
        <f>VLOOKUP(TableWRRanks3242[[#This Row],[RK]],Rankings!A:T,13,FALSE)</f>
        <v>0</v>
      </c>
      <c r="AF135" t="str">
        <f>IFERROR(INDEX(TableWRCalcPts[TM],MATCH(TableWRRanks3242[[#This Row],[Player]],TableWRCalcPts[PLAYER],0)),"")</f>
        <v/>
      </c>
      <c r="AG135" t="str">
        <f>IFERROR(INDEX(TableWRCalcPts[BYE],MATCH(TableWRRanks3242[[#This Row],[Player]],TableWRCalcPts[PLAYER],0)),"")</f>
        <v/>
      </c>
      <c r="AH135" s="83">
        <f>VLOOKUP(TableWRRanks3242[[#This Row],[Player]],WR!B:O,4,FALSE)</f>
        <v>0</v>
      </c>
      <c r="AI135" s="83">
        <f>VLOOKUP(TableWRRanks3242[[#This Row],[Player]],WR!B:O,5,FALSE)</f>
        <v>0</v>
      </c>
      <c r="AJ135" s="83">
        <f>VLOOKUP(TableWRRanks3242[[#This Row],[Player]],WR!B:O,6,FALSE)</f>
        <v>0</v>
      </c>
      <c r="AK135" s="83">
        <f>VLOOKUP(TableWRRanks3242[[#This Row],[Player]],WR!B:O,7,FALSE)</f>
        <v>0</v>
      </c>
      <c r="AL135" s="83">
        <f>VLOOKUP(TableWRRanks3242[[#This Row],[Player]],WR!B:O,8,FALSE)</f>
        <v>0</v>
      </c>
      <c r="AM135" s="83">
        <f>VLOOKUP(TableWRRanks3242[[#This Row],[Player]],WR!B:O,9,FALSE)</f>
        <v>0</v>
      </c>
      <c r="AN135" s="57">
        <f>VLOOKUP(TableWRRanks3242[[#This Row],[Player]],WR!B:O,13,FALSE)</f>
        <v>0</v>
      </c>
      <c r="AO135" s="125">
        <f>IF(VLOOKUP(TableWRRanks3242[[#This Row],[RK]],'Ranks w Proj'!AD:AO,12,FALSE)&lt;0,0,VLOOKUP(TableWRRanks3242[[#This Row],[RK]],'Ranks w Proj'!AD:AO,12,FALSE))</f>
        <v>0</v>
      </c>
    </row>
    <row r="136" spans="16:41" x14ac:dyDescent="0.2">
      <c r="P136">
        <v>135</v>
      </c>
      <c r="Q136">
        <f>VLOOKUP(TableRBRanks3141[[#This Row],[RK]],Rankings!A:T,8,FALSE)</f>
        <v>0</v>
      </c>
      <c r="R136" t="str">
        <f>IFERROR(INDEX(TableRBCalcPts[TM],MATCH(TableRBRanks3141[[#This Row],[Player]],TableRBCalcPts[PLAYER],0)),"")</f>
        <v/>
      </c>
      <c r="S136" t="str">
        <f>IFERROR(INDEX(TableRBCalcPts[BYE],MATCH(TableRBRanks3141[[#This Row],[Player]],TableRBCalcPts[PLAYER],0)),"")</f>
        <v/>
      </c>
      <c r="T136" s="83">
        <f>VLOOKUP(TableRBRanks3141[[#This Row],[Player]],RB!B:O,4,FALSE)</f>
        <v>0</v>
      </c>
      <c r="U136" s="83">
        <f>VLOOKUP(TableRBRanks3141[[#This Row],[Player]],RB!B:O,5,FALSE)</f>
        <v>0</v>
      </c>
      <c r="V136" s="83">
        <f>VLOOKUP(TableRBRanks3141[[#This Row],[Player]],RB!B:O,6,FALSE)</f>
        <v>0</v>
      </c>
      <c r="W136" s="83">
        <f>VLOOKUP(TableRBRanks3141[[#This Row],[Player]],RB!B:O,7,FALSE)</f>
        <v>0</v>
      </c>
      <c r="X136" s="83">
        <f>VLOOKUP(TableRBRanks3141[[#This Row],[Player]],RB!B:O,8,FALSE)</f>
        <v>0</v>
      </c>
      <c r="Y136" s="83">
        <f>VLOOKUP(TableRBRanks3141[[#This Row],[Player]],RB!B:O,9,FALSE)</f>
        <v>0</v>
      </c>
      <c r="Z136" s="83">
        <f>VLOOKUP(TableRBRanks3141[[#This Row],[Player]],RB!B:O,10,FALSE)</f>
        <v>0</v>
      </c>
      <c r="AA136" s="57">
        <f>VLOOKUP(TableRBRanks3141[[#This Row],[Player]],RB!B:O,14,FALSE)</f>
        <v>0</v>
      </c>
      <c r="AB136" s="125" t="str">
        <f>IF(VLOOKUP(TableRBRanks3141[[#This Row],[RK]],'Ranks w Proj'!$P:$AB,13,FALSE)&lt;0,0,VLOOKUP(TableRBRanks3141[[#This Row],[RK]],'Ranks w Proj'!$P:$AB,13,FALSE))</f>
        <v/>
      </c>
      <c r="AD136">
        <v>135</v>
      </c>
      <c r="AE136">
        <f>VLOOKUP(TableWRRanks3242[[#This Row],[RK]],Rankings!A:T,13,FALSE)</f>
        <v>0</v>
      </c>
      <c r="AF136" t="str">
        <f>IFERROR(INDEX(TableWRCalcPts[TM],MATCH(TableWRRanks3242[[#This Row],[Player]],TableWRCalcPts[PLAYER],0)),"")</f>
        <v/>
      </c>
      <c r="AG136" t="str">
        <f>IFERROR(INDEX(TableWRCalcPts[BYE],MATCH(TableWRRanks3242[[#This Row],[Player]],TableWRCalcPts[PLAYER],0)),"")</f>
        <v/>
      </c>
      <c r="AH136" s="83">
        <f>VLOOKUP(TableWRRanks3242[[#This Row],[Player]],WR!B:O,4,FALSE)</f>
        <v>0</v>
      </c>
      <c r="AI136" s="83">
        <f>VLOOKUP(TableWRRanks3242[[#This Row],[Player]],WR!B:O,5,FALSE)</f>
        <v>0</v>
      </c>
      <c r="AJ136" s="83">
        <f>VLOOKUP(TableWRRanks3242[[#This Row],[Player]],WR!B:O,6,FALSE)</f>
        <v>0</v>
      </c>
      <c r="AK136" s="83">
        <f>VLOOKUP(TableWRRanks3242[[#This Row],[Player]],WR!B:O,7,FALSE)</f>
        <v>0</v>
      </c>
      <c r="AL136" s="83">
        <f>VLOOKUP(TableWRRanks3242[[#This Row],[Player]],WR!B:O,8,FALSE)</f>
        <v>0</v>
      </c>
      <c r="AM136" s="83">
        <f>VLOOKUP(TableWRRanks3242[[#This Row],[Player]],WR!B:O,9,FALSE)</f>
        <v>0</v>
      </c>
      <c r="AN136" s="57">
        <f>VLOOKUP(TableWRRanks3242[[#This Row],[Player]],WR!B:O,13,FALSE)</f>
        <v>0</v>
      </c>
      <c r="AO136" s="125">
        <f>IF(VLOOKUP(TableWRRanks3242[[#This Row],[RK]],'Ranks w Proj'!AD:AO,12,FALSE)&lt;0,0,VLOOKUP(TableWRRanks3242[[#This Row],[RK]],'Ranks w Proj'!AD:AO,12,FALSE))</f>
        <v>0</v>
      </c>
    </row>
    <row r="137" spans="16:41" x14ac:dyDescent="0.2">
      <c r="P137">
        <v>136</v>
      </c>
      <c r="Q137">
        <f>VLOOKUP(TableRBRanks3141[[#This Row],[RK]],Rankings!A:T,8,FALSE)</f>
        <v>0</v>
      </c>
      <c r="R137" t="str">
        <f>IFERROR(INDEX(TableRBCalcPts[TM],MATCH(TableRBRanks3141[[#This Row],[Player]],TableRBCalcPts[PLAYER],0)),"")</f>
        <v/>
      </c>
      <c r="S137" t="str">
        <f>IFERROR(INDEX(TableRBCalcPts[BYE],MATCH(TableRBRanks3141[[#This Row],[Player]],TableRBCalcPts[PLAYER],0)),"")</f>
        <v/>
      </c>
      <c r="T137" s="83">
        <f>VLOOKUP(TableRBRanks3141[[#This Row],[Player]],RB!B:O,4,FALSE)</f>
        <v>0</v>
      </c>
      <c r="U137" s="83">
        <f>VLOOKUP(TableRBRanks3141[[#This Row],[Player]],RB!B:O,5,FALSE)</f>
        <v>0</v>
      </c>
      <c r="V137" s="83">
        <f>VLOOKUP(TableRBRanks3141[[#This Row],[Player]],RB!B:O,6,FALSE)</f>
        <v>0</v>
      </c>
      <c r="W137" s="83">
        <f>VLOOKUP(TableRBRanks3141[[#This Row],[Player]],RB!B:O,7,FALSE)</f>
        <v>0</v>
      </c>
      <c r="X137" s="83">
        <f>VLOOKUP(TableRBRanks3141[[#This Row],[Player]],RB!B:O,8,FALSE)</f>
        <v>0</v>
      </c>
      <c r="Y137" s="83">
        <f>VLOOKUP(TableRBRanks3141[[#This Row],[Player]],RB!B:O,9,FALSE)</f>
        <v>0</v>
      </c>
      <c r="Z137" s="83">
        <f>VLOOKUP(TableRBRanks3141[[#This Row],[Player]],RB!B:O,10,FALSE)</f>
        <v>0</v>
      </c>
      <c r="AA137" s="57">
        <f>VLOOKUP(TableRBRanks3141[[#This Row],[Player]],RB!B:O,14,FALSE)</f>
        <v>0</v>
      </c>
      <c r="AB137" s="125" t="str">
        <f>IF(VLOOKUP(TableRBRanks3141[[#This Row],[RK]],'Ranks w Proj'!$P:$AB,13,FALSE)&lt;0,0,VLOOKUP(TableRBRanks3141[[#This Row],[RK]],'Ranks w Proj'!$P:$AB,13,FALSE))</f>
        <v/>
      </c>
      <c r="AD137">
        <v>136</v>
      </c>
      <c r="AE137">
        <f>VLOOKUP(TableWRRanks3242[[#This Row],[RK]],Rankings!A:T,13,FALSE)</f>
        <v>0</v>
      </c>
      <c r="AF137" t="str">
        <f>IFERROR(INDEX(TableWRCalcPts[TM],MATCH(TableWRRanks3242[[#This Row],[Player]],TableWRCalcPts[PLAYER],0)),"")</f>
        <v/>
      </c>
      <c r="AG137" t="str">
        <f>IFERROR(INDEX(TableWRCalcPts[BYE],MATCH(TableWRRanks3242[[#This Row],[Player]],TableWRCalcPts[PLAYER],0)),"")</f>
        <v/>
      </c>
      <c r="AH137" s="83">
        <f>VLOOKUP(TableWRRanks3242[[#This Row],[Player]],WR!B:O,4,FALSE)</f>
        <v>0</v>
      </c>
      <c r="AI137" s="83">
        <f>VLOOKUP(TableWRRanks3242[[#This Row],[Player]],WR!B:O,5,FALSE)</f>
        <v>0</v>
      </c>
      <c r="AJ137" s="83">
        <f>VLOOKUP(TableWRRanks3242[[#This Row],[Player]],WR!B:O,6,FALSE)</f>
        <v>0</v>
      </c>
      <c r="AK137" s="83">
        <f>VLOOKUP(TableWRRanks3242[[#This Row],[Player]],WR!B:O,7,FALSE)</f>
        <v>0</v>
      </c>
      <c r="AL137" s="83">
        <f>VLOOKUP(TableWRRanks3242[[#This Row],[Player]],WR!B:O,8,FALSE)</f>
        <v>0</v>
      </c>
      <c r="AM137" s="83">
        <f>VLOOKUP(TableWRRanks3242[[#This Row],[Player]],WR!B:O,9,FALSE)</f>
        <v>0</v>
      </c>
      <c r="AN137" s="57">
        <f>VLOOKUP(TableWRRanks3242[[#This Row],[Player]],WR!B:O,13,FALSE)</f>
        <v>0</v>
      </c>
      <c r="AO137" s="125">
        <f>IF(VLOOKUP(TableWRRanks3242[[#This Row],[RK]],'Ranks w Proj'!AD:AO,12,FALSE)&lt;0,0,VLOOKUP(TableWRRanks3242[[#This Row],[RK]],'Ranks w Proj'!AD:AO,12,FALSE))</f>
        <v>0</v>
      </c>
    </row>
    <row r="138" spans="16:41" x14ac:dyDescent="0.2">
      <c r="P138">
        <v>137</v>
      </c>
      <c r="Q138">
        <f>VLOOKUP(TableRBRanks3141[[#This Row],[RK]],Rankings!A:T,8,FALSE)</f>
        <v>0</v>
      </c>
      <c r="R138" t="str">
        <f>IFERROR(INDEX(TableRBCalcPts[TM],MATCH(TableRBRanks3141[[#This Row],[Player]],TableRBCalcPts[PLAYER],0)),"")</f>
        <v/>
      </c>
      <c r="S138" t="str">
        <f>IFERROR(INDEX(TableRBCalcPts[BYE],MATCH(TableRBRanks3141[[#This Row],[Player]],TableRBCalcPts[PLAYER],0)),"")</f>
        <v/>
      </c>
      <c r="T138" s="83">
        <f>VLOOKUP(TableRBRanks3141[[#This Row],[Player]],RB!B:O,4,FALSE)</f>
        <v>0</v>
      </c>
      <c r="U138" s="83">
        <f>VLOOKUP(TableRBRanks3141[[#This Row],[Player]],RB!B:O,5,FALSE)</f>
        <v>0</v>
      </c>
      <c r="V138" s="83">
        <f>VLOOKUP(TableRBRanks3141[[#This Row],[Player]],RB!B:O,6,FALSE)</f>
        <v>0</v>
      </c>
      <c r="W138" s="83">
        <f>VLOOKUP(TableRBRanks3141[[#This Row],[Player]],RB!B:O,7,FALSE)</f>
        <v>0</v>
      </c>
      <c r="X138" s="83">
        <f>VLOOKUP(TableRBRanks3141[[#This Row],[Player]],RB!B:O,8,FALSE)</f>
        <v>0</v>
      </c>
      <c r="Y138" s="83">
        <f>VLOOKUP(TableRBRanks3141[[#This Row],[Player]],RB!B:O,9,FALSE)</f>
        <v>0</v>
      </c>
      <c r="Z138" s="83">
        <f>VLOOKUP(TableRBRanks3141[[#This Row],[Player]],RB!B:O,10,FALSE)</f>
        <v>0</v>
      </c>
      <c r="AA138" s="57">
        <f>VLOOKUP(TableRBRanks3141[[#This Row],[Player]],RB!B:O,14,FALSE)</f>
        <v>0</v>
      </c>
      <c r="AB138" s="125" t="str">
        <f>IF(VLOOKUP(TableRBRanks3141[[#This Row],[RK]],'Ranks w Proj'!$P:$AB,13,FALSE)&lt;0,0,VLOOKUP(TableRBRanks3141[[#This Row],[RK]],'Ranks w Proj'!$P:$AB,13,FALSE))</f>
        <v/>
      </c>
      <c r="AD138">
        <v>137</v>
      </c>
      <c r="AE138">
        <f>VLOOKUP(TableWRRanks3242[[#This Row],[RK]],Rankings!A:T,13,FALSE)</f>
        <v>0</v>
      </c>
      <c r="AF138" t="str">
        <f>IFERROR(INDEX(TableWRCalcPts[TM],MATCH(TableWRRanks3242[[#This Row],[Player]],TableWRCalcPts[PLAYER],0)),"")</f>
        <v/>
      </c>
      <c r="AG138" t="str">
        <f>IFERROR(INDEX(TableWRCalcPts[BYE],MATCH(TableWRRanks3242[[#This Row],[Player]],TableWRCalcPts[PLAYER],0)),"")</f>
        <v/>
      </c>
      <c r="AH138" s="83">
        <f>VLOOKUP(TableWRRanks3242[[#This Row],[Player]],WR!B:O,4,FALSE)</f>
        <v>0</v>
      </c>
      <c r="AI138" s="83">
        <f>VLOOKUP(TableWRRanks3242[[#This Row],[Player]],WR!B:O,5,FALSE)</f>
        <v>0</v>
      </c>
      <c r="AJ138" s="83">
        <f>VLOOKUP(TableWRRanks3242[[#This Row],[Player]],WR!B:O,6,FALSE)</f>
        <v>0</v>
      </c>
      <c r="AK138" s="83">
        <f>VLOOKUP(TableWRRanks3242[[#This Row],[Player]],WR!B:O,7,FALSE)</f>
        <v>0</v>
      </c>
      <c r="AL138" s="83">
        <f>VLOOKUP(TableWRRanks3242[[#This Row],[Player]],WR!B:O,8,FALSE)</f>
        <v>0</v>
      </c>
      <c r="AM138" s="83">
        <f>VLOOKUP(TableWRRanks3242[[#This Row],[Player]],WR!B:O,9,FALSE)</f>
        <v>0</v>
      </c>
      <c r="AN138" s="57">
        <f>VLOOKUP(TableWRRanks3242[[#This Row],[Player]],WR!B:O,13,FALSE)</f>
        <v>0</v>
      </c>
      <c r="AO138" s="125">
        <f>IF(VLOOKUP(TableWRRanks3242[[#This Row],[RK]],'Ranks w Proj'!AD:AO,12,FALSE)&lt;0,0,VLOOKUP(TableWRRanks3242[[#This Row],[RK]],'Ranks w Proj'!AD:AO,12,FALSE))</f>
        <v>0</v>
      </c>
    </row>
    <row r="139" spans="16:41" x14ac:dyDescent="0.2">
      <c r="P139">
        <v>138</v>
      </c>
      <c r="Q139">
        <f>VLOOKUP(TableRBRanks3141[[#This Row],[RK]],Rankings!A:T,8,FALSE)</f>
        <v>0</v>
      </c>
      <c r="R139" t="str">
        <f>IFERROR(INDEX(TableRBCalcPts[TM],MATCH(TableRBRanks3141[[#This Row],[Player]],TableRBCalcPts[PLAYER],0)),"")</f>
        <v/>
      </c>
      <c r="S139" t="str">
        <f>IFERROR(INDEX(TableRBCalcPts[BYE],MATCH(TableRBRanks3141[[#This Row],[Player]],TableRBCalcPts[PLAYER],0)),"")</f>
        <v/>
      </c>
      <c r="T139" s="83">
        <f>VLOOKUP(TableRBRanks3141[[#This Row],[Player]],RB!B:O,4,FALSE)</f>
        <v>0</v>
      </c>
      <c r="U139" s="83">
        <f>VLOOKUP(TableRBRanks3141[[#This Row],[Player]],RB!B:O,5,FALSE)</f>
        <v>0</v>
      </c>
      <c r="V139" s="83">
        <f>VLOOKUP(TableRBRanks3141[[#This Row],[Player]],RB!B:O,6,FALSE)</f>
        <v>0</v>
      </c>
      <c r="W139" s="83">
        <f>VLOOKUP(TableRBRanks3141[[#This Row],[Player]],RB!B:O,7,FALSE)</f>
        <v>0</v>
      </c>
      <c r="X139" s="83">
        <f>VLOOKUP(TableRBRanks3141[[#This Row],[Player]],RB!B:O,8,FALSE)</f>
        <v>0</v>
      </c>
      <c r="Y139" s="83">
        <f>VLOOKUP(TableRBRanks3141[[#This Row],[Player]],RB!B:O,9,FALSE)</f>
        <v>0</v>
      </c>
      <c r="Z139" s="83">
        <f>VLOOKUP(TableRBRanks3141[[#This Row],[Player]],RB!B:O,10,FALSE)</f>
        <v>0</v>
      </c>
      <c r="AA139" s="57">
        <f>VLOOKUP(TableRBRanks3141[[#This Row],[Player]],RB!B:O,14,FALSE)</f>
        <v>0</v>
      </c>
      <c r="AB139" s="125" t="str">
        <f>IF(VLOOKUP(TableRBRanks3141[[#This Row],[RK]],'Ranks w Proj'!$P:$AB,13,FALSE)&lt;0,0,VLOOKUP(TableRBRanks3141[[#This Row],[RK]],'Ranks w Proj'!$P:$AB,13,FALSE))</f>
        <v/>
      </c>
      <c r="AD139">
        <v>138</v>
      </c>
      <c r="AE139">
        <f>VLOOKUP(TableWRRanks3242[[#This Row],[RK]],Rankings!A:T,13,FALSE)</f>
        <v>0</v>
      </c>
      <c r="AF139" t="str">
        <f>IFERROR(INDEX(TableWRCalcPts[TM],MATCH(TableWRRanks3242[[#This Row],[Player]],TableWRCalcPts[PLAYER],0)),"")</f>
        <v/>
      </c>
      <c r="AG139" t="str">
        <f>IFERROR(INDEX(TableWRCalcPts[BYE],MATCH(TableWRRanks3242[[#This Row],[Player]],TableWRCalcPts[PLAYER],0)),"")</f>
        <v/>
      </c>
      <c r="AH139" s="83">
        <f>VLOOKUP(TableWRRanks3242[[#This Row],[Player]],WR!B:O,4,FALSE)</f>
        <v>0</v>
      </c>
      <c r="AI139" s="83">
        <f>VLOOKUP(TableWRRanks3242[[#This Row],[Player]],WR!B:O,5,FALSE)</f>
        <v>0</v>
      </c>
      <c r="AJ139" s="83">
        <f>VLOOKUP(TableWRRanks3242[[#This Row],[Player]],WR!B:O,6,FALSE)</f>
        <v>0</v>
      </c>
      <c r="AK139" s="83">
        <f>VLOOKUP(TableWRRanks3242[[#This Row],[Player]],WR!B:O,7,FALSE)</f>
        <v>0</v>
      </c>
      <c r="AL139" s="83">
        <f>VLOOKUP(TableWRRanks3242[[#This Row],[Player]],WR!B:O,8,FALSE)</f>
        <v>0</v>
      </c>
      <c r="AM139" s="83">
        <f>VLOOKUP(TableWRRanks3242[[#This Row],[Player]],WR!B:O,9,FALSE)</f>
        <v>0</v>
      </c>
      <c r="AN139" s="57">
        <f>VLOOKUP(TableWRRanks3242[[#This Row],[Player]],WR!B:O,13,FALSE)</f>
        <v>0</v>
      </c>
      <c r="AO139" s="125">
        <f>IF(VLOOKUP(TableWRRanks3242[[#This Row],[RK]],'Ranks w Proj'!AD:AO,12,FALSE)&lt;0,0,VLOOKUP(TableWRRanks3242[[#This Row],[RK]],'Ranks w Proj'!AD:AO,12,FALSE))</f>
        <v>0</v>
      </c>
    </row>
    <row r="140" spans="16:41" x14ac:dyDescent="0.2">
      <c r="P140">
        <v>139</v>
      </c>
      <c r="Q140">
        <f>VLOOKUP(TableRBRanks3141[[#This Row],[RK]],Rankings!A:T,8,FALSE)</f>
        <v>0</v>
      </c>
      <c r="R140" t="str">
        <f>IFERROR(INDEX(TableRBCalcPts[TM],MATCH(TableRBRanks3141[[#This Row],[Player]],TableRBCalcPts[PLAYER],0)),"")</f>
        <v/>
      </c>
      <c r="S140" t="str">
        <f>IFERROR(INDEX(TableRBCalcPts[BYE],MATCH(TableRBRanks3141[[#This Row],[Player]],TableRBCalcPts[PLAYER],0)),"")</f>
        <v/>
      </c>
      <c r="T140" s="83">
        <f>VLOOKUP(TableRBRanks3141[[#This Row],[Player]],RB!B:O,4,FALSE)</f>
        <v>0</v>
      </c>
      <c r="U140" s="83">
        <f>VLOOKUP(TableRBRanks3141[[#This Row],[Player]],RB!B:O,5,FALSE)</f>
        <v>0</v>
      </c>
      <c r="V140" s="83">
        <f>VLOOKUP(TableRBRanks3141[[#This Row],[Player]],RB!B:O,6,FALSE)</f>
        <v>0</v>
      </c>
      <c r="W140" s="83">
        <f>VLOOKUP(TableRBRanks3141[[#This Row],[Player]],RB!B:O,7,FALSE)</f>
        <v>0</v>
      </c>
      <c r="X140" s="83">
        <f>VLOOKUP(TableRBRanks3141[[#This Row],[Player]],RB!B:O,8,FALSE)</f>
        <v>0</v>
      </c>
      <c r="Y140" s="83">
        <f>VLOOKUP(TableRBRanks3141[[#This Row],[Player]],RB!B:O,9,FALSE)</f>
        <v>0</v>
      </c>
      <c r="Z140" s="83">
        <f>VLOOKUP(TableRBRanks3141[[#This Row],[Player]],RB!B:O,10,FALSE)</f>
        <v>0</v>
      </c>
      <c r="AA140" s="57">
        <f>VLOOKUP(TableRBRanks3141[[#This Row],[Player]],RB!B:O,14,FALSE)</f>
        <v>0</v>
      </c>
      <c r="AB140" s="125" t="str">
        <f>IF(VLOOKUP(TableRBRanks3141[[#This Row],[RK]],'Ranks w Proj'!$P:$AB,13,FALSE)&lt;0,0,VLOOKUP(TableRBRanks3141[[#This Row],[RK]],'Ranks w Proj'!$P:$AB,13,FALSE))</f>
        <v/>
      </c>
      <c r="AD140">
        <v>139</v>
      </c>
      <c r="AE140">
        <f>VLOOKUP(TableWRRanks3242[[#This Row],[RK]],Rankings!A:T,13,FALSE)</f>
        <v>0</v>
      </c>
      <c r="AF140" t="str">
        <f>IFERROR(INDEX(TableWRCalcPts[TM],MATCH(TableWRRanks3242[[#This Row],[Player]],TableWRCalcPts[PLAYER],0)),"")</f>
        <v/>
      </c>
      <c r="AG140" t="str">
        <f>IFERROR(INDEX(TableWRCalcPts[BYE],MATCH(TableWRRanks3242[[#This Row],[Player]],TableWRCalcPts[PLAYER],0)),"")</f>
        <v/>
      </c>
      <c r="AH140" s="83">
        <f>VLOOKUP(TableWRRanks3242[[#This Row],[Player]],WR!B:O,4,FALSE)</f>
        <v>0</v>
      </c>
      <c r="AI140" s="83">
        <f>VLOOKUP(TableWRRanks3242[[#This Row],[Player]],WR!B:O,5,FALSE)</f>
        <v>0</v>
      </c>
      <c r="AJ140" s="83">
        <f>VLOOKUP(TableWRRanks3242[[#This Row],[Player]],WR!B:O,6,FALSE)</f>
        <v>0</v>
      </c>
      <c r="AK140" s="83">
        <f>VLOOKUP(TableWRRanks3242[[#This Row],[Player]],WR!B:O,7,FALSE)</f>
        <v>0</v>
      </c>
      <c r="AL140" s="83">
        <f>VLOOKUP(TableWRRanks3242[[#This Row],[Player]],WR!B:O,8,FALSE)</f>
        <v>0</v>
      </c>
      <c r="AM140" s="83">
        <f>VLOOKUP(TableWRRanks3242[[#This Row],[Player]],WR!B:O,9,FALSE)</f>
        <v>0</v>
      </c>
      <c r="AN140" s="57">
        <f>VLOOKUP(TableWRRanks3242[[#This Row],[Player]],WR!B:O,13,FALSE)</f>
        <v>0</v>
      </c>
      <c r="AO140" s="125">
        <f>IF(VLOOKUP(TableWRRanks3242[[#This Row],[RK]],'Ranks w Proj'!AD:AO,12,FALSE)&lt;0,0,VLOOKUP(TableWRRanks3242[[#This Row],[RK]],'Ranks w Proj'!AD:AO,12,FALSE))</f>
        <v>0</v>
      </c>
    </row>
    <row r="141" spans="16:41" x14ac:dyDescent="0.2">
      <c r="P141">
        <v>140</v>
      </c>
      <c r="Q141">
        <f>VLOOKUP(TableRBRanks3141[[#This Row],[RK]],Rankings!A:T,8,FALSE)</f>
        <v>0</v>
      </c>
      <c r="R141" t="str">
        <f>IFERROR(INDEX(TableRBCalcPts[TM],MATCH(TableRBRanks3141[[#This Row],[Player]],TableRBCalcPts[PLAYER],0)),"")</f>
        <v/>
      </c>
      <c r="S141" t="str">
        <f>IFERROR(INDEX(TableRBCalcPts[BYE],MATCH(TableRBRanks3141[[#This Row],[Player]],TableRBCalcPts[PLAYER],0)),"")</f>
        <v/>
      </c>
      <c r="T141" s="83">
        <f>VLOOKUP(TableRBRanks3141[[#This Row],[Player]],RB!B:O,4,FALSE)</f>
        <v>0</v>
      </c>
      <c r="U141" s="83">
        <f>VLOOKUP(TableRBRanks3141[[#This Row],[Player]],RB!B:O,5,FALSE)</f>
        <v>0</v>
      </c>
      <c r="V141" s="83">
        <f>VLOOKUP(TableRBRanks3141[[#This Row],[Player]],RB!B:O,6,FALSE)</f>
        <v>0</v>
      </c>
      <c r="W141" s="83">
        <f>VLOOKUP(TableRBRanks3141[[#This Row],[Player]],RB!B:O,7,FALSE)</f>
        <v>0</v>
      </c>
      <c r="X141" s="83">
        <f>VLOOKUP(TableRBRanks3141[[#This Row],[Player]],RB!B:O,8,FALSE)</f>
        <v>0</v>
      </c>
      <c r="Y141" s="83">
        <f>VLOOKUP(TableRBRanks3141[[#This Row],[Player]],RB!B:O,9,FALSE)</f>
        <v>0</v>
      </c>
      <c r="Z141" s="83">
        <f>VLOOKUP(TableRBRanks3141[[#This Row],[Player]],RB!B:O,10,FALSE)</f>
        <v>0</v>
      </c>
      <c r="AA141" s="57">
        <f>VLOOKUP(TableRBRanks3141[[#This Row],[Player]],RB!B:O,14,FALSE)</f>
        <v>0</v>
      </c>
      <c r="AB141" s="125" t="str">
        <f>IF(VLOOKUP(TableRBRanks3141[[#This Row],[RK]],'Ranks w Proj'!$P:$AB,13,FALSE)&lt;0,0,VLOOKUP(TableRBRanks3141[[#This Row],[RK]],'Ranks w Proj'!$P:$AB,13,FALSE))</f>
        <v/>
      </c>
      <c r="AD141">
        <v>140</v>
      </c>
      <c r="AE141">
        <f>VLOOKUP(TableWRRanks3242[[#This Row],[RK]],Rankings!A:T,13,FALSE)</f>
        <v>0</v>
      </c>
      <c r="AF141" t="str">
        <f>IFERROR(INDEX(TableWRCalcPts[TM],MATCH(TableWRRanks3242[[#This Row],[Player]],TableWRCalcPts[PLAYER],0)),"")</f>
        <v/>
      </c>
      <c r="AG141" t="str">
        <f>IFERROR(INDEX(TableWRCalcPts[BYE],MATCH(TableWRRanks3242[[#This Row],[Player]],TableWRCalcPts[PLAYER],0)),"")</f>
        <v/>
      </c>
      <c r="AH141" s="83">
        <f>VLOOKUP(TableWRRanks3242[[#This Row],[Player]],WR!B:O,4,FALSE)</f>
        <v>0</v>
      </c>
      <c r="AI141" s="83">
        <f>VLOOKUP(TableWRRanks3242[[#This Row],[Player]],WR!B:O,5,FALSE)</f>
        <v>0</v>
      </c>
      <c r="AJ141" s="83">
        <f>VLOOKUP(TableWRRanks3242[[#This Row],[Player]],WR!B:O,6,FALSE)</f>
        <v>0</v>
      </c>
      <c r="AK141" s="83">
        <f>VLOOKUP(TableWRRanks3242[[#This Row],[Player]],WR!B:O,7,FALSE)</f>
        <v>0</v>
      </c>
      <c r="AL141" s="83">
        <f>VLOOKUP(TableWRRanks3242[[#This Row],[Player]],WR!B:O,8,FALSE)</f>
        <v>0</v>
      </c>
      <c r="AM141" s="83">
        <f>VLOOKUP(TableWRRanks3242[[#This Row],[Player]],WR!B:O,9,FALSE)</f>
        <v>0</v>
      </c>
      <c r="AN141" s="57">
        <f>VLOOKUP(TableWRRanks3242[[#This Row],[Player]],WR!B:O,13,FALSE)</f>
        <v>0</v>
      </c>
      <c r="AO141" s="125">
        <f>IF(VLOOKUP(TableWRRanks3242[[#This Row],[RK]],'Ranks w Proj'!AD:AO,12,FALSE)&lt;0,0,VLOOKUP(TableWRRanks3242[[#This Row],[RK]],'Ranks w Proj'!AD:AO,12,FALSE))</f>
        <v>0</v>
      </c>
    </row>
    <row r="142" spans="16:41" x14ac:dyDescent="0.2">
      <c r="P142">
        <v>141</v>
      </c>
      <c r="Q142">
        <f>VLOOKUP(TableRBRanks3141[[#This Row],[RK]],Rankings!A:T,8,FALSE)</f>
        <v>0</v>
      </c>
      <c r="R142" t="str">
        <f>IFERROR(INDEX(TableRBCalcPts[TM],MATCH(TableRBRanks3141[[#This Row],[Player]],TableRBCalcPts[PLAYER],0)),"")</f>
        <v/>
      </c>
      <c r="S142" t="str">
        <f>IFERROR(INDEX(TableRBCalcPts[BYE],MATCH(TableRBRanks3141[[#This Row],[Player]],TableRBCalcPts[PLAYER],0)),"")</f>
        <v/>
      </c>
      <c r="T142" s="83">
        <f>VLOOKUP(TableRBRanks3141[[#This Row],[Player]],RB!B:O,4,FALSE)</f>
        <v>0</v>
      </c>
      <c r="U142" s="83">
        <f>VLOOKUP(TableRBRanks3141[[#This Row],[Player]],RB!B:O,5,FALSE)</f>
        <v>0</v>
      </c>
      <c r="V142" s="83">
        <f>VLOOKUP(TableRBRanks3141[[#This Row],[Player]],RB!B:O,6,FALSE)</f>
        <v>0</v>
      </c>
      <c r="W142" s="83">
        <f>VLOOKUP(TableRBRanks3141[[#This Row],[Player]],RB!B:O,7,FALSE)</f>
        <v>0</v>
      </c>
      <c r="X142" s="83">
        <f>VLOOKUP(TableRBRanks3141[[#This Row],[Player]],RB!B:O,8,FALSE)</f>
        <v>0</v>
      </c>
      <c r="Y142" s="83">
        <f>VLOOKUP(TableRBRanks3141[[#This Row],[Player]],RB!B:O,9,FALSE)</f>
        <v>0</v>
      </c>
      <c r="Z142" s="83">
        <f>VLOOKUP(TableRBRanks3141[[#This Row],[Player]],RB!B:O,10,FALSE)</f>
        <v>0</v>
      </c>
      <c r="AA142" s="57">
        <f>VLOOKUP(TableRBRanks3141[[#This Row],[Player]],RB!B:O,14,FALSE)</f>
        <v>0</v>
      </c>
      <c r="AB142" s="125" t="str">
        <f>IF(VLOOKUP(TableRBRanks3141[[#This Row],[RK]],'Ranks w Proj'!$P:$AB,13,FALSE)&lt;0,0,VLOOKUP(TableRBRanks3141[[#This Row],[RK]],'Ranks w Proj'!$P:$AB,13,FALSE))</f>
        <v/>
      </c>
      <c r="AD142">
        <v>141</v>
      </c>
      <c r="AE142">
        <f>VLOOKUP(TableWRRanks3242[[#This Row],[RK]],Rankings!A:T,13,FALSE)</f>
        <v>0</v>
      </c>
      <c r="AF142" t="str">
        <f>IFERROR(INDEX(TableWRCalcPts[TM],MATCH(TableWRRanks3242[[#This Row],[Player]],TableWRCalcPts[PLAYER],0)),"")</f>
        <v/>
      </c>
      <c r="AG142" t="str">
        <f>IFERROR(INDEX(TableWRCalcPts[BYE],MATCH(TableWRRanks3242[[#This Row],[Player]],TableWRCalcPts[PLAYER],0)),"")</f>
        <v/>
      </c>
      <c r="AH142" s="83">
        <f>VLOOKUP(TableWRRanks3242[[#This Row],[Player]],WR!B:O,4,FALSE)</f>
        <v>0</v>
      </c>
      <c r="AI142" s="83">
        <f>VLOOKUP(TableWRRanks3242[[#This Row],[Player]],WR!B:O,5,FALSE)</f>
        <v>0</v>
      </c>
      <c r="AJ142" s="83">
        <f>VLOOKUP(TableWRRanks3242[[#This Row],[Player]],WR!B:O,6,FALSE)</f>
        <v>0</v>
      </c>
      <c r="AK142" s="83">
        <f>VLOOKUP(TableWRRanks3242[[#This Row],[Player]],WR!B:O,7,FALSE)</f>
        <v>0</v>
      </c>
      <c r="AL142" s="83">
        <f>VLOOKUP(TableWRRanks3242[[#This Row],[Player]],WR!B:O,8,FALSE)</f>
        <v>0</v>
      </c>
      <c r="AM142" s="83">
        <f>VLOOKUP(TableWRRanks3242[[#This Row],[Player]],WR!B:O,9,FALSE)</f>
        <v>0</v>
      </c>
      <c r="AN142" s="57">
        <f>VLOOKUP(TableWRRanks3242[[#This Row],[Player]],WR!B:O,13,FALSE)</f>
        <v>0</v>
      </c>
      <c r="AO142" s="125">
        <f>IF(VLOOKUP(TableWRRanks3242[[#This Row],[RK]],'Ranks w Proj'!AD:AO,12,FALSE)&lt;0,0,VLOOKUP(TableWRRanks3242[[#This Row],[RK]],'Ranks w Proj'!AD:AO,12,FALSE))</f>
        <v>0</v>
      </c>
    </row>
    <row r="143" spans="16:41" x14ac:dyDescent="0.2">
      <c r="P143">
        <v>142</v>
      </c>
      <c r="Q143">
        <f>VLOOKUP(TableRBRanks3141[[#This Row],[RK]],Rankings!A:T,8,FALSE)</f>
        <v>0</v>
      </c>
      <c r="R143" t="str">
        <f>IFERROR(INDEX(TableRBCalcPts[TM],MATCH(TableRBRanks3141[[#This Row],[Player]],TableRBCalcPts[PLAYER],0)),"")</f>
        <v/>
      </c>
      <c r="S143" t="str">
        <f>IFERROR(INDEX(TableRBCalcPts[BYE],MATCH(TableRBRanks3141[[#This Row],[Player]],TableRBCalcPts[PLAYER],0)),"")</f>
        <v/>
      </c>
      <c r="T143" s="83">
        <f>VLOOKUP(TableRBRanks3141[[#This Row],[Player]],RB!B:O,4,FALSE)</f>
        <v>0</v>
      </c>
      <c r="U143" s="83">
        <f>VLOOKUP(TableRBRanks3141[[#This Row],[Player]],RB!B:O,5,FALSE)</f>
        <v>0</v>
      </c>
      <c r="V143" s="83">
        <f>VLOOKUP(TableRBRanks3141[[#This Row],[Player]],RB!B:O,6,FALSE)</f>
        <v>0</v>
      </c>
      <c r="W143" s="83">
        <f>VLOOKUP(TableRBRanks3141[[#This Row],[Player]],RB!B:O,7,FALSE)</f>
        <v>0</v>
      </c>
      <c r="X143" s="83">
        <f>VLOOKUP(TableRBRanks3141[[#This Row],[Player]],RB!B:O,8,FALSE)</f>
        <v>0</v>
      </c>
      <c r="Y143" s="83">
        <f>VLOOKUP(TableRBRanks3141[[#This Row],[Player]],RB!B:O,9,FALSE)</f>
        <v>0</v>
      </c>
      <c r="Z143" s="83">
        <f>VLOOKUP(TableRBRanks3141[[#This Row],[Player]],RB!B:O,10,FALSE)</f>
        <v>0</v>
      </c>
      <c r="AA143" s="57">
        <f>VLOOKUP(TableRBRanks3141[[#This Row],[Player]],RB!B:O,14,FALSE)</f>
        <v>0</v>
      </c>
      <c r="AB143" s="125" t="str">
        <f>IF(VLOOKUP(TableRBRanks3141[[#This Row],[RK]],'Ranks w Proj'!$P:$AB,13,FALSE)&lt;0,0,VLOOKUP(TableRBRanks3141[[#This Row],[RK]],'Ranks w Proj'!$P:$AB,13,FALSE))</f>
        <v/>
      </c>
      <c r="AD143">
        <v>142</v>
      </c>
      <c r="AE143">
        <f>VLOOKUP(TableWRRanks3242[[#This Row],[RK]],Rankings!A:T,13,FALSE)</f>
        <v>0</v>
      </c>
      <c r="AF143" t="str">
        <f>IFERROR(INDEX(TableWRCalcPts[TM],MATCH(TableWRRanks3242[[#This Row],[Player]],TableWRCalcPts[PLAYER],0)),"")</f>
        <v/>
      </c>
      <c r="AG143" t="str">
        <f>IFERROR(INDEX(TableWRCalcPts[BYE],MATCH(TableWRRanks3242[[#This Row],[Player]],TableWRCalcPts[PLAYER],0)),"")</f>
        <v/>
      </c>
      <c r="AH143" s="83">
        <f>VLOOKUP(TableWRRanks3242[[#This Row],[Player]],WR!B:O,4,FALSE)</f>
        <v>0</v>
      </c>
      <c r="AI143" s="83">
        <f>VLOOKUP(TableWRRanks3242[[#This Row],[Player]],WR!B:O,5,FALSE)</f>
        <v>0</v>
      </c>
      <c r="AJ143" s="83">
        <f>VLOOKUP(TableWRRanks3242[[#This Row],[Player]],WR!B:O,6,FALSE)</f>
        <v>0</v>
      </c>
      <c r="AK143" s="83">
        <f>VLOOKUP(TableWRRanks3242[[#This Row],[Player]],WR!B:O,7,FALSE)</f>
        <v>0</v>
      </c>
      <c r="AL143" s="83">
        <f>VLOOKUP(TableWRRanks3242[[#This Row],[Player]],WR!B:O,8,FALSE)</f>
        <v>0</v>
      </c>
      <c r="AM143" s="83">
        <f>VLOOKUP(TableWRRanks3242[[#This Row],[Player]],WR!B:O,9,FALSE)</f>
        <v>0</v>
      </c>
      <c r="AN143" s="57">
        <f>VLOOKUP(TableWRRanks3242[[#This Row],[Player]],WR!B:O,13,FALSE)</f>
        <v>0</v>
      </c>
      <c r="AO143" s="125">
        <f>IF(VLOOKUP(TableWRRanks3242[[#This Row],[RK]],'Ranks w Proj'!AD:AO,12,FALSE)&lt;0,0,VLOOKUP(TableWRRanks3242[[#This Row],[RK]],'Ranks w Proj'!AD:AO,12,FALSE))</f>
        <v>0</v>
      </c>
    </row>
    <row r="144" spans="16:41" x14ac:dyDescent="0.2">
      <c r="P144">
        <v>143</v>
      </c>
      <c r="Q144">
        <f>VLOOKUP(TableRBRanks3141[[#This Row],[RK]],Rankings!A:T,8,FALSE)</f>
        <v>0</v>
      </c>
      <c r="R144" t="str">
        <f>IFERROR(INDEX(TableRBCalcPts[TM],MATCH(TableRBRanks3141[[#This Row],[Player]],TableRBCalcPts[PLAYER],0)),"")</f>
        <v/>
      </c>
      <c r="S144" t="str">
        <f>IFERROR(INDEX(TableRBCalcPts[BYE],MATCH(TableRBRanks3141[[#This Row],[Player]],TableRBCalcPts[PLAYER],0)),"")</f>
        <v/>
      </c>
      <c r="T144" s="83">
        <f>VLOOKUP(TableRBRanks3141[[#This Row],[Player]],RB!B:O,4,FALSE)</f>
        <v>0</v>
      </c>
      <c r="U144" s="83">
        <f>VLOOKUP(TableRBRanks3141[[#This Row],[Player]],RB!B:O,5,FALSE)</f>
        <v>0</v>
      </c>
      <c r="V144" s="83">
        <f>VLOOKUP(TableRBRanks3141[[#This Row],[Player]],RB!B:O,6,FALSE)</f>
        <v>0</v>
      </c>
      <c r="W144" s="83">
        <f>VLOOKUP(TableRBRanks3141[[#This Row],[Player]],RB!B:O,7,FALSE)</f>
        <v>0</v>
      </c>
      <c r="X144" s="83">
        <f>VLOOKUP(TableRBRanks3141[[#This Row],[Player]],RB!B:O,8,FALSE)</f>
        <v>0</v>
      </c>
      <c r="Y144" s="83">
        <f>VLOOKUP(TableRBRanks3141[[#This Row],[Player]],RB!B:O,9,FALSE)</f>
        <v>0</v>
      </c>
      <c r="Z144" s="83">
        <f>VLOOKUP(TableRBRanks3141[[#This Row],[Player]],RB!B:O,10,FALSE)</f>
        <v>0</v>
      </c>
      <c r="AA144" s="57">
        <f>VLOOKUP(TableRBRanks3141[[#This Row],[Player]],RB!B:O,14,FALSE)</f>
        <v>0</v>
      </c>
      <c r="AB144" s="125" t="str">
        <f>IF(VLOOKUP(TableRBRanks3141[[#This Row],[RK]],'Ranks w Proj'!$P:$AB,13,FALSE)&lt;0,0,VLOOKUP(TableRBRanks3141[[#This Row],[RK]],'Ranks w Proj'!$P:$AB,13,FALSE))</f>
        <v/>
      </c>
      <c r="AD144">
        <v>143</v>
      </c>
      <c r="AE144">
        <f>VLOOKUP(TableWRRanks3242[[#This Row],[RK]],Rankings!A:T,13,FALSE)</f>
        <v>0</v>
      </c>
      <c r="AF144" t="str">
        <f>IFERROR(INDEX(TableWRCalcPts[TM],MATCH(TableWRRanks3242[[#This Row],[Player]],TableWRCalcPts[PLAYER],0)),"")</f>
        <v/>
      </c>
      <c r="AG144" t="str">
        <f>IFERROR(INDEX(TableWRCalcPts[BYE],MATCH(TableWRRanks3242[[#This Row],[Player]],TableWRCalcPts[PLAYER],0)),"")</f>
        <v/>
      </c>
      <c r="AH144" s="83">
        <f>VLOOKUP(TableWRRanks3242[[#This Row],[Player]],WR!B:O,4,FALSE)</f>
        <v>0</v>
      </c>
      <c r="AI144" s="83">
        <f>VLOOKUP(TableWRRanks3242[[#This Row],[Player]],WR!B:O,5,FALSE)</f>
        <v>0</v>
      </c>
      <c r="AJ144" s="83">
        <f>VLOOKUP(TableWRRanks3242[[#This Row],[Player]],WR!B:O,6,FALSE)</f>
        <v>0</v>
      </c>
      <c r="AK144" s="83">
        <f>VLOOKUP(TableWRRanks3242[[#This Row],[Player]],WR!B:O,7,FALSE)</f>
        <v>0</v>
      </c>
      <c r="AL144" s="83">
        <f>VLOOKUP(TableWRRanks3242[[#This Row],[Player]],WR!B:O,8,FALSE)</f>
        <v>0</v>
      </c>
      <c r="AM144" s="83">
        <f>VLOOKUP(TableWRRanks3242[[#This Row],[Player]],WR!B:O,9,FALSE)</f>
        <v>0</v>
      </c>
      <c r="AN144" s="57">
        <f>VLOOKUP(TableWRRanks3242[[#This Row],[Player]],WR!B:O,13,FALSE)</f>
        <v>0</v>
      </c>
      <c r="AO144" s="125">
        <f>IF(VLOOKUP(TableWRRanks3242[[#This Row],[RK]],'Ranks w Proj'!AD:AO,12,FALSE)&lt;0,0,VLOOKUP(TableWRRanks3242[[#This Row],[RK]],'Ranks w Proj'!AD:AO,12,FALSE))</f>
        <v>0</v>
      </c>
    </row>
    <row r="145" spans="16:41" x14ac:dyDescent="0.2">
      <c r="P145">
        <v>144</v>
      </c>
      <c r="Q145">
        <f>VLOOKUP(TableRBRanks3141[[#This Row],[RK]],Rankings!A:T,8,FALSE)</f>
        <v>0</v>
      </c>
      <c r="R145" t="str">
        <f>IFERROR(INDEX(TableRBCalcPts[TM],MATCH(TableRBRanks3141[[#This Row],[Player]],TableRBCalcPts[PLAYER],0)),"")</f>
        <v/>
      </c>
      <c r="S145" t="str">
        <f>IFERROR(INDEX(TableRBCalcPts[BYE],MATCH(TableRBRanks3141[[#This Row],[Player]],TableRBCalcPts[PLAYER],0)),"")</f>
        <v/>
      </c>
      <c r="T145" s="83">
        <f>VLOOKUP(TableRBRanks3141[[#This Row],[Player]],RB!B:O,4,FALSE)</f>
        <v>0</v>
      </c>
      <c r="U145" s="83">
        <f>VLOOKUP(TableRBRanks3141[[#This Row],[Player]],RB!B:O,5,FALSE)</f>
        <v>0</v>
      </c>
      <c r="V145" s="83">
        <f>VLOOKUP(TableRBRanks3141[[#This Row],[Player]],RB!B:O,6,FALSE)</f>
        <v>0</v>
      </c>
      <c r="W145" s="83">
        <f>VLOOKUP(TableRBRanks3141[[#This Row],[Player]],RB!B:O,7,FALSE)</f>
        <v>0</v>
      </c>
      <c r="X145" s="83">
        <f>VLOOKUP(TableRBRanks3141[[#This Row],[Player]],RB!B:O,8,FALSE)</f>
        <v>0</v>
      </c>
      <c r="Y145" s="83">
        <f>VLOOKUP(TableRBRanks3141[[#This Row],[Player]],RB!B:O,9,FALSE)</f>
        <v>0</v>
      </c>
      <c r="Z145" s="83">
        <f>VLOOKUP(TableRBRanks3141[[#This Row],[Player]],RB!B:O,10,FALSE)</f>
        <v>0</v>
      </c>
      <c r="AA145" s="57">
        <f>VLOOKUP(TableRBRanks3141[[#This Row],[Player]],RB!B:O,14,FALSE)</f>
        <v>0</v>
      </c>
      <c r="AB145" s="125" t="str">
        <f>IF(VLOOKUP(TableRBRanks3141[[#This Row],[RK]],'Ranks w Proj'!$P:$AB,13,FALSE)&lt;0,0,VLOOKUP(TableRBRanks3141[[#This Row],[RK]],'Ranks w Proj'!$P:$AB,13,FALSE))</f>
        <v/>
      </c>
      <c r="AD145">
        <v>144</v>
      </c>
      <c r="AE145">
        <f>VLOOKUP(TableWRRanks3242[[#This Row],[RK]],Rankings!A:T,13,FALSE)</f>
        <v>0</v>
      </c>
      <c r="AF145" t="str">
        <f>IFERROR(INDEX(TableWRCalcPts[TM],MATCH(TableWRRanks3242[[#This Row],[Player]],TableWRCalcPts[PLAYER],0)),"")</f>
        <v/>
      </c>
      <c r="AG145" t="str">
        <f>IFERROR(INDEX(TableWRCalcPts[BYE],MATCH(TableWRRanks3242[[#This Row],[Player]],TableWRCalcPts[PLAYER],0)),"")</f>
        <v/>
      </c>
      <c r="AH145" s="83">
        <f>VLOOKUP(TableWRRanks3242[[#This Row],[Player]],WR!B:O,4,FALSE)</f>
        <v>0</v>
      </c>
      <c r="AI145" s="83">
        <f>VLOOKUP(TableWRRanks3242[[#This Row],[Player]],WR!B:O,5,FALSE)</f>
        <v>0</v>
      </c>
      <c r="AJ145" s="83">
        <f>VLOOKUP(TableWRRanks3242[[#This Row],[Player]],WR!B:O,6,FALSE)</f>
        <v>0</v>
      </c>
      <c r="AK145" s="83">
        <f>VLOOKUP(TableWRRanks3242[[#This Row],[Player]],WR!B:O,7,FALSE)</f>
        <v>0</v>
      </c>
      <c r="AL145" s="83">
        <f>VLOOKUP(TableWRRanks3242[[#This Row],[Player]],WR!B:O,8,FALSE)</f>
        <v>0</v>
      </c>
      <c r="AM145" s="83">
        <f>VLOOKUP(TableWRRanks3242[[#This Row],[Player]],WR!B:O,9,FALSE)</f>
        <v>0</v>
      </c>
      <c r="AN145" s="57">
        <f>VLOOKUP(TableWRRanks3242[[#This Row],[Player]],WR!B:O,13,FALSE)</f>
        <v>0</v>
      </c>
      <c r="AO145" s="125">
        <f>IF(VLOOKUP(TableWRRanks3242[[#This Row],[RK]],'Ranks w Proj'!AD:AO,12,FALSE)&lt;0,0,VLOOKUP(TableWRRanks3242[[#This Row],[RK]],'Ranks w Proj'!AD:AO,12,FALSE))</f>
        <v>0</v>
      </c>
    </row>
    <row r="146" spans="16:41" x14ac:dyDescent="0.2">
      <c r="P146">
        <v>145</v>
      </c>
      <c r="Q146">
        <f>VLOOKUP(TableRBRanks3141[[#This Row],[RK]],Rankings!A:T,8,FALSE)</f>
        <v>0</v>
      </c>
      <c r="R146" t="str">
        <f>IFERROR(INDEX(TableRBCalcPts[TM],MATCH(TableRBRanks3141[[#This Row],[Player]],TableRBCalcPts[PLAYER],0)),"")</f>
        <v/>
      </c>
      <c r="S146" t="str">
        <f>IFERROR(INDEX(TableRBCalcPts[BYE],MATCH(TableRBRanks3141[[#This Row],[Player]],TableRBCalcPts[PLAYER],0)),"")</f>
        <v/>
      </c>
      <c r="T146" s="83">
        <f>VLOOKUP(TableRBRanks3141[[#This Row],[Player]],RB!B:O,4,FALSE)</f>
        <v>0</v>
      </c>
      <c r="U146" s="83">
        <f>VLOOKUP(TableRBRanks3141[[#This Row],[Player]],RB!B:O,5,FALSE)</f>
        <v>0</v>
      </c>
      <c r="V146" s="83">
        <f>VLOOKUP(TableRBRanks3141[[#This Row],[Player]],RB!B:O,6,FALSE)</f>
        <v>0</v>
      </c>
      <c r="W146" s="83">
        <f>VLOOKUP(TableRBRanks3141[[#This Row],[Player]],RB!B:O,7,FALSE)</f>
        <v>0</v>
      </c>
      <c r="X146" s="83">
        <f>VLOOKUP(TableRBRanks3141[[#This Row],[Player]],RB!B:O,8,FALSE)</f>
        <v>0</v>
      </c>
      <c r="Y146" s="83">
        <f>VLOOKUP(TableRBRanks3141[[#This Row],[Player]],RB!B:O,9,FALSE)</f>
        <v>0</v>
      </c>
      <c r="Z146" s="83">
        <f>VLOOKUP(TableRBRanks3141[[#This Row],[Player]],RB!B:O,10,FALSE)</f>
        <v>0</v>
      </c>
      <c r="AA146" s="57">
        <f>VLOOKUP(TableRBRanks3141[[#This Row],[Player]],RB!B:O,14,FALSE)</f>
        <v>0</v>
      </c>
      <c r="AB146" s="125" t="str">
        <f>IF(VLOOKUP(TableRBRanks3141[[#This Row],[RK]],'Ranks w Proj'!$P:$AB,13,FALSE)&lt;0,0,VLOOKUP(TableRBRanks3141[[#This Row],[RK]],'Ranks w Proj'!$P:$AB,13,FALSE))</f>
        <v/>
      </c>
      <c r="AD146">
        <v>145</v>
      </c>
      <c r="AE146">
        <f>VLOOKUP(TableWRRanks3242[[#This Row],[RK]],Rankings!A:T,13,FALSE)</f>
        <v>0</v>
      </c>
      <c r="AF146" t="str">
        <f>IFERROR(INDEX(TableWRCalcPts[TM],MATCH(TableWRRanks3242[[#This Row],[Player]],TableWRCalcPts[PLAYER],0)),"")</f>
        <v/>
      </c>
      <c r="AG146" t="str">
        <f>IFERROR(INDEX(TableWRCalcPts[BYE],MATCH(TableWRRanks3242[[#This Row],[Player]],TableWRCalcPts[PLAYER],0)),"")</f>
        <v/>
      </c>
      <c r="AH146" s="83">
        <f>VLOOKUP(TableWRRanks3242[[#This Row],[Player]],WR!B:O,4,FALSE)</f>
        <v>0</v>
      </c>
      <c r="AI146" s="83">
        <f>VLOOKUP(TableWRRanks3242[[#This Row],[Player]],WR!B:O,5,FALSE)</f>
        <v>0</v>
      </c>
      <c r="AJ146" s="83">
        <f>VLOOKUP(TableWRRanks3242[[#This Row],[Player]],WR!B:O,6,FALSE)</f>
        <v>0</v>
      </c>
      <c r="AK146" s="83">
        <f>VLOOKUP(TableWRRanks3242[[#This Row],[Player]],WR!B:O,7,FALSE)</f>
        <v>0</v>
      </c>
      <c r="AL146" s="83">
        <f>VLOOKUP(TableWRRanks3242[[#This Row],[Player]],WR!B:O,8,FALSE)</f>
        <v>0</v>
      </c>
      <c r="AM146" s="83">
        <f>VLOOKUP(TableWRRanks3242[[#This Row],[Player]],WR!B:O,9,FALSE)</f>
        <v>0</v>
      </c>
      <c r="AN146" s="57">
        <f>VLOOKUP(TableWRRanks3242[[#This Row],[Player]],WR!B:O,13,FALSE)</f>
        <v>0</v>
      </c>
      <c r="AO146" s="125">
        <f>IF(VLOOKUP(TableWRRanks3242[[#This Row],[RK]],'Ranks w Proj'!AD:AO,12,FALSE)&lt;0,0,VLOOKUP(TableWRRanks3242[[#This Row],[RK]],'Ranks w Proj'!AD:AO,12,FALSE))</f>
        <v>0</v>
      </c>
    </row>
    <row r="147" spans="16:41" x14ac:dyDescent="0.2">
      <c r="P147">
        <v>146</v>
      </c>
      <c r="Q147">
        <f>VLOOKUP(TableRBRanks3141[[#This Row],[RK]],Rankings!A:T,8,FALSE)</f>
        <v>0</v>
      </c>
      <c r="R147" t="str">
        <f>IFERROR(INDEX(TableRBCalcPts[TM],MATCH(TableRBRanks3141[[#This Row],[Player]],TableRBCalcPts[PLAYER],0)),"")</f>
        <v/>
      </c>
      <c r="S147" t="str">
        <f>IFERROR(INDEX(TableRBCalcPts[BYE],MATCH(TableRBRanks3141[[#This Row],[Player]],TableRBCalcPts[PLAYER],0)),"")</f>
        <v/>
      </c>
      <c r="T147" s="83">
        <f>VLOOKUP(TableRBRanks3141[[#This Row],[Player]],RB!B:O,4,FALSE)</f>
        <v>0</v>
      </c>
      <c r="U147" s="83">
        <f>VLOOKUP(TableRBRanks3141[[#This Row],[Player]],RB!B:O,5,FALSE)</f>
        <v>0</v>
      </c>
      <c r="V147" s="83">
        <f>VLOOKUP(TableRBRanks3141[[#This Row],[Player]],RB!B:O,6,FALSE)</f>
        <v>0</v>
      </c>
      <c r="W147" s="83">
        <f>VLOOKUP(TableRBRanks3141[[#This Row],[Player]],RB!B:O,7,FALSE)</f>
        <v>0</v>
      </c>
      <c r="X147" s="83">
        <f>VLOOKUP(TableRBRanks3141[[#This Row],[Player]],RB!B:O,8,FALSE)</f>
        <v>0</v>
      </c>
      <c r="Y147" s="83">
        <f>VLOOKUP(TableRBRanks3141[[#This Row],[Player]],RB!B:O,9,FALSE)</f>
        <v>0</v>
      </c>
      <c r="Z147" s="83">
        <f>VLOOKUP(TableRBRanks3141[[#This Row],[Player]],RB!B:O,10,FALSE)</f>
        <v>0</v>
      </c>
      <c r="AA147" s="57">
        <f>VLOOKUP(TableRBRanks3141[[#This Row],[Player]],RB!B:O,14,FALSE)</f>
        <v>0</v>
      </c>
      <c r="AB147" s="125" t="str">
        <f>IF(VLOOKUP(TableRBRanks3141[[#This Row],[RK]],'Ranks w Proj'!$P:$AB,13,FALSE)&lt;0,0,VLOOKUP(TableRBRanks3141[[#This Row],[RK]],'Ranks w Proj'!$P:$AB,13,FALSE))</f>
        <v/>
      </c>
      <c r="AD147">
        <v>146</v>
      </c>
      <c r="AE147">
        <f>VLOOKUP(TableWRRanks3242[[#This Row],[RK]],Rankings!A:T,13,FALSE)</f>
        <v>0</v>
      </c>
      <c r="AF147" t="str">
        <f>IFERROR(INDEX(TableWRCalcPts[TM],MATCH(TableWRRanks3242[[#This Row],[Player]],TableWRCalcPts[PLAYER],0)),"")</f>
        <v/>
      </c>
      <c r="AG147" t="str">
        <f>IFERROR(INDEX(TableWRCalcPts[BYE],MATCH(TableWRRanks3242[[#This Row],[Player]],TableWRCalcPts[PLAYER],0)),"")</f>
        <v/>
      </c>
      <c r="AH147" s="83">
        <f>VLOOKUP(TableWRRanks3242[[#This Row],[Player]],WR!B:O,4,FALSE)</f>
        <v>0</v>
      </c>
      <c r="AI147" s="83">
        <f>VLOOKUP(TableWRRanks3242[[#This Row],[Player]],WR!B:O,5,FALSE)</f>
        <v>0</v>
      </c>
      <c r="AJ147" s="83">
        <f>VLOOKUP(TableWRRanks3242[[#This Row],[Player]],WR!B:O,6,FALSE)</f>
        <v>0</v>
      </c>
      <c r="AK147" s="83">
        <f>VLOOKUP(TableWRRanks3242[[#This Row],[Player]],WR!B:O,7,FALSE)</f>
        <v>0</v>
      </c>
      <c r="AL147" s="83">
        <f>VLOOKUP(TableWRRanks3242[[#This Row],[Player]],WR!B:O,8,FALSE)</f>
        <v>0</v>
      </c>
      <c r="AM147" s="83">
        <f>VLOOKUP(TableWRRanks3242[[#This Row],[Player]],WR!B:O,9,FALSE)</f>
        <v>0</v>
      </c>
      <c r="AN147" s="57">
        <f>VLOOKUP(TableWRRanks3242[[#This Row],[Player]],WR!B:O,13,FALSE)</f>
        <v>0</v>
      </c>
      <c r="AO147" s="125">
        <f>IF(VLOOKUP(TableWRRanks3242[[#This Row],[RK]],'Ranks w Proj'!AD:AO,12,FALSE)&lt;0,0,VLOOKUP(TableWRRanks3242[[#This Row],[RK]],'Ranks w Proj'!AD:AO,12,FALSE))</f>
        <v>0</v>
      </c>
    </row>
    <row r="148" spans="16:41" x14ac:dyDescent="0.2">
      <c r="P148">
        <v>147</v>
      </c>
      <c r="Q148">
        <f>VLOOKUP(TableRBRanks3141[[#This Row],[RK]],Rankings!A:T,8,FALSE)</f>
        <v>0</v>
      </c>
      <c r="R148" t="str">
        <f>IFERROR(INDEX(TableRBCalcPts[TM],MATCH(TableRBRanks3141[[#This Row],[Player]],TableRBCalcPts[PLAYER],0)),"")</f>
        <v/>
      </c>
      <c r="S148" t="str">
        <f>IFERROR(INDEX(TableRBCalcPts[BYE],MATCH(TableRBRanks3141[[#This Row],[Player]],TableRBCalcPts[PLAYER],0)),"")</f>
        <v/>
      </c>
      <c r="T148" s="83">
        <f>VLOOKUP(TableRBRanks3141[[#This Row],[Player]],RB!B:O,4,FALSE)</f>
        <v>0</v>
      </c>
      <c r="U148" s="83">
        <f>VLOOKUP(TableRBRanks3141[[#This Row],[Player]],RB!B:O,5,FALSE)</f>
        <v>0</v>
      </c>
      <c r="V148" s="83">
        <f>VLOOKUP(TableRBRanks3141[[#This Row],[Player]],RB!B:O,6,FALSE)</f>
        <v>0</v>
      </c>
      <c r="W148" s="83">
        <f>VLOOKUP(TableRBRanks3141[[#This Row],[Player]],RB!B:O,7,FALSE)</f>
        <v>0</v>
      </c>
      <c r="X148" s="83">
        <f>VLOOKUP(TableRBRanks3141[[#This Row],[Player]],RB!B:O,8,FALSE)</f>
        <v>0</v>
      </c>
      <c r="Y148" s="83">
        <f>VLOOKUP(TableRBRanks3141[[#This Row],[Player]],RB!B:O,9,FALSE)</f>
        <v>0</v>
      </c>
      <c r="Z148" s="83">
        <f>VLOOKUP(TableRBRanks3141[[#This Row],[Player]],RB!B:O,10,FALSE)</f>
        <v>0</v>
      </c>
      <c r="AA148" s="57">
        <f>VLOOKUP(TableRBRanks3141[[#This Row],[Player]],RB!B:O,14,FALSE)</f>
        <v>0</v>
      </c>
      <c r="AB148" s="125" t="str">
        <f>IF(VLOOKUP(TableRBRanks3141[[#This Row],[RK]],'Ranks w Proj'!$P:$AB,13,FALSE)&lt;0,0,VLOOKUP(TableRBRanks3141[[#This Row],[RK]],'Ranks w Proj'!$P:$AB,13,FALSE))</f>
        <v/>
      </c>
      <c r="AD148">
        <v>147</v>
      </c>
      <c r="AE148">
        <f>VLOOKUP(TableWRRanks3242[[#This Row],[RK]],Rankings!A:T,13,FALSE)</f>
        <v>0</v>
      </c>
      <c r="AF148" t="str">
        <f>IFERROR(INDEX(TableWRCalcPts[TM],MATCH(TableWRRanks3242[[#This Row],[Player]],TableWRCalcPts[PLAYER],0)),"")</f>
        <v/>
      </c>
      <c r="AG148" t="str">
        <f>IFERROR(INDEX(TableWRCalcPts[BYE],MATCH(TableWRRanks3242[[#This Row],[Player]],TableWRCalcPts[PLAYER],0)),"")</f>
        <v/>
      </c>
      <c r="AH148" s="83">
        <f>VLOOKUP(TableWRRanks3242[[#This Row],[Player]],WR!B:O,4,FALSE)</f>
        <v>0</v>
      </c>
      <c r="AI148" s="83">
        <f>VLOOKUP(TableWRRanks3242[[#This Row],[Player]],WR!B:O,5,FALSE)</f>
        <v>0</v>
      </c>
      <c r="AJ148" s="83">
        <f>VLOOKUP(TableWRRanks3242[[#This Row],[Player]],WR!B:O,6,FALSE)</f>
        <v>0</v>
      </c>
      <c r="AK148" s="83">
        <f>VLOOKUP(TableWRRanks3242[[#This Row],[Player]],WR!B:O,7,FALSE)</f>
        <v>0</v>
      </c>
      <c r="AL148" s="83">
        <f>VLOOKUP(TableWRRanks3242[[#This Row],[Player]],WR!B:O,8,FALSE)</f>
        <v>0</v>
      </c>
      <c r="AM148" s="83">
        <f>VLOOKUP(TableWRRanks3242[[#This Row],[Player]],WR!B:O,9,FALSE)</f>
        <v>0</v>
      </c>
      <c r="AN148" s="57">
        <f>VLOOKUP(TableWRRanks3242[[#This Row],[Player]],WR!B:O,13,FALSE)</f>
        <v>0</v>
      </c>
      <c r="AO148" s="125">
        <f>IF(VLOOKUP(TableWRRanks3242[[#This Row],[RK]],'Ranks w Proj'!AD:AO,12,FALSE)&lt;0,0,VLOOKUP(TableWRRanks3242[[#This Row],[RK]],'Ranks w Proj'!AD:AO,12,FALSE))</f>
        <v>0</v>
      </c>
    </row>
    <row r="149" spans="16:41" x14ac:dyDescent="0.2">
      <c r="P149">
        <v>148</v>
      </c>
      <c r="Q149">
        <f>VLOOKUP(TableRBRanks3141[[#This Row],[RK]],Rankings!A:T,8,FALSE)</f>
        <v>0</v>
      </c>
      <c r="R149" t="str">
        <f>IFERROR(INDEX(TableRBCalcPts[TM],MATCH(TableRBRanks3141[[#This Row],[Player]],TableRBCalcPts[PLAYER],0)),"")</f>
        <v/>
      </c>
      <c r="S149" t="str">
        <f>IFERROR(INDEX(TableRBCalcPts[BYE],MATCH(TableRBRanks3141[[#This Row],[Player]],TableRBCalcPts[PLAYER],0)),"")</f>
        <v/>
      </c>
      <c r="T149" s="83">
        <f>VLOOKUP(TableRBRanks3141[[#This Row],[Player]],RB!B:O,4,FALSE)</f>
        <v>0</v>
      </c>
      <c r="U149" s="83">
        <f>VLOOKUP(TableRBRanks3141[[#This Row],[Player]],RB!B:O,5,FALSE)</f>
        <v>0</v>
      </c>
      <c r="V149" s="83">
        <f>VLOOKUP(TableRBRanks3141[[#This Row],[Player]],RB!B:O,6,FALSE)</f>
        <v>0</v>
      </c>
      <c r="W149" s="83">
        <f>VLOOKUP(TableRBRanks3141[[#This Row],[Player]],RB!B:O,7,FALSE)</f>
        <v>0</v>
      </c>
      <c r="X149" s="83">
        <f>VLOOKUP(TableRBRanks3141[[#This Row],[Player]],RB!B:O,8,FALSE)</f>
        <v>0</v>
      </c>
      <c r="Y149" s="83">
        <f>VLOOKUP(TableRBRanks3141[[#This Row],[Player]],RB!B:O,9,FALSE)</f>
        <v>0</v>
      </c>
      <c r="Z149" s="83">
        <f>VLOOKUP(TableRBRanks3141[[#This Row],[Player]],RB!B:O,10,FALSE)</f>
        <v>0</v>
      </c>
      <c r="AA149" s="57">
        <f>VLOOKUP(TableRBRanks3141[[#This Row],[Player]],RB!B:O,14,FALSE)</f>
        <v>0</v>
      </c>
      <c r="AB149" s="125" t="str">
        <f>IF(VLOOKUP(TableRBRanks3141[[#This Row],[RK]],'Ranks w Proj'!$P:$AB,13,FALSE)&lt;0,0,VLOOKUP(TableRBRanks3141[[#This Row],[RK]],'Ranks w Proj'!$P:$AB,13,FALSE))</f>
        <v/>
      </c>
      <c r="AD149">
        <v>148</v>
      </c>
      <c r="AE149">
        <f>VLOOKUP(TableWRRanks3242[[#This Row],[RK]],Rankings!A:T,13,FALSE)</f>
        <v>0</v>
      </c>
      <c r="AF149" t="str">
        <f>IFERROR(INDEX(TableWRCalcPts[TM],MATCH(TableWRRanks3242[[#This Row],[Player]],TableWRCalcPts[PLAYER],0)),"")</f>
        <v/>
      </c>
      <c r="AG149" t="str">
        <f>IFERROR(INDEX(TableWRCalcPts[BYE],MATCH(TableWRRanks3242[[#This Row],[Player]],TableWRCalcPts[PLAYER],0)),"")</f>
        <v/>
      </c>
      <c r="AH149" s="83">
        <f>VLOOKUP(TableWRRanks3242[[#This Row],[Player]],WR!B:O,4,FALSE)</f>
        <v>0</v>
      </c>
      <c r="AI149" s="83">
        <f>VLOOKUP(TableWRRanks3242[[#This Row],[Player]],WR!B:O,5,FALSE)</f>
        <v>0</v>
      </c>
      <c r="AJ149" s="83">
        <f>VLOOKUP(TableWRRanks3242[[#This Row],[Player]],WR!B:O,6,FALSE)</f>
        <v>0</v>
      </c>
      <c r="AK149" s="83">
        <f>VLOOKUP(TableWRRanks3242[[#This Row],[Player]],WR!B:O,7,FALSE)</f>
        <v>0</v>
      </c>
      <c r="AL149" s="83">
        <f>VLOOKUP(TableWRRanks3242[[#This Row],[Player]],WR!B:O,8,FALSE)</f>
        <v>0</v>
      </c>
      <c r="AM149" s="83">
        <f>VLOOKUP(TableWRRanks3242[[#This Row],[Player]],WR!B:O,9,FALSE)</f>
        <v>0</v>
      </c>
      <c r="AN149" s="57">
        <f>VLOOKUP(TableWRRanks3242[[#This Row],[Player]],WR!B:O,13,FALSE)</f>
        <v>0</v>
      </c>
      <c r="AO149" s="125">
        <f>IF(VLOOKUP(TableWRRanks3242[[#This Row],[RK]],'Ranks w Proj'!AD:AO,12,FALSE)&lt;0,0,VLOOKUP(TableWRRanks3242[[#This Row],[RK]],'Ranks w Proj'!AD:AO,12,FALSE))</f>
        <v>0</v>
      </c>
    </row>
    <row r="150" spans="16:41" x14ac:dyDescent="0.2">
      <c r="P150">
        <v>149</v>
      </c>
      <c r="Q150">
        <f>VLOOKUP(TableRBRanks3141[[#This Row],[RK]],Rankings!A:T,8,FALSE)</f>
        <v>0</v>
      </c>
      <c r="R150" t="str">
        <f>IFERROR(INDEX(TableRBCalcPts[TM],MATCH(TableRBRanks3141[[#This Row],[Player]],TableRBCalcPts[PLAYER],0)),"")</f>
        <v/>
      </c>
      <c r="S150" t="str">
        <f>IFERROR(INDEX(TableRBCalcPts[BYE],MATCH(TableRBRanks3141[[#This Row],[Player]],TableRBCalcPts[PLAYER],0)),"")</f>
        <v/>
      </c>
      <c r="T150" s="83">
        <f>VLOOKUP(TableRBRanks3141[[#This Row],[Player]],RB!B:O,4,FALSE)</f>
        <v>0</v>
      </c>
      <c r="U150" s="83">
        <f>VLOOKUP(TableRBRanks3141[[#This Row],[Player]],RB!B:O,5,FALSE)</f>
        <v>0</v>
      </c>
      <c r="V150" s="83">
        <f>VLOOKUP(TableRBRanks3141[[#This Row],[Player]],RB!B:O,6,FALSE)</f>
        <v>0</v>
      </c>
      <c r="W150" s="83">
        <f>VLOOKUP(TableRBRanks3141[[#This Row],[Player]],RB!B:O,7,FALSE)</f>
        <v>0</v>
      </c>
      <c r="X150" s="83">
        <f>VLOOKUP(TableRBRanks3141[[#This Row],[Player]],RB!B:O,8,FALSE)</f>
        <v>0</v>
      </c>
      <c r="Y150" s="83">
        <f>VLOOKUP(TableRBRanks3141[[#This Row],[Player]],RB!B:O,9,FALSE)</f>
        <v>0</v>
      </c>
      <c r="Z150" s="83">
        <f>VLOOKUP(TableRBRanks3141[[#This Row],[Player]],RB!B:O,10,FALSE)</f>
        <v>0</v>
      </c>
      <c r="AA150" s="57">
        <f>VLOOKUP(TableRBRanks3141[[#This Row],[Player]],RB!B:O,14,FALSE)</f>
        <v>0</v>
      </c>
      <c r="AB150" s="125" t="str">
        <f>IF(VLOOKUP(TableRBRanks3141[[#This Row],[RK]],'Ranks w Proj'!$P:$AB,13,FALSE)&lt;0,0,VLOOKUP(TableRBRanks3141[[#This Row],[RK]],'Ranks w Proj'!$P:$AB,13,FALSE))</f>
        <v/>
      </c>
      <c r="AD150">
        <v>149</v>
      </c>
      <c r="AE150">
        <f>VLOOKUP(TableWRRanks3242[[#This Row],[RK]],Rankings!A:T,13,FALSE)</f>
        <v>0</v>
      </c>
      <c r="AF150" t="str">
        <f>IFERROR(INDEX(TableWRCalcPts[TM],MATCH(TableWRRanks3242[[#This Row],[Player]],TableWRCalcPts[PLAYER],0)),"")</f>
        <v/>
      </c>
      <c r="AG150" t="str">
        <f>IFERROR(INDEX(TableWRCalcPts[BYE],MATCH(TableWRRanks3242[[#This Row],[Player]],TableWRCalcPts[PLAYER],0)),"")</f>
        <v/>
      </c>
      <c r="AH150" s="83">
        <f>VLOOKUP(TableWRRanks3242[[#This Row],[Player]],WR!B:O,4,FALSE)</f>
        <v>0</v>
      </c>
      <c r="AI150" s="83">
        <f>VLOOKUP(TableWRRanks3242[[#This Row],[Player]],WR!B:O,5,FALSE)</f>
        <v>0</v>
      </c>
      <c r="AJ150" s="83">
        <f>VLOOKUP(TableWRRanks3242[[#This Row],[Player]],WR!B:O,6,FALSE)</f>
        <v>0</v>
      </c>
      <c r="AK150" s="83">
        <f>VLOOKUP(TableWRRanks3242[[#This Row],[Player]],WR!B:O,7,FALSE)</f>
        <v>0</v>
      </c>
      <c r="AL150" s="83">
        <f>VLOOKUP(TableWRRanks3242[[#This Row],[Player]],WR!B:O,8,FALSE)</f>
        <v>0</v>
      </c>
      <c r="AM150" s="83">
        <f>VLOOKUP(TableWRRanks3242[[#This Row],[Player]],WR!B:O,9,FALSE)</f>
        <v>0</v>
      </c>
      <c r="AN150" s="57">
        <f>VLOOKUP(TableWRRanks3242[[#This Row],[Player]],WR!B:O,13,FALSE)</f>
        <v>0</v>
      </c>
      <c r="AO150" s="125">
        <f>IF(VLOOKUP(TableWRRanks3242[[#This Row],[RK]],'Ranks w Proj'!AD:AO,12,FALSE)&lt;0,0,VLOOKUP(TableWRRanks3242[[#This Row],[RK]],'Ranks w Proj'!AD:AO,12,FALSE))</f>
        <v>0</v>
      </c>
    </row>
    <row r="151" spans="16:41" x14ac:dyDescent="0.2">
      <c r="P151">
        <v>150</v>
      </c>
      <c r="Q151">
        <f>VLOOKUP(TableRBRanks3141[[#This Row],[RK]],Rankings!A:T,8,FALSE)</f>
        <v>0</v>
      </c>
      <c r="R151" t="str">
        <f>IFERROR(INDEX(TableRBCalcPts[TM],MATCH(TableRBRanks3141[[#This Row],[Player]],TableRBCalcPts[PLAYER],0)),"")</f>
        <v/>
      </c>
      <c r="S151" t="str">
        <f>IFERROR(INDEX(TableRBCalcPts[BYE],MATCH(TableRBRanks3141[[#This Row],[Player]],TableRBCalcPts[PLAYER],0)),"")</f>
        <v/>
      </c>
      <c r="T151" s="83">
        <f>VLOOKUP(TableRBRanks3141[[#This Row],[Player]],RB!B:O,4,FALSE)</f>
        <v>0</v>
      </c>
      <c r="U151" s="83">
        <f>VLOOKUP(TableRBRanks3141[[#This Row],[Player]],RB!B:O,5,FALSE)</f>
        <v>0</v>
      </c>
      <c r="V151" s="83">
        <f>VLOOKUP(TableRBRanks3141[[#This Row],[Player]],RB!B:O,6,FALSE)</f>
        <v>0</v>
      </c>
      <c r="W151" s="83">
        <f>VLOOKUP(TableRBRanks3141[[#This Row],[Player]],RB!B:O,7,FALSE)</f>
        <v>0</v>
      </c>
      <c r="X151" s="83">
        <f>VLOOKUP(TableRBRanks3141[[#This Row],[Player]],RB!B:O,8,FALSE)</f>
        <v>0</v>
      </c>
      <c r="Y151" s="83">
        <f>VLOOKUP(TableRBRanks3141[[#This Row],[Player]],RB!B:O,9,FALSE)</f>
        <v>0</v>
      </c>
      <c r="Z151" s="83">
        <f>VLOOKUP(TableRBRanks3141[[#This Row],[Player]],RB!B:O,10,FALSE)</f>
        <v>0</v>
      </c>
      <c r="AA151" s="57">
        <f>VLOOKUP(TableRBRanks3141[[#This Row],[Player]],RB!B:O,14,FALSE)</f>
        <v>0</v>
      </c>
      <c r="AB151" s="125" t="str">
        <f>IF(VLOOKUP(TableRBRanks3141[[#This Row],[RK]],'Ranks w Proj'!$P:$AB,13,FALSE)&lt;0,0,VLOOKUP(TableRBRanks3141[[#This Row],[RK]],'Ranks w Proj'!$P:$AB,13,FALSE))</f>
        <v/>
      </c>
      <c r="AD151">
        <v>150</v>
      </c>
      <c r="AE151">
        <f>VLOOKUP(TableWRRanks3242[[#This Row],[RK]],Rankings!A:T,13,FALSE)</f>
        <v>0</v>
      </c>
      <c r="AF151" t="str">
        <f>IFERROR(INDEX(TableWRCalcPts[TM],MATCH(TableWRRanks3242[[#This Row],[Player]],TableWRCalcPts[PLAYER],0)),"")</f>
        <v/>
      </c>
      <c r="AG151" t="str">
        <f>IFERROR(INDEX(TableWRCalcPts[BYE],MATCH(TableWRRanks3242[[#This Row],[Player]],TableWRCalcPts[PLAYER],0)),"")</f>
        <v/>
      </c>
      <c r="AH151" s="83">
        <f>VLOOKUP(TableWRRanks3242[[#This Row],[Player]],WR!B:O,4,FALSE)</f>
        <v>0</v>
      </c>
      <c r="AI151" s="83">
        <f>VLOOKUP(TableWRRanks3242[[#This Row],[Player]],WR!B:O,5,FALSE)</f>
        <v>0</v>
      </c>
      <c r="AJ151" s="83">
        <f>VLOOKUP(TableWRRanks3242[[#This Row],[Player]],WR!B:O,6,FALSE)</f>
        <v>0</v>
      </c>
      <c r="AK151" s="83">
        <f>VLOOKUP(TableWRRanks3242[[#This Row],[Player]],WR!B:O,7,FALSE)</f>
        <v>0</v>
      </c>
      <c r="AL151" s="83">
        <f>VLOOKUP(TableWRRanks3242[[#This Row],[Player]],WR!B:O,8,FALSE)</f>
        <v>0</v>
      </c>
      <c r="AM151" s="83">
        <f>VLOOKUP(TableWRRanks3242[[#This Row],[Player]],WR!B:O,9,FALSE)</f>
        <v>0</v>
      </c>
      <c r="AN151" s="57">
        <f>VLOOKUP(TableWRRanks3242[[#This Row],[Player]],WR!B:O,13,FALSE)</f>
        <v>0</v>
      </c>
      <c r="AO151" s="125">
        <f>IF(VLOOKUP(TableWRRanks3242[[#This Row],[RK]],'Ranks w Proj'!AD:AO,12,FALSE)&lt;0,0,VLOOKUP(TableWRRanks3242[[#This Row],[RK]],'Ranks w Proj'!AD:AO,12,FALSE))</f>
        <v>0</v>
      </c>
    </row>
    <row r="152" spans="16:41" x14ac:dyDescent="0.2">
      <c r="P152">
        <v>151</v>
      </c>
      <c r="Q152">
        <f>VLOOKUP(TableRBRanks3141[[#This Row],[RK]],Rankings!A:T,8,FALSE)</f>
        <v>0</v>
      </c>
      <c r="R152" t="str">
        <f>IFERROR(INDEX(TableRBCalcPts[TM],MATCH(TableRBRanks3141[[#This Row],[Player]],TableRBCalcPts[PLAYER],0)),"")</f>
        <v/>
      </c>
      <c r="S152" t="str">
        <f>IFERROR(INDEX(TableRBCalcPts[BYE],MATCH(TableRBRanks3141[[#This Row],[Player]],TableRBCalcPts[PLAYER],0)),"")</f>
        <v/>
      </c>
      <c r="T152" s="83">
        <f>VLOOKUP(TableRBRanks3141[[#This Row],[Player]],RB!B:O,4,FALSE)</f>
        <v>0</v>
      </c>
      <c r="U152" s="83">
        <f>VLOOKUP(TableRBRanks3141[[#This Row],[Player]],RB!B:O,5,FALSE)</f>
        <v>0</v>
      </c>
      <c r="V152" s="83">
        <f>VLOOKUP(TableRBRanks3141[[#This Row],[Player]],RB!B:O,6,FALSE)</f>
        <v>0</v>
      </c>
      <c r="W152" s="83">
        <f>VLOOKUP(TableRBRanks3141[[#This Row],[Player]],RB!B:O,7,FALSE)</f>
        <v>0</v>
      </c>
      <c r="X152" s="83">
        <f>VLOOKUP(TableRBRanks3141[[#This Row],[Player]],RB!B:O,8,FALSE)</f>
        <v>0</v>
      </c>
      <c r="Y152" s="83">
        <f>VLOOKUP(TableRBRanks3141[[#This Row],[Player]],RB!B:O,9,FALSE)</f>
        <v>0</v>
      </c>
      <c r="Z152" s="83">
        <f>VLOOKUP(TableRBRanks3141[[#This Row],[Player]],RB!B:O,10,FALSE)</f>
        <v>0</v>
      </c>
      <c r="AA152" s="57">
        <f>VLOOKUP(TableRBRanks3141[[#This Row],[Player]],RB!B:O,14,FALSE)</f>
        <v>0</v>
      </c>
      <c r="AB152" s="125" t="str">
        <f>IF(VLOOKUP(TableRBRanks3141[[#This Row],[RK]],'Ranks w Proj'!$P:$AB,13,FALSE)&lt;0,0,VLOOKUP(TableRBRanks3141[[#This Row],[RK]],'Ranks w Proj'!$P:$AB,13,FALSE))</f>
        <v/>
      </c>
      <c r="AD152">
        <v>151</v>
      </c>
      <c r="AE152">
        <f>VLOOKUP(TableWRRanks3242[[#This Row],[RK]],Rankings!A:T,13,FALSE)</f>
        <v>0</v>
      </c>
      <c r="AF152" t="str">
        <f>IFERROR(INDEX(TableWRCalcPts[TM],MATCH(TableWRRanks3242[[#This Row],[Player]],TableWRCalcPts[PLAYER],0)),"")</f>
        <v/>
      </c>
      <c r="AG152" t="str">
        <f>IFERROR(INDEX(TableWRCalcPts[BYE],MATCH(TableWRRanks3242[[#This Row],[Player]],TableWRCalcPts[PLAYER],0)),"")</f>
        <v/>
      </c>
      <c r="AH152" s="83">
        <f>VLOOKUP(TableWRRanks3242[[#This Row],[Player]],WR!B:O,4,FALSE)</f>
        <v>0</v>
      </c>
      <c r="AI152" s="83">
        <f>VLOOKUP(TableWRRanks3242[[#This Row],[Player]],WR!B:O,5,FALSE)</f>
        <v>0</v>
      </c>
      <c r="AJ152" s="83">
        <f>VLOOKUP(TableWRRanks3242[[#This Row],[Player]],WR!B:O,6,FALSE)</f>
        <v>0</v>
      </c>
      <c r="AK152" s="83">
        <f>VLOOKUP(TableWRRanks3242[[#This Row],[Player]],WR!B:O,7,FALSE)</f>
        <v>0</v>
      </c>
      <c r="AL152" s="83">
        <f>VLOOKUP(TableWRRanks3242[[#This Row],[Player]],WR!B:O,8,FALSE)</f>
        <v>0</v>
      </c>
      <c r="AM152" s="83">
        <f>VLOOKUP(TableWRRanks3242[[#This Row],[Player]],WR!B:O,9,FALSE)</f>
        <v>0</v>
      </c>
      <c r="AN152" s="57">
        <f>VLOOKUP(TableWRRanks3242[[#This Row],[Player]],WR!B:O,13,FALSE)</f>
        <v>0</v>
      </c>
      <c r="AO152" s="125">
        <f>IF(VLOOKUP(TableWRRanks3242[[#This Row],[RK]],'Ranks w Proj'!AD:AO,12,FALSE)&lt;0,0,VLOOKUP(TableWRRanks3242[[#This Row],[RK]],'Ranks w Proj'!AD:AO,12,FALSE))</f>
        <v>0</v>
      </c>
    </row>
    <row r="153" spans="16:41" x14ac:dyDescent="0.2">
      <c r="P153">
        <v>152</v>
      </c>
      <c r="Q153">
        <f>VLOOKUP(TableRBRanks3141[[#This Row],[RK]],Rankings!A:T,8,FALSE)</f>
        <v>0</v>
      </c>
      <c r="R153" t="str">
        <f>IFERROR(INDEX(TableRBCalcPts[TM],MATCH(TableRBRanks3141[[#This Row],[Player]],TableRBCalcPts[PLAYER],0)),"")</f>
        <v/>
      </c>
      <c r="S153" t="str">
        <f>IFERROR(INDEX(TableRBCalcPts[BYE],MATCH(TableRBRanks3141[[#This Row],[Player]],TableRBCalcPts[PLAYER],0)),"")</f>
        <v/>
      </c>
      <c r="T153" s="83">
        <f>VLOOKUP(TableRBRanks3141[[#This Row],[Player]],RB!B:O,4,FALSE)</f>
        <v>0</v>
      </c>
      <c r="U153" s="83">
        <f>VLOOKUP(TableRBRanks3141[[#This Row],[Player]],RB!B:O,5,FALSE)</f>
        <v>0</v>
      </c>
      <c r="V153" s="83">
        <f>VLOOKUP(TableRBRanks3141[[#This Row],[Player]],RB!B:O,6,FALSE)</f>
        <v>0</v>
      </c>
      <c r="W153" s="83">
        <f>VLOOKUP(TableRBRanks3141[[#This Row],[Player]],RB!B:O,7,FALSE)</f>
        <v>0</v>
      </c>
      <c r="X153" s="83">
        <f>VLOOKUP(TableRBRanks3141[[#This Row],[Player]],RB!B:O,8,FALSE)</f>
        <v>0</v>
      </c>
      <c r="Y153" s="83">
        <f>VLOOKUP(TableRBRanks3141[[#This Row],[Player]],RB!B:O,9,FALSE)</f>
        <v>0</v>
      </c>
      <c r="Z153" s="83">
        <f>VLOOKUP(TableRBRanks3141[[#This Row],[Player]],RB!B:O,10,FALSE)</f>
        <v>0</v>
      </c>
      <c r="AA153" s="57">
        <f>VLOOKUP(TableRBRanks3141[[#This Row],[Player]],RB!B:O,14,FALSE)</f>
        <v>0</v>
      </c>
      <c r="AB153" s="125" t="str">
        <f>IF(VLOOKUP(TableRBRanks3141[[#This Row],[RK]],'Ranks w Proj'!$P:$AB,13,FALSE)&lt;0,0,VLOOKUP(TableRBRanks3141[[#This Row],[RK]],'Ranks w Proj'!$P:$AB,13,FALSE))</f>
        <v/>
      </c>
      <c r="AD153">
        <v>152</v>
      </c>
      <c r="AE153">
        <f>VLOOKUP(TableWRRanks3242[[#This Row],[RK]],Rankings!A:T,13,FALSE)</f>
        <v>0</v>
      </c>
      <c r="AF153" t="str">
        <f>IFERROR(INDEX(TableWRCalcPts[TM],MATCH(TableWRRanks3242[[#This Row],[Player]],TableWRCalcPts[PLAYER],0)),"")</f>
        <v/>
      </c>
      <c r="AG153" t="str">
        <f>IFERROR(INDEX(TableWRCalcPts[BYE],MATCH(TableWRRanks3242[[#This Row],[Player]],TableWRCalcPts[PLAYER],0)),"")</f>
        <v/>
      </c>
      <c r="AH153" s="83">
        <f>VLOOKUP(TableWRRanks3242[[#This Row],[Player]],WR!B:O,4,FALSE)</f>
        <v>0</v>
      </c>
      <c r="AI153" s="83">
        <f>VLOOKUP(TableWRRanks3242[[#This Row],[Player]],WR!B:O,5,FALSE)</f>
        <v>0</v>
      </c>
      <c r="AJ153" s="83">
        <f>VLOOKUP(TableWRRanks3242[[#This Row],[Player]],WR!B:O,6,FALSE)</f>
        <v>0</v>
      </c>
      <c r="AK153" s="83">
        <f>VLOOKUP(TableWRRanks3242[[#This Row],[Player]],WR!B:O,7,FALSE)</f>
        <v>0</v>
      </c>
      <c r="AL153" s="83">
        <f>VLOOKUP(TableWRRanks3242[[#This Row],[Player]],WR!B:O,8,FALSE)</f>
        <v>0</v>
      </c>
      <c r="AM153" s="83">
        <f>VLOOKUP(TableWRRanks3242[[#This Row],[Player]],WR!B:O,9,FALSE)</f>
        <v>0</v>
      </c>
      <c r="AN153" s="57">
        <f>VLOOKUP(TableWRRanks3242[[#This Row],[Player]],WR!B:O,13,FALSE)</f>
        <v>0</v>
      </c>
      <c r="AO153" s="125">
        <f>IF(VLOOKUP(TableWRRanks3242[[#This Row],[RK]],'Ranks w Proj'!AD:AO,12,FALSE)&lt;0,0,VLOOKUP(TableWRRanks3242[[#This Row],[RK]],'Ranks w Proj'!AD:AO,12,FALSE))</f>
        <v>0</v>
      </c>
    </row>
    <row r="154" spans="16:41" x14ac:dyDescent="0.2">
      <c r="P154">
        <v>153</v>
      </c>
      <c r="Q154">
        <f>VLOOKUP(TableRBRanks3141[[#This Row],[RK]],Rankings!A:T,8,FALSE)</f>
        <v>0</v>
      </c>
      <c r="R154" t="str">
        <f>IFERROR(INDEX(TableRBCalcPts[TM],MATCH(TableRBRanks3141[[#This Row],[Player]],TableRBCalcPts[PLAYER],0)),"")</f>
        <v/>
      </c>
      <c r="S154" t="str">
        <f>IFERROR(INDEX(TableRBCalcPts[BYE],MATCH(TableRBRanks3141[[#This Row],[Player]],TableRBCalcPts[PLAYER],0)),"")</f>
        <v/>
      </c>
      <c r="T154" s="83">
        <f>VLOOKUP(TableRBRanks3141[[#This Row],[Player]],RB!B:O,4,FALSE)</f>
        <v>0</v>
      </c>
      <c r="U154" s="83">
        <f>VLOOKUP(TableRBRanks3141[[#This Row],[Player]],RB!B:O,5,FALSE)</f>
        <v>0</v>
      </c>
      <c r="V154" s="83">
        <f>VLOOKUP(TableRBRanks3141[[#This Row],[Player]],RB!B:O,6,FALSE)</f>
        <v>0</v>
      </c>
      <c r="W154" s="83">
        <f>VLOOKUP(TableRBRanks3141[[#This Row],[Player]],RB!B:O,7,FALSE)</f>
        <v>0</v>
      </c>
      <c r="X154" s="83">
        <f>VLOOKUP(TableRBRanks3141[[#This Row],[Player]],RB!B:O,8,FALSE)</f>
        <v>0</v>
      </c>
      <c r="Y154" s="83">
        <f>VLOOKUP(TableRBRanks3141[[#This Row],[Player]],RB!B:O,9,FALSE)</f>
        <v>0</v>
      </c>
      <c r="Z154" s="83">
        <f>VLOOKUP(TableRBRanks3141[[#This Row],[Player]],RB!B:O,10,FALSE)</f>
        <v>0</v>
      </c>
      <c r="AA154" s="57">
        <f>VLOOKUP(TableRBRanks3141[[#This Row],[Player]],RB!B:O,14,FALSE)</f>
        <v>0</v>
      </c>
      <c r="AB154" s="125" t="str">
        <f>IF(VLOOKUP(TableRBRanks3141[[#This Row],[RK]],'Ranks w Proj'!$P:$AB,13,FALSE)&lt;0,0,VLOOKUP(TableRBRanks3141[[#This Row],[RK]],'Ranks w Proj'!$P:$AB,13,FALSE))</f>
        <v/>
      </c>
      <c r="AD154">
        <v>153</v>
      </c>
      <c r="AE154">
        <f>VLOOKUP(TableWRRanks3242[[#This Row],[RK]],Rankings!A:T,13,FALSE)</f>
        <v>0</v>
      </c>
      <c r="AF154" t="str">
        <f>IFERROR(INDEX(TableWRCalcPts[TM],MATCH(TableWRRanks3242[[#This Row],[Player]],TableWRCalcPts[PLAYER],0)),"")</f>
        <v/>
      </c>
      <c r="AG154" t="str">
        <f>IFERROR(INDEX(TableWRCalcPts[BYE],MATCH(TableWRRanks3242[[#This Row],[Player]],TableWRCalcPts[PLAYER],0)),"")</f>
        <v/>
      </c>
      <c r="AH154" s="83">
        <f>VLOOKUP(TableWRRanks3242[[#This Row],[Player]],WR!B:O,4,FALSE)</f>
        <v>0</v>
      </c>
      <c r="AI154" s="83">
        <f>VLOOKUP(TableWRRanks3242[[#This Row],[Player]],WR!B:O,5,FALSE)</f>
        <v>0</v>
      </c>
      <c r="AJ154" s="83">
        <f>VLOOKUP(TableWRRanks3242[[#This Row],[Player]],WR!B:O,6,FALSE)</f>
        <v>0</v>
      </c>
      <c r="AK154" s="83">
        <f>VLOOKUP(TableWRRanks3242[[#This Row],[Player]],WR!B:O,7,FALSE)</f>
        <v>0</v>
      </c>
      <c r="AL154" s="83">
        <f>VLOOKUP(TableWRRanks3242[[#This Row],[Player]],WR!B:O,8,FALSE)</f>
        <v>0</v>
      </c>
      <c r="AM154" s="83">
        <f>VLOOKUP(TableWRRanks3242[[#This Row],[Player]],WR!B:O,9,FALSE)</f>
        <v>0</v>
      </c>
      <c r="AN154" s="57">
        <f>VLOOKUP(TableWRRanks3242[[#This Row],[Player]],WR!B:O,13,FALSE)</f>
        <v>0</v>
      </c>
      <c r="AO154" s="125">
        <f>IF(VLOOKUP(TableWRRanks3242[[#This Row],[RK]],'Ranks w Proj'!AD:AO,12,FALSE)&lt;0,0,VLOOKUP(TableWRRanks3242[[#This Row],[RK]],'Ranks w Proj'!AD:AO,12,FALSE))</f>
        <v>0</v>
      </c>
    </row>
    <row r="155" spans="16:41" x14ac:dyDescent="0.2">
      <c r="P155">
        <v>154</v>
      </c>
      <c r="Q155">
        <f>VLOOKUP(TableRBRanks3141[[#This Row],[RK]],Rankings!A:T,8,FALSE)</f>
        <v>0</v>
      </c>
      <c r="R155" t="str">
        <f>IFERROR(INDEX(TableRBCalcPts[TM],MATCH(TableRBRanks3141[[#This Row],[Player]],TableRBCalcPts[PLAYER],0)),"")</f>
        <v/>
      </c>
      <c r="S155" t="str">
        <f>IFERROR(INDEX(TableRBCalcPts[BYE],MATCH(TableRBRanks3141[[#This Row],[Player]],TableRBCalcPts[PLAYER],0)),"")</f>
        <v/>
      </c>
      <c r="T155" s="83">
        <f>VLOOKUP(TableRBRanks3141[[#This Row],[Player]],RB!B:O,4,FALSE)</f>
        <v>0</v>
      </c>
      <c r="U155" s="83">
        <f>VLOOKUP(TableRBRanks3141[[#This Row],[Player]],RB!B:O,5,FALSE)</f>
        <v>0</v>
      </c>
      <c r="V155" s="83">
        <f>VLOOKUP(TableRBRanks3141[[#This Row],[Player]],RB!B:O,6,FALSE)</f>
        <v>0</v>
      </c>
      <c r="W155" s="83">
        <f>VLOOKUP(TableRBRanks3141[[#This Row],[Player]],RB!B:O,7,FALSE)</f>
        <v>0</v>
      </c>
      <c r="X155" s="83">
        <f>VLOOKUP(TableRBRanks3141[[#This Row],[Player]],RB!B:O,8,FALSE)</f>
        <v>0</v>
      </c>
      <c r="Y155" s="83">
        <f>VLOOKUP(TableRBRanks3141[[#This Row],[Player]],RB!B:O,9,FALSE)</f>
        <v>0</v>
      </c>
      <c r="Z155" s="83">
        <f>VLOOKUP(TableRBRanks3141[[#This Row],[Player]],RB!B:O,10,FALSE)</f>
        <v>0</v>
      </c>
      <c r="AA155" s="57">
        <f>VLOOKUP(TableRBRanks3141[[#This Row],[Player]],RB!B:O,14,FALSE)</f>
        <v>0</v>
      </c>
      <c r="AB155" s="125" t="str">
        <f>IF(VLOOKUP(TableRBRanks3141[[#This Row],[RK]],'Ranks w Proj'!$P:$AB,13,FALSE)&lt;0,0,VLOOKUP(TableRBRanks3141[[#This Row],[RK]],'Ranks w Proj'!$P:$AB,13,FALSE))</f>
        <v/>
      </c>
      <c r="AD155">
        <v>154</v>
      </c>
      <c r="AE155">
        <f>VLOOKUP(TableWRRanks3242[[#This Row],[RK]],Rankings!A:T,13,FALSE)</f>
        <v>0</v>
      </c>
      <c r="AF155" t="str">
        <f>IFERROR(INDEX(TableWRCalcPts[TM],MATCH(TableWRRanks3242[[#This Row],[Player]],TableWRCalcPts[PLAYER],0)),"")</f>
        <v/>
      </c>
      <c r="AG155" t="str">
        <f>IFERROR(INDEX(TableWRCalcPts[BYE],MATCH(TableWRRanks3242[[#This Row],[Player]],TableWRCalcPts[PLAYER],0)),"")</f>
        <v/>
      </c>
      <c r="AH155" s="83">
        <f>VLOOKUP(TableWRRanks3242[[#This Row],[Player]],WR!B:O,4,FALSE)</f>
        <v>0</v>
      </c>
      <c r="AI155" s="83">
        <f>VLOOKUP(TableWRRanks3242[[#This Row],[Player]],WR!B:O,5,FALSE)</f>
        <v>0</v>
      </c>
      <c r="AJ155" s="83">
        <f>VLOOKUP(TableWRRanks3242[[#This Row],[Player]],WR!B:O,6,FALSE)</f>
        <v>0</v>
      </c>
      <c r="AK155" s="83">
        <f>VLOOKUP(TableWRRanks3242[[#This Row],[Player]],WR!B:O,7,FALSE)</f>
        <v>0</v>
      </c>
      <c r="AL155" s="83">
        <f>VLOOKUP(TableWRRanks3242[[#This Row],[Player]],WR!B:O,8,FALSE)</f>
        <v>0</v>
      </c>
      <c r="AM155" s="83">
        <f>VLOOKUP(TableWRRanks3242[[#This Row],[Player]],WR!B:O,9,FALSE)</f>
        <v>0</v>
      </c>
      <c r="AN155" s="57">
        <f>VLOOKUP(TableWRRanks3242[[#This Row],[Player]],WR!B:O,13,FALSE)</f>
        <v>0</v>
      </c>
      <c r="AO155" s="125">
        <f>IF(VLOOKUP(TableWRRanks3242[[#This Row],[RK]],'Ranks w Proj'!AD:AO,12,FALSE)&lt;0,0,VLOOKUP(TableWRRanks3242[[#This Row],[RK]],'Ranks w Proj'!AD:AO,12,FALSE))</f>
        <v>0</v>
      </c>
    </row>
    <row r="156" spans="16:41" x14ac:dyDescent="0.2">
      <c r="P156">
        <v>155</v>
      </c>
      <c r="Q156">
        <f>VLOOKUP(TableRBRanks3141[[#This Row],[RK]],Rankings!A:T,8,FALSE)</f>
        <v>0</v>
      </c>
      <c r="R156" t="str">
        <f>IFERROR(INDEX(TableRBCalcPts[TM],MATCH(TableRBRanks3141[[#This Row],[Player]],TableRBCalcPts[PLAYER],0)),"")</f>
        <v/>
      </c>
      <c r="S156" t="str">
        <f>IFERROR(INDEX(TableRBCalcPts[BYE],MATCH(TableRBRanks3141[[#This Row],[Player]],TableRBCalcPts[PLAYER],0)),"")</f>
        <v/>
      </c>
      <c r="T156" s="83">
        <f>VLOOKUP(TableRBRanks3141[[#This Row],[Player]],RB!B:O,4,FALSE)</f>
        <v>0</v>
      </c>
      <c r="U156" s="83">
        <f>VLOOKUP(TableRBRanks3141[[#This Row],[Player]],RB!B:O,5,FALSE)</f>
        <v>0</v>
      </c>
      <c r="V156" s="83">
        <f>VLOOKUP(TableRBRanks3141[[#This Row],[Player]],RB!B:O,6,FALSE)</f>
        <v>0</v>
      </c>
      <c r="W156" s="83">
        <f>VLOOKUP(TableRBRanks3141[[#This Row],[Player]],RB!B:O,7,FALSE)</f>
        <v>0</v>
      </c>
      <c r="X156" s="83">
        <f>VLOOKUP(TableRBRanks3141[[#This Row],[Player]],RB!B:O,8,FALSE)</f>
        <v>0</v>
      </c>
      <c r="Y156" s="83">
        <f>VLOOKUP(TableRBRanks3141[[#This Row],[Player]],RB!B:O,9,FALSE)</f>
        <v>0</v>
      </c>
      <c r="Z156" s="83">
        <f>VLOOKUP(TableRBRanks3141[[#This Row],[Player]],RB!B:O,10,FALSE)</f>
        <v>0</v>
      </c>
      <c r="AA156" s="57">
        <f>VLOOKUP(TableRBRanks3141[[#This Row],[Player]],RB!B:O,14,FALSE)</f>
        <v>0</v>
      </c>
      <c r="AB156" s="125" t="str">
        <f>IF(VLOOKUP(TableRBRanks3141[[#This Row],[RK]],'Ranks w Proj'!$P:$AB,13,FALSE)&lt;0,0,VLOOKUP(TableRBRanks3141[[#This Row],[RK]],'Ranks w Proj'!$P:$AB,13,FALSE))</f>
        <v/>
      </c>
      <c r="AD156">
        <v>155</v>
      </c>
      <c r="AE156">
        <f>VLOOKUP(TableWRRanks3242[[#This Row],[RK]],Rankings!A:T,13,FALSE)</f>
        <v>0</v>
      </c>
      <c r="AF156" t="str">
        <f>IFERROR(INDEX(TableWRCalcPts[TM],MATCH(TableWRRanks3242[[#This Row],[Player]],TableWRCalcPts[PLAYER],0)),"")</f>
        <v/>
      </c>
      <c r="AG156" t="str">
        <f>IFERROR(INDEX(TableWRCalcPts[BYE],MATCH(TableWRRanks3242[[#This Row],[Player]],TableWRCalcPts[PLAYER],0)),"")</f>
        <v/>
      </c>
      <c r="AH156" s="83">
        <f>VLOOKUP(TableWRRanks3242[[#This Row],[Player]],WR!B:O,4,FALSE)</f>
        <v>0</v>
      </c>
      <c r="AI156" s="83">
        <f>VLOOKUP(TableWRRanks3242[[#This Row],[Player]],WR!B:O,5,FALSE)</f>
        <v>0</v>
      </c>
      <c r="AJ156" s="83">
        <f>VLOOKUP(TableWRRanks3242[[#This Row],[Player]],WR!B:O,6,FALSE)</f>
        <v>0</v>
      </c>
      <c r="AK156" s="83">
        <f>VLOOKUP(TableWRRanks3242[[#This Row],[Player]],WR!B:O,7,FALSE)</f>
        <v>0</v>
      </c>
      <c r="AL156" s="83">
        <f>VLOOKUP(TableWRRanks3242[[#This Row],[Player]],WR!B:O,8,FALSE)</f>
        <v>0</v>
      </c>
      <c r="AM156" s="83">
        <f>VLOOKUP(TableWRRanks3242[[#This Row],[Player]],WR!B:O,9,FALSE)</f>
        <v>0</v>
      </c>
      <c r="AN156" s="57">
        <f>VLOOKUP(TableWRRanks3242[[#This Row],[Player]],WR!B:O,13,FALSE)</f>
        <v>0</v>
      </c>
      <c r="AO156" s="125">
        <f>IF(VLOOKUP(TableWRRanks3242[[#This Row],[RK]],'Ranks w Proj'!AD:AO,12,FALSE)&lt;0,0,VLOOKUP(TableWRRanks3242[[#This Row],[RK]],'Ranks w Proj'!AD:AO,12,FALSE))</f>
        <v>0</v>
      </c>
    </row>
    <row r="157" spans="16:41" x14ac:dyDescent="0.2">
      <c r="P157">
        <v>156</v>
      </c>
      <c r="Q157">
        <f>VLOOKUP(TableRBRanks3141[[#This Row],[RK]],Rankings!A:T,8,FALSE)</f>
        <v>0</v>
      </c>
      <c r="R157" t="str">
        <f>IFERROR(INDEX(TableRBCalcPts[TM],MATCH(TableRBRanks3141[[#This Row],[Player]],TableRBCalcPts[PLAYER],0)),"")</f>
        <v/>
      </c>
      <c r="S157" t="str">
        <f>IFERROR(INDEX(TableRBCalcPts[BYE],MATCH(TableRBRanks3141[[#This Row],[Player]],TableRBCalcPts[PLAYER],0)),"")</f>
        <v/>
      </c>
      <c r="T157" s="83">
        <f>VLOOKUP(TableRBRanks3141[[#This Row],[Player]],RB!B:O,4,FALSE)</f>
        <v>0</v>
      </c>
      <c r="U157" s="83">
        <f>VLOOKUP(TableRBRanks3141[[#This Row],[Player]],RB!B:O,5,FALSE)</f>
        <v>0</v>
      </c>
      <c r="V157" s="83">
        <f>VLOOKUP(TableRBRanks3141[[#This Row],[Player]],RB!B:O,6,FALSE)</f>
        <v>0</v>
      </c>
      <c r="W157" s="83">
        <f>VLOOKUP(TableRBRanks3141[[#This Row],[Player]],RB!B:O,7,FALSE)</f>
        <v>0</v>
      </c>
      <c r="X157" s="83">
        <f>VLOOKUP(TableRBRanks3141[[#This Row],[Player]],RB!B:O,8,FALSE)</f>
        <v>0</v>
      </c>
      <c r="Y157" s="83">
        <f>VLOOKUP(TableRBRanks3141[[#This Row],[Player]],RB!B:O,9,FALSE)</f>
        <v>0</v>
      </c>
      <c r="Z157" s="83">
        <f>VLOOKUP(TableRBRanks3141[[#This Row],[Player]],RB!B:O,10,FALSE)</f>
        <v>0</v>
      </c>
      <c r="AA157" s="57">
        <f>VLOOKUP(TableRBRanks3141[[#This Row],[Player]],RB!B:O,14,FALSE)</f>
        <v>0</v>
      </c>
      <c r="AB157" s="125" t="str">
        <f>IF(VLOOKUP(TableRBRanks3141[[#This Row],[RK]],'Ranks w Proj'!$P:$AB,13,FALSE)&lt;0,0,VLOOKUP(TableRBRanks3141[[#This Row],[RK]],'Ranks w Proj'!$P:$AB,13,FALSE))</f>
        <v/>
      </c>
      <c r="AD157">
        <v>156</v>
      </c>
      <c r="AE157">
        <f>VLOOKUP(TableWRRanks3242[[#This Row],[RK]],Rankings!A:T,13,FALSE)</f>
        <v>0</v>
      </c>
      <c r="AF157" t="str">
        <f>IFERROR(INDEX(TableWRCalcPts[TM],MATCH(TableWRRanks3242[[#This Row],[Player]],TableWRCalcPts[PLAYER],0)),"")</f>
        <v/>
      </c>
      <c r="AG157" t="str">
        <f>IFERROR(INDEX(TableWRCalcPts[BYE],MATCH(TableWRRanks3242[[#This Row],[Player]],TableWRCalcPts[PLAYER],0)),"")</f>
        <v/>
      </c>
      <c r="AH157" s="83">
        <f>VLOOKUP(TableWRRanks3242[[#This Row],[Player]],WR!B:O,4,FALSE)</f>
        <v>0</v>
      </c>
      <c r="AI157" s="83">
        <f>VLOOKUP(TableWRRanks3242[[#This Row],[Player]],WR!B:O,5,FALSE)</f>
        <v>0</v>
      </c>
      <c r="AJ157" s="83">
        <f>VLOOKUP(TableWRRanks3242[[#This Row],[Player]],WR!B:O,6,FALSE)</f>
        <v>0</v>
      </c>
      <c r="AK157" s="83">
        <f>VLOOKUP(TableWRRanks3242[[#This Row],[Player]],WR!B:O,7,FALSE)</f>
        <v>0</v>
      </c>
      <c r="AL157" s="83">
        <f>VLOOKUP(TableWRRanks3242[[#This Row],[Player]],WR!B:O,8,FALSE)</f>
        <v>0</v>
      </c>
      <c r="AM157" s="83">
        <f>VLOOKUP(TableWRRanks3242[[#This Row],[Player]],WR!B:O,9,FALSE)</f>
        <v>0</v>
      </c>
      <c r="AN157" s="57">
        <f>VLOOKUP(TableWRRanks3242[[#This Row],[Player]],WR!B:O,13,FALSE)</f>
        <v>0</v>
      </c>
      <c r="AO157" s="125">
        <f>IF(VLOOKUP(TableWRRanks3242[[#This Row],[RK]],'Ranks w Proj'!AD:AO,12,FALSE)&lt;0,0,VLOOKUP(TableWRRanks3242[[#This Row],[RK]],'Ranks w Proj'!AD:AO,12,FALSE))</f>
        <v>0</v>
      </c>
    </row>
    <row r="158" spans="16:41" x14ac:dyDescent="0.2">
      <c r="P158">
        <v>157</v>
      </c>
      <c r="Q158">
        <f>VLOOKUP(TableRBRanks3141[[#This Row],[RK]],Rankings!A:T,8,FALSE)</f>
        <v>0</v>
      </c>
      <c r="R158" t="str">
        <f>IFERROR(INDEX(TableRBCalcPts[TM],MATCH(TableRBRanks3141[[#This Row],[Player]],TableRBCalcPts[PLAYER],0)),"")</f>
        <v/>
      </c>
      <c r="S158" t="str">
        <f>IFERROR(INDEX(TableRBCalcPts[BYE],MATCH(TableRBRanks3141[[#This Row],[Player]],TableRBCalcPts[PLAYER],0)),"")</f>
        <v/>
      </c>
      <c r="T158" s="83">
        <f>VLOOKUP(TableRBRanks3141[[#This Row],[Player]],RB!B:O,4,FALSE)</f>
        <v>0</v>
      </c>
      <c r="U158" s="83">
        <f>VLOOKUP(TableRBRanks3141[[#This Row],[Player]],RB!B:O,5,FALSE)</f>
        <v>0</v>
      </c>
      <c r="V158" s="83">
        <f>VLOOKUP(TableRBRanks3141[[#This Row],[Player]],RB!B:O,6,FALSE)</f>
        <v>0</v>
      </c>
      <c r="W158" s="83">
        <f>VLOOKUP(TableRBRanks3141[[#This Row],[Player]],RB!B:O,7,FALSE)</f>
        <v>0</v>
      </c>
      <c r="X158" s="83">
        <f>VLOOKUP(TableRBRanks3141[[#This Row],[Player]],RB!B:O,8,FALSE)</f>
        <v>0</v>
      </c>
      <c r="Y158" s="83">
        <f>VLOOKUP(TableRBRanks3141[[#This Row],[Player]],RB!B:O,9,FALSE)</f>
        <v>0</v>
      </c>
      <c r="Z158" s="83">
        <f>VLOOKUP(TableRBRanks3141[[#This Row],[Player]],RB!B:O,10,FALSE)</f>
        <v>0</v>
      </c>
      <c r="AA158" s="57">
        <f>VLOOKUP(TableRBRanks3141[[#This Row],[Player]],RB!B:O,14,FALSE)</f>
        <v>0</v>
      </c>
      <c r="AB158" s="125" t="str">
        <f>IF(VLOOKUP(TableRBRanks3141[[#This Row],[RK]],'Ranks w Proj'!$P:$AB,13,FALSE)&lt;0,0,VLOOKUP(TableRBRanks3141[[#This Row],[RK]],'Ranks w Proj'!$P:$AB,13,FALSE))</f>
        <v/>
      </c>
      <c r="AD158">
        <v>157</v>
      </c>
      <c r="AE158">
        <f>VLOOKUP(TableWRRanks3242[[#This Row],[RK]],Rankings!A:T,13,FALSE)</f>
        <v>0</v>
      </c>
      <c r="AF158" t="str">
        <f>IFERROR(INDEX(TableWRCalcPts[TM],MATCH(TableWRRanks3242[[#This Row],[Player]],TableWRCalcPts[PLAYER],0)),"")</f>
        <v/>
      </c>
      <c r="AG158" t="str">
        <f>IFERROR(INDEX(TableWRCalcPts[BYE],MATCH(TableWRRanks3242[[#This Row],[Player]],TableWRCalcPts[PLAYER],0)),"")</f>
        <v/>
      </c>
      <c r="AH158" s="83">
        <f>VLOOKUP(TableWRRanks3242[[#This Row],[Player]],WR!B:O,4,FALSE)</f>
        <v>0</v>
      </c>
      <c r="AI158" s="83">
        <f>VLOOKUP(TableWRRanks3242[[#This Row],[Player]],WR!B:O,5,FALSE)</f>
        <v>0</v>
      </c>
      <c r="AJ158" s="83">
        <f>VLOOKUP(TableWRRanks3242[[#This Row],[Player]],WR!B:O,6,FALSE)</f>
        <v>0</v>
      </c>
      <c r="AK158" s="83">
        <f>VLOOKUP(TableWRRanks3242[[#This Row],[Player]],WR!B:O,7,FALSE)</f>
        <v>0</v>
      </c>
      <c r="AL158" s="83">
        <f>VLOOKUP(TableWRRanks3242[[#This Row],[Player]],WR!B:O,8,FALSE)</f>
        <v>0</v>
      </c>
      <c r="AM158" s="83">
        <f>VLOOKUP(TableWRRanks3242[[#This Row],[Player]],WR!B:O,9,FALSE)</f>
        <v>0</v>
      </c>
      <c r="AN158" s="57">
        <f>VLOOKUP(TableWRRanks3242[[#This Row],[Player]],WR!B:O,13,FALSE)</f>
        <v>0</v>
      </c>
      <c r="AO158" s="125">
        <f>IF(VLOOKUP(TableWRRanks3242[[#This Row],[RK]],'Ranks w Proj'!AD:AO,12,FALSE)&lt;0,0,VLOOKUP(TableWRRanks3242[[#This Row],[RK]],'Ranks w Proj'!AD:AO,12,FALSE))</f>
        <v>0</v>
      </c>
    </row>
    <row r="159" spans="16:41" x14ac:dyDescent="0.2">
      <c r="P159">
        <v>158</v>
      </c>
      <c r="Q159">
        <f>VLOOKUP(TableRBRanks3141[[#This Row],[RK]],Rankings!A:T,8,FALSE)</f>
        <v>0</v>
      </c>
      <c r="R159" t="str">
        <f>IFERROR(INDEX(TableRBCalcPts[TM],MATCH(TableRBRanks3141[[#This Row],[Player]],TableRBCalcPts[PLAYER],0)),"")</f>
        <v/>
      </c>
      <c r="S159" t="str">
        <f>IFERROR(INDEX(TableRBCalcPts[BYE],MATCH(TableRBRanks3141[[#This Row],[Player]],TableRBCalcPts[PLAYER],0)),"")</f>
        <v/>
      </c>
      <c r="T159" s="83">
        <f>VLOOKUP(TableRBRanks3141[[#This Row],[Player]],RB!B:O,4,FALSE)</f>
        <v>0</v>
      </c>
      <c r="U159" s="83">
        <f>VLOOKUP(TableRBRanks3141[[#This Row],[Player]],RB!B:O,5,FALSE)</f>
        <v>0</v>
      </c>
      <c r="V159" s="83">
        <f>VLOOKUP(TableRBRanks3141[[#This Row],[Player]],RB!B:O,6,FALSE)</f>
        <v>0</v>
      </c>
      <c r="W159" s="83">
        <f>VLOOKUP(TableRBRanks3141[[#This Row],[Player]],RB!B:O,7,FALSE)</f>
        <v>0</v>
      </c>
      <c r="X159" s="83">
        <f>VLOOKUP(TableRBRanks3141[[#This Row],[Player]],RB!B:O,8,FALSE)</f>
        <v>0</v>
      </c>
      <c r="Y159" s="83">
        <f>VLOOKUP(TableRBRanks3141[[#This Row],[Player]],RB!B:O,9,FALSE)</f>
        <v>0</v>
      </c>
      <c r="Z159" s="83">
        <f>VLOOKUP(TableRBRanks3141[[#This Row],[Player]],RB!B:O,10,FALSE)</f>
        <v>0</v>
      </c>
      <c r="AA159" s="57">
        <f>VLOOKUP(TableRBRanks3141[[#This Row],[Player]],RB!B:O,14,FALSE)</f>
        <v>0</v>
      </c>
      <c r="AB159" s="125" t="str">
        <f>IF(VLOOKUP(TableRBRanks3141[[#This Row],[RK]],'Ranks w Proj'!$P:$AB,13,FALSE)&lt;0,0,VLOOKUP(TableRBRanks3141[[#This Row],[RK]],'Ranks w Proj'!$P:$AB,13,FALSE))</f>
        <v/>
      </c>
      <c r="AD159">
        <v>158</v>
      </c>
      <c r="AE159">
        <f>VLOOKUP(TableWRRanks3242[[#This Row],[RK]],Rankings!A:T,13,FALSE)</f>
        <v>0</v>
      </c>
      <c r="AF159" t="str">
        <f>IFERROR(INDEX(TableWRCalcPts[TM],MATCH(TableWRRanks3242[[#This Row],[Player]],TableWRCalcPts[PLAYER],0)),"")</f>
        <v/>
      </c>
      <c r="AG159" t="str">
        <f>IFERROR(INDEX(TableWRCalcPts[BYE],MATCH(TableWRRanks3242[[#This Row],[Player]],TableWRCalcPts[PLAYER],0)),"")</f>
        <v/>
      </c>
      <c r="AH159" s="83">
        <f>VLOOKUP(TableWRRanks3242[[#This Row],[Player]],WR!B:O,4,FALSE)</f>
        <v>0</v>
      </c>
      <c r="AI159" s="83">
        <f>VLOOKUP(TableWRRanks3242[[#This Row],[Player]],WR!B:O,5,FALSE)</f>
        <v>0</v>
      </c>
      <c r="AJ159" s="83">
        <f>VLOOKUP(TableWRRanks3242[[#This Row],[Player]],WR!B:O,6,FALSE)</f>
        <v>0</v>
      </c>
      <c r="AK159" s="83">
        <f>VLOOKUP(TableWRRanks3242[[#This Row],[Player]],WR!B:O,7,FALSE)</f>
        <v>0</v>
      </c>
      <c r="AL159" s="83">
        <f>VLOOKUP(TableWRRanks3242[[#This Row],[Player]],WR!B:O,8,FALSE)</f>
        <v>0</v>
      </c>
      <c r="AM159" s="83">
        <f>VLOOKUP(TableWRRanks3242[[#This Row],[Player]],WR!B:O,9,FALSE)</f>
        <v>0</v>
      </c>
      <c r="AN159" s="57">
        <f>VLOOKUP(TableWRRanks3242[[#This Row],[Player]],WR!B:O,13,FALSE)</f>
        <v>0</v>
      </c>
      <c r="AO159" s="125">
        <f>IF(VLOOKUP(TableWRRanks3242[[#This Row],[RK]],'Ranks w Proj'!AD:AO,12,FALSE)&lt;0,0,VLOOKUP(TableWRRanks3242[[#This Row],[RK]],'Ranks w Proj'!AD:AO,12,FALSE))</f>
        <v>0</v>
      </c>
    </row>
    <row r="160" spans="16:41" x14ac:dyDescent="0.2">
      <c r="P160">
        <v>159</v>
      </c>
      <c r="Q160">
        <f>VLOOKUP(TableRBRanks3141[[#This Row],[RK]],Rankings!A:T,8,FALSE)</f>
        <v>0</v>
      </c>
      <c r="R160" t="str">
        <f>IFERROR(INDEX(TableRBCalcPts[TM],MATCH(TableRBRanks3141[[#This Row],[Player]],TableRBCalcPts[PLAYER],0)),"")</f>
        <v/>
      </c>
      <c r="S160" t="str">
        <f>IFERROR(INDEX(TableRBCalcPts[BYE],MATCH(TableRBRanks3141[[#This Row],[Player]],TableRBCalcPts[PLAYER],0)),"")</f>
        <v/>
      </c>
      <c r="T160" s="83">
        <f>VLOOKUP(TableRBRanks3141[[#This Row],[Player]],RB!B:O,4,FALSE)</f>
        <v>0</v>
      </c>
      <c r="U160" s="83">
        <f>VLOOKUP(TableRBRanks3141[[#This Row],[Player]],RB!B:O,5,FALSE)</f>
        <v>0</v>
      </c>
      <c r="V160" s="83">
        <f>VLOOKUP(TableRBRanks3141[[#This Row],[Player]],RB!B:O,6,FALSE)</f>
        <v>0</v>
      </c>
      <c r="W160" s="83">
        <f>VLOOKUP(TableRBRanks3141[[#This Row],[Player]],RB!B:O,7,FALSE)</f>
        <v>0</v>
      </c>
      <c r="X160" s="83">
        <f>VLOOKUP(TableRBRanks3141[[#This Row],[Player]],RB!B:O,8,FALSE)</f>
        <v>0</v>
      </c>
      <c r="Y160" s="83">
        <f>VLOOKUP(TableRBRanks3141[[#This Row],[Player]],RB!B:O,9,FALSE)</f>
        <v>0</v>
      </c>
      <c r="Z160" s="83">
        <f>VLOOKUP(TableRBRanks3141[[#This Row],[Player]],RB!B:O,10,FALSE)</f>
        <v>0</v>
      </c>
      <c r="AA160" s="57">
        <f>VLOOKUP(TableRBRanks3141[[#This Row],[Player]],RB!B:O,14,FALSE)</f>
        <v>0</v>
      </c>
      <c r="AB160" s="125" t="str">
        <f>IF(VLOOKUP(TableRBRanks3141[[#This Row],[RK]],'Ranks w Proj'!$P:$AB,13,FALSE)&lt;0,0,VLOOKUP(TableRBRanks3141[[#This Row],[RK]],'Ranks w Proj'!$P:$AB,13,FALSE))</f>
        <v/>
      </c>
      <c r="AD160">
        <v>159</v>
      </c>
      <c r="AE160">
        <f>VLOOKUP(TableWRRanks3242[[#This Row],[RK]],Rankings!A:T,13,FALSE)</f>
        <v>0</v>
      </c>
      <c r="AF160" t="str">
        <f>IFERROR(INDEX(TableWRCalcPts[TM],MATCH(TableWRRanks3242[[#This Row],[Player]],TableWRCalcPts[PLAYER],0)),"")</f>
        <v/>
      </c>
      <c r="AG160" t="str">
        <f>IFERROR(INDEX(TableWRCalcPts[BYE],MATCH(TableWRRanks3242[[#This Row],[Player]],TableWRCalcPts[PLAYER],0)),"")</f>
        <v/>
      </c>
      <c r="AH160" s="83">
        <f>VLOOKUP(TableWRRanks3242[[#This Row],[Player]],WR!B:O,4,FALSE)</f>
        <v>0</v>
      </c>
      <c r="AI160" s="83">
        <f>VLOOKUP(TableWRRanks3242[[#This Row],[Player]],WR!B:O,5,FALSE)</f>
        <v>0</v>
      </c>
      <c r="AJ160" s="83">
        <f>VLOOKUP(TableWRRanks3242[[#This Row],[Player]],WR!B:O,6,FALSE)</f>
        <v>0</v>
      </c>
      <c r="AK160" s="83">
        <f>VLOOKUP(TableWRRanks3242[[#This Row],[Player]],WR!B:O,7,FALSE)</f>
        <v>0</v>
      </c>
      <c r="AL160" s="83">
        <f>VLOOKUP(TableWRRanks3242[[#This Row],[Player]],WR!B:O,8,FALSE)</f>
        <v>0</v>
      </c>
      <c r="AM160" s="83">
        <f>VLOOKUP(TableWRRanks3242[[#This Row],[Player]],WR!B:O,9,FALSE)</f>
        <v>0</v>
      </c>
      <c r="AN160" s="57">
        <f>VLOOKUP(TableWRRanks3242[[#This Row],[Player]],WR!B:O,13,FALSE)</f>
        <v>0</v>
      </c>
      <c r="AO160" s="125">
        <f>IF(VLOOKUP(TableWRRanks3242[[#This Row],[RK]],'Ranks w Proj'!AD:AO,12,FALSE)&lt;0,0,VLOOKUP(TableWRRanks3242[[#This Row],[RK]],'Ranks w Proj'!AD:AO,12,FALSE))</f>
        <v>0</v>
      </c>
    </row>
    <row r="161" spans="16:41" x14ac:dyDescent="0.2">
      <c r="P161">
        <v>160</v>
      </c>
      <c r="Q161">
        <f>VLOOKUP(TableRBRanks3141[[#This Row],[RK]],Rankings!A:T,8,FALSE)</f>
        <v>0</v>
      </c>
      <c r="R161" t="str">
        <f>IFERROR(INDEX(TableRBCalcPts[TM],MATCH(TableRBRanks3141[[#This Row],[Player]],TableRBCalcPts[PLAYER],0)),"")</f>
        <v/>
      </c>
      <c r="S161" t="str">
        <f>IFERROR(INDEX(TableRBCalcPts[BYE],MATCH(TableRBRanks3141[[#This Row],[Player]],TableRBCalcPts[PLAYER],0)),"")</f>
        <v/>
      </c>
      <c r="T161" s="83">
        <f>VLOOKUP(TableRBRanks3141[[#This Row],[Player]],RB!B:O,4,FALSE)</f>
        <v>0</v>
      </c>
      <c r="U161" s="83">
        <f>VLOOKUP(TableRBRanks3141[[#This Row],[Player]],RB!B:O,5,FALSE)</f>
        <v>0</v>
      </c>
      <c r="V161" s="83">
        <f>VLOOKUP(TableRBRanks3141[[#This Row],[Player]],RB!B:O,6,FALSE)</f>
        <v>0</v>
      </c>
      <c r="W161" s="83">
        <f>VLOOKUP(TableRBRanks3141[[#This Row],[Player]],RB!B:O,7,FALSE)</f>
        <v>0</v>
      </c>
      <c r="X161" s="83">
        <f>VLOOKUP(TableRBRanks3141[[#This Row],[Player]],RB!B:O,8,FALSE)</f>
        <v>0</v>
      </c>
      <c r="Y161" s="83">
        <f>VLOOKUP(TableRBRanks3141[[#This Row],[Player]],RB!B:O,9,FALSE)</f>
        <v>0</v>
      </c>
      <c r="Z161" s="83">
        <f>VLOOKUP(TableRBRanks3141[[#This Row],[Player]],RB!B:O,10,FALSE)</f>
        <v>0</v>
      </c>
      <c r="AA161" s="57">
        <f>VLOOKUP(TableRBRanks3141[[#This Row],[Player]],RB!B:O,14,FALSE)</f>
        <v>0</v>
      </c>
      <c r="AB161" s="125" t="str">
        <f>IF(VLOOKUP(TableRBRanks3141[[#This Row],[RK]],'Ranks w Proj'!$P:$AB,13,FALSE)&lt;0,0,VLOOKUP(TableRBRanks3141[[#This Row],[RK]],'Ranks w Proj'!$P:$AB,13,FALSE))</f>
        <v/>
      </c>
      <c r="AD161">
        <v>160</v>
      </c>
      <c r="AE161">
        <f>VLOOKUP(TableWRRanks3242[[#This Row],[RK]],Rankings!A:T,13,FALSE)</f>
        <v>0</v>
      </c>
      <c r="AF161" t="str">
        <f>IFERROR(INDEX(TableWRCalcPts[TM],MATCH(TableWRRanks3242[[#This Row],[Player]],TableWRCalcPts[PLAYER],0)),"")</f>
        <v/>
      </c>
      <c r="AG161" t="str">
        <f>IFERROR(INDEX(TableWRCalcPts[BYE],MATCH(TableWRRanks3242[[#This Row],[Player]],TableWRCalcPts[PLAYER],0)),"")</f>
        <v/>
      </c>
      <c r="AH161" s="83">
        <f>VLOOKUP(TableWRRanks3242[[#This Row],[Player]],WR!B:O,4,FALSE)</f>
        <v>0</v>
      </c>
      <c r="AI161" s="83">
        <f>VLOOKUP(TableWRRanks3242[[#This Row],[Player]],WR!B:O,5,FALSE)</f>
        <v>0</v>
      </c>
      <c r="AJ161" s="83">
        <f>VLOOKUP(TableWRRanks3242[[#This Row],[Player]],WR!B:O,6,FALSE)</f>
        <v>0</v>
      </c>
      <c r="AK161" s="83">
        <f>VLOOKUP(TableWRRanks3242[[#This Row],[Player]],WR!B:O,7,FALSE)</f>
        <v>0</v>
      </c>
      <c r="AL161" s="83">
        <f>VLOOKUP(TableWRRanks3242[[#This Row],[Player]],WR!B:O,8,FALSE)</f>
        <v>0</v>
      </c>
      <c r="AM161" s="83">
        <f>VLOOKUP(TableWRRanks3242[[#This Row],[Player]],WR!B:O,9,FALSE)</f>
        <v>0</v>
      </c>
      <c r="AN161" s="57">
        <f>VLOOKUP(TableWRRanks3242[[#This Row],[Player]],WR!B:O,13,FALSE)</f>
        <v>0</v>
      </c>
      <c r="AO161" s="125">
        <f>IF(VLOOKUP(TableWRRanks3242[[#This Row],[RK]],'Ranks w Proj'!AD:AO,12,FALSE)&lt;0,0,VLOOKUP(TableWRRanks3242[[#This Row],[RK]],'Ranks w Proj'!AD:AO,12,FALSE))</f>
        <v>0</v>
      </c>
    </row>
    <row r="162" spans="16:41" x14ac:dyDescent="0.2">
      <c r="P162">
        <v>161</v>
      </c>
      <c r="Q162">
        <f>VLOOKUP(TableRBRanks3141[[#This Row],[RK]],Rankings!A:T,8,FALSE)</f>
        <v>0</v>
      </c>
      <c r="R162" t="str">
        <f>IFERROR(INDEX(TableRBCalcPts[TM],MATCH(TableRBRanks3141[[#This Row],[Player]],TableRBCalcPts[PLAYER],0)),"")</f>
        <v/>
      </c>
      <c r="S162" t="str">
        <f>IFERROR(INDEX(TableRBCalcPts[BYE],MATCH(TableRBRanks3141[[#This Row],[Player]],TableRBCalcPts[PLAYER],0)),"")</f>
        <v/>
      </c>
      <c r="T162" s="83">
        <f>VLOOKUP(TableRBRanks3141[[#This Row],[Player]],RB!B:O,4,FALSE)</f>
        <v>0</v>
      </c>
      <c r="U162" s="83">
        <f>VLOOKUP(TableRBRanks3141[[#This Row],[Player]],RB!B:O,5,FALSE)</f>
        <v>0</v>
      </c>
      <c r="V162" s="83">
        <f>VLOOKUP(TableRBRanks3141[[#This Row],[Player]],RB!B:O,6,FALSE)</f>
        <v>0</v>
      </c>
      <c r="W162" s="83">
        <f>VLOOKUP(TableRBRanks3141[[#This Row],[Player]],RB!B:O,7,FALSE)</f>
        <v>0</v>
      </c>
      <c r="X162" s="83">
        <f>VLOOKUP(TableRBRanks3141[[#This Row],[Player]],RB!B:O,8,FALSE)</f>
        <v>0</v>
      </c>
      <c r="Y162" s="83">
        <f>VLOOKUP(TableRBRanks3141[[#This Row],[Player]],RB!B:O,9,FALSE)</f>
        <v>0</v>
      </c>
      <c r="Z162" s="83">
        <f>VLOOKUP(TableRBRanks3141[[#This Row],[Player]],RB!B:O,10,FALSE)</f>
        <v>0</v>
      </c>
      <c r="AA162" s="57">
        <f>VLOOKUP(TableRBRanks3141[[#This Row],[Player]],RB!B:O,14,FALSE)</f>
        <v>0</v>
      </c>
      <c r="AB162" s="125" t="str">
        <f>IF(VLOOKUP(TableRBRanks3141[[#This Row],[RK]],'Ranks w Proj'!$P:$AB,13,FALSE)&lt;0,0,VLOOKUP(TableRBRanks3141[[#This Row],[RK]],'Ranks w Proj'!$P:$AB,13,FALSE))</f>
        <v/>
      </c>
      <c r="AD162">
        <v>161</v>
      </c>
      <c r="AE162">
        <f>VLOOKUP(TableWRRanks3242[[#This Row],[RK]],Rankings!A:T,13,FALSE)</f>
        <v>0</v>
      </c>
      <c r="AF162" t="str">
        <f>IFERROR(INDEX(TableWRCalcPts[TM],MATCH(TableWRRanks3242[[#This Row],[Player]],TableWRCalcPts[PLAYER],0)),"")</f>
        <v/>
      </c>
      <c r="AG162" t="str">
        <f>IFERROR(INDEX(TableWRCalcPts[BYE],MATCH(TableWRRanks3242[[#This Row],[Player]],TableWRCalcPts[PLAYER],0)),"")</f>
        <v/>
      </c>
      <c r="AH162" s="83">
        <f>VLOOKUP(TableWRRanks3242[[#This Row],[Player]],WR!B:O,4,FALSE)</f>
        <v>0</v>
      </c>
      <c r="AI162" s="83">
        <f>VLOOKUP(TableWRRanks3242[[#This Row],[Player]],WR!B:O,5,FALSE)</f>
        <v>0</v>
      </c>
      <c r="AJ162" s="83">
        <f>VLOOKUP(TableWRRanks3242[[#This Row],[Player]],WR!B:O,6,FALSE)</f>
        <v>0</v>
      </c>
      <c r="AK162" s="83">
        <f>VLOOKUP(TableWRRanks3242[[#This Row],[Player]],WR!B:O,7,FALSE)</f>
        <v>0</v>
      </c>
      <c r="AL162" s="83">
        <f>VLOOKUP(TableWRRanks3242[[#This Row],[Player]],WR!B:O,8,FALSE)</f>
        <v>0</v>
      </c>
      <c r="AM162" s="83">
        <f>VLOOKUP(TableWRRanks3242[[#This Row],[Player]],WR!B:O,9,FALSE)</f>
        <v>0</v>
      </c>
      <c r="AN162" s="57">
        <f>VLOOKUP(TableWRRanks3242[[#This Row],[Player]],WR!B:O,13,FALSE)</f>
        <v>0</v>
      </c>
      <c r="AO162" s="125">
        <f>IF(VLOOKUP(TableWRRanks3242[[#This Row],[RK]],'Ranks w Proj'!AD:AO,12,FALSE)&lt;0,0,VLOOKUP(TableWRRanks3242[[#This Row],[RK]],'Ranks w Proj'!AD:AO,12,FALSE))</f>
        <v>0</v>
      </c>
    </row>
    <row r="163" spans="16:41" x14ac:dyDescent="0.2">
      <c r="P163">
        <v>162</v>
      </c>
      <c r="Q163">
        <f>VLOOKUP(TableRBRanks3141[[#This Row],[RK]],Rankings!A:T,8,FALSE)</f>
        <v>0</v>
      </c>
      <c r="R163" t="str">
        <f>IFERROR(INDEX(TableRBCalcPts[TM],MATCH(TableRBRanks3141[[#This Row],[Player]],TableRBCalcPts[PLAYER],0)),"")</f>
        <v/>
      </c>
      <c r="S163" t="str">
        <f>IFERROR(INDEX(TableRBCalcPts[BYE],MATCH(TableRBRanks3141[[#This Row],[Player]],TableRBCalcPts[PLAYER],0)),"")</f>
        <v/>
      </c>
      <c r="T163" s="83">
        <f>VLOOKUP(TableRBRanks3141[[#This Row],[Player]],RB!B:O,4,FALSE)</f>
        <v>0</v>
      </c>
      <c r="U163" s="83">
        <f>VLOOKUP(TableRBRanks3141[[#This Row],[Player]],RB!B:O,5,FALSE)</f>
        <v>0</v>
      </c>
      <c r="V163" s="83">
        <f>VLOOKUP(TableRBRanks3141[[#This Row],[Player]],RB!B:O,6,FALSE)</f>
        <v>0</v>
      </c>
      <c r="W163" s="83">
        <f>VLOOKUP(TableRBRanks3141[[#This Row],[Player]],RB!B:O,7,FALSE)</f>
        <v>0</v>
      </c>
      <c r="X163" s="83">
        <f>VLOOKUP(TableRBRanks3141[[#This Row],[Player]],RB!B:O,8,FALSE)</f>
        <v>0</v>
      </c>
      <c r="Y163" s="83">
        <f>VLOOKUP(TableRBRanks3141[[#This Row],[Player]],RB!B:O,9,FALSE)</f>
        <v>0</v>
      </c>
      <c r="Z163" s="83">
        <f>VLOOKUP(TableRBRanks3141[[#This Row],[Player]],RB!B:O,10,FALSE)</f>
        <v>0</v>
      </c>
      <c r="AA163" s="57">
        <f>VLOOKUP(TableRBRanks3141[[#This Row],[Player]],RB!B:O,14,FALSE)</f>
        <v>0</v>
      </c>
      <c r="AB163" s="125" t="str">
        <f>IF(VLOOKUP(TableRBRanks3141[[#This Row],[RK]],'Ranks w Proj'!$P:$AB,13,FALSE)&lt;0,0,VLOOKUP(TableRBRanks3141[[#This Row],[RK]],'Ranks w Proj'!$P:$AB,13,FALSE))</f>
        <v/>
      </c>
      <c r="AD163">
        <v>162</v>
      </c>
      <c r="AE163">
        <f>VLOOKUP(TableWRRanks3242[[#This Row],[RK]],Rankings!A:T,13,FALSE)</f>
        <v>0</v>
      </c>
      <c r="AF163" t="str">
        <f>IFERROR(INDEX(TableWRCalcPts[TM],MATCH(TableWRRanks3242[[#This Row],[Player]],TableWRCalcPts[PLAYER],0)),"")</f>
        <v/>
      </c>
      <c r="AG163" t="str">
        <f>IFERROR(INDEX(TableWRCalcPts[BYE],MATCH(TableWRRanks3242[[#This Row],[Player]],TableWRCalcPts[PLAYER],0)),"")</f>
        <v/>
      </c>
      <c r="AH163" s="83">
        <f>VLOOKUP(TableWRRanks3242[[#This Row],[Player]],WR!B:O,4,FALSE)</f>
        <v>0</v>
      </c>
      <c r="AI163" s="83">
        <f>VLOOKUP(TableWRRanks3242[[#This Row],[Player]],WR!B:O,5,FALSE)</f>
        <v>0</v>
      </c>
      <c r="AJ163" s="83">
        <f>VLOOKUP(TableWRRanks3242[[#This Row],[Player]],WR!B:O,6,FALSE)</f>
        <v>0</v>
      </c>
      <c r="AK163" s="83">
        <f>VLOOKUP(TableWRRanks3242[[#This Row],[Player]],WR!B:O,7,FALSE)</f>
        <v>0</v>
      </c>
      <c r="AL163" s="83">
        <f>VLOOKUP(TableWRRanks3242[[#This Row],[Player]],WR!B:O,8,FALSE)</f>
        <v>0</v>
      </c>
      <c r="AM163" s="83">
        <f>VLOOKUP(TableWRRanks3242[[#This Row],[Player]],WR!B:O,9,FALSE)</f>
        <v>0</v>
      </c>
      <c r="AN163" s="57">
        <f>VLOOKUP(TableWRRanks3242[[#This Row],[Player]],WR!B:O,13,FALSE)</f>
        <v>0</v>
      </c>
      <c r="AO163" s="125">
        <f>IF(VLOOKUP(TableWRRanks3242[[#This Row],[RK]],'Ranks w Proj'!AD:AO,12,FALSE)&lt;0,0,VLOOKUP(TableWRRanks3242[[#This Row],[RK]],'Ranks w Proj'!AD:AO,12,FALSE))</f>
        <v>0</v>
      </c>
    </row>
    <row r="164" spans="16:41" x14ac:dyDescent="0.2">
      <c r="P164">
        <v>163</v>
      </c>
      <c r="Q164">
        <f>VLOOKUP(TableRBRanks3141[[#This Row],[RK]],Rankings!A:T,8,FALSE)</f>
        <v>0</v>
      </c>
      <c r="R164" t="str">
        <f>IFERROR(INDEX(TableRBCalcPts[TM],MATCH(TableRBRanks3141[[#This Row],[Player]],TableRBCalcPts[PLAYER],0)),"")</f>
        <v/>
      </c>
      <c r="S164" t="str">
        <f>IFERROR(INDEX(TableRBCalcPts[BYE],MATCH(TableRBRanks3141[[#This Row],[Player]],TableRBCalcPts[PLAYER],0)),"")</f>
        <v/>
      </c>
      <c r="T164" s="83">
        <f>VLOOKUP(TableRBRanks3141[[#This Row],[Player]],RB!B:O,4,FALSE)</f>
        <v>0</v>
      </c>
      <c r="U164" s="83">
        <f>VLOOKUP(TableRBRanks3141[[#This Row],[Player]],RB!B:O,5,FALSE)</f>
        <v>0</v>
      </c>
      <c r="V164" s="83">
        <f>VLOOKUP(TableRBRanks3141[[#This Row],[Player]],RB!B:O,6,FALSE)</f>
        <v>0</v>
      </c>
      <c r="W164" s="83">
        <f>VLOOKUP(TableRBRanks3141[[#This Row],[Player]],RB!B:O,7,FALSE)</f>
        <v>0</v>
      </c>
      <c r="X164" s="83">
        <f>VLOOKUP(TableRBRanks3141[[#This Row],[Player]],RB!B:O,8,FALSE)</f>
        <v>0</v>
      </c>
      <c r="Y164" s="83">
        <f>VLOOKUP(TableRBRanks3141[[#This Row],[Player]],RB!B:O,9,FALSE)</f>
        <v>0</v>
      </c>
      <c r="Z164" s="83">
        <f>VLOOKUP(TableRBRanks3141[[#This Row],[Player]],RB!B:O,10,FALSE)</f>
        <v>0</v>
      </c>
      <c r="AA164" s="57">
        <f>VLOOKUP(TableRBRanks3141[[#This Row],[Player]],RB!B:O,14,FALSE)</f>
        <v>0</v>
      </c>
      <c r="AB164" s="125" t="str">
        <f>IF(VLOOKUP(TableRBRanks3141[[#This Row],[RK]],'Ranks w Proj'!$P:$AB,13,FALSE)&lt;0,0,VLOOKUP(TableRBRanks3141[[#This Row],[RK]],'Ranks w Proj'!$P:$AB,13,FALSE))</f>
        <v/>
      </c>
      <c r="AD164">
        <v>163</v>
      </c>
      <c r="AE164">
        <f>VLOOKUP(TableWRRanks3242[[#This Row],[RK]],Rankings!A:T,13,FALSE)</f>
        <v>0</v>
      </c>
      <c r="AF164" t="str">
        <f>IFERROR(INDEX(TableWRCalcPts[TM],MATCH(TableWRRanks3242[[#This Row],[Player]],TableWRCalcPts[PLAYER],0)),"")</f>
        <v/>
      </c>
      <c r="AG164" t="str">
        <f>IFERROR(INDEX(TableWRCalcPts[BYE],MATCH(TableWRRanks3242[[#This Row],[Player]],TableWRCalcPts[PLAYER],0)),"")</f>
        <v/>
      </c>
      <c r="AH164" s="83">
        <f>VLOOKUP(TableWRRanks3242[[#This Row],[Player]],WR!B:O,4,FALSE)</f>
        <v>0</v>
      </c>
      <c r="AI164" s="83">
        <f>VLOOKUP(TableWRRanks3242[[#This Row],[Player]],WR!B:O,5,FALSE)</f>
        <v>0</v>
      </c>
      <c r="AJ164" s="83">
        <f>VLOOKUP(TableWRRanks3242[[#This Row],[Player]],WR!B:O,6,FALSE)</f>
        <v>0</v>
      </c>
      <c r="AK164" s="83">
        <f>VLOOKUP(TableWRRanks3242[[#This Row],[Player]],WR!B:O,7,FALSE)</f>
        <v>0</v>
      </c>
      <c r="AL164" s="83">
        <f>VLOOKUP(TableWRRanks3242[[#This Row],[Player]],WR!B:O,8,FALSE)</f>
        <v>0</v>
      </c>
      <c r="AM164" s="83">
        <f>VLOOKUP(TableWRRanks3242[[#This Row],[Player]],WR!B:O,9,FALSE)</f>
        <v>0</v>
      </c>
      <c r="AN164" s="57">
        <f>VLOOKUP(TableWRRanks3242[[#This Row],[Player]],WR!B:O,13,FALSE)</f>
        <v>0</v>
      </c>
      <c r="AO164" s="125">
        <f>IF(VLOOKUP(TableWRRanks3242[[#This Row],[RK]],'Ranks w Proj'!AD:AO,12,FALSE)&lt;0,0,VLOOKUP(TableWRRanks3242[[#This Row],[RK]],'Ranks w Proj'!AD:AO,12,FALSE))</f>
        <v>0</v>
      </c>
    </row>
    <row r="165" spans="16:41" x14ac:dyDescent="0.2">
      <c r="P165">
        <v>164</v>
      </c>
      <c r="Q165">
        <f>VLOOKUP(TableRBRanks3141[[#This Row],[RK]],Rankings!A:T,8,FALSE)</f>
        <v>0</v>
      </c>
      <c r="R165" t="str">
        <f>IFERROR(INDEX(TableRBCalcPts[TM],MATCH(TableRBRanks3141[[#This Row],[Player]],TableRBCalcPts[PLAYER],0)),"")</f>
        <v/>
      </c>
      <c r="S165" t="str">
        <f>IFERROR(INDEX(TableRBCalcPts[BYE],MATCH(TableRBRanks3141[[#This Row],[Player]],TableRBCalcPts[PLAYER],0)),"")</f>
        <v/>
      </c>
      <c r="T165" s="83">
        <f>VLOOKUP(TableRBRanks3141[[#This Row],[Player]],RB!B:O,4,FALSE)</f>
        <v>0</v>
      </c>
      <c r="U165" s="83">
        <f>VLOOKUP(TableRBRanks3141[[#This Row],[Player]],RB!B:O,5,FALSE)</f>
        <v>0</v>
      </c>
      <c r="V165" s="83">
        <f>VLOOKUP(TableRBRanks3141[[#This Row],[Player]],RB!B:O,6,FALSE)</f>
        <v>0</v>
      </c>
      <c r="W165" s="83">
        <f>VLOOKUP(TableRBRanks3141[[#This Row],[Player]],RB!B:O,7,FALSE)</f>
        <v>0</v>
      </c>
      <c r="X165" s="83">
        <f>VLOOKUP(TableRBRanks3141[[#This Row],[Player]],RB!B:O,8,FALSE)</f>
        <v>0</v>
      </c>
      <c r="Y165" s="83">
        <f>VLOOKUP(TableRBRanks3141[[#This Row],[Player]],RB!B:O,9,FALSE)</f>
        <v>0</v>
      </c>
      <c r="Z165" s="83">
        <f>VLOOKUP(TableRBRanks3141[[#This Row],[Player]],RB!B:O,10,FALSE)</f>
        <v>0</v>
      </c>
      <c r="AA165" s="57">
        <f>VLOOKUP(TableRBRanks3141[[#This Row],[Player]],RB!B:O,14,FALSE)</f>
        <v>0</v>
      </c>
      <c r="AB165" s="125" t="str">
        <f>IF(VLOOKUP(TableRBRanks3141[[#This Row],[RK]],'Ranks w Proj'!$P:$AB,13,FALSE)&lt;0,0,VLOOKUP(TableRBRanks3141[[#This Row],[RK]],'Ranks w Proj'!$P:$AB,13,FALSE))</f>
        <v/>
      </c>
      <c r="AD165">
        <v>164</v>
      </c>
      <c r="AE165">
        <f>VLOOKUP(TableWRRanks3242[[#This Row],[RK]],Rankings!A:T,13,FALSE)</f>
        <v>0</v>
      </c>
      <c r="AF165" t="str">
        <f>IFERROR(INDEX(TableWRCalcPts[TM],MATCH(TableWRRanks3242[[#This Row],[Player]],TableWRCalcPts[PLAYER],0)),"")</f>
        <v/>
      </c>
      <c r="AG165" t="str">
        <f>IFERROR(INDEX(TableWRCalcPts[BYE],MATCH(TableWRRanks3242[[#This Row],[Player]],TableWRCalcPts[PLAYER],0)),"")</f>
        <v/>
      </c>
      <c r="AH165" s="83">
        <f>VLOOKUP(TableWRRanks3242[[#This Row],[Player]],WR!B:O,4,FALSE)</f>
        <v>0</v>
      </c>
      <c r="AI165" s="83">
        <f>VLOOKUP(TableWRRanks3242[[#This Row],[Player]],WR!B:O,5,FALSE)</f>
        <v>0</v>
      </c>
      <c r="AJ165" s="83">
        <f>VLOOKUP(TableWRRanks3242[[#This Row],[Player]],WR!B:O,6,FALSE)</f>
        <v>0</v>
      </c>
      <c r="AK165" s="83">
        <f>VLOOKUP(TableWRRanks3242[[#This Row],[Player]],WR!B:O,7,FALSE)</f>
        <v>0</v>
      </c>
      <c r="AL165" s="83">
        <f>VLOOKUP(TableWRRanks3242[[#This Row],[Player]],WR!B:O,8,FALSE)</f>
        <v>0</v>
      </c>
      <c r="AM165" s="83">
        <f>VLOOKUP(TableWRRanks3242[[#This Row],[Player]],WR!B:O,9,FALSE)</f>
        <v>0</v>
      </c>
      <c r="AN165" s="57">
        <f>VLOOKUP(TableWRRanks3242[[#This Row],[Player]],WR!B:O,13,FALSE)</f>
        <v>0</v>
      </c>
      <c r="AO165" s="125">
        <f>IF(VLOOKUP(TableWRRanks3242[[#This Row],[RK]],'Ranks w Proj'!AD:AO,12,FALSE)&lt;0,0,VLOOKUP(TableWRRanks3242[[#This Row],[RK]],'Ranks w Proj'!AD:AO,12,FALSE))</f>
        <v>0</v>
      </c>
    </row>
    <row r="166" spans="16:41" x14ac:dyDescent="0.2">
      <c r="P166">
        <v>165</v>
      </c>
      <c r="Q166">
        <f>VLOOKUP(TableRBRanks3141[[#This Row],[RK]],Rankings!A:T,8,FALSE)</f>
        <v>0</v>
      </c>
      <c r="R166" t="str">
        <f>IFERROR(INDEX(TableRBCalcPts[TM],MATCH(TableRBRanks3141[[#This Row],[Player]],TableRBCalcPts[PLAYER],0)),"")</f>
        <v/>
      </c>
      <c r="S166" t="str">
        <f>IFERROR(INDEX(TableRBCalcPts[BYE],MATCH(TableRBRanks3141[[#This Row],[Player]],TableRBCalcPts[PLAYER],0)),"")</f>
        <v/>
      </c>
      <c r="T166" s="83">
        <f>VLOOKUP(TableRBRanks3141[[#This Row],[Player]],RB!B:O,4,FALSE)</f>
        <v>0</v>
      </c>
      <c r="U166" s="83">
        <f>VLOOKUP(TableRBRanks3141[[#This Row],[Player]],RB!B:O,5,FALSE)</f>
        <v>0</v>
      </c>
      <c r="V166" s="83">
        <f>VLOOKUP(TableRBRanks3141[[#This Row],[Player]],RB!B:O,6,FALSE)</f>
        <v>0</v>
      </c>
      <c r="W166" s="83">
        <f>VLOOKUP(TableRBRanks3141[[#This Row],[Player]],RB!B:O,7,FALSE)</f>
        <v>0</v>
      </c>
      <c r="X166" s="83">
        <f>VLOOKUP(TableRBRanks3141[[#This Row],[Player]],RB!B:O,8,FALSE)</f>
        <v>0</v>
      </c>
      <c r="Y166" s="83">
        <f>VLOOKUP(TableRBRanks3141[[#This Row],[Player]],RB!B:O,9,FALSE)</f>
        <v>0</v>
      </c>
      <c r="Z166" s="83">
        <f>VLOOKUP(TableRBRanks3141[[#This Row],[Player]],RB!B:O,10,FALSE)</f>
        <v>0</v>
      </c>
      <c r="AA166" s="57">
        <f>VLOOKUP(TableRBRanks3141[[#This Row],[Player]],RB!B:O,14,FALSE)</f>
        <v>0</v>
      </c>
      <c r="AB166" s="125" t="str">
        <f>IF(VLOOKUP(TableRBRanks3141[[#This Row],[RK]],'Ranks w Proj'!$P:$AB,13,FALSE)&lt;0,0,VLOOKUP(TableRBRanks3141[[#This Row],[RK]],'Ranks w Proj'!$P:$AB,13,FALSE))</f>
        <v/>
      </c>
      <c r="AD166">
        <v>165</v>
      </c>
      <c r="AE166">
        <f>VLOOKUP(TableWRRanks3242[[#This Row],[RK]],Rankings!A:T,13,FALSE)</f>
        <v>0</v>
      </c>
      <c r="AF166" t="str">
        <f>IFERROR(INDEX(TableWRCalcPts[TM],MATCH(TableWRRanks3242[[#This Row],[Player]],TableWRCalcPts[PLAYER],0)),"")</f>
        <v/>
      </c>
      <c r="AG166" t="str">
        <f>IFERROR(INDEX(TableWRCalcPts[BYE],MATCH(TableWRRanks3242[[#This Row],[Player]],TableWRCalcPts[PLAYER],0)),"")</f>
        <v/>
      </c>
      <c r="AH166" s="83">
        <f>VLOOKUP(TableWRRanks3242[[#This Row],[Player]],WR!B:O,4,FALSE)</f>
        <v>0</v>
      </c>
      <c r="AI166" s="83">
        <f>VLOOKUP(TableWRRanks3242[[#This Row],[Player]],WR!B:O,5,FALSE)</f>
        <v>0</v>
      </c>
      <c r="AJ166" s="83">
        <f>VLOOKUP(TableWRRanks3242[[#This Row],[Player]],WR!B:O,6,FALSE)</f>
        <v>0</v>
      </c>
      <c r="AK166" s="83">
        <f>VLOOKUP(TableWRRanks3242[[#This Row],[Player]],WR!B:O,7,FALSE)</f>
        <v>0</v>
      </c>
      <c r="AL166" s="83">
        <f>VLOOKUP(TableWRRanks3242[[#This Row],[Player]],WR!B:O,8,FALSE)</f>
        <v>0</v>
      </c>
      <c r="AM166" s="83">
        <f>VLOOKUP(TableWRRanks3242[[#This Row],[Player]],WR!B:O,9,FALSE)</f>
        <v>0</v>
      </c>
      <c r="AN166" s="57">
        <f>VLOOKUP(TableWRRanks3242[[#This Row],[Player]],WR!B:O,13,FALSE)</f>
        <v>0</v>
      </c>
      <c r="AO166" s="125">
        <f>IF(VLOOKUP(TableWRRanks3242[[#This Row],[RK]],'Ranks w Proj'!AD:AO,12,FALSE)&lt;0,0,VLOOKUP(TableWRRanks3242[[#This Row],[RK]],'Ranks w Proj'!AD:AO,12,FALSE))</f>
        <v>0</v>
      </c>
    </row>
    <row r="167" spans="16:41" x14ac:dyDescent="0.2">
      <c r="P167">
        <v>166</v>
      </c>
      <c r="Q167">
        <f>VLOOKUP(TableRBRanks3141[[#This Row],[RK]],Rankings!A:T,8,FALSE)</f>
        <v>0</v>
      </c>
      <c r="R167" t="str">
        <f>IFERROR(INDEX(TableRBCalcPts[TM],MATCH(TableRBRanks3141[[#This Row],[Player]],TableRBCalcPts[PLAYER],0)),"")</f>
        <v/>
      </c>
      <c r="S167" t="str">
        <f>IFERROR(INDEX(TableRBCalcPts[BYE],MATCH(TableRBRanks3141[[#This Row],[Player]],TableRBCalcPts[PLAYER],0)),"")</f>
        <v/>
      </c>
      <c r="T167" s="83">
        <f>VLOOKUP(TableRBRanks3141[[#This Row],[Player]],RB!B:O,4,FALSE)</f>
        <v>0</v>
      </c>
      <c r="U167" s="83">
        <f>VLOOKUP(TableRBRanks3141[[#This Row],[Player]],RB!B:O,5,FALSE)</f>
        <v>0</v>
      </c>
      <c r="V167" s="83">
        <f>VLOOKUP(TableRBRanks3141[[#This Row],[Player]],RB!B:O,6,FALSE)</f>
        <v>0</v>
      </c>
      <c r="W167" s="83">
        <f>VLOOKUP(TableRBRanks3141[[#This Row],[Player]],RB!B:O,7,FALSE)</f>
        <v>0</v>
      </c>
      <c r="X167" s="83">
        <f>VLOOKUP(TableRBRanks3141[[#This Row],[Player]],RB!B:O,8,FALSE)</f>
        <v>0</v>
      </c>
      <c r="Y167" s="83">
        <f>VLOOKUP(TableRBRanks3141[[#This Row],[Player]],RB!B:O,9,FALSE)</f>
        <v>0</v>
      </c>
      <c r="Z167" s="83">
        <f>VLOOKUP(TableRBRanks3141[[#This Row],[Player]],RB!B:O,10,FALSE)</f>
        <v>0</v>
      </c>
      <c r="AA167" s="57">
        <f>VLOOKUP(TableRBRanks3141[[#This Row],[Player]],RB!B:O,14,FALSE)</f>
        <v>0</v>
      </c>
      <c r="AB167" s="125" t="str">
        <f>IF(VLOOKUP(TableRBRanks3141[[#This Row],[RK]],'Ranks w Proj'!$P:$AB,13,FALSE)&lt;0,0,VLOOKUP(TableRBRanks3141[[#This Row],[RK]],'Ranks w Proj'!$P:$AB,13,FALSE))</f>
        <v/>
      </c>
      <c r="AD167">
        <v>166</v>
      </c>
      <c r="AE167">
        <f>VLOOKUP(TableWRRanks3242[[#This Row],[RK]],Rankings!A:T,13,FALSE)</f>
        <v>0</v>
      </c>
      <c r="AF167" t="str">
        <f>IFERROR(INDEX(TableWRCalcPts[TM],MATCH(TableWRRanks3242[[#This Row],[Player]],TableWRCalcPts[PLAYER],0)),"")</f>
        <v/>
      </c>
      <c r="AG167" t="str">
        <f>IFERROR(INDEX(TableWRCalcPts[BYE],MATCH(TableWRRanks3242[[#This Row],[Player]],TableWRCalcPts[PLAYER],0)),"")</f>
        <v/>
      </c>
      <c r="AH167" s="83">
        <f>VLOOKUP(TableWRRanks3242[[#This Row],[Player]],WR!B:O,4,FALSE)</f>
        <v>0</v>
      </c>
      <c r="AI167" s="83">
        <f>VLOOKUP(TableWRRanks3242[[#This Row],[Player]],WR!B:O,5,FALSE)</f>
        <v>0</v>
      </c>
      <c r="AJ167" s="83">
        <f>VLOOKUP(TableWRRanks3242[[#This Row],[Player]],WR!B:O,6,FALSE)</f>
        <v>0</v>
      </c>
      <c r="AK167" s="83">
        <f>VLOOKUP(TableWRRanks3242[[#This Row],[Player]],WR!B:O,7,FALSE)</f>
        <v>0</v>
      </c>
      <c r="AL167" s="83">
        <f>VLOOKUP(TableWRRanks3242[[#This Row],[Player]],WR!B:O,8,FALSE)</f>
        <v>0</v>
      </c>
      <c r="AM167" s="83">
        <f>VLOOKUP(TableWRRanks3242[[#This Row],[Player]],WR!B:O,9,FALSE)</f>
        <v>0</v>
      </c>
      <c r="AN167" s="57">
        <f>VLOOKUP(TableWRRanks3242[[#This Row],[Player]],WR!B:O,13,FALSE)</f>
        <v>0</v>
      </c>
      <c r="AO167" s="125">
        <f>IF(VLOOKUP(TableWRRanks3242[[#This Row],[RK]],'Ranks w Proj'!AD:AO,12,FALSE)&lt;0,0,VLOOKUP(TableWRRanks3242[[#This Row],[RK]],'Ranks w Proj'!AD:AO,12,FALSE))</f>
        <v>0</v>
      </c>
    </row>
    <row r="168" spans="16:41" x14ac:dyDescent="0.2">
      <c r="P168">
        <v>167</v>
      </c>
      <c r="Q168">
        <f>VLOOKUP(TableRBRanks3141[[#This Row],[RK]],Rankings!A:T,8,FALSE)</f>
        <v>0</v>
      </c>
      <c r="R168" t="str">
        <f>IFERROR(INDEX(TableRBCalcPts[TM],MATCH(TableRBRanks3141[[#This Row],[Player]],TableRBCalcPts[PLAYER],0)),"")</f>
        <v/>
      </c>
      <c r="S168" t="str">
        <f>IFERROR(INDEX(TableRBCalcPts[BYE],MATCH(TableRBRanks3141[[#This Row],[Player]],TableRBCalcPts[PLAYER],0)),"")</f>
        <v/>
      </c>
      <c r="T168" s="83">
        <f>VLOOKUP(TableRBRanks3141[[#This Row],[Player]],RB!B:O,4,FALSE)</f>
        <v>0</v>
      </c>
      <c r="U168" s="83">
        <f>VLOOKUP(TableRBRanks3141[[#This Row],[Player]],RB!B:O,5,FALSE)</f>
        <v>0</v>
      </c>
      <c r="V168" s="83">
        <f>VLOOKUP(TableRBRanks3141[[#This Row],[Player]],RB!B:O,6,FALSE)</f>
        <v>0</v>
      </c>
      <c r="W168" s="83">
        <f>VLOOKUP(TableRBRanks3141[[#This Row],[Player]],RB!B:O,7,FALSE)</f>
        <v>0</v>
      </c>
      <c r="X168" s="83">
        <f>VLOOKUP(TableRBRanks3141[[#This Row],[Player]],RB!B:O,8,FALSE)</f>
        <v>0</v>
      </c>
      <c r="Y168" s="83">
        <f>VLOOKUP(TableRBRanks3141[[#This Row],[Player]],RB!B:O,9,FALSE)</f>
        <v>0</v>
      </c>
      <c r="Z168" s="83">
        <f>VLOOKUP(TableRBRanks3141[[#This Row],[Player]],RB!B:O,10,FALSE)</f>
        <v>0</v>
      </c>
      <c r="AA168" s="57">
        <f>VLOOKUP(TableRBRanks3141[[#This Row],[Player]],RB!B:O,14,FALSE)</f>
        <v>0</v>
      </c>
      <c r="AB168" s="125" t="str">
        <f>IF(VLOOKUP(TableRBRanks3141[[#This Row],[RK]],'Ranks w Proj'!$P:$AB,13,FALSE)&lt;0,0,VLOOKUP(TableRBRanks3141[[#This Row],[RK]],'Ranks w Proj'!$P:$AB,13,FALSE))</f>
        <v/>
      </c>
      <c r="AD168">
        <v>167</v>
      </c>
      <c r="AE168">
        <f>VLOOKUP(TableWRRanks3242[[#This Row],[RK]],Rankings!A:T,13,FALSE)</f>
        <v>0</v>
      </c>
      <c r="AF168" t="str">
        <f>IFERROR(INDEX(TableWRCalcPts[TM],MATCH(TableWRRanks3242[[#This Row],[Player]],TableWRCalcPts[PLAYER],0)),"")</f>
        <v/>
      </c>
      <c r="AG168" t="str">
        <f>IFERROR(INDEX(TableWRCalcPts[BYE],MATCH(TableWRRanks3242[[#This Row],[Player]],TableWRCalcPts[PLAYER],0)),"")</f>
        <v/>
      </c>
      <c r="AH168" s="83">
        <f>VLOOKUP(TableWRRanks3242[[#This Row],[Player]],WR!B:O,4,FALSE)</f>
        <v>0</v>
      </c>
      <c r="AI168" s="83">
        <f>VLOOKUP(TableWRRanks3242[[#This Row],[Player]],WR!B:O,5,FALSE)</f>
        <v>0</v>
      </c>
      <c r="AJ168" s="83">
        <f>VLOOKUP(TableWRRanks3242[[#This Row],[Player]],WR!B:O,6,FALSE)</f>
        <v>0</v>
      </c>
      <c r="AK168" s="83">
        <f>VLOOKUP(TableWRRanks3242[[#This Row],[Player]],WR!B:O,7,FALSE)</f>
        <v>0</v>
      </c>
      <c r="AL168" s="83">
        <f>VLOOKUP(TableWRRanks3242[[#This Row],[Player]],WR!B:O,8,FALSE)</f>
        <v>0</v>
      </c>
      <c r="AM168" s="83">
        <f>VLOOKUP(TableWRRanks3242[[#This Row],[Player]],WR!B:O,9,FALSE)</f>
        <v>0</v>
      </c>
      <c r="AN168" s="57">
        <f>VLOOKUP(TableWRRanks3242[[#This Row],[Player]],WR!B:O,13,FALSE)</f>
        <v>0</v>
      </c>
      <c r="AO168" s="125">
        <f>IF(VLOOKUP(TableWRRanks3242[[#This Row],[RK]],'Ranks w Proj'!AD:AO,12,FALSE)&lt;0,0,VLOOKUP(TableWRRanks3242[[#This Row],[RK]],'Ranks w Proj'!AD:AO,12,FALSE))</f>
        <v>0</v>
      </c>
    </row>
    <row r="169" spans="16:41" x14ac:dyDescent="0.2">
      <c r="P169">
        <v>168</v>
      </c>
      <c r="Q169">
        <f>VLOOKUP(TableRBRanks3141[[#This Row],[RK]],Rankings!A:T,8,FALSE)</f>
        <v>0</v>
      </c>
      <c r="R169" t="str">
        <f>IFERROR(INDEX(TableRBCalcPts[TM],MATCH(TableRBRanks3141[[#This Row],[Player]],TableRBCalcPts[PLAYER],0)),"")</f>
        <v/>
      </c>
      <c r="S169" t="str">
        <f>IFERROR(INDEX(TableRBCalcPts[BYE],MATCH(TableRBRanks3141[[#This Row],[Player]],TableRBCalcPts[PLAYER],0)),"")</f>
        <v/>
      </c>
      <c r="T169" s="83">
        <f>VLOOKUP(TableRBRanks3141[[#This Row],[Player]],RB!B:O,4,FALSE)</f>
        <v>0</v>
      </c>
      <c r="U169" s="83">
        <f>VLOOKUP(TableRBRanks3141[[#This Row],[Player]],RB!B:O,5,FALSE)</f>
        <v>0</v>
      </c>
      <c r="V169" s="83">
        <f>VLOOKUP(TableRBRanks3141[[#This Row],[Player]],RB!B:O,6,FALSE)</f>
        <v>0</v>
      </c>
      <c r="W169" s="83">
        <f>VLOOKUP(TableRBRanks3141[[#This Row],[Player]],RB!B:O,7,FALSE)</f>
        <v>0</v>
      </c>
      <c r="X169" s="83">
        <f>VLOOKUP(TableRBRanks3141[[#This Row],[Player]],RB!B:O,8,FALSE)</f>
        <v>0</v>
      </c>
      <c r="Y169" s="83">
        <f>VLOOKUP(TableRBRanks3141[[#This Row],[Player]],RB!B:O,9,FALSE)</f>
        <v>0</v>
      </c>
      <c r="Z169" s="83">
        <f>VLOOKUP(TableRBRanks3141[[#This Row],[Player]],RB!B:O,10,FALSE)</f>
        <v>0</v>
      </c>
      <c r="AA169" s="57">
        <f>VLOOKUP(TableRBRanks3141[[#This Row],[Player]],RB!B:O,14,FALSE)</f>
        <v>0</v>
      </c>
      <c r="AB169" s="125" t="str">
        <f>IF(VLOOKUP(TableRBRanks3141[[#This Row],[RK]],'Ranks w Proj'!$P:$AB,13,FALSE)&lt;0,0,VLOOKUP(TableRBRanks3141[[#This Row],[RK]],'Ranks w Proj'!$P:$AB,13,FALSE))</f>
        <v/>
      </c>
      <c r="AD169">
        <v>168</v>
      </c>
      <c r="AE169">
        <f>VLOOKUP(TableWRRanks3242[[#This Row],[RK]],Rankings!A:T,13,FALSE)</f>
        <v>0</v>
      </c>
      <c r="AF169" t="str">
        <f>IFERROR(INDEX(TableWRCalcPts[TM],MATCH(TableWRRanks3242[[#This Row],[Player]],TableWRCalcPts[PLAYER],0)),"")</f>
        <v/>
      </c>
      <c r="AG169" t="str">
        <f>IFERROR(INDEX(TableWRCalcPts[BYE],MATCH(TableWRRanks3242[[#This Row],[Player]],TableWRCalcPts[PLAYER],0)),"")</f>
        <v/>
      </c>
      <c r="AH169" s="83">
        <f>VLOOKUP(TableWRRanks3242[[#This Row],[Player]],WR!B:O,4,FALSE)</f>
        <v>0</v>
      </c>
      <c r="AI169" s="83">
        <f>VLOOKUP(TableWRRanks3242[[#This Row],[Player]],WR!B:O,5,FALSE)</f>
        <v>0</v>
      </c>
      <c r="AJ169" s="83">
        <f>VLOOKUP(TableWRRanks3242[[#This Row],[Player]],WR!B:O,6,FALSE)</f>
        <v>0</v>
      </c>
      <c r="AK169" s="83">
        <f>VLOOKUP(TableWRRanks3242[[#This Row],[Player]],WR!B:O,7,FALSE)</f>
        <v>0</v>
      </c>
      <c r="AL169" s="83">
        <f>VLOOKUP(TableWRRanks3242[[#This Row],[Player]],WR!B:O,8,FALSE)</f>
        <v>0</v>
      </c>
      <c r="AM169" s="83">
        <f>VLOOKUP(TableWRRanks3242[[#This Row],[Player]],WR!B:O,9,FALSE)</f>
        <v>0</v>
      </c>
      <c r="AN169" s="57">
        <f>VLOOKUP(TableWRRanks3242[[#This Row],[Player]],WR!B:O,13,FALSE)</f>
        <v>0</v>
      </c>
      <c r="AO169" s="125">
        <f>IF(VLOOKUP(TableWRRanks3242[[#This Row],[RK]],'Ranks w Proj'!AD:AO,12,FALSE)&lt;0,0,VLOOKUP(TableWRRanks3242[[#This Row],[RK]],'Ranks w Proj'!AD:AO,12,FALSE))</f>
        <v>0</v>
      </c>
    </row>
    <row r="170" spans="16:41" x14ac:dyDescent="0.2">
      <c r="P170">
        <v>169</v>
      </c>
      <c r="Q170">
        <f>VLOOKUP(TableRBRanks3141[[#This Row],[RK]],Rankings!A:T,8,FALSE)</f>
        <v>0</v>
      </c>
      <c r="R170" t="str">
        <f>IFERROR(INDEX(TableRBCalcPts[TM],MATCH(TableRBRanks3141[[#This Row],[Player]],TableRBCalcPts[PLAYER],0)),"")</f>
        <v/>
      </c>
      <c r="S170" t="str">
        <f>IFERROR(INDEX(TableRBCalcPts[BYE],MATCH(TableRBRanks3141[[#This Row],[Player]],TableRBCalcPts[PLAYER],0)),"")</f>
        <v/>
      </c>
      <c r="T170" s="83">
        <f>VLOOKUP(TableRBRanks3141[[#This Row],[Player]],RB!B:O,4,FALSE)</f>
        <v>0</v>
      </c>
      <c r="U170" s="83">
        <f>VLOOKUP(TableRBRanks3141[[#This Row],[Player]],RB!B:O,5,FALSE)</f>
        <v>0</v>
      </c>
      <c r="V170" s="83">
        <f>VLOOKUP(TableRBRanks3141[[#This Row],[Player]],RB!B:O,6,FALSE)</f>
        <v>0</v>
      </c>
      <c r="W170" s="83">
        <f>VLOOKUP(TableRBRanks3141[[#This Row],[Player]],RB!B:O,7,FALSE)</f>
        <v>0</v>
      </c>
      <c r="X170" s="83">
        <f>VLOOKUP(TableRBRanks3141[[#This Row],[Player]],RB!B:O,8,FALSE)</f>
        <v>0</v>
      </c>
      <c r="Y170" s="83">
        <f>VLOOKUP(TableRBRanks3141[[#This Row],[Player]],RB!B:O,9,FALSE)</f>
        <v>0</v>
      </c>
      <c r="Z170" s="83">
        <f>VLOOKUP(TableRBRanks3141[[#This Row],[Player]],RB!B:O,10,FALSE)</f>
        <v>0</v>
      </c>
      <c r="AA170" s="57">
        <f>VLOOKUP(TableRBRanks3141[[#This Row],[Player]],RB!B:O,14,FALSE)</f>
        <v>0</v>
      </c>
      <c r="AB170" s="125" t="str">
        <f>IF(VLOOKUP(TableRBRanks3141[[#This Row],[RK]],'Ranks w Proj'!$P:$AB,13,FALSE)&lt;0,0,VLOOKUP(TableRBRanks3141[[#This Row],[RK]],'Ranks w Proj'!$P:$AB,13,FALSE))</f>
        <v/>
      </c>
      <c r="AD170">
        <v>169</v>
      </c>
      <c r="AE170">
        <f>VLOOKUP(TableWRRanks3242[[#This Row],[RK]],Rankings!A:T,13,FALSE)</f>
        <v>0</v>
      </c>
      <c r="AF170" t="str">
        <f>IFERROR(INDEX(TableWRCalcPts[TM],MATCH(TableWRRanks3242[[#This Row],[Player]],TableWRCalcPts[PLAYER],0)),"")</f>
        <v/>
      </c>
      <c r="AG170" t="str">
        <f>IFERROR(INDEX(TableWRCalcPts[BYE],MATCH(TableWRRanks3242[[#This Row],[Player]],TableWRCalcPts[PLAYER],0)),"")</f>
        <v/>
      </c>
      <c r="AH170" s="83">
        <f>VLOOKUP(TableWRRanks3242[[#This Row],[Player]],WR!B:O,4,FALSE)</f>
        <v>0</v>
      </c>
      <c r="AI170" s="83">
        <f>VLOOKUP(TableWRRanks3242[[#This Row],[Player]],WR!B:O,5,FALSE)</f>
        <v>0</v>
      </c>
      <c r="AJ170" s="83">
        <f>VLOOKUP(TableWRRanks3242[[#This Row],[Player]],WR!B:O,6,FALSE)</f>
        <v>0</v>
      </c>
      <c r="AK170" s="83">
        <f>VLOOKUP(TableWRRanks3242[[#This Row],[Player]],WR!B:O,7,FALSE)</f>
        <v>0</v>
      </c>
      <c r="AL170" s="83">
        <f>VLOOKUP(TableWRRanks3242[[#This Row],[Player]],WR!B:O,8,FALSE)</f>
        <v>0</v>
      </c>
      <c r="AM170" s="83">
        <f>VLOOKUP(TableWRRanks3242[[#This Row],[Player]],WR!B:O,9,FALSE)</f>
        <v>0</v>
      </c>
      <c r="AN170" s="57">
        <f>VLOOKUP(TableWRRanks3242[[#This Row],[Player]],WR!B:O,13,FALSE)</f>
        <v>0</v>
      </c>
      <c r="AO170" s="125">
        <f>IF(VLOOKUP(TableWRRanks3242[[#This Row],[RK]],'Ranks w Proj'!AD:AO,12,FALSE)&lt;0,0,VLOOKUP(TableWRRanks3242[[#This Row],[RK]],'Ranks w Proj'!AD:AO,12,FALSE))</f>
        <v>0</v>
      </c>
    </row>
    <row r="171" spans="16:41" x14ac:dyDescent="0.2">
      <c r="P171">
        <v>170</v>
      </c>
      <c r="Q171">
        <f>VLOOKUP(TableRBRanks3141[[#This Row],[RK]],Rankings!A:T,8,FALSE)</f>
        <v>0</v>
      </c>
      <c r="R171" t="str">
        <f>IFERROR(INDEX(TableRBCalcPts[TM],MATCH(TableRBRanks3141[[#This Row],[Player]],TableRBCalcPts[PLAYER],0)),"")</f>
        <v/>
      </c>
      <c r="S171" t="str">
        <f>IFERROR(INDEX(TableRBCalcPts[BYE],MATCH(TableRBRanks3141[[#This Row],[Player]],TableRBCalcPts[PLAYER],0)),"")</f>
        <v/>
      </c>
      <c r="T171" s="83">
        <f>VLOOKUP(TableRBRanks3141[[#This Row],[Player]],RB!B:O,4,FALSE)</f>
        <v>0</v>
      </c>
      <c r="U171" s="83">
        <f>VLOOKUP(TableRBRanks3141[[#This Row],[Player]],RB!B:O,5,FALSE)</f>
        <v>0</v>
      </c>
      <c r="V171" s="83">
        <f>VLOOKUP(TableRBRanks3141[[#This Row],[Player]],RB!B:O,6,FALSE)</f>
        <v>0</v>
      </c>
      <c r="W171" s="83">
        <f>VLOOKUP(TableRBRanks3141[[#This Row],[Player]],RB!B:O,7,FALSE)</f>
        <v>0</v>
      </c>
      <c r="X171" s="83">
        <f>VLOOKUP(TableRBRanks3141[[#This Row],[Player]],RB!B:O,8,FALSE)</f>
        <v>0</v>
      </c>
      <c r="Y171" s="83">
        <f>VLOOKUP(TableRBRanks3141[[#This Row],[Player]],RB!B:O,9,FALSE)</f>
        <v>0</v>
      </c>
      <c r="Z171" s="83">
        <f>VLOOKUP(TableRBRanks3141[[#This Row],[Player]],RB!B:O,10,FALSE)</f>
        <v>0</v>
      </c>
      <c r="AA171" s="57">
        <f>VLOOKUP(TableRBRanks3141[[#This Row],[Player]],RB!B:O,14,FALSE)</f>
        <v>0</v>
      </c>
      <c r="AB171" s="125" t="str">
        <f>IF(VLOOKUP(TableRBRanks3141[[#This Row],[RK]],'Ranks w Proj'!$P:$AB,13,FALSE)&lt;0,0,VLOOKUP(TableRBRanks3141[[#This Row],[RK]],'Ranks w Proj'!$P:$AB,13,FALSE))</f>
        <v/>
      </c>
      <c r="AD171">
        <v>170</v>
      </c>
      <c r="AE171">
        <f>VLOOKUP(TableWRRanks3242[[#This Row],[RK]],Rankings!A:T,13,FALSE)</f>
        <v>0</v>
      </c>
      <c r="AF171" t="str">
        <f>IFERROR(INDEX(TableWRCalcPts[TM],MATCH(TableWRRanks3242[[#This Row],[Player]],TableWRCalcPts[PLAYER],0)),"")</f>
        <v/>
      </c>
      <c r="AG171" t="str">
        <f>IFERROR(INDEX(TableWRCalcPts[BYE],MATCH(TableWRRanks3242[[#This Row],[Player]],TableWRCalcPts[PLAYER],0)),"")</f>
        <v/>
      </c>
      <c r="AH171" s="83">
        <f>VLOOKUP(TableWRRanks3242[[#This Row],[Player]],WR!B:O,4,FALSE)</f>
        <v>0</v>
      </c>
      <c r="AI171" s="83">
        <f>VLOOKUP(TableWRRanks3242[[#This Row],[Player]],WR!B:O,5,FALSE)</f>
        <v>0</v>
      </c>
      <c r="AJ171" s="83">
        <f>VLOOKUP(TableWRRanks3242[[#This Row],[Player]],WR!B:O,6,FALSE)</f>
        <v>0</v>
      </c>
      <c r="AK171" s="83">
        <f>VLOOKUP(TableWRRanks3242[[#This Row],[Player]],WR!B:O,7,FALSE)</f>
        <v>0</v>
      </c>
      <c r="AL171" s="83">
        <f>VLOOKUP(TableWRRanks3242[[#This Row],[Player]],WR!B:O,8,FALSE)</f>
        <v>0</v>
      </c>
      <c r="AM171" s="83">
        <f>VLOOKUP(TableWRRanks3242[[#This Row],[Player]],WR!B:O,9,FALSE)</f>
        <v>0</v>
      </c>
      <c r="AN171" s="57">
        <f>VLOOKUP(TableWRRanks3242[[#This Row],[Player]],WR!B:O,13,FALSE)</f>
        <v>0</v>
      </c>
      <c r="AO171" s="125">
        <f>IF(VLOOKUP(TableWRRanks3242[[#This Row],[RK]],'Ranks w Proj'!AD:AO,12,FALSE)&lt;0,0,VLOOKUP(TableWRRanks3242[[#This Row],[RK]],'Ranks w Proj'!AD:AO,12,FALSE))</f>
        <v>0</v>
      </c>
    </row>
    <row r="172" spans="16:41" x14ac:dyDescent="0.2">
      <c r="AD172">
        <v>171</v>
      </c>
      <c r="AE172">
        <f>VLOOKUP(TableWRRanks3242[[#This Row],[RK]],Rankings!A:T,13,FALSE)</f>
        <v>0</v>
      </c>
      <c r="AF172" t="str">
        <f>IFERROR(INDEX(TableWRCalcPts[TM],MATCH(TableWRRanks3242[[#This Row],[Player]],TableWRCalcPts[PLAYER],0)),"")</f>
        <v/>
      </c>
      <c r="AG172" t="str">
        <f>IFERROR(INDEX(TableWRCalcPts[BYE],MATCH(TableWRRanks3242[[#This Row],[Player]],TableWRCalcPts[PLAYER],0)),"")</f>
        <v/>
      </c>
      <c r="AH172" s="83">
        <f>VLOOKUP(TableWRRanks3242[[#This Row],[Player]],WR!B:O,4,FALSE)</f>
        <v>0</v>
      </c>
      <c r="AI172" s="83">
        <f>VLOOKUP(TableWRRanks3242[[#This Row],[Player]],WR!B:O,5,FALSE)</f>
        <v>0</v>
      </c>
      <c r="AJ172" s="83">
        <f>VLOOKUP(TableWRRanks3242[[#This Row],[Player]],WR!B:O,6,FALSE)</f>
        <v>0</v>
      </c>
      <c r="AK172" s="83">
        <f>VLOOKUP(TableWRRanks3242[[#This Row],[Player]],WR!B:O,7,FALSE)</f>
        <v>0</v>
      </c>
      <c r="AL172" s="83">
        <f>VLOOKUP(TableWRRanks3242[[#This Row],[Player]],WR!B:O,8,FALSE)</f>
        <v>0</v>
      </c>
      <c r="AM172" s="83">
        <f>VLOOKUP(TableWRRanks3242[[#This Row],[Player]],WR!B:O,9,FALSE)</f>
        <v>0</v>
      </c>
      <c r="AN172" s="57">
        <f>VLOOKUP(TableWRRanks3242[[#This Row],[Player]],WR!B:O,13,FALSE)</f>
        <v>0</v>
      </c>
      <c r="AO172" s="125">
        <f>IF(VLOOKUP(TableWRRanks3242[[#This Row],[RK]],'Ranks w Proj'!AD:AO,12,FALSE)&lt;0,0,VLOOKUP(TableWRRanks3242[[#This Row],[RK]],'Ranks w Proj'!AD:AO,12,FALSE))</f>
        <v>0</v>
      </c>
    </row>
    <row r="173" spans="16:41" x14ac:dyDescent="0.2">
      <c r="AD173">
        <v>172</v>
      </c>
      <c r="AE173">
        <f>VLOOKUP(TableWRRanks3242[[#This Row],[RK]],Rankings!A:T,13,FALSE)</f>
        <v>0</v>
      </c>
      <c r="AF173" t="str">
        <f>IFERROR(INDEX(TableWRCalcPts[TM],MATCH(TableWRRanks3242[[#This Row],[Player]],TableWRCalcPts[PLAYER],0)),"")</f>
        <v/>
      </c>
      <c r="AG173" t="str">
        <f>IFERROR(INDEX(TableWRCalcPts[BYE],MATCH(TableWRRanks3242[[#This Row],[Player]],TableWRCalcPts[PLAYER],0)),"")</f>
        <v/>
      </c>
      <c r="AH173" s="83">
        <f>VLOOKUP(TableWRRanks3242[[#This Row],[Player]],WR!B:O,4,FALSE)</f>
        <v>0</v>
      </c>
      <c r="AI173" s="83">
        <f>VLOOKUP(TableWRRanks3242[[#This Row],[Player]],WR!B:O,5,FALSE)</f>
        <v>0</v>
      </c>
      <c r="AJ173" s="83">
        <f>VLOOKUP(TableWRRanks3242[[#This Row],[Player]],WR!B:O,6,FALSE)</f>
        <v>0</v>
      </c>
      <c r="AK173" s="83">
        <f>VLOOKUP(TableWRRanks3242[[#This Row],[Player]],WR!B:O,7,FALSE)</f>
        <v>0</v>
      </c>
      <c r="AL173" s="83">
        <f>VLOOKUP(TableWRRanks3242[[#This Row],[Player]],WR!B:O,8,FALSE)</f>
        <v>0</v>
      </c>
      <c r="AM173" s="83">
        <f>VLOOKUP(TableWRRanks3242[[#This Row],[Player]],WR!B:O,9,FALSE)</f>
        <v>0</v>
      </c>
      <c r="AN173" s="57">
        <f>VLOOKUP(TableWRRanks3242[[#This Row],[Player]],WR!B:O,13,FALSE)</f>
        <v>0</v>
      </c>
      <c r="AO173" s="125">
        <f>IF(VLOOKUP(TableWRRanks3242[[#This Row],[RK]],'Ranks w Proj'!AD:AO,12,FALSE)&lt;0,0,VLOOKUP(TableWRRanks3242[[#This Row],[RK]],'Ranks w Proj'!AD:AO,12,FALSE))</f>
        <v>0</v>
      </c>
    </row>
    <row r="174" spans="16:41" x14ac:dyDescent="0.2">
      <c r="AD174">
        <v>173</v>
      </c>
      <c r="AE174">
        <f>VLOOKUP(TableWRRanks3242[[#This Row],[RK]],Rankings!A:T,13,FALSE)</f>
        <v>0</v>
      </c>
      <c r="AF174" t="str">
        <f>IFERROR(INDEX(TableWRCalcPts[TM],MATCH(TableWRRanks3242[[#This Row],[Player]],TableWRCalcPts[PLAYER],0)),"")</f>
        <v/>
      </c>
      <c r="AG174" t="str">
        <f>IFERROR(INDEX(TableWRCalcPts[BYE],MATCH(TableWRRanks3242[[#This Row],[Player]],TableWRCalcPts[PLAYER],0)),"")</f>
        <v/>
      </c>
      <c r="AH174" s="83">
        <f>VLOOKUP(TableWRRanks3242[[#This Row],[Player]],WR!B:O,4,FALSE)</f>
        <v>0</v>
      </c>
      <c r="AI174" s="83">
        <f>VLOOKUP(TableWRRanks3242[[#This Row],[Player]],WR!B:O,5,FALSE)</f>
        <v>0</v>
      </c>
      <c r="AJ174" s="83">
        <f>VLOOKUP(TableWRRanks3242[[#This Row],[Player]],WR!B:O,6,FALSE)</f>
        <v>0</v>
      </c>
      <c r="AK174" s="83">
        <f>VLOOKUP(TableWRRanks3242[[#This Row],[Player]],WR!B:O,7,FALSE)</f>
        <v>0</v>
      </c>
      <c r="AL174" s="83">
        <f>VLOOKUP(TableWRRanks3242[[#This Row],[Player]],WR!B:O,8,FALSE)</f>
        <v>0</v>
      </c>
      <c r="AM174" s="83">
        <f>VLOOKUP(TableWRRanks3242[[#This Row],[Player]],WR!B:O,9,FALSE)</f>
        <v>0</v>
      </c>
      <c r="AN174" s="57">
        <f>VLOOKUP(TableWRRanks3242[[#This Row],[Player]],WR!B:O,13,FALSE)</f>
        <v>0</v>
      </c>
      <c r="AO174" s="125">
        <f>IF(VLOOKUP(TableWRRanks3242[[#This Row],[RK]],'Ranks w Proj'!AD:AO,12,FALSE)&lt;0,0,VLOOKUP(TableWRRanks3242[[#This Row],[RK]],'Ranks w Proj'!AD:AO,12,FALSE))</f>
        <v>0</v>
      </c>
    </row>
    <row r="175" spans="16:41" x14ac:dyDescent="0.2">
      <c r="AD175">
        <v>174</v>
      </c>
      <c r="AE175">
        <f>VLOOKUP(TableWRRanks3242[[#This Row],[RK]],Rankings!A:T,13,FALSE)</f>
        <v>0</v>
      </c>
      <c r="AF175" t="str">
        <f>IFERROR(INDEX(TableWRCalcPts[TM],MATCH(TableWRRanks3242[[#This Row],[Player]],TableWRCalcPts[PLAYER],0)),"")</f>
        <v/>
      </c>
      <c r="AG175" t="str">
        <f>IFERROR(INDEX(TableWRCalcPts[BYE],MATCH(TableWRRanks3242[[#This Row],[Player]],TableWRCalcPts[PLAYER],0)),"")</f>
        <v/>
      </c>
      <c r="AH175" s="83">
        <f>VLOOKUP(TableWRRanks3242[[#This Row],[Player]],WR!B:O,4,FALSE)</f>
        <v>0</v>
      </c>
      <c r="AI175" s="83">
        <f>VLOOKUP(TableWRRanks3242[[#This Row],[Player]],WR!B:O,5,FALSE)</f>
        <v>0</v>
      </c>
      <c r="AJ175" s="83">
        <f>VLOOKUP(TableWRRanks3242[[#This Row],[Player]],WR!B:O,6,FALSE)</f>
        <v>0</v>
      </c>
      <c r="AK175" s="83">
        <f>VLOOKUP(TableWRRanks3242[[#This Row],[Player]],WR!B:O,7,FALSE)</f>
        <v>0</v>
      </c>
      <c r="AL175" s="83">
        <f>VLOOKUP(TableWRRanks3242[[#This Row],[Player]],WR!B:O,8,FALSE)</f>
        <v>0</v>
      </c>
      <c r="AM175" s="83">
        <f>VLOOKUP(TableWRRanks3242[[#This Row],[Player]],WR!B:O,9,FALSE)</f>
        <v>0</v>
      </c>
      <c r="AN175" s="57">
        <f>VLOOKUP(TableWRRanks3242[[#This Row],[Player]],WR!B:O,13,FALSE)</f>
        <v>0</v>
      </c>
      <c r="AO175" s="125">
        <f>IF(VLOOKUP(TableWRRanks3242[[#This Row],[RK]],'Ranks w Proj'!AD:AO,12,FALSE)&lt;0,0,VLOOKUP(TableWRRanks3242[[#This Row],[RK]],'Ranks w Proj'!AD:AO,12,FALSE))</f>
        <v>0</v>
      </c>
    </row>
    <row r="176" spans="16:41" x14ac:dyDescent="0.2">
      <c r="AD176">
        <v>175</v>
      </c>
      <c r="AE176">
        <f>VLOOKUP(TableWRRanks3242[[#This Row],[RK]],Rankings!A:T,13,FALSE)</f>
        <v>0</v>
      </c>
      <c r="AF176" t="str">
        <f>IFERROR(INDEX(TableWRCalcPts[TM],MATCH(TableWRRanks3242[[#This Row],[Player]],TableWRCalcPts[PLAYER],0)),"")</f>
        <v/>
      </c>
      <c r="AG176" t="str">
        <f>IFERROR(INDEX(TableWRCalcPts[BYE],MATCH(TableWRRanks3242[[#This Row],[Player]],TableWRCalcPts[PLAYER],0)),"")</f>
        <v/>
      </c>
      <c r="AH176" s="83">
        <f>VLOOKUP(TableWRRanks3242[[#This Row],[Player]],WR!B:O,4,FALSE)</f>
        <v>0</v>
      </c>
      <c r="AI176" s="83">
        <f>VLOOKUP(TableWRRanks3242[[#This Row],[Player]],WR!B:O,5,FALSE)</f>
        <v>0</v>
      </c>
      <c r="AJ176" s="83">
        <f>VLOOKUP(TableWRRanks3242[[#This Row],[Player]],WR!B:O,6,FALSE)</f>
        <v>0</v>
      </c>
      <c r="AK176" s="83">
        <f>VLOOKUP(TableWRRanks3242[[#This Row],[Player]],WR!B:O,7,FALSE)</f>
        <v>0</v>
      </c>
      <c r="AL176" s="83">
        <f>VLOOKUP(TableWRRanks3242[[#This Row],[Player]],WR!B:O,8,FALSE)</f>
        <v>0</v>
      </c>
      <c r="AM176" s="83">
        <f>VLOOKUP(TableWRRanks3242[[#This Row],[Player]],WR!B:O,9,FALSE)</f>
        <v>0</v>
      </c>
      <c r="AN176" s="57">
        <f>VLOOKUP(TableWRRanks3242[[#This Row],[Player]],WR!B:O,13,FALSE)</f>
        <v>0</v>
      </c>
      <c r="AO176" s="125">
        <f>IF(VLOOKUP(TableWRRanks3242[[#This Row],[RK]],'Ranks w Proj'!AD:AO,12,FALSE)&lt;0,0,VLOOKUP(TableWRRanks3242[[#This Row],[RK]],'Ranks w Proj'!AD:AO,12,FALSE))</f>
        <v>0</v>
      </c>
    </row>
    <row r="177" spans="30:41" x14ac:dyDescent="0.2">
      <c r="AD177">
        <v>176</v>
      </c>
      <c r="AE177">
        <f>VLOOKUP(TableWRRanks3242[[#This Row],[RK]],Rankings!A:T,13,FALSE)</f>
        <v>0</v>
      </c>
      <c r="AF177" t="str">
        <f>IFERROR(INDEX(TableWRCalcPts[TM],MATCH(TableWRRanks3242[[#This Row],[Player]],TableWRCalcPts[PLAYER],0)),"")</f>
        <v/>
      </c>
      <c r="AG177" t="str">
        <f>IFERROR(INDEX(TableWRCalcPts[BYE],MATCH(TableWRRanks3242[[#This Row],[Player]],TableWRCalcPts[PLAYER],0)),"")</f>
        <v/>
      </c>
      <c r="AH177" s="83">
        <f>VLOOKUP(TableWRRanks3242[[#This Row],[Player]],WR!B:O,4,FALSE)</f>
        <v>0</v>
      </c>
      <c r="AI177" s="83">
        <f>VLOOKUP(TableWRRanks3242[[#This Row],[Player]],WR!B:O,5,FALSE)</f>
        <v>0</v>
      </c>
      <c r="AJ177" s="83">
        <f>VLOOKUP(TableWRRanks3242[[#This Row],[Player]],WR!B:O,6,FALSE)</f>
        <v>0</v>
      </c>
      <c r="AK177" s="83">
        <f>VLOOKUP(TableWRRanks3242[[#This Row],[Player]],WR!B:O,7,FALSE)</f>
        <v>0</v>
      </c>
      <c r="AL177" s="83">
        <f>VLOOKUP(TableWRRanks3242[[#This Row],[Player]],WR!B:O,8,FALSE)</f>
        <v>0</v>
      </c>
      <c r="AM177" s="83">
        <f>VLOOKUP(TableWRRanks3242[[#This Row],[Player]],WR!B:O,9,FALSE)</f>
        <v>0</v>
      </c>
      <c r="AN177" s="57">
        <f>VLOOKUP(TableWRRanks3242[[#This Row],[Player]],WR!B:O,13,FALSE)</f>
        <v>0</v>
      </c>
      <c r="AO177" s="125">
        <f>IF(VLOOKUP(TableWRRanks3242[[#This Row],[RK]],'Ranks w Proj'!AD:AO,12,FALSE)&lt;0,0,VLOOKUP(TableWRRanks3242[[#This Row],[RK]],'Ranks w Proj'!AD:AO,12,FALSE))</f>
        <v>0</v>
      </c>
    </row>
    <row r="178" spans="30:41" x14ac:dyDescent="0.2">
      <c r="AD178">
        <v>177</v>
      </c>
      <c r="AE178">
        <f>VLOOKUP(TableWRRanks3242[[#This Row],[RK]],Rankings!A:T,13,FALSE)</f>
        <v>0</v>
      </c>
      <c r="AF178" t="str">
        <f>IFERROR(INDEX(TableWRCalcPts[TM],MATCH(TableWRRanks3242[[#This Row],[Player]],TableWRCalcPts[PLAYER],0)),"")</f>
        <v/>
      </c>
      <c r="AG178" t="str">
        <f>IFERROR(INDEX(TableWRCalcPts[BYE],MATCH(TableWRRanks3242[[#This Row],[Player]],TableWRCalcPts[PLAYER],0)),"")</f>
        <v/>
      </c>
      <c r="AH178" s="83">
        <f>VLOOKUP(TableWRRanks3242[[#This Row],[Player]],WR!B:O,4,FALSE)</f>
        <v>0</v>
      </c>
      <c r="AI178" s="83">
        <f>VLOOKUP(TableWRRanks3242[[#This Row],[Player]],WR!B:O,5,FALSE)</f>
        <v>0</v>
      </c>
      <c r="AJ178" s="83">
        <f>VLOOKUP(TableWRRanks3242[[#This Row],[Player]],WR!B:O,6,FALSE)</f>
        <v>0</v>
      </c>
      <c r="AK178" s="83">
        <f>VLOOKUP(TableWRRanks3242[[#This Row],[Player]],WR!B:O,7,FALSE)</f>
        <v>0</v>
      </c>
      <c r="AL178" s="83">
        <f>VLOOKUP(TableWRRanks3242[[#This Row],[Player]],WR!B:O,8,FALSE)</f>
        <v>0</v>
      </c>
      <c r="AM178" s="83">
        <f>VLOOKUP(TableWRRanks3242[[#This Row],[Player]],WR!B:O,9,FALSE)</f>
        <v>0</v>
      </c>
      <c r="AN178" s="57">
        <f>VLOOKUP(TableWRRanks3242[[#This Row],[Player]],WR!B:O,13,FALSE)</f>
        <v>0</v>
      </c>
      <c r="AO178" s="125">
        <f>IF(VLOOKUP(TableWRRanks3242[[#This Row],[RK]],'Ranks w Proj'!AD:AO,12,FALSE)&lt;0,0,VLOOKUP(TableWRRanks3242[[#This Row],[RK]],'Ranks w Proj'!AD:AO,12,FALSE))</f>
        <v>0</v>
      </c>
    </row>
    <row r="179" spans="30:41" x14ac:dyDescent="0.2">
      <c r="AD179">
        <v>178</v>
      </c>
      <c r="AE179">
        <f>VLOOKUP(TableWRRanks3242[[#This Row],[RK]],Rankings!A:T,13,FALSE)</f>
        <v>0</v>
      </c>
      <c r="AF179" t="str">
        <f>IFERROR(INDEX(TableWRCalcPts[TM],MATCH(TableWRRanks3242[[#This Row],[Player]],TableWRCalcPts[PLAYER],0)),"")</f>
        <v/>
      </c>
      <c r="AG179" t="str">
        <f>IFERROR(INDEX(TableWRCalcPts[BYE],MATCH(TableWRRanks3242[[#This Row],[Player]],TableWRCalcPts[PLAYER],0)),"")</f>
        <v/>
      </c>
      <c r="AH179" s="83">
        <f>VLOOKUP(TableWRRanks3242[[#This Row],[Player]],WR!B:O,4,FALSE)</f>
        <v>0</v>
      </c>
      <c r="AI179" s="83">
        <f>VLOOKUP(TableWRRanks3242[[#This Row],[Player]],WR!B:O,5,FALSE)</f>
        <v>0</v>
      </c>
      <c r="AJ179" s="83">
        <f>VLOOKUP(TableWRRanks3242[[#This Row],[Player]],WR!B:O,6,FALSE)</f>
        <v>0</v>
      </c>
      <c r="AK179" s="83">
        <f>VLOOKUP(TableWRRanks3242[[#This Row],[Player]],WR!B:O,7,FALSE)</f>
        <v>0</v>
      </c>
      <c r="AL179" s="83">
        <f>VLOOKUP(TableWRRanks3242[[#This Row],[Player]],WR!B:O,8,FALSE)</f>
        <v>0</v>
      </c>
      <c r="AM179" s="83">
        <f>VLOOKUP(TableWRRanks3242[[#This Row],[Player]],WR!B:O,9,FALSE)</f>
        <v>0</v>
      </c>
      <c r="AN179" s="57">
        <f>VLOOKUP(TableWRRanks3242[[#This Row],[Player]],WR!B:O,13,FALSE)</f>
        <v>0</v>
      </c>
      <c r="AO179" s="125">
        <f>IF(VLOOKUP(TableWRRanks3242[[#This Row],[RK]],'Ranks w Proj'!AD:AO,12,FALSE)&lt;0,0,VLOOKUP(TableWRRanks3242[[#This Row],[RK]],'Ranks w Proj'!AD:AO,12,FALSE))</f>
        <v>0</v>
      </c>
    </row>
    <row r="180" spans="30:41" x14ac:dyDescent="0.2">
      <c r="AD180">
        <v>179</v>
      </c>
      <c r="AE180">
        <f>VLOOKUP(TableWRRanks3242[[#This Row],[RK]],Rankings!A:T,13,FALSE)</f>
        <v>0</v>
      </c>
      <c r="AF180" t="str">
        <f>IFERROR(INDEX(TableWRCalcPts[TM],MATCH(TableWRRanks3242[[#This Row],[Player]],TableWRCalcPts[PLAYER],0)),"")</f>
        <v/>
      </c>
      <c r="AG180" t="str">
        <f>IFERROR(INDEX(TableWRCalcPts[BYE],MATCH(TableWRRanks3242[[#This Row],[Player]],TableWRCalcPts[PLAYER],0)),"")</f>
        <v/>
      </c>
      <c r="AH180" s="83">
        <f>VLOOKUP(TableWRRanks3242[[#This Row],[Player]],WR!B:O,4,FALSE)</f>
        <v>0</v>
      </c>
      <c r="AI180" s="83">
        <f>VLOOKUP(TableWRRanks3242[[#This Row],[Player]],WR!B:O,5,FALSE)</f>
        <v>0</v>
      </c>
      <c r="AJ180" s="83">
        <f>VLOOKUP(TableWRRanks3242[[#This Row],[Player]],WR!B:O,6,FALSE)</f>
        <v>0</v>
      </c>
      <c r="AK180" s="83">
        <f>VLOOKUP(TableWRRanks3242[[#This Row],[Player]],WR!B:O,7,FALSE)</f>
        <v>0</v>
      </c>
      <c r="AL180" s="83">
        <f>VLOOKUP(TableWRRanks3242[[#This Row],[Player]],WR!B:O,8,FALSE)</f>
        <v>0</v>
      </c>
      <c r="AM180" s="83">
        <f>VLOOKUP(TableWRRanks3242[[#This Row],[Player]],WR!B:O,9,FALSE)</f>
        <v>0</v>
      </c>
      <c r="AN180" s="57">
        <f>VLOOKUP(TableWRRanks3242[[#This Row],[Player]],WR!B:O,13,FALSE)</f>
        <v>0</v>
      </c>
      <c r="AO180" s="125">
        <f>IF(VLOOKUP(TableWRRanks3242[[#This Row],[RK]],'Ranks w Proj'!AD:AO,12,FALSE)&lt;0,0,VLOOKUP(TableWRRanks3242[[#This Row],[RK]],'Ranks w Proj'!AD:AO,12,FALSE))</f>
        <v>0</v>
      </c>
    </row>
    <row r="181" spans="30:41" x14ac:dyDescent="0.2">
      <c r="AD181">
        <v>180</v>
      </c>
      <c r="AE181">
        <f>VLOOKUP(TableWRRanks3242[[#This Row],[RK]],Rankings!A:T,13,FALSE)</f>
        <v>0</v>
      </c>
      <c r="AF181" t="str">
        <f>IFERROR(INDEX(TableWRCalcPts[TM],MATCH(TableWRRanks3242[[#This Row],[Player]],TableWRCalcPts[PLAYER],0)),"")</f>
        <v/>
      </c>
      <c r="AG181" t="str">
        <f>IFERROR(INDEX(TableWRCalcPts[BYE],MATCH(TableWRRanks3242[[#This Row],[Player]],TableWRCalcPts[PLAYER],0)),"")</f>
        <v/>
      </c>
      <c r="AH181" s="83">
        <f>VLOOKUP(TableWRRanks3242[[#This Row],[Player]],WR!B:O,4,FALSE)</f>
        <v>0</v>
      </c>
      <c r="AI181" s="83">
        <f>VLOOKUP(TableWRRanks3242[[#This Row],[Player]],WR!B:O,5,FALSE)</f>
        <v>0</v>
      </c>
      <c r="AJ181" s="83">
        <f>VLOOKUP(TableWRRanks3242[[#This Row],[Player]],WR!B:O,6,FALSE)</f>
        <v>0</v>
      </c>
      <c r="AK181" s="83">
        <f>VLOOKUP(TableWRRanks3242[[#This Row],[Player]],WR!B:O,7,FALSE)</f>
        <v>0</v>
      </c>
      <c r="AL181" s="83">
        <f>VLOOKUP(TableWRRanks3242[[#This Row],[Player]],WR!B:O,8,FALSE)</f>
        <v>0</v>
      </c>
      <c r="AM181" s="83">
        <f>VLOOKUP(TableWRRanks3242[[#This Row],[Player]],WR!B:O,9,FALSE)</f>
        <v>0</v>
      </c>
      <c r="AN181" s="57">
        <f>VLOOKUP(TableWRRanks3242[[#This Row],[Player]],WR!B:O,13,FALSE)</f>
        <v>0</v>
      </c>
      <c r="AO181" s="125">
        <f>IF(VLOOKUP(TableWRRanks3242[[#This Row],[RK]],'Ranks w Proj'!AD:AO,12,FALSE)&lt;0,0,VLOOKUP(TableWRRanks3242[[#This Row],[RK]],'Ranks w Proj'!AD:AO,12,FALSE))</f>
        <v>0</v>
      </c>
    </row>
    <row r="182" spans="30:41" x14ac:dyDescent="0.2">
      <c r="AD182">
        <v>181</v>
      </c>
      <c r="AE182">
        <f>VLOOKUP(TableWRRanks3242[[#This Row],[RK]],Rankings!A:T,13,FALSE)</f>
        <v>0</v>
      </c>
      <c r="AF182" t="str">
        <f>IFERROR(INDEX(TableWRCalcPts[TM],MATCH(TableWRRanks3242[[#This Row],[Player]],TableWRCalcPts[PLAYER],0)),"")</f>
        <v/>
      </c>
      <c r="AG182" t="str">
        <f>IFERROR(INDEX(TableWRCalcPts[BYE],MATCH(TableWRRanks3242[[#This Row],[Player]],TableWRCalcPts[PLAYER],0)),"")</f>
        <v/>
      </c>
      <c r="AH182" s="83">
        <f>VLOOKUP(TableWRRanks3242[[#This Row],[Player]],WR!B:O,4,FALSE)</f>
        <v>0</v>
      </c>
      <c r="AI182" s="83">
        <f>VLOOKUP(TableWRRanks3242[[#This Row],[Player]],WR!B:O,5,FALSE)</f>
        <v>0</v>
      </c>
      <c r="AJ182" s="83">
        <f>VLOOKUP(TableWRRanks3242[[#This Row],[Player]],WR!B:O,6,FALSE)</f>
        <v>0</v>
      </c>
      <c r="AK182" s="83">
        <f>VLOOKUP(TableWRRanks3242[[#This Row],[Player]],WR!B:O,7,FALSE)</f>
        <v>0</v>
      </c>
      <c r="AL182" s="83">
        <f>VLOOKUP(TableWRRanks3242[[#This Row],[Player]],WR!B:O,8,FALSE)</f>
        <v>0</v>
      </c>
      <c r="AM182" s="83">
        <f>VLOOKUP(TableWRRanks3242[[#This Row],[Player]],WR!B:O,9,FALSE)</f>
        <v>0</v>
      </c>
      <c r="AN182" s="57">
        <f>VLOOKUP(TableWRRanks3242[[#This Row],[Player]],WR!B:O,13,FALSE)</f>
        <v>0</v>
      </c>
      <c r="AO182" s="125">
        <f>IF(VLOOKUP(TableWRRanks3242[[#This Row],[RK]],'Ranks w Proj'!AD:AO,12,FALSE)&lt;0,0,VLOOKUP(TableWRRanks3242[[#This Row],[RK]],'Ranks w Proj'!AD:AO,12,FALSE))</f>
        <v>0</v>
      </c>
    </row>
    <row r="183" spans="30:41" x14ac:dyDescent="0.2">
      <c r="AD183">
        <v>182</v>
      </c>
      <c r="AE183">
        <f>VLOOKUP(TableWRRanks3242[[#This Row],[RK]],Rankings!A:T,13,FALSE)</f>
        <v>0</v>
      </c>
      <c r="AF183" t="str">
        <f>IFERROR(INDEX(TableWRCalcPts[TM],MATCH(TableWRRanks3242[[#This Row],[Player]],TableWRCalcPts[PLAYER],0)),"")</f>
        <v/>
      </c>
      <c r="AG183" t="str">
        <f>IFERROR(INDEX(TableWRCalcPts[BYE],MATCH(TableWRRanks3242[[#This Row],[Player]],TableWRCalcPts[PLAYER],0)),"")</f>
        <v/>
      </c>
      <c r="AH183" s="83">
        <f>VLOOKUP(TableWRRanks3242[[#This Row],[Player]],WR!B:O,4,FALSE)</f>
        <v>0</v>
      </c>
      <c r="AI183" s="83">
        <f>VLOOKUP(TableWRRanks3242[[#This Row],[Player]],WR!B:O,5,FALSE)</f>
        <v>0</v>
      </c>
      <c r="AJ183" s="83">
        <f>VLOOKUP(TableWRRanks3242[[#This Row],[Player]],WR!B:O,6,FALSE)</f>
        <v>0</v>
      </c>
      <c r="AK183" s="83">
        <f>VLOOKUP(TableWRRanks3242[[#This Row],[Player]],WR!B:O,7,FALSE)</f>
        <v>0</v>
      </c>
      <c r="AL183" s="83">
        <f>VLOOKUP(TableWRRanks3242[[#This Row],[Player]],WR!B:O,8,FALSE)</f>
        <v>0</v>
      </c>
      <c r="AM183" s="83">
        <f>VLOOKUP(TableWRRanks3242[[#This Row],[Player]],WR!B:O,9,FALSE)</f>
        <v>0</v>
      </c>
      <c r="AN183" s="57">
        <f>VLOOKUP(TableWRRanks3242[[#This Row],[Player]],WR!B:O,13,FALSE)</f>
        <v>0</v>
      </c>
      <c r="AO183" s="125">
        <f>IF(VLOOKUP(TableWRRanks3242[[#This Row],[RK]],'Ranks w Proj'!AD:AO,12,FALSE)&lt;0,0,VLOOKUP(TableWRRanks3242[[#This Row],[RK]],'Ranks w Proj'!AD:AO,12,FALSE))</f>
        <v>0</v>
      </c>
    </row>
    <row r="184" spans="30:41" x14ac:dyDescent="0.2">
      <c r="AD184">
        <v>183</v>
      </c>
      <c r="AE184">
        <f>VLOOKUP(TableWRRanks3242[[#This Row],[RK]],Rankings!A:T,13,FALSE)</f>
        <v>0</v>
      </c>
      <c r="AF184" t="str">
        <f>IFERROR(INDEX(TableWRCalcPts[TM],MATCH(TableWRRanks3242[[#This Row],[Player]],TableWRCalcPts[PLAYER],0)),"")</f>
        <v/>
      </c>
      <c r="AG184" t="str">
        <f>IFERROR(INDEX(TableWRCalcPts[BYE],MATCH(TableWRRanks3242[[#This Row],[Player]],TableWRCalcPts[PLAYER],0)),"")</f>
        <v/>
      </c>
      <c r="AH184" s="83">
        <f>VLOOKUP(TableWRRanks3242[[#This Row],[Player]],WR!B:O,4,FALSE)</f>
        <v>0</v>
      </c>
      <c r="AI184" s="83">
        <f>VLOOKUP(TableWRRanks3242[[#This Row],[Player]],WR!B:O,5,FALSE)</f>
        <v>0</v>
      </c>
      <c r="AJ184" s="83">
        <f>VLOOKUP(TableWRRanks3242[[#This Row],[Player]],WR!B:O,6,FALSE)</f>
        <v>0</v>
      </c>
      <c r="AK184" s="83">
        <f>VLOOKUP(TableWRRanks3242[[#This Row],[Player]],WR!B:O,7,FALSE)</f>
        <v>0</v>
      </c>
      <c r="AL184" s="83">
        <f>VLOOKUP(TableWRRanks3242[[#This Row],[Player]],WR!B:O,8,FALSE)</f>
        <v>0</v>
      </c>
      <c r="AM184" s="83">
        <f>VLOOKUP(TableWRRanks3242[[#This Row],[Player]],WR!B:O,9,FALSE)</f>
        <v>0</v>
      </c>
      <c r="AN184" s="57">
        <f>VLOOKUP(TableWRRanks3242[[#This Row],[Player]],WR!B:O,13,FALSE)</f>
        <v>0</v>
      </c>
      <c r="AO184" s="125" t="str">
        <f>IF(VLOOKUP(TableWRRanks3242[[#This Row],[RK]],'Ranks w Proj'!AD:AO,12,FALSE)&lt;0,0,VLOOKUP(TableWRRanks3242[[#This Row],[RK]],'Ranks w Proj'!AD:AO,12,FALSE))</f>
        <v/>
      </c>
    </row>
    <row r="185" spans="30:41" x14ac:dyDescent="0.2">
      <c r="AD185">
        <v>184</v>
      </c>
      <c r="AE185">
        <f>VLOOKUP(TableWRRanks3242[[#This Row],[RK]],Rankings!A:T,13,FALSE)</f>
        <v>0</v>
      </c>
      <c r="AF185" t="str">
        <f>IFERROR(INDEX(TableWRCalcPts[TM],MATCH(TableWRRanks3242[[#This Row],[Player]],TableWRCalcPts[PLAYER],0)),"")</f>
        <v/>
      </c>
      <c r="AG185" t="str">
        <f>IFERROR(INDEX(TableWRCalcPts[BYE],MATCH(TableWRRanks3242[[#This Row],[Player]],TableWRCalcPts[PLAYER],0)),"")</f>
        <v/>
      </c>
      <c r="AH185" s="83">
        <f>VLOOKUP(TableWRRanks3242[[#This Row],[Player]],WR!B:O,4,FALSE)</f>
        <v>0</v>
      </c>
      <c r="AI185" s="83">
        <f>VLOOKUP(TableWRRanks3242[[#This Row],[Player]],WR!B:O,5,FALSE)</f>
        <v>0</v>
      </c>
      <c r="AJ185" s="83">
        <f>VLOOKUP(TableWRRanks3242[[#This Row],[Player]],WR!B:O,6,FALSE)</f>
        <v>0</v>
      </c>
      <c r="AK185" s="83">
        <f>VLOOKUP(TableWRRanks3242[[#This Row],[Player]],WR!B:O,7,FALSE)</f>
        <v>0</v>
      </c>
      <c r="AL185" s="83">
        <f>VLOOKUP(TableWRRanks3242[[#This Row],[Player]],WR!B:O,8,FALSE)</f>
        <v>0</v>
      </c>
      <c r="AM185" s="83">
        <f>VLOOKUP(TableWRRanks3242[[#This Row],[Player]],WR!B:O,9,FALSE)</f>
        <v>0</v>
      </c>
      <c r="AN185" s="57">
        <f>VLOOKUP(TableWRRanks3242[[#This Row],[Player]],WR!B:O,13,FALSE)</f>
        <v>0</v>
      </c>
      <c r="AO185" s="125" t="str">
        <f>IF(VLOOKUP(TableWRRanks3242[[#This Row],[RK]],'Ranks w Proj'!AD:AO,12,FALSE)&lt;0,0,VLOOKUP(TableWRRanks3242[[#This Row],[RK]],'Ranks w Proj'!AD:AO,12,FALSE))</f>
        <v/>
      </c>
    </row>
    <row r="186" spans="30:41" x14ac:dyDescent="0.2">
      <c r="AD186">
        <v>185</v>
      </c>
      <c r="AE186">
        <f>VLOOKUP(TableWRRanks3242[[#This Row],[RK]],Rankings!A:T,13,FALSE)</f>
        <v>0</v>
      </c>
      <c r="AF186" t="str">
        <f>IFERROR(INDEX(TableWRCalcPts[TM],MATCH(TableWRRanks3242[[#This Row],[Player]],TableWRCalcPts[PLAYER],0)),"")</f>
        <v/>
      </c>
      <c r="AG186" t="str">
        <f>IFERROR(INDEX(TableWRCalcPts[BYE],MATCH(TableWRRanks3242[[#This Row],[Player]],TableWRCalcPts[PLAYER],0)),"")</f>
        <v/>
      </c>
      <c r="AH186" s="83">
        <f>VLOOKUP(TableWRRanks3242[[#This Row],[Player]],WR!B:O,4,FALSE)</f>
        <v>0</v>
      </c>
      <c r="AI186" s="83">
        <f>VLOOKUP(TableWRRanks3242[[#This Row],[Player]],WR!B:O,5,FALSE)</f>
        <v>0</v>
      </c>
      <c r="AJ186" s="83">
        <f>VLOOKUP(TableWRRanks3242[[#This Row],[Player]],WR!B:O,6,FALSE)</f>
        <v>0</v>
      </c>
      <c r="AK186" s="83">
        <f>VLOOKUP(TableWRRanks3242[[#This Row],[Player]],WR!B:O,7,FALSE)</f>
        <v>0</v>
      </c>
      <c r="AL186" s="83">
        <f>VLOOKUP(TableWRRanks3242[[#This Row],[Player]],WR!B:O,8,FALSE)</f>
        <v>0</v>
      </c>
      <c r="AM186" s="83">
        <f>VLOOKUP(TableWRRanks3242[[#This Row],[Player]],WR!B:O,9,FALSE)</f>
        <v>0</v>
      </c>
      <c r="AN186" s="57">
        <f>VLOOKUP(TableWRRanks3242[[#This Row],[Player]],WR!B:O,13,FALSE)</f>
        <v>0</v>
      </c>
      <c r="AO186" s="125" t="str">
        <f>IF(VLOOKUP(TableWRRanks3242[[#This Row],[RK]],'Ranks w Proj'!AD:AO,12,FALSE)&lt;0,0,VLOOKUP(TableWRRanks3242[[#This Row],[RK]],'Ranks w Proj'!AD:AO,12,FALSE))</f>
        <v/>
      </c>
    </row>
    <row r="187" spans="30:41" x14ac:dyDescent="0.2">
      <c r="AD187">
        <v>186</v>
      </c>
      <c r="AE187" t="e">
        <f>VLOOKUP(TableWRRanks3242[[#This Row],[RK]],Rankings!A:T,13,FALSE)</f>
        <v>#N/A</v>
      </c>
      <c r="AF187" t="str">
        <f>IFERROR(INDEX(TableWRCalcPts[TM],MATCH(TableWRRanks3242[[#This Row],[Player]],TableWRCalcPts[PLAYER],0)),"")</f>
        <v/>
      </c>
      <c r="AG187" t="str">
        <f>IFERROR(INDEX(TableWRCalcPts[BYE],MATCH(TableWRRanks3242[[#This Row],[Player]],TableWRCalcPts[PLAYER],0)),"")</f>
        <v/>
      </c>
      <c r="AH187" s="83" t="e">
        <f>VLOOKUP(TableWRRanks3242[[#This Row],[Player]],WR!B:O,4,FALSE)</f>
        <v>#N/A</v>
      </c>
      <c r="AI187" s="83" t="e">
        <f>VLOOKUP(TableWRRanks3242[[#This Row],[Player]],WR!B:O,5,FALSE)</f>
        <v>#N/A</v>
      </c>
      <c r="AJ187" s="83" t="e">
        <f>VLOOKUP(TableWRRanks3242[[#This Row],[Player]],WR!B:O,6,FALSE)</f>
        <v>#N/A</v>
      </c>
      <c r="AK187" s="83" t="e">
        <f>VLOOKUP(TableWRRanks3242[[#This Row],[Player]],WR!B:O,7,FALSE)</f>
        <v>#N/A</v>
      </c>
      <c r="AL187" s="83" t="e">
        <f>VLOOKUP(TableWRRanks3242[[#This Row],[Player]],WR!B:O,8,FALSE)</f>
        <v>#N/A</v>
      </c>
      <c r="AM187" s="83" t="e">
        <f>VLOOKUP(TableWRRanks3242[[#This Row],[Player]],WR!B:O,9,FALSE)</f>
        <v>#N/A</v>
      </c>
      <c r="AN187" s="57" t="e">
        <f>VLOOKUP(TableWRRanks3242[[#This Row],[Player]],WR!B:O,13,FALSE)</f>
        <v>#N/A</v>
      </c>
      <c r="AO187" s="125" t="str">
        <f>IF(VLOOKUP(TableWRRanks3242[[#This Row],[RK]],'Ranks w Proj'!AD:AO,12,FALSE)&lt;0,0,VLOOKUP(TableWRRanks3242[[#This Row],[RK]],'Ranks w Proj'!AD:AO,12,FALSE))</f>
        <v/>
      </c>
    </row>
    <row r="188" spans="30:41" x14ac:dyDescent="0.2">
      <c r="AD188">
        <v>187</v>
      </c>
      <c r="AE188" t="e">
        <f>VLOOKUP(TableWRRanks3242[[#This Row],[RK]],Rankings!A:T,13,FALSE)</f>
        <v>#N/A</v>
      </c>
      <c r="AF188" t="str">
        <f>IFERROR(INDEX(TableWRCalcPts[TM],MATCH(TableWRRanks3242[[#This Row],[Player]],TableWRCalcPts[PLAYER],0)),"")</f>
        <v/>
      </c>
      <c r="AG188" t="str">
        <f>IFERROR(INDEX(TableWRCalcPts[BYE],MATCH(TableWRRanks3242[[#This Row],[Player]],TableWRCalcPts[PLAYER],0)),"")</f>
        <v/>
      </c>
      <c r="AH188" s="83" t="e">
        <f>VLOOKUP(TableWRRanks3242[[#This Row],[Player]],WR!B:O,4,FALSE)</f>
        <v>#N/A</v>
      </c>
      <c r="AI188" s="83" t="e">
        <f>VLOOKUP(TableWRRanks3242[[#This Row],[Player]],WR!B:O,5,FALSE)</f>
        <v>#N/A</v>
      </c>
      <c r="AJ188" s="83" t="e">
        <f>VLOOKUP(TableWRRanks3242[[#This Row],[Player]],WR!B:O,6,FALSE)</f>
        <v>#N/A</v>
      </c>
      <c r="AK188" s="83" t="e">
        <f>VLOOKUP(TableWRRanks3242[[#This Row],[Player]],WR!B:O,7,FALSE)</f>
        <v>#N/A</v>
      </c>
      <c r="AL188" s="83" t="e">
        <f>VLOOKUP(TableWRRanks3242[[#This Row],[Player]],WR!B:O,8,FALSE)</f>
        <v>#N/A</v>
      </c>
      <c r="AM188" s="83" t="e">
        <f>VLOOKUP(TableWRRanks3242[[#This Row],[Player]],WR!B:O,9,FALSE)</f>
        <v>#N/A</v>
      </c>
      <c r="AN188" s="57" t="e">
        <f>VLOOKUP(TableWRRanks3242[[#This Row],[Player]],WR!B:O,13,FALSE)</f>
        <v>#N/A</v>
      </c>
      <c r="AO188" s="125" t="str">
        <f>IF(VLOOKUP(TableWRRanks3242[[#This Row],[RK]],'Ranks w Proj'!AD:AO,12,FALSE)&lt;0,0,VLOOKUP(TableWRRanks3242[[#This Row],[RK]],'Ranks w Proj'!AD:AO,12,FALSE))</f>
        <v/>
      </c>
    </row>
    <row r="189" spans="30:41" x14ac:dyDescent="0.2">
      <c r="AD189">
        <v>188</v>
      </c>
      <c r="AE189" t="e">
        <f>VLOOKUP(TableWRRanks3242[[#This Row],[RK]],Rankings!A:T,13,FALSE)</f>
        <v>#N/A</v>
      </c>
      <c r="AF189" t="str">
        <f>IFERROR(INDEX(TableWRCalcPts[TM],MATCH(TableWRRanks3242[[#This Row],[Player]],TableWRCalcPts[PLAYER],0)),"")</f>
        <v/>
      </c>
      <c r="AG189" t="str">
        <f>IFERROR(INDEX(TableWRCalcPts[BYE],MATCH(TableWRRanks3242[[#This Row],[Player]],TableWRCalcPts[PLAYER],0)),"")</f>
        <v/>
      </c>
      <c r="AH189" s="83" t="e">
        <f>VLOOKUP(TableWRRanks3242[[#This Row],[Player]],WR!B:O,4,FALSE)</f>
        <v>#N/A</v>
      </c>
      <c r="AI189" s="83" t="e">
        <f>VLOOKUP(TableWRRanks3242[[#This Row],[Player]],WR!B:O,5,FALSE)</f>
        <v>#N/A</v>
      </c>
      <c r="AJ189" s="83" t="e">
        <f>VLOOKUP(TableWRRanks3242[[#This Row],[Player]],WR!B:O,6,FALSE)</f>
        <v>#N/A</v>
      </c>
      <c r="AK189" s="83" t="e">
        <f>VLOOKUP(TableWRRanks3242[[#This Row],[Player]],WR!B:O,7,FALSE)</f>
        <v>#N/A</v>
      </c>
      <c r="AL189" s="83" t="e">
        <f>VLOOKUP(TableWRRanks3242[[#This Row],[Player]],WR!B:O,8,FALSE)</f>
        <v>#N/A</v>
      </c>
      <c r="AM189" s="83" t="e">
        <f>VLOOKUP(TableWRRanks3242[[#This Row],[Player]],WR!B:O,9,FALSE)</f>
        <v>#N/A</v>
      </c>
      <c r="AN189" s="57" t="e">
        <f>VLOOKUP(TableWRRanks3242[[#This Row],[Player]],WR!B:O,13,FALSE)</f>
        <v>#N/A</v>
      </c>
      <c r="AO189" s="125" t="str">
        <f>IF(VLOOKUP(TableWRRanks3242[[#This Row],[RK]],'Ranks w Proj'!AD:AO,12,FALSE)&lt;0,0,VLOOKUP(TableWRRanks3242[[#This Row],[RK]],'Ranks w Proj'!AD:AO,12,FALSE))</f>
        <v/>
      </c>
    </row>
    <row r="190" spans="30:41" x14ac:dyDescent="0.2">
      <c r="AD190">
        <v>189</v>
      </c>
      <c r="AE190" t="e">
        <f>VLOOKUP(TableWRRanks3242[[#This Row],[RK]],Rankings!A:T,13,FALSE)</f>
        <v>#N/A</v>
      </c>
      <c r="AF190" t="str">
        <f>IFERROR(INDEX(TableWRCalcPts[TM],MATCH(TableWRRanks3242[[#This Row],[Player]],TableWRCalcPts[PLAYER],0)),"")</f>
        <v/>
      </c>
      <c r="AG190" t="str">
        <f>IFERROR(INDEX(TableWRCalcPts[BYE],MATCH(TableWRRanks3242[[#This Row],[Player]],TableWRCalcPts[PLAYER],0)),"")</f>
        <v/>
      </c>
      <c r="AH190" s="83" t="e">
        <f>VLOOKUP(TableWRRanks3242[[#This Row],[Player]],WR!B:O,4,FALSE)</f>
        <v>#N/A</v>
      </c>
      <c r="AI190" s="83" t="e">
        <f>VLOOKUP(TableWRRanks3242[[#This Row],[Player]],WR!B:O,5,FALSE)</f>
        <v>#N/A</v>
      </c>
      <c r="AJ190" s="83" t="e">
        <f>VLOOKUP(TableWRRanks3242[[#This Row],[Player]],WR!B:O,6,FALSE)</f>
        <v>#N/A</v>
      </c>
      <c r="AK190" s="83" t="e">
        <f>VLOOKUP(TableWRRanks3242[[#This Row],[Player]],WR!B:O,7,FALSE)</f>
        <v>#N/A</v>
      </c>
      <c r="AL190" s="83" t="e">
        <f>VLOOKUP(TableWRRanks3242[[#This Row],[Player]],WR!B:O,8,FALSE)</f>
        <v>#N/A</v>
      </c>
      <c r="AM190" s="83" t="e">
        <f>VLOOKUP(TableWRRanks3242[[#This Row],[Player]],WR!B:O,9,FALSE)</f>
        <v>#N/A</v>
      </c>
      <c r="AN190" s="57" t="e">
        <f>VLOOKUP(TableWRRanks3242[[#This Row],[Player]],WR!B:O,13,FALSE)</f>
        <v>#N/A</v>
      </c>
      <c r="AO190" s="125" t="str">
        <f>IF(VLOOKUP(TableWRRanks3242[[#This Row],[RK]],'Ranks w Proj'!AD:AO,12,FALSE)&lt;0,0,VLOOKUP(TableWRRanks3242[[#This Row],[RK]],'Ranks w Proj'!AD:AO,12,FALSE))</f>
        <v/>
      </c>
    </row>
    <row r="191" spans="30:41" x14ac:dyDescent="0.2">
      <c r="AD191">
        <v>190</v>
      </c>
      <c r="AE191" t="e">
        <f>VLOOKUP(TableWRRanks3242[[#This Row],[RK]],Rankings!A:T,13,FALSE)</f>
        <v>#N/A</v>
      </c>
      <c r="AF191" t="str">
        <f>IFERROR(INDEX(TableWRCalcPts[TM],MATCH(TableWRRanks3242[[#This Row],[Player]],TableWRCalcPts[PLAYER],0)),"")</f>
        <v/>
      </c>
      <c r="AG191" t="str">
        <f>IFERROR(INDEX(TableWRCalcPts[BYE],MATCH(TableWRRanks3242[[#This Row],[Player]],TableWRCalcPts[PLAYER],0)),"")</f>
        <v/>
      </c>
      <c r="AH191" s="83" t="e">
        <f>VLOOKUP(TableWRRanks3242[[#This Row],[Player]],WR!B:O,4,FALSE)</f>
        <v>#N/A</v>
      </c>
      <c r="AI191" s="83" t="e">
        <f>VLOOKUP(TableWRRanks3242[[#This Row],[Player]],WR!B:O,5,FALSE)</f>
        <v>#N/A</v>
      </c>
      <c r="AJ191" s="83" t="e">
        <f>VLOOKUP(TableWRRanks3242[[#This Row],[Player]],WR!B:O,6,FALSE)</f>
        <v>#N/A</v>
      </c>
      <c r="AK191" s="83" t="e">
        <f>VLOOKUP(TableWRRanks3242[[#This Row],[Player]],WR!B:O,7,FALSE)</f>
        <v>#N/A</v>
      </c>
      <c r="AL191" s="83" t="e">
        <f>VLOOKUP(TableWRRanks3242[[#This Row],[Player]],WR!B:O,8,FALSE)</f>
        <v>#N/A</v>
      </c>
      <c r="AM191" s="83" t="e">
        <f>VLOOKUP(TableWRRanks3242[[#This Row],[Player]],WR!B:O,9,FALSE)</f>
        <v>#N/A</v>
      </c>
      <c r="AN191" s="57" t="e">
        <f>VLOOKUP(TableWRRanks3242[[#This Row],[Player]],WR!B:O,13,FALSE)</f>
        <v>#N/A</v>
      </c>
      <c r="AO191" s="125" t="str">
        <f>IF(VLOOKUP(TableWRRanks3242[[#This Row],[RK]],'Ranks w Proj'!AD:AO,12,FALSE)&lt;0,0,VLOOKUP(TableWRRanks3242[[#This Row],[RK]],'Ranks w Proj'!AD:AO,12,FALSE))</f>
        <v/>
      </c>
    </row>
    <row r="192" spans="30:41" x14ac:dyDescent="0.2">
      <c r="AD192">
        <v>191</v>
      </c>
      <c r="AE192" t="e">
        <f>VLOOKUP(TableWRRanks3242[[#This Row],[RK]],Rankings!A:T,13,FALSE)</f>
        <v>#N/A</v>
      </c>
      <c r="AF192" t="str">
        <f>IFERROR(INDEX(TableWRCalcPts[TM],MATCH(TableWRRanks3242[[#This Row],[Player]],TableWRCalcPts[PLAYER],0)),"")</f>
        <v/>
      </c>
      <c r="AG192" t="str">
        <f>IFERROR(INDEX(TableWRCalcPts[BYE],MATCH(TableWRRanks3242[[#This Row],[Player]],TableWRCalcPts[PLAYER],0)),"")</f>
        <v/>
      </c>
      <c r="AH192" s="83" t="e">
        <f>VLOOKUP(TableWRRanks3242[[#This Row],[Player]],WR!B:O,4,FALSE)</f>
        <v>#N/A</v>
      </c>
      <c r="AI192" s="83" t="e">
        <f>VLOOKUP(TableWRRanks3242[[#This Row],[Player]],WR!B:O,5,FALSE)</f>
        <v>#N/A</v>
      </c>
      <c r="AJ192" s="83" t="e">
        <f>VLOOKUP(TableWRRanks3242[[#This Row],[Player]],WR!B:O,6,FALSE)</f>
        <v>#N/A</v>
      </c>
      <c r="AK192" s="83" t="e">
        <f>VLOOKUP(TableWRRanks3242[[#This Row],[Player]],WR!B:O,7,FALSE)</f>
        <v>#N/A</v>
      </c>
      <c r="AL192" s="83" t="e">
        <f>VLOOKUP(TableWRRanks3242[[#This Row],[Player]],WR!B:O,8,FALSE)</f>
        <v>#N/A</v>
      </c>
      <c r="AM192" s="83" t="e">
        <f>VLOOKUP(TableWRRanks3242[[#This Row],[Player]],WR!B:O,9,FALSE)</f>
        <v>#N/A</v>
      </c>
      <c r="AN192" s="57" t="e">
        <f>VLOOKUP(TableWRRanks3242[[#This Row],[Player]],WR!B:O,13,FALSE)</f>
        <v>#N/A</v>
      </c>
      <c r="AO192" s="125" t="str">
        <f>IF(VLOOKUP(TableWRRanks3242[[#This Row],[RK]],'Ranks w Proj'!AD:AO,12,FALSE)&lt;0,0,VLOOKUP(TableWRRanks3242[[#This Row],[RK]],'Ranks w Proj'!AD:AO,12,FALSE))</f>
        <v/>
      </c>
    </row>
    <row r="193" spans="30:41" x14ac:dyDescent="0.2">
      <c r="AD193">
        <v>192</v>
      </c>
      <c r="AE193" t="e">
        <f>VLOOKUP(TableWRRanks3242[[#This Row],[RK]],Rankings!A:T,13,FALSE)</f>
        <v>#N/A</v>
      </c>
      <c r="AF193" t="str">
        <f>IFERROR(INDEX(TableWRCalcPts[TM],MATCH(TableWRRanks3242[[#This Row],[Player]],TableWRCalcPts[PLAYER],0)),"")</f>
        <v/>
      </c>
      <c r="AG193" t="str">
        <f>IFERROR(INDEX(TableWRCalcPts[BYE],MATCH(TableWRRanks3242[[#This Row],[Player]],TableWRCalcPts[PLAYER],0)),"")</f>
        <v/>
      </c>
      <c r="AH193" s="83" t="e">
        <f>VLOOKUP(TableWRRanks3242[[#This Row],[Player]],WR!B:O,4,FALSE)</f>
        <v>#N/A</v>
      </c>
      <c r="AI193" s="83" t="e">
        <f>VLOOKUP(TableWRRanks3242[[#This Row],[Player]],WR!B:O,5,FALSE)</f>
        <v>#N/A</v>
      </c>
      <c r="AJ193" s="83" t="e">
        <f>VLOOKUP(TableWRRanks3242[[#This Row],[Player]],WR!B:O,6,FALSE)</f>
        <v>#N/A</v>
      </c>
      <c r="AK193" s="83" t="e">
        <f>VLOOKUP(TableWRRanks3242[[#This Row],[Player]],WR!B:O,7,FALSE)</f>
        <v>#N/A</v>
      </c>
      <c r="AL193" s="83" t="e">
        <f>VLOOKUP(TableWRRanks3242[[#This Row],[Player]],WR!B:O,8,FALSE)</f>
        <v>#N/A</v>
      </c>
      <c r="AM193" s="83" t="e">
        <f>VLOOKUP(TableWRRanks3242[[#This Row],[Player]],WR!B:O,9,FALSE)</f>
        <v>#N/A</v>
      </c>
      <c r="AN193" s="57" t="e">
        <f>VLOOKUP(TableWRRanks3242[[#This Row],[Player]],WR!B:O,13,FALSE)</f>
        <v>#N/A</v>
      </c>
      <c r="AO193" s="125" t="str">
        <f>IF(VLOOKUP(TableWRRanks3242[[#This Row],[RK]],'Ranks w Proj'!AD:AO,12,FALSE)&lt;0,0,VLOOKUP(TableWRRanks3242[[#This Row],[RK]],'Ranks w Proj'!AD:AO,12,FALSE))</f>
        <v/>
      </c>
    </row>
    <row r="194" spans="30:41" x14ac:dyDescent="0.2">
      <c r="AD194">
        <v>193</v>
      </c>
      <c r="AE194" t="e">
        <f>VLOOKUP(TableWRRanks3242[[#This Row],[RK]],Rankings!A:T,13,FALSE)</f>
        <v>#N/A</v>
      </c>
      <c r="AF194" t="str">
        <f>IFERROR(INDEX(TableWRCalcPts[TM],MATCH(TableWRRanks3242[[#This Row],[Player]],TableWRCalcPts[PLAYER],0)),"")</f>
        <v/>
      </c>
      <c r="AG194" t="str">
        <f>IFERROR(INDEX(TableWRCalcPts[BYE],MATCH(TableWRRanks3242[[#This Row],[Player]],TableWRCalcPts[PLAYER],0)),"")</f>
        <v/>
      </c>
      <c r="AH194" s="83" t="e">
        <f>VLOOKUP(TableWRRanks3242[[#This Row],[Player]],WR!B:O,4,FALSE)</f>
        <v>#N/A</v>
      </c>
      <c r="AI194" s="83" t="e">
        <f>VLOOKUP(TableWRRanks3242[[#This Row],[Player]],WR!B:O,5,FALSE)</f>
        <v>#N/A</v>
      </c>
      <c r="AJ194" s="83" t="e">
        <f>VLOOKUP(TableWRRanks3242[[#This Row],[Player]],WR!B:O,6,FALSE)</f>
        <v>#N/A</v>
      </c>
      <c r="AK194" s="83" t="e">
        <f>VLOOKUP(TableWRRanks3242[[#This Row],[Player]],WR!B:O,7,FALSE)</f>
        <v>#N/A</v>
      </c>
      <c r="AL194" s="83" t="e">
        <f>VLOOKUP(TableWRRanks3242[[#This Row],[Player]],WR!B:O,8,FALSE)</f>
        <v>#N/A</v>
      </c>
      <c r="AM194" s="83" t="e">
        <f>VLOOKUP(TableWRRanks3242[[#This Row],[Player]],WR!B:O,9,FALSE)</f>
        <v>#N/A</v>
      </c>
      <c r="AN194" s="57" t="e">
        <f>VLOOKUP(TableWRRanks3242[[#This Row],[Player]],WR!B:O,13,FALSE)</f>
        <v>#N/A</v>
      </c>
      <c r="AO194" s="125" t="str">
        <f>IF(VLOOKUP(TableWRRanks3242[[#This Row],[RK]],'Ranks w Proj'!AD:AO,12,FALSE)&lt;0,0,VLOOKUP(TableWRRanks3242[[#This Row],[RK]],'Ranks w Proj'!AD:AO,12,FALSE))</f>
        <v/>
      </c>
    </row>
    <row r="195" spans="30:41" x14ac:dyDescent="0.2">
      <c r="AD195">
        <v>194</v>
      </c>
      <c r="AE195" t="e">
        <f>VLOOKUP(TableWRRanks3242[[#This Row],[RK]],Rankings!A:T,13,FALSE)</f>
        <v>#N/A</v>
      </c>
      <c r="AF195" t="str">
        <f>IFERROR(INDEX(TableWRCalcPts[TM],MATCH(TableWRRanks3242[[#This Row],[Player]],TableWRCalcPts[PLAYER],0)),"")</f>
        <v/>
      </c>
      <c r="AG195" t="str">
        <f>IFERROR(INDEX(TableWRCalcPts[BYE],MATCH(TableWRRanks3242[[#This Row],[Player]],TableWRCalcPts[PLAYER],0)),"")</f>
        <v/>
      </c>
      <c r="AH195" s="83" t="e">
        <f>VLOOKUP(TableWRRanks3242[[#This Row],[Player]],WR!B:O,4,FALSE)</f>
        <v>#N/A</v>
      </c>
      <c r="AI195" s="83" t="e">
        <f>VLOOKUP(TableWRRanks3242[[#This Row],[Player]],WR!B:O,5,FALSE)</f>
        <v>#N/A</v>
      </c>
      <c r="AJ195" s="83" t="e">
        <f>VLOOKUP(TableWRRanks3242[[#This Row],[Player]],WR!B:O,6,FALSE)</f>
        <v>#N/A</v>
      </c>
      <c r="AK195" s="83" t="e">
        <f>VLOOKUP(TableWRRanks3242[[#This Row],[Player]],WR!B:O,7,FALSE)</f>
        <v>#N/A</v>
      </c>
      <c r="AL195" s="83" t="e">
        <f>VLOOKUP(TableWRRanks3242[[#This Row],[Player]],WR!B:O,8,FALSE)</f>
        <v>#N/A</v>
      </c>
      <c r="AM195" s="83" t="e">
        <f>VLOOKUP(TableWRRanks3242[[#This Row],[Player]],WR!B:O,9,FALSE)</f>
        <v>#N/A</v>
      </c>
      <c r="AN195" s="57" t="e">
        <f>VLOOKUP(TableWRRanks3242[[#This Row],[Player]],WR!B:O,13,FALSE)</f>
        <v>#N/A</v>
      </c>
      <c r="AO195" s="125" t="str">
        <f>IF(VLOOKUP(TableWRRanks3242[[#This Row],[RK]],'Ranks w Proj'!AD:AO,12,FALSE)&lt;0,0,VLOOKUP(TableWRRanks3242[[#This Row],[RK]],'Ranks w Proj'!AD:AO,12,FALSE))</f>
        <v/>
      </c>
    </row>
    <row r="196" spans="30:41" x14ac:dyDescent="0.2">
      <c r="AD196">
        <v>195</v>
      </c>
      <c r="AE196" t="e">
        <f>VLOOKUP(TableWRRanks3242[[#This Row],[RK]],Rankings!A:T,13,FALSE)</f>
        <v>#N/A</v>
      </c>
      <c r="AF196" t="str">
        <f>IFERROR(INDEX(TableWRCalcPts[TM],MATCH(TableWRRanks3242[[#This Row],[Player]],TableWRCalcPts[PLAYER],0)),"")</f>
        <v/>
      </c>
      <c r="AG196" t="str">
        <f>IFERROR(INDEX(TableWRCalcPts[BYE],MATCH(TableWRRanks3242[[#This Row],[Player]],TableWRCalcPts[PLAYER],0)),"")</f>
        <v/>
      </c>
      <c r="AH196" s="83" t="e">
        <f>VLOOKUP(TableWRRanks3242[[#This Row],[Player]],WR!B:O,4,FALSE)</f>
        <v>#N/A</v>
      </c>
      <c r="AI196" s="83" t="e">
        <f>VLOOKUP(TableWRRanks3242[[#This Row],[Player]],WR!B:O,5,FALSE)</f>
        <v>#N/A</v>
      </c>
      <c r="AJ196" s="83" t="e">
        <f>VLOOKUP(TableWRRanks3242[[#This Row],[Player]],WR!B:O,6,FALSE)</f>
        <v>#N/A</v>
      </c>
      <c r="AK196" s="83" t="e">
        <f>VLOOKUP(TableWRRanks3242[[#This Row],[Player]],WR!B:O,7,FALSE)</f>
        <v>#N/A</v>
      </c>
      <c r="AL196" s="83" t="e">
        <f>VLOOKUP(TableWRRanks3242[[#This Row],[Player]],WR!B:O,8,FALSE)</f>
        <v>#N/A</v>
      </c>
      <c r="AM196" s="83" t="e">
        <f>VLOOKUP(TableWRRanks3242[[#This Row],[Player]],WR!B:O,9,FALSE)</f>
        <v>#N/A</v>
      </c>
      <c r="AN196" s="57" t="e">
        <f>VLOOKUP(TableWRRanks3242[[#This Row],[Player]],WR!B:O,13,FALSE)</f>
        <v>#N/A</v>
      </c>
      <c r="AO196" s="125" t="str">
        <f>IF(VLOOKUP(TableWRRanks3242[[#This Row],[RK]],'Ranks w Proj'!AD:AO,12,FALSE)&lt;0,0,VLOOKUP(TableWRRanks3242[[#This Row],[RK]],'Ranks w Proj'!AD:AO,12,FALSE))</f>
        <v/>
      </c>
    </row>
    <row r="197" spans="30:41" x14ac:dyDescent="0.2">
      <c r="AD197">
        <v>196</v>
      </c>
      <c r="AE197" t="e">
        <f>VLOOKUP(TableWRRanks3242[[#This Row],[RK]],Rankings!A:T,13,FALSE)</f>
        <v>#N/A</v>
      </c>
      <c r="AF197" t="str">
        <f>IFERROR(INDEX(TableWRCalcPts[TM],MATCH(TableWRRanks3242[[#This Row],[Player]],TableWRCalcPts[PLAYER],0)),"")</f>
        <v/>
      </c>
      <c r="AG197" t="str">
        <f>IFERROR(INDEX(TableWRCalcPts[BYE],MATCH(TableWRRanks3242[[#This Row],[Player]],TableWRCalcPts[PLAYER],0)),"")</f>
        <v/>
      </c>
      <c r="AH197" s="83" t="e">
        <f>VLOOKUP(TableWRRanks3242[[#This Row],[Player]],WR!B:O,4,FALSE)</f>
        <v>#N/A</v>
      </c>
      <c r="AI197" s="83" t="e">
        <f>VLOOKUP(TableWRRanks3242[[#This Row],[Player]],WR!B:O,5,FALSE)</f>
        <v>#N/A</v>
      </c>
      <c r="AJ197" s="83" t="e">
        <f>VLOOKUP(TableWRRanks3242[[#This Row],[Player]],WR!B:O,6,FALSE)</f>
        <v>#N/A</v>
      </c>
      <c r="AK197" s="83" t="e">
        <f>VLOOKUP(TableWRRanks3242[[#This Row],[Player]],WR!B:O,7,FALSE)</f>
        <v>#N/A</v>
      </c>
      <c r="AL197" s="83" t="e">
        <f>VLOOKUP(TableWRRanks3242[[#This Row],[Player]],WR!B:O,8,FALSE)</f>
        <v>#N/A</v>
      </c>
      <c r="AM197" s="83" t="e">
        <f>VLOOKUP(TableWRRanks3242[[#This Row],[Player]],WR!B:O,9,FALSE)</f>
        <v>#N/A</v>
      </c>
      <c r="AN197" s="57" t="e">
        <f>VLOOKUP(TableWRRanks3242[[#This Row],[Player]],WR!B:O,13,FALSE)</f>
        <v>#N/A</v>
      </c>
      <c r="AO197" s="125" t="str">
        <f>IF(VLOOKUP(TableWRRanks3242[[#This Row],[RK]],'Ranks w Proj'!AD:AO,12,FALSE)&lt;0,0,VLOOKUP(TableWRRanks3242[[#This Row],[RK]],'Ranks w Proj'!AD:AO,12,FALSE))</f>
        <v/>
      </c>
    </row>
    <row r="198" spans="30:41" x14ac:dyDescent="0.2">
      <c r="AD198">
        <v>197</v>
      </c>
      <c r="AE198" t="e">
        <f>VLOOKUP(TableWRRanks3242[[#This Row],[RK]],Rankings!A:T,13,FALSE)</f>
        <v>#N/A</v>
      </c>
      <c r="AF198" t="str">
        <f>IFERROR(INDEX(TableWRCalcPts[TM],MATCH(TableWRRanks3242[[#This Row],[Player]],TableWRCalcPts[PLAYER],0)),"")</f>
        <v/>
      </c>
      <c r="AG198" t="str">
        <f>IFERROR(INDEX(TableWRCalcPts[BYE],MATCH(TableWRRanks3242[[#This Row],[Player]],TableWRCalcPts[PLAYER],0)),"")</f>
        <v/>
      </c>
      <c r="AH198" s="83" t="e">
        <f>VLOOKUP(TableWRRanks3242[[#This Row],[Player]],WR!B:O,4,FALSE)</f>
        <v>#N/A</v>
      </c>
      <c r="AI198" s="83" t="e">
        <f>VLOOKUP(TableWRRanks3242[[#This Row],[Player]],WR!B:O,5,FALSE)</f>
        <v>#N/A</v>
      </c>
      <c r="AJ198" s="83" t="e">
        <f>VLOOKUP(TableWRRanks3242[[#This Row],[Player]],WR!B:O,6,FALSE)</f>
        <v>#N/A</v>
      </c>
      <c r="AK198" s="83" t="e">
        <f>VLOOKUP(TableWRRanks3242[[#This Row],[Player]],WR!B:O,7,FALSE)</f>
        <v>#N/A</v>
      </c>
      <c r="AL198" s="83" t="e">
        <f>VLOOKUP(TableWRRanks3242[[#This Row],[Player]],WR!B:O,8,FALSE)</f>
        <v>#N/A</v>
      </c>
      <c r="AM198" s="83" t="e">
        <f>VLOOKUP(TableWRRanks3242[[#This Row],[Player]],WR!B:O,9,FALSE)</f>
        <v>#N/A</v>
      </c>
      <c r="AN198" s="57" t="e">
        <f>VLOOKUP(TableWRRanks3242[[#This Row],[Player]],WR!B:O,13,FALSE)</f>
        <v>#N/A</v>
      </c>
      <c r="AO198" s="125" t="str">
        <f>IF(VLOOKUP(TableWRRanks3242[[#This Row],[RK]],'Ranks w Proj'!AD:AO,12,FALSE)&lt;0,0,VLOOKUP(TableWRRanks3242[[#This Row],[RK]],'Ranks w Proj'!AD:AO,12,FALSE))</f>
        <v/>
      </c>
    </row>
    <row r="199" spans="30:41" x14ac:dyDescent="0.2">
      <c r="AD199">
        <v>198</v>
      </c>
      <c r="AE199" t="e">
        <f>VLOOKUP(TableWRRanks3242[[#This Row],[RK]],Rankings!A:T,13,FALSE)</f>
        <v>#N/A</v>
      </c>
      <c r="AF199" t="str">
        <f>IFERROR(INDEX(TableWRCalcPts[TM],MATCH(TableWRRanks3242[[#This Row],[Player]],TableWRCalcPts[PLAYER],0)),"")</f>
        <v/>
      </c>
      <c r="AG199" t="str">
        <f>IFERROR(INDEX(TableWRCalcPts[BYE],MATCH(TableWRRanks3242[[#This Row],[Player]],TableWRCalcPts[PLAYER],0)),"")</f>
        <v/>
      </c>
      <c r="AH199" s="83" t="e">
        <f>VLOOKUP(TableWRRanks3242[[#This Row],[Player]],WR!B:O,4,FALSE)</f>
        <v>#N/A</v>
      </c>
      <c r="AI199" s="83" t="e">
        <f>VLOOKUP(TableWRRanks3242[[#This Row],[Player]],WR!B:O,5,FALSE)</f>
        <v>#N/A</v>
      </c>
      <c r="AJ199" s="83" t="e">
        <f>VLOOKUP(TableWRRanks3242[[#This Row],[Player]],WR!B:O,6,FALSE)</f>
        <v>#N/A</v>
      </c>
      <c r="AK199" s="83" t="e">
        <f>VLOOKUP(TableWRRanks3242[[#This Row],[Player]],WR!B:O,7,FALSE)</f>
        <v>#N/A</v>
      </c>
      <c r="AL199" s="83" t="e">
        <f>VLOOKUP(TableWRRanks3242[[#This Row],[Player]],WR!B:O,8,FALSE)</f>
        <v>#N/A</v>
      </c>
      <c r="AM199" s="83" t="e">
        <f>VLOOKUP(TableWRRanks3242[[#This Row],[Player]],WR!B:O,9,FALSE)</f>
        <v>#N/A</v>
      </c>
      <c r="AN199" s="57" t="e">
        <f>VLOOKUP(TableWRRanks3242[[#This Row],[Player]],WR!B:O,13,FALSE)</f>
        <v>#N/A</v>
      </c>
      <c r="AO199" s="125" t="str">
        <f>IF(VLOOKUP(TableWRRanks3242[[#This Row],[RK]],'Ranks w Proj'!AD:AO,12,FALSE)&lt;0,0,VLOOKUP(TableWRRanks3242[[#This Row],[RK]],'Ranks w Proj'!AD:AO,12,FALSE))</f>
        <v/>
      </c>
    </row>
    <row r="200" spans="30:41" x14ac:dyDescent="0.2">
      <c r="AD200">
        <v>199</v>
      </c>
      <c r="AE200" t="e">
        <f>VLOOKUP(TableWRRanks3242[[#This Row],[RK]],Rankings!A:T,13,FALSE)</f>
        <v>#N/A</v>
      </c>
      <c r="AF200" t="str">
        <f>IFERROR(INDEX(TableWRCalcPts[TM],MATCH(TableWRRanks3242[[#This Row],[Player]],TableWRCalcPts[PLAYER],0)),"")</f>
        <v/>
      </c>
      <c r="AG200" t="str">
        <f>IFERROR(INDEX(TableWRCalcPts[BYE],MATCH(TableWRRanks3242[[#This Row],[Player]],TableWRCalcPts[PLAYER],0)),"")</f>
        <v/>
      </c>
      <c r="AH200" s="83" t="e">
        <f>VLOOKUP(TableWRRanks3242[[#This Row],[Player]],WR!B:O,4,FALSE)</f>
        <v>#N/A</v>
      </c>
      <c r="AI200" s="83" t="e">
        <f>VLOOKUP(TableWRRanks3242[[#This Row],[Player]],WR!B:O,5,FALSE)</f>
        <v>#N/A</v>
      </c>
      <c r="AJ200" s="83" t="e">
        <f>VLOOKUP(TableWRRanks3242[[#This Row],[Player]],WR!B:O,6,FALSE)</f>
        <v>#N/A</v>
      </c>
      <c r="AK200" s="83" t="e">
        <f>VLOOKUP(TableWRRanks3242[[#This Row],[Player]],WR!B:O,7,FALSE)</f>
        <v>#N/A</v>
      </c>
      <c r="AL200" s="83" t="e">
        <f>VLOOKUP(TableWRRanks3242[[#This Row],[Player]],WR!B:O,8,FALSE)</f>
        <v>#N/A</v>
      </c>
      <c r="AM200" s="83" t="e">
        <f>VLOOKUP(TableWRRanks3242[[#This Row],[Player]],WR!B:O,9,FALSE)</f>
        <v>#N/A</v>
      </c>
      <c r="AN200" s="57" t="e">
        <f>VLOOKUP(TableWRRanks3242[[#This Row],[Player]],WR!B:O,13,FALSE)</f>
        <v>#N/A</v>
      </c>
      <c r="AO200" s="125" t="str">
        <f>IF(VLOOKUP(TableWRRanks3242[[#This Row],[RK]],'Ranks w Proj'!AD:AO,12,FALSE)&lt;0,0,VLOOKUP(TableWRRanks3242[[#This Row],[RK]],'Ranks w Proj'!AD:AO,12,FALSE))</f>
        <v/>
      </c>
    </row>
    <row r="201" spans="30:41" x14ac:dyDescent="0.2">
      <c r="AD201">
        <v>200</v>
      </c>
      <c r="AE201" t="e">
        <f>VLOOKUP(TableWRRanks3242[[#This Row],[RK]],Rankings!A:T,13,FALSE)</f>
        <v>#N/A</v>
      </c>
      <c r="AF201" t="str">
        <f>IFERROR(INDEX(TableWRCalcPts[TM],MATCH(TableWRRanks3242[[#This Row],[Player]],TableWRCalcPts[PLAYER],0)),"")</f>
        <v/>
      </c>
      <c r="AG201" t="str">
        <f>IFERROR(INDEX(TableWRCalcPts[BYE],MATCH(TableWRRanks3242[[#This Row],[Player]],TableWRCalcPts[PLAYER],0)),"")</f>
        <v/>
      </c>
      <c r="AH201" s="83" t="e">
        <f>VLOOKUP(TableWRRanks3242[[#This Row],[Player]],WR!B:O,4,FALSE)</f>
        <v>#N/A</v>
      </c>
      <c r="AI201" s="83" t="e">
        <f>VLOOKUP(TableWRRanks3242[[#This Row],[Player]],WR!B:O,5,FALSE)</f>
        <v>#N/A</v>
      </c>
      <c r="AJ201" s="83" t="e">
        <f>VLOOKUP(TableWRRanks3242[[#This Row],[Player]],WR!B:O,6,FALSE)</f>
        <v>#N/A</v>
      </c>
      <c r="AK201" s="83" t="e">
        <f>VLOOKUP(TableWRRanks3242[[#This Row],[Player]],WR!B:O,7,FALSE)</f>
        <v>#N/A</v>
      </c>
      <c r="AL201" s="83" t="e">
        <f>VLOOKUP(TableWRRanks3242[[#This Row],[Player]],WR!B:O,8,FALSE)</f>
        <v>#N/A</v>
      </c>
      <c r="AM201" s="83" t="e">
        <f>VLOOKUP(TableWRRanks3242[[#This Row],[Player]],WR!B:O,9,FALSE)</f>
        <v>#N/A</v>
      </c>
      <c r="AN201" s="57" t="e">
        <f>VLOOKUP(TableWRRanks3242[[#This Row],[Player]],WR!B:O,13,FALSE)</f>
        <v>#N/A</v>
      </c>
      <c r="AO201" s="125" t="str">
        <f>IF(VLOOKUP(TableWRRanks3242[[#This Row],[RK]],'Ranks w Proj'!AD:AO,12,FALSE)&lt;0,0,VLOOKUP(TableWRRanks3242[[#This Row],[RK]],'Ranks w Proj'!AD:AO,12,FALSE))</f>
        <v/>
      </c>
    </row>
    <row r="202" spans="30:41" x14ac:dyDescent="0.2">
      <c r="AD202">
        <v>201</v>
      </c>
      <c r="AE202" t="e">
        <f>VLOOKUP(TableWRRanks3242[[#This Row],[RK]],Rankings!A:T,13,FALSE)</f>
        <v>#N/A</v>
      </c>
      <c r="AF202" t="str">
        <f>IFERROR(INDEX(TableWRCalcPts[TM],MATCH(TableWRRanks3242[[#This Row],[Player]],TableWRCalcPts[PLAYER],0)),"")</f>
        <v/>
      </c>
      <c r="AG202" t="str">
        <f>IFERROR(INDEX(TableWRCalcPts[BYE],MATCH(TableWRRanks3242[[#This Row],[Player]],TableWRCalcPts[PLAYER],0)),"")</f>
        <v/>
      </c>
      <c r="AH202" s="83" t="e">
        <f>VLOOKUP(TableWRRanks3242[[#This Row],[Player]],WR!B:O,4,FALSE)</f>
        <v>#N/A</v>
      </c>
      <c r="AI202" s="83" t="e">
        <f>VLOOKUP(TableWRRanks3242[[#This Row],[Player]],WR!B:O,5,FALSE)</f>
        <v>#N/A</v>
      </c>
      <c r="AJ202" s="83" t="e">
        <f>VLOOKUP(TableWRRanks3242[[#This Row],[Player]],WR!B:O,6,FALSE)</f>
        <v>#N/A</v>
      </c>
      <c r="AK202" s="83" t="e">
        <f>VLOOKUP(TableWRRanks3242[[#This Row],[Player]],WR!B:O,7,FALSE)</f>
        <v>#N/A</v>
      </c>
      <c r="AL202" s="83" t="e">
        <f>VLOOKUP(TableWRRanks3242[[#This Row],[Player]],WR!B:O,8,FALSE)</f>
        <v>#N/A</v>
      </c>
      <c r="AM202" s="83" t="e">
        <f>VLOOKUP(TableWRRanks3242[[#This Row],[Player]],WR!B:O,9,FALSE)</f>
        <v>#N/A</v>
      </c>
      <c r="AN202" s="57" t="e">
        <f>VLOOKUP(TableWRRanks3242[[#This Row],[Player]],WR!B:O,13,FALSE)</f>
        <v>#N/A</v>
      </c>
      <c r="AO202" s="125" t="str">
        <f>IF(VLOOKUP(TableWRRanks3242[[#This Row],[RK]],'Ranks w Proj'!AD:AO,12,FALSE)&lt;0,0,VLOOKUP(TableWRRanks3242[[#This Row],[RK]],'Ranks w Proj'!AD:AO,12,FALSE))</f>
        <v/>
      </c>
    </row>
    <row r="203" spans="30:41" x14ac:dyDescent="0.2">
      <c r="AD203">
        <v>202</v>
      </c>
      <c r="AE203" t="e">
        <f>VLOOKUP(TableWRRanks3242[[#This Row],[RK]],Rankings!A:T,13,FALSE)</f>
        <v>#N/A</v>
      </c>
      <c r="AF203" t="str">
        <f>IFERROR(INDEX(TableWRCalcPts[TM],MATCH(TableWRRanks3242[[#This Row],[Player]],TableWRCalcPts[PLAYER],0)),"")</f>
        <v/>
      </c>
      <c r="AG203" t="str">
        <f>IFERROR(INDEX(TableWRCalcPts[BYE],MATCH(TableWRRanks3242[[#This Row],[Player]],TableWRCalcPts[PLAYER],0)),"")</f>
        <v/>
      </c>
      <c r="AH203" s="83" t="e">
        <f>VLOOKUP(TableWRRanks3242[[#This Row],[Player]],WR!B:O,4,FALSE)</f>
        <v>#N/A</v>
      </c>
      <c r="AI203" s="83" t="e">
        <f>VLOOKUP(TableWRRanks3242[[#This Row],[Player]],WR!B:O,5,FALSE)</f>
        <v>#N/A</v>
      </c>
      <c r="AJ203" s="83" t="e">
        <f>VLOOKUP(TableWRRanks3242[[#This Row],[Player]],WR!B:O,6,FALSE)</f>
        <v>#N/A</v>
      </c>
      <c r="AK203" s="83" t="e">
        <f>VLOOKUP(TableWRRanks3242[[#This Row],[Player]],WR!B:O,7,FALSE)</f>
        <v>#N/A</v>
      </c>
      <c r="AL203" s="83" t="e">
        <f>VLOOKUP(TableWRRanks3242[[#This Row],[Player]],WR!B:O,8,FALSE)</f>
        <v>#N/A</v>
      </c>
      <c r="AM203" s="83" t="e">
        <f>VLOOKUP(TableWRRanks3242[[#This Row],[Player]],WR!B:O,9,FALSE)</f>
        <v>#N/A</v>
      </c>
      <c r="AN203" s="57" t="e">
        <f>VLOOKUP(TableWRRanks3242[[#This Row],[Player]],WR!B:O,13,FALSE)</f>
        <v>#N/A</v>
      </c>
      <c r="AO203" s="125" t="str">
        <f>IF(VLOOKUP(TableWRRanks3242[[#This Row],[RK]],'Ranks w Proj'!AD:AO,12,FALSE)&lt;0,0,VLOOKUP(TableWRRanks3242[[#This Row],[RK]],'Ranks w Proj'!AD:AO,12,FALSE))</f>
        <v/>
      </c>
    </row>
    <row r="204" spans="30:41" x14ac:dyDescent="0.2">
      <c r="AD204">
        <v>203</v>
      </c>
      <c r="AE204" t="e">
        <f>VLOOKUP(TableWRRanks3242[[#This Row],[RK]],Rankings!A:T,13,FALSE)</f>
        <v>#N/A</v>
      </c>
      <c r="AF204" t="str">
        <f>IFERROR(INDEX(TableWRCalcPts[TM],MATCH(TableWRRanks3242[[#This Row],[Player]],TableWRCalcPts[PLAYER],0)),"")</f>
        <v/>
      </c>
      <c r="AG204" t="str">
        <f>IFERROR(INDEX(TableWRCalcPts[BYE],MATCH(TableWRRanks3242[[#This Row],[Player]],TableWRCalcPts[PLAYER],0)),"")</f>
        <v/>
      </c>
      <c r="AH204" s="83" t="e">
        <f>VLOOKUP(TableWRRanks3242[[#This Row],[Player]],WR!B:O,4,FALSE)</f>
        <v>#N/A</v>
      </c>
      <c r="AI204" s="83" t="e">
        <f>VLOOKUP(TableWRRanks3242[[#This Row],[Player]],WR!B:O,5,FALSE)</f>
        <v>#N/A</v>
      </c>
      <c r="AJ204" s="83" t="e">
        <f>VLOOKUP(TableWRRanks3242[[#This Row],[Player]],WR!B:O,6,FALSE)</f>
        <v>#N/A</v>
      </c>
      <c r="AK204" s="83" t="e">
        <f>VLOOKUP(TableWRRanks3242[[#This Row],[Player]],WR!B:O,7,FALSE)</f>
        <v>#N/A</v>
      </c>
      <c r="AL204" s="83" t="e">
        <f>VLOOKUP(TableWRRanks3242[[#This Row],[Player]],WR!B:O,8,FALSE)</f>
        <v>#N/A</v>
      </c>
      <c r="AM204" s="83" t="e">
        <f>VLOOKUP(TableWRRanks3242[[#This Row],[Player]],WR!B:O,9,FALSE)</f>
        <v>#N/A</v>
      </c>
      <c r="AN204" s="57" t="e">
        <f>VLOOKUP(TableWRRanks3242[[#This Row],[Player]],WR!B:O,13,FALSE)</f>
        <v>#N/A</v>
      </c>
      <c r="AO204" s="125" t="str">
        <f>IF(VLOOKUP(TableWRRanks3242[[#This Row],[RK]],'Ranks w Proj'!AD:AO,12,FALSE)&lt;0,0,VLOOKUP(TableWRRanks3242[[#This Row],[RK]],'Ranks w Proj'!AD:AO,12,FALSE))</f>
        <v/>
      </c>
    </row>
    <row r="205" spans="30:41" x14ac:dyDescent="0.2">
      <c r="AD205">
        <v>204</v>
      </c>
      <c r="AE205" t="e">
        <f>VLOOKUP(TableWRRanks3242[[#This Row],[RK]],Rankings!A:T,13,FALSE)</f>
        <v>#N/A</v>
      </c>
      <c r="AF205" t="str">
        <f>IFERROR(INDEX(TableWRCalcPts[TM],MATCH(TableWRRanks3242[[#This Row],[Player]],TableWRCalcPts[PLAYER],0)),"")</f>
        <v/>
      </c>
      <c r="AG205" t="str">
        <f>IFERROR(INDEX(TableWRCalcPts[BYE],MATCH(TableWRRanks3242[[#This Row],[Player]],TableWRCalcPts[PLAYER],0)),"")</f>
        <v/>
      </c>
      <c r="AH205" s="83" t="e">
        <f>VLOOKUP(TableWRRanks3242[[#This Row],[Player]],WR!B:O,4,FALSE)</f>
        <v>#N/A</v>
      </c>
      <c r="AI205" s="83" t="e">
        <f>VLOOKUP(TableWRRanks3242[[#This Row],[Player]],WR!B:O,5,FALSE)</f>
        <v>#N/A</v>
      </c>
      <c r="AJ205" s="83" t="e">
        <f>VLOOKUP(TableWRRanks3242[[#This Row],[Player]],WR!B:O,6,FALSE)</f>
        <v>#N/A</v>
      </c>
      <c r="AK205" s="83" t="e">
        <f>VLOOKUP(TableWRRanks3242[[#This Row],[Player]],WR!B:O,7,FALSE)</f>
        <v>#N/A</v>
      </c>
      <c r="AL205" s="83" t="e">
        <f>VLOOKUP(TableWRRanks3242[[#This Row],[Player]],WR!B:O,8,FALSE)</f>
        <v>#N/A</v>
      </c>
      <c r="AM205" s="83" t="e">
        <f>VLOOKUP(TableWRRanks3242[[#This Row],[Player]],WR!B:O,9,FALSE)</f>
        <v>#N/A</v>
      </c>
      <c r="AN205" s="57" t="e">
        <f>VLOOKUP(TableWRRanks3242[[#This Row],[Player]],WR!B:O,13,FALSE)</f>
        <v>#N/A</v>
      </c>
      <c r="AO205" s="125" t="str">
        <f>IF(VLOOKUP(TableWRRanks3242[[#This Row],[RK]],'Ranks w Proj'!AD:AO,12,FALSE)&lt;0,0,VLOOKUP(TableWRRanks3242[[#This Row],[RK]],'Ranks w Proj'!AD:AO,12,FALSE))</f>
        <v/>
      </c>
    </row>
    <row r="206" spans="30:41" x14ac:dyDescent="0.2">
      <c r="AD206">
        <v>205</v>
      </c>
      <c r="AE206" t="e">
        <f>VLOOKUP(TableWRRanks3242[[#This Row],[RK]],Rankings!A:T,13,FALSE)</f>
        <v>#N/A</v>
      </c>
      <c r="AF206" t="str">
        <f>IFERROR(INDEX(TableWRCalcPts[TM],MATCH(TableWRRanks3242[[#This Row],[Player]],TableWRCalcPts[PLAYER],0)),"")</f>
        <v/>
      </c>
      <c r="AG206" t="str">
        <f>IFERROR(INDEX(TableWRCalcPts[BYE],MATCH(TableWRRanks3242[[#This Row],[Player]],TableWRCalcPts[PLAYER],0)),"")</f>
        <v/>
      </c>
      <c r="AH206" s="83" t="e">
        <f>VLOOKUP(TableWRRanks3242[[#This Row],[Player]],WR!B:O,4,FALSE)</f>
        <v>#N/A</v>
      </c>
      <c r="AI206" s="83" t="e">
        <f>VLOOKUP(TableWRRanks3242[[#This Row],[Player]],WR!B:O,5,FALSE)</f>
        <v>#N/A</v>
      </c>
      <c r="AJ206" s="83" t="e">
        <f>VLOOKUP(TableWRRanks3242[[#This Row],[Player]],WR!B:O,6,FALSE)</f>
        <v>#N/A</v>
      </c>
      <c r="AK206" s="83" t="e">
        <f>VLOOKUP(TableWRRanks3242[[#This Row],[Player]],WR!B:O,7,FALSE)</f>
        <v>#N/A</v>
      </c>
      <c r="AL206" s="83" t="e">
        <f>VLOOKUP(TableWRRanks3242[[#This Row],[Player]],WR!B:O,8,FALSE)</f>
        <v>#N/A</v>
      </c>
      <c r="AM206" s="83" t="e">
        <f>VLOOKUP(TableWRRanks3242[[#This Row],[Player]],WR!B:O,9,FALSE)</f>
        <v>#N/A</v>
      </c>
      <c r="AN206" s="57" t="e">
        <f>VLOOKUP(TableWRRanks3242[[#This Row],[Player]],WR!B:O,13,FALSE)</f>
        <v>#N/A</v>
      </c>
      <c r="AO206" s="125" t="str">
        <f>IF(VLOOKUP(TableWRRanks3242[[#This Row],[RK]],'Ranks w Proj'!AD:AO,12,FALSE)&lt;0,0,VLOOKUP(TableWRRanks3242[[#This Row],[RK]],'Ranks w Proj'!AD:AO,12,FALSE))</f>
        <v/>
      </c>
    </row>
    <row r="207" spans="30:41" x14ac:dyDescent="0.2">
      <c r="AD207">
        <v>206</v>
      </c>
      <c r="AE207" t="e">
        <f>VLOOKUP(TableWRRanks3242[[#This Row],[RK]],Rankings!A:T,13,FALSE)</f>
        <v>#N/A</v>
      </c>
      <c r="AF207" t="str">
        <f>IFERROR(INDEX(TableWRCalcPts[TM],MATCH(TableWRRanks3242[[#This Row],[Player]],TableWRCalcPts[PLAYER],0)),"")</f>
        <v/>
      </c>
      <c r="AG207" t="str">
        <f>IFERROR(INDEX(TableWRCalcPts[BYE],MATCH(TableWRRanks3242[[#This Row],[Player]],TableWRCalcPts[PLAYER],0)),"")</f>
        <v/>
      </c>
      <c r="AH207" s="83" t="e">
        <f>VLOOKUP(TableWRRanks3242[[#This Row],[Player]],WR!B:O,4,FALSE)</f>
        <v>#N/A</v>
      </c>
      <c r="AI207" s="83" t="e">
        <f>VLOOKUP(TableWRRanks3242[[#This Row],[Player]],WR!B:O,5,FALSE)</f>
        <v>#N/A</v>
      </c>
      <c r="AJ207" s="83" t="e">
        <f>VLOOKUP(TableWRRanks3242[[#This Row],[Player]],WR!B:O,6,FALSE)</f>
        <v>#N/A</v>
      </c>
      <c r="AK207" s="83" t="e">
        <f>VLOOKUP(TableWRRanks3242[[#This Row],[Player]],WR!B:O,7,FALSE)</f>
        <v>#N/A</v>
      </c>
      <c r="AL207" s="83" t="e">
        <f>VLOOKUP(TableWRRanks3242[[#This Row],[Player]],WR!B:O,8,FALSE)</f>
        <v>#N/A</v>
      </c>
      <c r="AM207" s="83" t="e">
        <f>VLOOKUP(TableWRRanks3242[[#This Row],[Player]],WR!B:O,9,FALSE)</f>
        <v>#N/A</v>
      </c>
      <c r="AN207" s="57" t="e">
        <f>VLOOKUP(TableWRRanks3242[[#This Row],[Player]],WR!B:O,13,FALSE)</f>
        <v>#N/A</v>
      </c>
      <c r="AO207" s="125" t="str">
        <f>IF(VLOOKUP(TableWRRanks3242[[#This Row],[RK]],'Ranks w Proj'!AD:AO,12,FALSE)&lt;0,0,VLOOKUP(TableWRRanks3242[[#This Row],[RK]],'Ranks w Proj'!AD:AO,12,FALSE))</f>
        <v/>
      </c>
    </row>
    <row r="208" spans="30:41" x14ac:dyDescent="0.2">
      <c r="AD208">
        <v>207</v>
      </c>
      <c r="AE208" t="e">
        <f>VLOOKUP(TableWRRanks3242[[#This Row],[RK]],Rankings!A:T,13,FALSE)</f>
        <v>#N/A</v>
      </c>
      <c r="AF208" t="str">
        <f>IFERROR(INDEX(TableWRCalcPts[TM],MATCH(TableWRRanks3242[[#This Row],[Player]],TableWRCalcPts[PLAYER],0)),"")</f>
        <v/>
      </c>
      <c r="AG208" t="str">
        <f>IFERROR(INDEX(TableWRCalcPts[BYE],MATCH(TableWRRanks3242[[#This Row],[Player]],TableWRCalcPts[PLAYER],0)),"")</f>
        <v/>
      </c>
      <c r="AH208" s="83" t="e">
        <f>VLOOKUP(TableWRRanks3242[[#This Row],[Player]],WR!B:O,4,FALSE)</f>
        <v>#N/A</v>
      </c>
      <c r="AI208" s="83" t="e">
        <f>VLOOKUP(TableWRRanks3242[[#This Row],[Player]],WR!B:O,5,FALSE)</f>
        <v>#N/A</v>
      </c>
      <c r="AJ208" s="83" t="e">
        <f>VLOOKUP(TableWRRanks3242[[#This Row],[Player]],WR!B:O,6,FALSE)</f>
        <v>#N/A</v>
      </c>
      <c r="AK208" s="83" t="e">
        <f>VLOOKUP(TableWRRanks3242[[#This Row],[Player]],WR!B:O,7,FALSE)</f>
        <v>#N/A</v>
      </c>
      <c r="AL208" s="83" t="e">
        <f>VLOOKUP(TableWRRanks3242[[#This Row],[Player]],WR!B:O,8,FALSE)</f>
        <v>#N/A</v>
      </c>
      <c r="AM208" s="83" t="e">
        <f>VLOOKUP(TableWRRanks3242[[#This Row],[Player]],WR!B:O,9,FALSE)</f>
        <v>#N/A</v>
      </c>
      <c r="AN208" s="57" t="e">
        <f>VLOOKUP(TableWRRanks3242[[#This Row],[Player]],WR!B:O,13,FALSE)</f>
        <v>#N/A</v>
      </c>
      <c r="AO208" s="125" t="str">
        <f>IF(VLOOKUP(TableWRRanks3242[[#This Row],[RK]],'Ranks w Proj'!AD:AO,12,FALSE)&lt;0,0,VLOOKUP(TableWRRanks3242[[#This Row],[RK]],'Ranks w Proj'!AD:AO,12,FALSE))</f>
        <v/>
      </c>
    </row>
    <row r="209" spans="30:41" x14ac:dyDescent="0.2">
      <c r="AD209">
        <v>208</v>
      </c>
      <c r="AE209" t="e">
        <f>VLOOKUP(TableWRRanks3242[[#This Row],[RK]],Rankings!A:T,13,FALSE)</f>
        <v>#N/A</v>
      </c>
      <c r="AF209" t="str">
        <f>IFERROR(INDEX(TableWRCalcPts[TM],MATCH(TableWRRanks3242[[#This Row],[Player]],TableWRCalcPts[PLAYER],0)),"")</f>
        <v/>
      </c>
      <c r="AG209" t="str">
        <f>IFERROR(INDEX(TableWRCalcPts[BYE],MATCH(TableWRRanks3242[[#This Row],[Player]],TableWRCalcPts[PLAYER],0)),"")</f>
        <v/>
      </c>
      <c r="AH209" s="83" t="e">
        <f>VLOOKUP(TableWRRanks3242[[#This Row],[Player]],WR!B:O,4,FALSE)</f>
        <v>#N/A</v>
      </c>
      <c r="AI209" s="83" t="e">
        <f>VLOOKUP(TableWRRanks3242[[#This Row],[Player]],WR!B:O,5,FALSE)</f>
        <v>#N/A</v>
      </c>
      <c r="AJ209" s="83" t="e">
        <f>VLOOKUP(TableWRRanks3242[[#This Row],[Player]],WR!B:O,6,FALSE)</f>
        <v>#N/A</v>
      </c>
      <c r="AK209" s="83" t="e">
        <f>VLOOKUP(TableWRRanks3242[[#This Row],[Player]],WR!B:O,7,FALSE)</f>
        <v>#N/A</v>
      </c>
      <c r="AL209" s="83" t="e">
        <f>VLOOKUP(TableWRRanks3242[[#This Row],[Player]],WR!B:O,8,FALSE)</f>
        <v>#N/A</v>
      </c>
      <c r="AM209" s="83" t="e">
        <f>VLOOKUP(TableWRRanks3242[[#This Row],[Player]],WR!B:O,9,FALSE)</f>
        <v>#N/A</v>
      </c>
      <c r="AN209" s="57" t="e">
        <f>VLOOKUP(TableWRRanks3242[[#This Row],[Player]],WR!B:O,13,FALSE)</f>
        <v>#N/A</v>
      </c>
      <c r="AO209" s="125" t="str">
        <f>IF(VLOOKUP(TableWRRanks3242[[#This Row],[RK]],'Ranks w Proj'!AD:AO,12,FALSE)&lt;0,0,VLOOKUP(TableWRRanks3242[[#This Row],[RK]],'Ranks w Proj'!AD:AO,12,FALSE))</f>
        <v/>
      </c>
    </row>
    <row r="210" spans="30:41" x14ac:dyDescent="0.2">
      <c r="AD210">
        <v>209</v>
      </c>
      <c r="AE210" t="e">
        <f>VLOOKUP(TableWRRanks3242[[#This Row],[RK]],Rankings!A:T,13,FALSE)</f>
        <v>#N/A</v>
      </c>
      <c r="AF210" t="str">
        <f>IFERROR(INDEX(TableWRCalcPts[TM],MATCH(TableWRRanks3242[[#This Row],[Player]],TableWRCalcPts[PLAYER],0)),"")</f>
        <v/>
      </c>
      <c r="AG210" t="str">
        <f>IFERROR(INDEX(TableWRCalcPts[BYE],MATCH(TableWRRanks3242[[#This Row],[Player]],TableWRCalcPts[PLAYER],0)),"")</f>
        <v/>
      </c>
      <c r="AH210" s="83" t="e">
        <f>VLOOKUP(TableWRRanks3242[[#This Row],[Player]],WR!B:O,4,FALSE)</f>
        <v>#N/A</v>
      </c>
      <c r="AI210" s="83" t="e">
        <f>VLOOKUP(TableWRRanks3242[[#This Row],[Player]],WR!B:O,5,FALSE)</f>
        <v>#N/A</v>
      </c>
      <c r="AJ210" s="83" t="e">
        <f>VLOOKUP(TableWRRanks3242[[#This Row],[Player]],WR!B:O,6,FALSE)</f>
        <v>#N/A</v>
      </c>
      <c r="AK210" s="83" t="e">
        <f>VLOOKUP(TableWRRanks3242[[#This Row],[Player]],WR!B:O,7,FALSE)</f>
        <v>#N/A</v>
      </c>
      <c r="AL210" s="83" t="e">
        <f>VLOOKUP(TableWRRanks3242[[#This Row],[Player]],WR!B:O,8,FALSE)</f>
        <v>#N/A</v>
      </c>
      <c r="AM210" s="83" t="e">
        <f>VLOOKUP(TableWRRanks3242[[#This Row],[Player]],WR!B:O,9,FALSE)</f>
        <v>#N/A</v>
      </c>
      <c r="AN210" s="57" t="e">
        <f>VLOOKUP(TableWRRanks3242[[#This Row],[Player]],WR!B:O,13,FALSE)</f>
        <v>#N/A</v>
      </c>
      <c r="AO210" s="125" t="str">
        <f>IF(VLOOKUP(TableWRRanks3242[[#This Row],[RK]],'Ranks w Proj'!AD:AO,12,FALSE)&lt;0,0,VLOOKUP(TableWRRanks3242[[#This Row],[RK]],'Ranks w Proj'!AD:AO,12,FALSE))</f>
        <v/>
      </c>
    </row>
    <row r="211" spans="30:41" x14ac:dyDescent="0.2">
      <c r="AD211">
        <v>210</v>
      </c>
      <c r="AE211" t="e">
        <f>VLOOKUP(TableWRRanks3242[[#This Row],[RK]],Rankings!A:T,13,FALSE)</f>
        <v>#N/A</v>
      </c>
      <c r="AF211" t="str">
        <f>IFERROR(INDEX(TableWRCalcPts[TM],MATCH(TableWRRanks3242[[#This Row],[Player]],TableWRCalcPts[PLAYER],0)),"")</f>
        <v/>
      </c>
      <c r="AG211" t="str">
        <f>IFERROR(INDEX(TableWRCalcPts[BYE],MATCH(TableWRRanks3242[[#This Row],[Player]],TableWRCalcPts[PLAYER],0)),"")</f>
        <v/>
      </c>
      <c r="AH211" s="83" t="e">
        <f>VLOOKUP(TableWRRanks3242[[#This Row],[Player]],WR!B:O,4,FALSE)</f>
        <v>#N/A</v>
      </c>
      <c r="AI211" s="83" t="e">
        <f>VLOOKUP(TableWRRanks3242[[#This Row],[Player]],WR!B:O,5,FALSE)</f>
        <v>#N/A</v>
      </c>
      <c r="AJ211" s="83" t="e">
        <f>VLOOKUP(TableWRRanks3242[[#This Row],[Player]],WR!B:O,6,FALSE)</f>
        <v>#N/A</v>
      </c>
      <c r="AK211" s="83" t="e">
        <f>VLOOKUP(TableWRRanks3242[[#This Row],[Player]],WR!B:O,7,FALSE)</f>
        <v>#N/A</v>
      </c>
      <c r="AL211" s="83" t="e">
        <f>VLOOKUP(TableWRRanks3242[[#This Row],[Player]],WR!B:O,8,FALSE)</f>
        <v>#N/A</v>
      </c>
      <c r="AM211" s="83" t="e">
        <f>VLOOKUP(TableWRRanks3242[[#This Row],[Player]],WR!B:O,9,FALSE)</f>
        <v>#N/A</v>
      </c>
      <c r="AN211" s="57" t="e">
        <f>VLOOKUP(TableWRRanks3242[[#This Row],[Player]],WR!B:O,13,FALSE)</f>
        <v>#N/A</v>
      </c>
      <c r="AO211" s="125" t="str">
        <f>IF(VLOOKUP(TableWRRanks3242[[#This Row],[RK]],'Ranks w Proj'!AD:AO,12,FALSE)&lt;0,0,VLOOKUP(TableWRRanks3242[[#This Row],[RK]],'Ranks w Proj'!AD:AO,12,FALSE))</f>
        <v/>
      </c>
    </row>
    <row r="212" spans="30:41" x14ac:dyDescent="0.2">
      <c r="AD212">
        <v>211</v>
      </c>
      <c r="AE212" t="e">
        <f>VLOOKUP(TableWRRanks3242[[#This Row],[RK]],Rankings!A:T,13,FALSE)</f>
        <v>#N/A</v>
      </c>
      <c r="AF212" t="str">
        <f>IFERROR(INDEX(TableWRCalcPts[TM],MATCH(TableWRRanks3242[[#This Row],[Player]],TableWRCalcPts[PLAYER],0)),"")</f>
        <v/>
      </c>
      <c r="AG212" t="str">
        <f>IFERROR(INDEX(TableWRCalcPts[BYE],MATCH(TableWRRanks3242[[#This Row],[Player]],TableWRCalcPts[PLAYER],0)),"")</f>
        <v/>
      </c>
      <c r="AH212" s="83" t="e">
        <f>VLOOKUP(TableWRRanks3242[[#This Row],[Player]],WR!B:O,4,FALSE)</f>
        <v>#N/A</v>
      </c>
      <c r="AI212" s="83" t="e">
        <f>VLOOKUP(TableWRRanks3242[[#This Row],[Player]],WR!B:O,5,FALSE)</f>
        <v>#N/A</v>
      </c>
      <c r="AJ212" s="83" t="e">
        <f>VLOOKUP(TableWRRanks3242[[#This Row],[Player]],WR!B:O,6,FALSE)</f>
        <v>#N/A</v>
      </c>
      <c r="AK212" s="83" t="e">
        <f>VLOOKUP(TableWRRanks3242[[#This Row],[Player]],WR!B:O,7,FALSE)</f>
        <v>#N/A</v>
      </c>
      <c r="AL212" s="83" t="e">
        <f>VLOOKUP(TableWRRanks3242[[#This Row],[Player]],WR!B:O,8,FALSE)</f>
        <v>#N/A</v>
      </c>
      <c r="AM212" s="83" t="e">
        <f>VLOOKUP(TableWRRanks3242[[#This Row],[Player]],WR!B:O,9,FALSE)</f>
        <v>#N/A</v>
      </c>
      <c r="AN212" s="57" t="e">
        <f>VLOOKUP(TableWRRanks3242[[#This Row],[Player]],WR!B:O,13,FALSE)</f>
        <v>#N/A</v>
      </c>
      <c r="AO212" s="125" t="str">
        <f>IF(VLOOKUP(TableWRRanks3242[[#This Row],[RK]],'Ranks w Proj'!AD:AO,12,FALSE)&lt;0,0,VLOOKUP(TableWRRanks3242[[#This Row],[RK]],'Ranks w Proj'!AD:AO,12,FALSE))</f>
        <v/>
      </c>
    </row>
    <row r="213" spans="30:41" x14ac:dyDescent="0.2">
      <c r="AD213">
        <v>212</v>
      </c>
      <c r="AE213" t="e">
        <f>VLOOKUP(TableWRRanks3242[[#This Row],[RK]],Rankings!A:T,13,FALSE)</f>
        <v>#N/A</v>
      </c>
      <c r="AF213" t="str">
        <f>IFERROR(INDEX(TableWRCalcPts[TM],MATCH(TableWRRanks3242[[#This Row],[Player]],TableWRCalcPts[PLAYER],0)),"")</f>
        <v/>
      </c>
      <c r="AG213" t="str">
        <f>IFERROR(INDEX(TableWRCalcPts[BYE],MATCH(TableWRRanks3242[[#This Row],[Player]],TableWRCalcPts[PLAYER],0)),"")</f>
        <v/>
      </c>
      <c r="AH213" s="83" t="e">
        <f>VLOOKUP(TableWRRanks3242[[#This Row],[Player]],WR!B:O,4,FALSE)</f>
        <v>#N/A</v>
      </c>
      <c r="AI213" s="83" t="e">
        <f>VLOOKUP(TableWRRanks3242[[#This Row],[Player]],WR!B:O,5,FALSE)</f>
        <v>#N/A</v>
      </c>
      <c r="AJ213" s="83" t="e">
        <f>VLOOKUP(TableWRRanks3242[[#This Row],[Player]],WR!B:O,6,FALSE)</f>
        <v>#N/A</v>
      </c>
      <c r="AK213" s="83" t="e">
        <f>VLOOKUP(TableWRRanks3242[[#This Row],[Player]],WR!B:O,7,FALSE)</f>
        <v>#N/A</v>
      </c>
      <c r="AL213" s="83" t="e">
        <f>VLOOKUP(TableWRRanks3242[[#This Row],[Player]],WR!B:O,8,FALSE)</f>
        <v>#N/A</v>
      </c>
      <c r="AM213" s="83" t="e">
        <f>VLOOKUP(TableWRRanks3242[[#This Row],[Player]],WR!B:O,9,FALSE)</f>
        <v>#N/A</v>
      </c>
      <c r="AN213" s="57" t="e">
        <f>VLOOKUP(TableWRRanks3242[[#This Row],[Player]],WR!B:O,13,FALSE)</f>
        <v>#N/A</v>
      </c>
      <c r="AO213" s="125" t="str">
        <f>IF(VLOOKUP(TableWRRanks3242[[#This Row],[RK]],'Ranks w Proj'!AD:AO,12,FALSE)&lt;0,0,VLOOKUP(TableWRRanks3242[[#This Row],[RK]],'Ranks w Proj'!AD:AO,12,FALSE))</f>
        <v/>
      </c>
    </row>
    <row r="214" spans="30:41" x14ac:dyDescent="0.2">
      <c r="AD214">
        <v>213</v>
      </c>
      <c r="AE214" t="e">
        <f>VLOOKUP(TableWRRanks3242[[#This Row],[RK]],Rankings!A:T,13,FALSE)</f>
        <v>#N/A</v>
      </c>
      <c r="AF214" t="str">
        <f>IFERROR(INDEX(TableWRCalcPts[TM],MATCH(TableWRRanks3242[[#This Row],[Player]],TableWRCalcPts[PLAYER],0)),"")</f>
        <v/>
      </c>
      <c r="AG214" t="str">
        <f>IFERROR(INDEX(TableWRCalcPts[BYE],MATCH(TableWRRanks3242[[#This Row],[Player]],TableWRCalcPts[PLAYER],0)),"")</f>
        <v/>
      </c>
      <c r="AH214" s="83" t="e">
        <f>VLOOKUP(TableWRRanks3242[[#This Row],[Player]],WR!B:O,4,FALSE)</f>
        <v>#N/A</v>
      </c>
      <c r="AI214" s="83" t="e">
        <f>VLOOKUP(TableWRRanks3242[[#This Row],[Player]],WR!B:O,5,FALSE)</f>
        <v>#N/A</v>
      </c>
      <c r="AJ214" s="83" t="e">
        <f>VLOOKUP(TableWRRanks3242[[#This Row],[Player]],WR!B:O,6,FALSE)</f>
        <v>#N/A</v>
      </c>
      <c r="AK214" s="83" t="e">
        <f>VLOOKUP(TableWRRanks3242[[#This Row],[Player]],WR!B:O,7,FALSE)</f>
        <v>#N/A</v>
      </c>
      <c r="AL214" s="83" t="e">
        <f>VLOOKUP(TableWRRanks3242[[#This Row],[Player]],WR!B:O,8,FALSE)</f>
        <v>#N/A</v>
      </c>
      <c r="AM214" s="83" t="e">
        <f>VLOOKUP(TableWRRanks3242[[#This Row],[Player]],WR!B:O,9,FALSE)</f>
        <v>#N/A</v>
      </c>
      <c r="AN214" s="57" t="e">
        <f>VLOOKUP(TableWRRanks3242[[#This Row],[Player]],WR!B:O,13,FALSE)</f>
        <v>#N/A</v>
      </c>
      <c r="AO214" s="125" t="str">
        <f>IF(VLOOKUP(TableWRRanks3242[[#This Row],[RK]],'Ranks w Proj'!AD:AO,12,FALSE)&lt;0,0,VLOOKUP(TableWRRanks3242[[#This Row],[RK]],'Ranks w Proj'!AD:AO,12,FALSE))</f>
        <v/>
      </c>
    </row>
    <row r="215" spans="30:41" x14ac:dyDescent="0.2">
      <c r="AD215">
        <v>214</v>
      </c>
      <c r="AE215" t="e">
        <f>VLOOKUP(TableWRRanks3242[[#This Row],[RK]],Rankings!A:T,13,FALSE)</f>
        <v>#N/A</v>
      </c>
      <c r="AF215" t="str">
        <f>IFERROR(INDEX(TableWRCalcPts[TM],MATCH(TableWRRanks3242[[#This Row],[Player]],TableWRCalcPts[PLAYER],0)),"")</f>
        <v/>
      </c>
      <c r="AG215" t="str">
        <f>IFERROR(INDEX(TableWRCalcPts[BYE],MATCH(TableWRRanks3242[[#This Row],[Player]],TableWRCalcPts[PLAYER],0)),"")</f>
        <v/>
      </c>
      <c r="AH215" s="83" t="e">
        <f>VLOOKUP(TableWRRanks3242[[#This Row],[Player]],WR!B:O,4,FALSE)</f>
        <v>#N/A</v>
      </c>
      <c r="AI215" s="83" t="e">
        <f>VLOOKUP(TableWRRanks3242[[#This Row],[Player]],WR!B:O,5,FALSE)</f>
        <v>#N/A</v>
      </c>
      <c r="AJ215" s="83" t="e">
        <f>VLOOKUP(TableWRRanks3242[[#This Row],[Player]],WR!B:O,6,FALSE)</f>
        <v>#N/A</v>
      </c>
      <c r="AK215" s="83" t="e">
        <f>VLOOKUP(TableWRRanks3242[[#This Row],[Player]],WR!B:O,7,FALSE)</f>
        <v>#N/A</v>
      </c>
      <c r="AL215" s="83" t="e">
        <f>VLOOKUP(TableWRRanks3242[[#This Row],[Player]],WR!B:O,8,FALSE)</f>
        <v>#N/A</v>
      </c>
      <c r="AM215" s="83" t="e">
        <f>VLOOKUP(TableWRRanks3242[[#This Row],[Player]],WR!B:O,9,FALSE)</f>
        <v>#N/A</v>
      </c>
      <c r="AN215" s="57" t="e">
        <f>VLOOKUP(TableWRRanks3242[[#This Row],[Player]],WR!B:O,13,FALSE)</f>
        <v>#N/A</v>
      </c>
      <c r="AO215" s="125" t="str">
        <f>IF(VLOOKUP(TableWRRanks3242[[#This Row],[RK]],'Ranks w Proj'!AD:AO,12,FALSE)&lt;0,0,VLOOKUP(TableWRRanks3242[[#This Row],[RK]],'Ranks w Proj'!AD:AO,12,FALSE))</f>
        <v/>
      </c>
    </row>
    <row r="216" spans="30:41" x14ac:dyDescent="0.2">
      <c r="AD216">
        <v>215</v>
      </c>
      <c r="AE216" t="e">
        <f>VLOOKUP(TableWRRanks3242[[#This Row],[RK]],Rankings!A:T,13,FALSE)</f>
        <v>#N/A</v>
      </c>
      <c r="AF216" t="str">
        <f>IFERROR(INDEX(TableWRCalcPts[TM],MATCH(TableWRRanks3242[[#This Row],[Player]],TableWRCalcPts[PLAYER],0)),"")</f>
        <v/>
      </c>
      <c r="AG216" t="str">
        <f>IFERROR(INDEX(TableWRCalcPts[BYE],MATCH(TableWRRanks3242[[#This Row],[Player]],TableWRCalcPts[PLAYER],0)),"")</f>
        <v/>
      </c>
      <c r="AH216" s="83" t="e">
        <f>VLOOKUP(TableWRRanks3242[[#This Row],[Player]],WR!B:O,4,FALSE)</f>
        <v>#N/A</v>
      </c>
      <c r="AI216" s="83" t="e">
        <f>VLOOKUP(TableWRRanks3242[[#This Row],[Player]],WR!B:O,5,FALSE)</f>
        <v>#N/A</v>
      </c>
      <c r="AJ216" s="83" t="e">
        <f>VLOOKUP(TableWRRanks3242[[#This Row],[Player]],WR!B:O,6,FALSE)</f>
        <v>#N/A</v>
      </c>
      <c r="AK216" s="83" t="e">
        <f>VLOOKUP(TableWRRanks3242[[#This Row],[Player]],WR!B:O,7,FALSE)</f>
        <v>#N/A</v>
      </c>
      <c r="AL216" s="83" t="e">
        <f>VLOOKUP(TableWRRanks3242[[#This Row],[Player]],WR!B:O,8,FALSE)</f>
        <v>#N/A</v>
      </c>
      <c r="AM216" s="83" t="e">
        <f>VLOOKUP(TableWRRanks3242[[#This Row],[Player]],WR!B:O,9,FALSE)</f>
        <v>#N/A</v>
      </c>
      <c r="AN216" s="57" t="e">
        <f>VLOOKUP(TableWRRanks3242[[#This Row],[Player]],WR!B:O,13,FALSE)</f>
        <v>#N/A</v>
      </c>
      <c r="AO216" s="125" t="str">
        <f>IF(VLOOKUP(TableWRRanks3242[[#This Row],[RK]],'Ranks w Proj'!AD:AO,12,FALSE)&lt;0,0,VLOOKUP(TableWRRanks3242[[#This Row],[RK]],'Ranks w Proj'!AD:AO,12,FALSE))</f>
        <v/>
      </c>
    </row>
    <row r="217" spans="30:41" x14ac:dyDescent="0.2">
      <c r="AD217">
        <v>216</v>
      </c>
      <c r="AE217" t="e">
        <f>VLOOKUP(TableWRRanks3242[[#This Row],[RK]],Rankings!A:T,13,FALSE)</f>
        <v>#N/A</v>
      </c>
      <c r="AF217" t="str">
        <f>IFERROR(INDEX(TableWRCalcPts[TM],MATCH(TableWRRanks3242[[#This Row],[Player]],TableWRCalcPts[PLAYER],0)),"")</f>
        <v/>
      </c>
      <c r="AG217" t="str">
        <f>IFERROR(INDEX(TableWRCalcPts[BYE],MATCH(TableWRRanks3242[[#This Row],[Player]],TableWRCalcPts[PLAYER],0)),"")</f>
        <v/>
      </c>
      <c r="AH217" s="83" t="e">
        <f>VLOOKUP(TableWRRanks3242[[#This Row],[Player]],WR!B:O,4,FALSE)</f>
        <v>#N/A</v>
      </c>
      <c r="AI217" s="83" t="e">
        <f>VLOOKUP(TableWRRanks3242[[#This Row],[Player]],WR!B:O,5,FALSE)</f>
        <v>#N/A</v>
      </c>
      <c r="AJ217" s="83" t="e">
        <f>VLOOKUP(TableWRRanks3242[[#This Row],[Player]],WR!B:O,6,FALSE)</f>
        <v>#N/A</v>
      </c>
      <c r="AK217" s="83" t="e">
        <f>VLOOKUP(TableWRRanks3242[[#This Row],[Player]],WR!B:O,7,FALSE)</f>
        <v>#N/A</v>
      </c>
      <c r="AL217" s="83" t="e">
        <f>VLOOKUP(TableWRRanks3242[[#This Row],[Player]],WR!B:O,8,FALSE)</f>
        <v>#N/A</v>
      </c>
      <c r="AM217" s="83" t="e">
        <f>VLOOKUP(TableWRRanks3242[[#This Row],[Player]],WR!B:O,9,FALSE)</f>
        <v>#N/A</v>
      </c>
      <c r="AN217" s="57" t="e">
        <f>VLOOKUP(TableWRRanks3242[[#This Row],[Player]],WR!B:O,13,FALSE)</f>
        <v>#N/A</v>
      </c>
      <c r="AO217" s="125" t="str">
        <f>IF(VLOOKUP(TableWRRanks3242[[#This Row],[RK]],'Ranks w Proj'!AD:AO,12,FALSE)&lt;0,0,VLOOKUP(TableWRRanks3242[[#This Row],[RK]],'Ranks w Proj'!AD:AO,12,FALSE))</f>
        <v/>
      </c>
    </row>
    <row r="218" spans="30:41" x14ac:dyDescent="0.2">
      <c r="AD218">
        <v>217</v>
      </c>
      <c r="AE218" t="e">
        <f>VLOOKUP(TableWRRanks3242[[#This Row],[RK]],Rankings!A:T,13,FALSE)</f>
        <v>#N/A</v>
      </c>
      <c r="AF218" t="str">
        <f>IFERROR(INDEX(TableWRCalcPts[TM],MATCH(TableWRRanks3242[[#This Row],[Player]],TableWRCalcPts[PLAYER],0)),"")</f>
        <v/>
      </c>
      <c r="AG218" t="str">
        <f>IFERROR(INDEX(TableWRCalcPts[BYE],MATCH(TableWRRanks3242[[#This Row],[Player]],TableWRCalcPts[PLAYER],0)),"")</f>
        <v/>
      </c>
      <c r="AH218" s="83" t="e">
        <f>VLOOKUP(TableWRRanks3242[[#This Row],[Player]],WR!B:O,4,FALSE)</f>
        <v>#N/A</v>
      </c>
      <c r="AI218" s="83" t="e">
        <f>VLOOKUP(TableWRRanks3242[[#This Row],[Player]],WR!B:O,5,FALSE)</f>
        <v>#N/A</v>
      </c>
      <c r="AJ218" s="83" t="e">
        <f>VLOOKUP(TableWRRanks3242[[#This Row],[Player]],WR!B:O,6,FALSE)</f>
        <v>#N/A</v>
      </c>
      <c r="AK218" s="83" t="e">
        <f>VLOOKUP(TableWRRanks3242[[#This Row],[Player]],WR!B:O,7,FALSE)</f>
        <v>#N/A</v>
      </c>
      <c r="AL218" s="83" t="e">
        <f>VLOOKUP(TableWRRanks3242[[#This Row],[Player]],WR!B:O,8,FALSE)</f>
        <v>#N/A</v>
      </c>
      <c r="AM218" s="83" t="e">
        <f>VLOOKUP(TableWRRanks3242[[#This Row],[Player]],WR!B:O,9,FALSE)</f>
        <v>#N/A</v>
      </c>
      <c r="AN218" s="57" t="e">
        <f>VLOOKUP(TableWRRanks3242[[#This Row],[Player]],WR!B:O,13,FALSE)</f>
        <v>#N/A</v>
      </c>
      <c r="AO218" s="125" t="str">
        <f>IF(VLOOKUP(TableWRRanks3242[[#This Row],[RK]],'Ranks w Proj'!AD:AO,12,FALSE)&lt;0,0,VLOOKUP(TableWRRanks3242[[#This Row],[RK]],'Ranks w Proj'!AD:AO,12,FALSE))</f>
        <v/>
      </c>
    </row>
    <row r="219" spans="30:41" x14ac:dyDescent="0.2">
      <c r="AD219">
        <v>218</v>
      </c>
      <c r="AE219" t="e">
        <f>VLOOKUP(TableWRRanks3242[[#This Row],[RK]],Rankings!A:T,13,FALSE)</f>
        <v>#N/A</v>
      </c>
      <c r="AF219" t="str">
        <f>IFERROR(INDEX(TableWRCalcPts[TM],MATCH(TableWRRanks3242[[#This Row],[Player]],TableWRCalcPts[PLAYER],0)),"")</f>
        <v/>
      </c>
      <c r="AG219" t="str">
        <f>IFERROR(INDEX(TableWRCalcPts[BYE],MATCH(TableWRRanks3242[[#This Row],[Player]],TableWRCalcPts[PLAYER],0)),"")</f>
        <v/>
      </c>
      <c r="AH219" s="83" t="e">
        <f>VLOOKUP(TableWRRanks3242[[#This Row],[Player]],WR!B:O,4,FALSE)</f>
        <v>#N/A</v>
      </c>
      <c r="AI219" s="83" t="e">
        <f>VLOOKUP(TableWRRanks3242[[#This Row],[Player]],WR!B:O,5,FALSE)</f>
        <v>#N/A</v>
      </c>
      <c r="AJ219" s="83" t="e">
        <f>VLOOKUP(TableWRRanks3242[[#This Row],[Player]],WR!B:O,6,FALSE)</f>
        <v>#N/A</v>
      </c>
      <c r="AK219" s="83" t="e">
        <f>VLOOKUP(TableWRRanks3242[[#This Row],[Player]],WR!B:O,7,FALSE)</f>
        <v>#N/A</v>
      </c>
      <c r="AL219" s="83" t="e">
        <f>VLOOKUP(TableWRRanks3242[[#This Row],[Player]],WR!B:O,8,FALSE)</f>
        <v>#N/A</v>
      </c>
      <c r="AM219" s="83" t="e">
        <f>VLOOKUP(TableWRRanks3242[[#This Row],[Player]],WR!B:O,9,FALSE)</f>
        <v>#N/A</v>
      </c>
      <c r="AN219" s="57" t="e">
        <f>VLOOKUP(TableWRRanks3242[[#This Row],[Player]],WR!B:O,13,FALSE)</f>
        <v>#N/A</v>
      </c>
      <c r="AO219" s="125" t="str">
        <f>IF(VLOOKUP(TableWRRanks3242[[#This Row],[RK]],'Ranks w Proj'!AD:AO,12,FALSE)&lt;0,0,VLOOKUP(TableWRRanks3242[[#This Row],[RK]],'Ranks w Proj'!AD:AO,12,FALSE))</f>
        <v/>
      </c>
    </row>
    <row r="220" spans="30:41" x14ac:dyDescent="0.2">
      <c r="AD220">
        <v>219</v>
      </c>
      <c r="AE220" t="e">
        <f>VLOOKUP(TableWRRanks3242[[#This Row],[RK]],Rankings!A:T,13,FALSE)</f>
        <v>#N/A</v>
      </c>
      <c r="AF220" t="str">
        <f>IFERROR(INDEX(TableWRCalcPts[TM],MATCH(TableWRRanks3242[[#This Row],[Player]],TableWRCalcPts[PLAYER],0)),"")</f>
        <v/>
      </c>
      <c r="AG220" t="str">
        <f>IFERROR(INDEX(TableWRCalcPts[BYE],MATCH(TableWRRanks3242[[#This Row],[Player]],TableWRCalcPts[PLAYER],0)),"")</f>
        <v/>
      </c>
      <c r="AH220" s="83" t="e">
        <f>VLOOKUP(TableWRRanks3242[[#This Row],[Player]],WR!B:O,4,FALSE)</f>
        <v>#N/A</v>
      </c>
      <c r="AI220" s="83" t="e">
        <f>VLOOKUP(TableWRRanks3242[[#This Row],[Player]],WR!B:O,5,FALSE)</f>
        <v>#N/A</v>
      </c>
      <c r="AJ220" s="83" t="e">
        <f>VLOOKUP(TableWRRanks3242[[#This Row],[Player]],WR!B:O,6,FALSE)</f>
        <v>#N/A</v>
      </c>
      <c r="AK220" s="83" t="e">
        <f>VLOOKUP(TableWRRanks3242[[#This Row],[Player]],WR!B:O,7,FALSE)</f>
        <v>#N/A</v>
      </c>
      <c r="AL220" s="83" t="e">
        <f>VLOOKUP(TableWRRanks3242[[#This Row],[Player]],WR!B:O,8,FALSE)</f>
        <v>#N/A</v>
      </c>
      <c r="AM220" s="83" t="e">
        <f>VLOOKUP(TableWRRanks3242[[#This Row],[Player]],WR!B:O,9,FALSE)</f>
        <v>#N/A</v>
      </c>
      <c r="AN220" s="57" t="e">
        <f>VLOOKUP(TableWRRanks3242[[#This Row],[Player]],WR!B:O,13,FALSE)</f>
        <v>#N/A</v>
      </c>
      <c r="AO220" s="125" t="str">
        <f>IF(VLOOKUP(TableWRRanks3242[[#This Row],[RK]],'Ranks w Proj'!AD:AO,12,FALSE)&lt;0,0,VLOOKUP(TableWRRanks3242[[#This Row],[RK]],'Ranks w Proj'!AD:AO,12,FALSE))</f>
        <v/>
      </c>
    </row>
    <row r="221" spans="30:41" x14ac:dyDescent="0.2">
      <c r="AD221">
        <v>220</v>
      </c>
      <c r="AE221" t="e">
        <f>VLOOKUP(TableWRRanks3242[[#This Row],[RK]],Rankings!A:T,13,FALSE)</f>
        <v>#N/A</v>
      </c>
      <c r="AF221" t="str">
        <f>IFERROR(INDEX(TableWRCalcPts[TM],MATCH(TableWRRanks3242[[#This Row],[Player]],TableWRCalcPts[PLAYER],0)),"")</f>
        <v/>
      </c>
      <c r="AG221" t="str">
        <f>IFERROR(INDEX(TableWRCalcPts[BYE],MATCH(TableWRRanks3242[[#This Row],[Player]],TableWRCalcPts[PLAYER],0)),"")</f>
        <v/>
      </c>
      <c r="AH221" s="83" t="e">
        <f>VLOOKUP(TableWRRanks3242[[#This Row],[Player]],WR!B:O,4,FALSE)</f>
        <v>#N/A</v>
      </c>
      <c r="AI221" s="83" t="e">
        <f>VLOOKUP(TableWRRanks3242[[#This Row],[Player]],WR!B:O,5,FALSE)</f>
        <v>#N/A</v>
      </c>
      <c r="AJ221" s="83" t="e">
        <f>VLOOKUP(TableWRRanks3242[[#This Row],[Player]],WR!B:O,6,FALSE)</f>
        <v>#N/A</v>
      </c>
      <c r="AK221" s="83" t="e">
        <f>VLOOKUP(TableWRRanks3242[[#This Row],[Player]],WR!B:O,7,FALSE)</f>
        <v>#N/A</v>
      </c>
      <c r="AL221" s="83" t="e">
        <f>VLOOKUP(TableWRRanks3242[[#This Row],[Player]],WR!B:O,8,FALSE)</f>
        <v>#N/A</v>
      </c>
      <c r="AM221" s="83" t="e">
        <f>VLOOKUP(TableWRRanks3242[[#This Row],[Player]],WR!B:O,9,FALSE)</f>
        <v>#N/A</v>
      </c>
      <c r="AN221" s="57" t="e">
        <f>VLOOKUP(TableWRRanks3242[[#This Row],[Player]],WR!B:O,13,FALSE)</f>
        <v>#N/A</v>
      </c>
      <c r="AO221" s="125" t="str">
        <f>IF(VLOOKUP(TableWRRanks3242[[#This Row],[RK]],'Ranks w Proj'!AD:AO,12,FALSE)&lt;0,0,VLOOKUP(TableWRRanks3242[[#This Row],[RK]],'Ranks w Proj'!AD:AO,12,FALSE))</f>
        <v/>
      </c>
    </row>
  </sheetData>
  <sheetProtection sheet="1" objects="1" scenarios="1" sort="0" autoFilter="0"/>
  <protectedRanges>
    <protectedRange sqref="A1:AZ239" name="QBRanks_1"/>
  </protectedRanges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AH6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6" customFormat="1" ht="25.5" customHeight="1" x14ac:dyDescent="0.2">
      <c r="A1" s="16" t="s">
        <v>0</v>
      </c>
      <c r="B1" s="15" t="s">
        <v>8</v>
      </c>
      <c r="C1" s="16" t="s">
        <v>128</v>
      </c>
      <c r="D1" s="145" t="s">
        <v>225</v>
      </c>
      <c r="E1" s="145" t="s">
        <v>1</v>
      </c>
      <c r="F1" s="145" t="s">
        <v>228</v>
      </c>
      <c r="G1" s="145" t="s">
        <v>243</v>
      </c>
      <c r="H1" s="145" t="s">
        <v>2</v>
      </c>
      <c r="I1" s="145" t="s">
        <v>244</v>
      </c>
      <c r="J1" s="145" t="s">
        <v>232</v>
      </c>
      <c r="K1" s="145" t="s">
        <v>245</v>
      </c>
      <c r="L1" s="145" t="s">
        <v>234</v>
      </c>
      <c r="M1" s="145" t="s">
        <v>4</v>
      </c>
      <c r="N1" s="145" t="s">
        <v>238</v>
      </c>
      <c r="O1" s="145" t="s">
        <v>246</v>
      </c>
      <c r="Q1" s="149" t="s">
        <v>296</v>
      </c>
      <c r="R1" s="143" t="s">
        <v>247</v>
      </c>
      <c r="S1" s="144" t="s">
        <v>477</v>
      </c>
      <c r="T1" s="143" t="s">
        <v>220</v>
      </c>
      <c r="U1" s="143" t="s">
        <v>224</v>
      </c>
      <c r="V1" s="137" t="s">
        <v>295</v>
      </c>
      <c r="W1" s="151" t="s">
        <v>297</v>
      </c>
      <c r="X1" s="143" t="s">
        <v>248</v>
      </c>
      <c r="Y1" s="178" t="s">
        <v>249</v>
      </c>
      <c r="Z1" s="137" t="s">
        <v>250</v>
      </c>
      <c r="AA1" s="149" t="s">
        <v>251</v>
      </c>
      <c r="AB1" s="149" t="s">
        <v>252</v>
      </c>
      <c r="AC1" s="14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91</v>
      </c>
      <c r="B2" s="18" t="s">
        <v>9</v>
      </c>
      <c r="C2" s="18">
        <v>14</v>
      </c>
      <c r="D2" s="146">
        <f>D$32*Q2</f>
        <v>559.60424999999998</v>
      </c>
      <c r="E2" s="146">
        <f>D2*R2</f>
        <v>371.01761775</v>
      </c>
      <c r="F2" s="146">
        <f>E2*S2</f>
        <v>3951.3376290374999</v>
      </c>
      <c r="G2" s="146">
        <f>D2*T2</f>
        <v>22.384170000000001</v>
      </c>
      <c r="H2" s="146">
        <f>E2*U2</f>
        <v>7.4203523550000003</v>
      </c>
      <c r="I2" s="146">
        <f>D$35*W2</f>
        <v>81.721710000000002</v>
      </c>
      <c r="J2" s="146">
        <f>I2*V2</f>
        <v>468.26539830000007</v>
      </c>
      <c r="K2" s="146">
        <f>I2*X2</f>
        <v>4.4946940500000006</v>
      </c>
      <c r="L2" s="147"/>
      <c r="M2" s="147"/>
      <c r="N2" s="147"/>
      <c r="O2" s="147"/>
      <c r="Q2" s="150">
        <f>(AE2/SUM(AE$2:AE$25))</f>
        <v>0.93</v>
      </c>
      <c r="R2" s="19">
        <v>0.66300000000000003</v>
      </c>
      <c r="S2" s="107">
        <v>10.65</v>
      </c>
      <c r="T2" s="19">
        <v>0.04</v>
      </c>
      <c r="U2" s="19">
        <v>0.02</v>
      </c>
      <c r="V2" s="107">
        <v>5.73</v>
      </c>
      <c r="W2" s="150">
        <f>(AF2/SUM(AF$2:AF$20))*0.98</f>
        <v>0.1764</v>
      </c>
      <c r="X2" s="19">
        <v>5.5E-2</v>
      </c>
      <c r="Y2" s="21"/>
      <c r="Z2" s="22"/>
      <c r="AA2" s="1"/>
      <c r="AB2" s="1"/>
      <c r="AC2" s="1"/>
      <c r="AE2" s="19">
        <v>0.93</v>
      </c>
      <c r="AF2" s="19">
        <v>0.18</v>
      </c>
      <c r="AG2" s="168"/>
      <c r="AH2" s="168"/>
    </row>
    <row r="3" spans="1:34" x14ac:dyDescent="0.2">
      <c r="A3" s="17" t="s">
        <v>453</v>
      </c>
      <c r="B3" s="18" t="s">
        <v>9</v>
      </c>
      <c r="C3" s="18">
        <v>14</v>
      </c>
      <c r="D3" s="146">
        <f>D$32*Q3</f>
        <v>42.120750000000001</v>
      </c>
      <c r="E3" s="146">
        <f t="shared" ref="E3:F4" si="0">D3*R3</f>
        <v>27.67333275</v>
      </c>
      <c r="F3" s="146">
        <f t="shared" si="0"/>
        <v>304.40666025000002</v>
      </c>
      <c r="G3" s="146">
        <f t="shared" ref="G3:G4" si="1">D3*T3</f>
        <v>1.7690715000000001</v>
      </c>
      <c r="H3" s="146">
        <f t="shared" ref="H3:H4" si="2">E3*U3</f>
        <v>0.69183331875000009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7.0000000000000007E-2</v>
      </c>
      <c r="R3" s="19">
        <v>0.65700000000000003</v>
      </c>
      <c r="S3" s="107">
        <v>11</v>
      </c>
      <c r="T3" s="19">
        <v>4.2000000000000003E-2</v>
      </c>
      <c r="U3" s="19">
        <v>2.5000000000000001E-2</v>
      </c>
      <c r="V3" s="107">
        <v>4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7.0000000000000007E-2</v>
      </c>
      <c r="AF3" s="19">
        <v>0</v>
      </c>
      <c r="AG3" s="168"/>
      <c r="AH3" s="168"/>
    </row>
    <row r="4" spans="1:34" x14ac:dyDescent="0.2">
      <c r="B4" s="18" t="s">
        <v>9</v>
      </c>
      <c r="C4" s="18"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70</v>
      </c>
      <c r="B6" s="18" t="s">
        <v>222</v>
      </c>
      <c r="C6" s="18">
        <v>14</v>
      </c>
      <c r="D6" s="147"/>
      <c r="E6" s="147"/>
      <c r="F6" s="147"/>
      <c r="G6" s="147"/>
      <c r="H6" s="147"/>
      <c r="I6" s="146">
        <f t="shared" ref="I6:I11" si="3">D$35*W6</f>
        <v>195.224085</v>
      </c>
      <c r="J6" s="146">
        <f>I6*V6</f>
        <v>862.89045569999996</v>
      </c>
      <c r="K6" s="146">
        <f>I6*X6</f>
        <v>6.832842975000001</v>
      </c>
      <c r="L6" s="146">
        <f>((D$2+D$3+D$4)*AA6)</f>
        <v>50.123692500000004</v>
      </c>
      <c r="M6" s="146">
        <f t="shared" ref="M6:N11" si="4">L6*Y6</f>
        <v>40.499943540000004</v>
      </c>
      <c r="N6" s="146">
        <f t="shared" si="4"/>
        <v>271.34962171800004</v>
      </c>
      <c r="O6" s="146">
        <f>(M6*AH6)</f>
        <v>1.4579979674400001</v>
      </c>
      <c r="Q6" s="13"/>
      <c r="R6" s="139"/>
      <c r="S6" s="138"/>
      <c r="T6" s="139"/>
      <c r="U6" s="139"/>
      <c r="V6" s="107">
        <v>4.42</v>
      </c>
      <c r="W6" s="150">
        <f t="shared" ref="W6:W11" si="5">(AF6/SUM(AF$2:AF$20))*0.98</f>
        <v>0.4214</v>
      </c>
      <c r="X6" s="19">
        <v>3.5000000000000003E-2</v>
      </c>
      <c r="Y6" s="19">
        <v>0.80800000000000005</v>
      </c>
      <c r="Z6" s="20">
        <v>6.7</v>
      </c>
      <c r="AA6" s="150">
        <f t="shared" ref="AA6:AA11" si="6">(AG6/SUM(AG$6:AG$25))*0.98</f>
        <v>8.3299999999999999E-2</v>
      </c>
      <c r="AB6" s="7">
        <v>6.8949109856088334E-2</v>
      </c>
      <c r="AC6" s="150">
        <f t="shared" ref="AC6:AC11" si="7">(AH6/SUM(AH$6:AH$25))*0.98</f>
        <v>5.82178217821782E-2</v>
      </c>
      <c r="AE6" s="168"/>
      <c r="AF6" s="19">
        <v>0.43</v>
      </c>
      <c r="AG6" s="19">
        <v>8.5000000000000006E-2</v>
      </c>
      <c r="AH6" s="19">
        <v>3.5999999999999997E-2</v>
      </c>
    </row>
    <row r="7" spans="1:34" x14ac:dyDescent="0.2">
      <c r="A7" s="17" t="s">
        <v>639</v>
      </c>
      <c r="B7" s="18" t="s">
        <v>222</v>
      </c>
      <c r="C7" s="18">
        <v>14</v>
      </c>
      <c r="D7" s="147"/>
      <c r="E7" s="147"/>
      <c r="F7" s="147"/>
      <c r="G7" s="147"/>
      <c r="H7" s="147"/>
      <c r="I7" s="146">
        <f t="shared" si="3"/>
        <v>140.74294500000002</v>
      </c>
      <c r="J7" s="146">
        <f>I7*V7</f>
        <v>610.82438130000003</v>
      </c>
      <c r="K7" s="146">
        <f>I7*X7</f>
        <v>4.6445171850000007</v>
      </c>
      <c r="L7" s="146">
        <f>((D$2+D$3+D$4)*AA7)</f>
        <v>23.587620000000001</v>
      </c>
      <c r="M7" s="146">
        <f t="shared" si="4"/>
        <v>17.619952140000002</v>
      </c>
      <c r="N7" s="146">
        <f t="shared" si="4"/>
        <v>124.57306162980002</v>
      </c>
      <c r="O7" s="146">
        <f t="shared" ref="O7:O11" si="8">(M7*AH7)</f>
        <v>0.59907837276000009</v>
      </c>
      <c r="Q7" s="13"/>
      <c r="R7" s="139"/>
      <c r="S7" s="138"/>
      <c r="T7" s="139"/>
      <c r="U7" s="139"/>
      <c r="V7" s="107">
        <v>4.34</v>
      </c>
      <c r="W7" s="150">
        <f t="shared" si="5"/>
        <v>0.30380000000000001</v>
      </c>
      <c r="X7" s="19">
        <v>3.3000000000000002E-2</v>
      </c>
      <c r="Y7" s="19">
        <v>0.747</v>
      </c>
      <c r="Z7" s="20">
        <v>7.07</v>
      </c>
      <c r="AA7" s="150">
        <f t="shared" si="6"/>
        <v>3.9199999999999999E-2</v>
      </c>
      <c r="AB7" s="7">
        <v>0.11375359040554218</v>
      </c>
      <c r="AC7" s="150">
        <f t="shared" si="7"/>
        <v>5.4983498349834972E-2</v>
      </c>
      <c r="AE7" s="168"/>
      <c r="AF7" s="19">
        <v>0.31</v>
      </c>
      <c r="AG7" s="19">
        <v>0.04</v>
      </c>
      <c r="AH7" s="19">
        <v>3.4000000000000002E-2</v>
      </c>
    </row>
    <row r="8" spans="1:34" x14ac:dyDescent="0.2">
      <c r="A8" s="17" t="s">
        <v>200</v>
      </c>
      <c r="B8" s="18" t="s">
        <v>222</v>
      </c>
      <c r="C8" s="18">
        <v>14</v>
      </c>
      <c r="D8" s="147"/>
      <c r="E8" s="147"/>
      <c r="F8" s="147"/>
      <c r="G8" s="147"/>
      <c r="H8" s="147"/>
      <c r="I8" s="146">
        <f t="shared" ref="I8" si="9">D$35*W8</f>
        <v>18.16038</v>
      </c>
      <c r="J8" s="146">
        <f>I8*V8</f>
        <v>75.183973199999997</v>
      </c>
      <c r="K8" s="146">
        <f>I8*X8</f>
        <v>0.49033026000000002</v>
      </c>
      <c r="L8" s="146">
        <f>((D$2+D$3+D$4)*AA8)</f>
        <v>17.690715000000001</v>
      </c>
      <c r="M8" s="146">
        <f t="shared" ref="M8" si="10">L8*Y8</f>
        <v>13.356489825000001</v>
      </c>
      <c r="N8" s="146">
        <f t="shared" ref="N8" si="11">M8*Z8</f>
        <v>91.091260606500015</v>
      </c>
      <c r="O8" s="146">
        <f t="shared" ref="O8" si="12">(M8*AH8)</f>
        <v>0.33391224562500005</v>
      </c>
      <c r="Q8" s="13"/>
      <c r="R8" s="139"/>
      <c r="S8" s="138"/>
      <c r="T8" s="139"/>
      <c r="U8" s="139"/>
      <c r="V8" s="107">
        <v>4.1399999999999997</v>
      </c>
      <c r="W8" s="150">
        <f t="shared" ref="W8" si="13">(AF8/SUM(AF$2:AF$20))*0.98</f>
        <v>3.9199999999999999E-2</v>
      </c>
      <c r="X8" s="19">
        <v>2.7E-2</v>
      </c>
      <c r="Y8" s="19">
        <v>0.755</v>
      </c>
      <c r="Z8" s="20">
        <v>6.82</v>
      </c>
      <c r="AA8" s="150">
        <f t="shared" ref="AA8" si="14">(AG8/SUM(AG$6:AG$25))*0.98</f>
        <v>2.9399999999999999E-2</v>
      </c>
      <c r="AB8" s="7">
        <v>0.11375359040554218</v>
      </c>
      <c r="AC8" s="150">
        <f t="shared" ref="AC8" si="15">(AH8/SUM(AH$6:AH$25))*0.98</f>
        <v>4.0429042904290419E-2</v>
      </c>
      <c r="AE8" s="168"/>
      <c r="AF8" s="19">
        <v>0.04</v>
      </c>
      <c r="AG8" s="19">
        <v>0.03</v>
      </c>
      <c r="AH8" s="19">
        <v>2.5000000000000001E-2</v>
      </c>
    </row>
    <row r="9" spans="1:34" x14ac:dyDescent="0.2">
      <c r="A9" s="17" t="s">
        <v>168</v>
      </c>
      <c r="B9" s="18" t="s">
        <v>222</v>
      </c>
      <c r="C9" s="18">
        <v>14</v>
      </c>
      <c r="D9" s="147"/>
      <c r="E9" s="147"/>
      <c r="F9" s="147"/>
      <c r="G9" s="147"/>
      <c r="H9" s="147"/>
      <c r="I9" s="146">
        <f t="shared" si="3"/>
        <v>9.08019</v>
      </c>
      <c r="J9" s="146">
        <f t="shared" ref="J9:J11" si="16">I9*V9</f>
        <v>37.228778999999996</v>
      </c>
      <c r="K9" s="146">
        <f t="shared" ref="K9:K11" si="17">I9*X9</f>
        <v>0.23608493999999999</v>
      </c>
      <c r="L9" s="146">
        <f t="shared" ref="L9:L11" si="18">((D$2+D$3+D$4)*AA9)</f>
        <v>5.8969050000000003</v>
      </c>
      <c r="M9" s="146">
        <f t="shared" si="4"/>
        <v>4.4226787500000002</v>
      </c>
      <c r="N9" s="146">
        <f t="shared" si="4"/>
        <v>29.941535137500001</v>
      </c>
      <c r="O9" s="146">
        <f t="shared" si="8"/>
        <v>8.8453575000000007E-2</v>
      </c>
      <c r="Q9" s="13"/>
      <c r="R9" s="139"/>
      <c r="S9" s="138"/>
      <c r="T9" s="139"/>
      <c r="U9" s="139"/>
      <c r="V9" s="107">
        <v>4.0999999999999996</v>
      </c>
      <c r="W9" s="150">
        <f t="shared" si="5"/>
        <v>1.9599999999999999E-2</v>
      </c>
      <c r="X9" s="19">
        <v>2.5999999999999999E-2</v>
      </c>
      <c r="Y9" s="19">
        <v>0.75</v>
      </c>
      <c r="Z9" s="20">
        <v>6.77</v>
      </c>
      <c r="AA9" s="150">
        <f t="shared" si="6"/>
        <v>9.7999999999999997E-3</v>
      </c>
      <c r="AB9" s="7">
        <v>4.7188203192819848E-3</v>
      </c>
      <c r="AC9" s="150">
        <f t="shared" si="7"/>
        <v>3.2343234323432342E-2</v>
      </c>
      <c r="AE9" s="168"/>
      <c r="AF9" s="19">
        <v>0.02</v>
      </c>
      <c r="AG9" s="19">
        <v>0.01</v>
      </c>
      <c r="AH9" s="19">
        <v>0.02</v>
      </c>
    </row>
    <row r="10" spans="1:34" x14ac:dyDescent="0.2">
      <c r="B10" s="18" t="s">
        <v>222</v>
      </c>
      <c r="C10" s="18"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16"/>
        <v>0</v>
      </c>
      <c r="K10" s="146">
        <f t="shared" si="17"/>
        <v>0</v>
      </c>
      <c r="L10" s="146">
        <f t="shared" si="18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/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B11" s="18" t="s">
        <v>222</v>
      </c>
      <c r="C11" s="18"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16"/>
        <v>0</v>
      </c>
      <c r="K11" s="146">
        <f t="shared" si="17"/>
        <v>0</v>
      </c>
      <c r="L11" s="146">
        <f t="shared" si="18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621</v>
      </c>
      <c r="B13" s="18" t="s">
        <v>223</v>
      </c>
      <c r="C13" s="18">
        <v>14</v>
      </c>
      <c r="D13" s="147"/>
      <c r="E13" s="147"/>
      <c r="F13" s="147"/>
      <c r="G13" s="147"/>
      <c r="H13" s="147"/>
      <c r="I13" s="146">
        <f t="shared" ref="I13:I20" si="19">D$35*W13</f>
        <v>0</v>
      </c>
      <c r="J13" s="146">
        <f t="shared" ref="J13:J20" si="20">I13*V13</f>
        <v>0</v>
      </c>
      <c r="K13" s="146">
        <f t="shared" ref="K13:K20" si="21">I13*X13</f>
        <v>0</v>
      </c>
      <c r="L13" s="146">
        <f t="shared" ref="L13:L20" si="22">((D$2+D$3+D$4)*AA13)</f>
        <v>141.52572000000001</v>
      </c>
      <c r="M13" s="146">
        <f t="shared" ref="M13:N20" si="23">L13*Y13</f>
        <v>88.595100720000005</v>
      </c>
      <c r="N13" s="146">
        <f t="shared" si="23"/>
        <v>1190.7181536768001</v>
      </c>
      <c r="O13" s="146">
        <f t="shared" ref="O13:O20" si="24">(M13*AH13)</f>
        <v>6.9104178561600005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25">(AF13/SUM(AF$2:AF$20))*0.98</f>
        <v>0</v>
      </c>
      <c r="X13" s="19">
        <v>1.4999999999999999E-2</v>
      </c>
      <c r="Y13" s="19">
        <v>0.626</v>
      </c>
      <c r="Z13" s="20">
        <v>13.44</v>
      </c>
      <c r="AA13" s="150">
        <f t="shared" ref="AA13:AA20" si="26">(AG13/SUM(AG$6:AG$25))*0.98</f>
        <v>0.23519999999999999</v>
      </c>
      <c r="AB13" s="7">
        <v>0.26977139264554484</v>
      </c>
      <c r="AC13" s="150">
        <f t="shared" ref="AC13:AC20" si="27">(AH13/SUM(AH$6:AH$25))*0.98</f>
        <v>0.12613861386138611</v>
      </c>
      <c r="AE13" s="168"/>
      <c r="AF13" s="19">
        <v>0</v>
      </c>
      <c r="AG13" s="19">
        <v>0.24</v>
      </c>
      <c r="AH13" s="19">
        <v>7.8E-2</v>
      </c>
    </row>
    <row r="14" spans="1:34" x14ac:dyDescent="0.2">
      <c r="A14" s="17" t="s">
        <v>500</v>
      </c>
      <c r="B14" s="18" t="s">
        <v>223</v>
      </c>
      <c r="C14" s="18">
        <v>14</v>
      </c>
      <c r="D14" s="147"/>
      <c r="E14" s="147"/>
      <c r="F14" s="147"/>
      <c r="G14" s="147"/>
      <c r="H14" s="147"/>
      <c r="I14" s="146">
        <f t="shared" ref="I14:I17" si="28">D$35*W14</f>
        <v>0</v>
      </c>
      <c r="J14" s="146">
        <f t="shared" ref="J14:J17" si="29">I14*V14</f>
        <v>0</v>
      </c>
      <c r="K14" s="146">
        <f t="shared" ref="K14:K17" si="30">I14*X14</f>
        <v>0</v>
      </c>
      <c r="L14" s="146">
        <f t="shared" ref="L14:L17" si="31">((D$2+D$3+D$4)*AA14)</f>
        <v>109.0927425</v>
      </c>
      <c r="M14" s="146">
        <f t="shared" ref="M14:M17" si="32">L14*Y14</f>
        <v>65.782923727499991</v>
      </c>
      <c r="N14" s="146">
        <f t="shared" ref="N14:N17" si="33">M14*Z14</f>
        <v>828.86483896649986</v>
      </c>
      <c r="O14" s="146">
        <f t="shared" ref="O14:O17" si="34">(M14*AH14)</f>
        <v>4.8021534321074988</v>
      </c>
      <c r="Q14" s="13"/>
      <c r="R14" s="139"/>
      <c r="S14" s="138"/>
      <c r="T14" s="139"/>
      <c r="U14" s="139"/>
      <c r="V14" s="107">
        <v>5.0199999999999996</v>
      </c>
      <c r="W14" s="150">
        <f t="shared" ref="W14:W17" si="35">(AF14/SUM(AF$2:AF$20))*0.98</f>
        <v>0</v>
      </c>
      <c r="X14" s="19">
        <v>1.4999999999999999E-2</v>
      </c>
      <c r="Y14" s="19">
        <v>0.60299999999999998</v>
      </c>
      <c r="Z14" s="20">
        <v>12.6</v>
      </c>
      <c r="AA14" s="150">
        <f t="shared" ref="AA14:AA17" si="36">(AG14/SUM(AG$6:AG$25))*0.98</f>
        <v>0.18129999999999999</v>
      </c>
      <c r="AB14" s="7">
        <v>0.26977139264554484</v>
      </c>
      <c r="AC14" s="150">
        <f t="shared" ref="AC14:AC17" si="37">(AH14/SUM(AH$6:AH$25))*0.98</f>
        <v>0.11805280528052803</v>
      </c>
      <c r="AE14" s="168"/>
      <c r="AF14" s="19">
        <v>0</v>
      </c>
      <c r="AG14" s="19">
        <v>0.185</v>
      </c>
      <c r="AH14" s="19">
        <v>7.2999999999999995E-2</v>
      </c>
    </row>
    <row r="15" spans="1:34" x14ac:dyDescent="0.2">
      <c r="A15" s="17" t="s">
        <v>491</v>
      </c>
      <c r="B15" s="18" t="s">
        <v>223</v>
      </c>
      <c r="C15" s="18">
        <v>14</v>
      </c>
      <c r="D15" s="147"/>
      <c r="E15" s="147"/>
      <c r="F15" s="147"/>
      <c r="G15" s="147"/>
      <c r="H15" s="147"/>
      <c r="I15" s="146">
        <f t="shared" si="28"/>
        <v>9.08019</v>
      </c>
      <c r="J15" s="146">
        <f t="shared" si="29"/>
        <v>45.582553799999999</v>
      </c>
      <c r="K15" s="146">
        <f t="shared" si="30"/>
        <v>0.18160380000000001</v>
      </c>
      <c r="L15" s="146">
        <f t="shared" si="31"/>
        <v>64.865955</v>
      </c>
      <c r="M15" s="146">
        <f t="shared" si="32"/>
        <v>42.162870750000003</v>
      </c>
      <c r="N15" s="146">
        <f t="shared" si="33"/>
        <v>448.19131607250006</v>
      </c>
      <c r="O15" s="146">
        <f t="shared" si="34"/>
        <v>2.3189578912500002</v>
      </c>
      <c r="Q15" s="13"/>
      <c r="R15" s="139"/>
      <c r="S15" s="138"/>
      <c r="T15" s="139"/>
      <c r="U15" s="139"/>
      <c r="V15" s="107">
        <v>5.0199999999999996</v>
      </c>
      <c r="W15" s="150">
        <f t="shared" si="35"/>
        <v>1.9599999999999999E-2</v>
      </c>
      <c r="X15" s="19">
        <v>0.02</v>
      </c>
      <c r="Y15" s="19">
        <v>0.65</v>
      </c>
      <c r="Z15" s="20">
        <v>10.63</v>
      </c>
      <c r="AA15" s="150">
        <f t="shared" si="36"/>
        <v>0.10779999999999999</v>
      </c>
      <c r="AB15" s="7">
        <v>0.12971605405131142</v>
      </c>
      <c r="AC15" s="150">
        <f t="shared" si="37"/>
        <v>8.8943894389438935E-2</v>
      </c>
      <c r="AE15" s="168"/>
      <c r="AF15" s="19">
        <v>0.02</v>
      </c>
      <c r="AG15" s="19">
        <v>0.11</v>
      </c>
      <c r="AH15" s="19">
        <v>5.5E-2</v>
      </c>
    </row>
    <row r="16" spans="1:34" x14ac:dyDescent="0.2">
      <c r="A16" s="17" t="s">
        <v>569</v>
      </c>
      <c r="B16" s="18" t="s">
        <v>223</v>
      </c>
      <c r="C16" s="18">
        <v>14</v>
      </c>
      <c r="D16" s="147"/>
      <c r="E16" s="147"/>
      <c r="F16" s="147"/>
      <c r="G16" s="147"/>
      <c r="H16" s="147"/>
      <c r="I16" s="146">
        <f t="shared" si="28"/>
        <v>0</v>
      </c>
      <c r="J16" s="146">
        <f t="shared" si="29"/>
        <v>0</v>
      </c>
      <c r="K16" s="146">
        <f t="shared" si="30"/>
        <v>0</v>
      </c>
      <c r="L16" s="146">
        <f t="shared" si="31"/>
        <v>20.639167500000003</v>
      </c>
      <c r="M16" s="146">
        <f t="shared" si="32"/>
        <v>12.383500500000002</v>
      </c>
      <c r="N16" s="146">
        <f t="shared" si="33"/>
        <v>134.98015545000001</v>
      </c>
      <c r="O16" s="146">
        <f t="shared" si="34"/>
        <v>0.6191750250000001</v>
      </c>
      <c r="Q16" s="13"/>
      <c r="R16" s="139"/>
      <c r="S16" s="138"/>
      <c r="T16" s="139"/>
      <c r="U16" s="139"/>
      <c r="V16" s="107">
        <v>5.0199999999999996</v>
      </c>
      <c r="W16" s="150">
        <f t="shared" si="35"/>
        <v>0</v>
      </c>
      <c r="X16" s="19">
        <v>1.4999999999999999E-2</v>
      </c>
      <c r="Y16" s="19">
        <v>0.6</v>
      </c>
      <c r="Z16" s="20">
        <v>10.9</v>
      </c>
      <c r="AA16" s="150">
        <f t="shared" si="36"/>
        <v>3.4300000000000004E-2</v>
      </c>
      <c r="AB16" s="7">
        <v>0.12797452401887696</v>
      </c>
      <c r="AC16" s="150">
        <f t="shared" si="37"/>
        <v>8.0858085808580837E-2</v>
      </c>
      <c r="AE16" s="168"/>
      <c r="AF16" s="19">
        <v>0</v>
      </c>
      <c r="AG16" s="19">
        <v>3.5000000000000003E-2</v>
      </c>
      <c r="AH16" s="19">
        <v>0.05</v>
      </c>
    </row>
    <row r="17" spans="1:34" x14ac:dyDescent="0.2">
      <c r="A17" s="17" t="s">
        <v>465</v>
      </c>
      <c r="B17" s="18" t="s">
        <v>223</v>
      </c>
      <c r="C17" s="18">
        <v>14</v>
      </c>
      <c r="D17" s="147"/>
      <c r="E17" s="147"/>
      <c r="F17" s="147"/>
      <c r="G17" s="147"/>
      <c r="H17" s="147"/>
      <c r="I17" s="146">
        <f t="shared" si="28"/>
        <v>0</v>
      </c>
      <c r="J17" s="146">
        <f t="shared" si="29"/>
        <v>0</v>
      </c>
      <c r="K17" s="146">
        <f t="shared" si="30"/>
        <v>0</v>
      </c>
      <c r="L17" s="146">
        <f t="shared" si="31"/>
        <v>11.793810000000001</v>
      </c>
      <c r="M17" s="146">
        <f t="shared" si="32"/>
        <v>6.8522036100000001</v>
      </c>
      <c r="N17" s="146">
        <f t="shared" si="33"/>
        <v>77.429900793000002</v>
      </c>
      <c r="O17" s="146">
        <f t="shared" si="34"/>
        <v>0.41113221659999999</v>
      </c>
      <c r="Q17" s="13"/>
      <c r="R17" s="139"/>
      <c r="S17" s="138"/>
      <c r="T17" s="139"/>
      <c r="U17" s="139"/>
      <c r="V17" s="107">
        <v>5.0199999999999996</v>
      </c>
      <c r="W17" s="150">
        <f t="shared" si="35"/>
        <v>0</v>
      </c>
      <c r="X17" s="19">
        <v>1.4999999999999999E-2</v>
      </c>
      <c r="Y17" s="19">
        <v>0.58099999999999996</v>
      </c>
      <c r="Z17" s="20">
        <v>11.3</v>
      </c>
      <c r="AA17" s="150">
        <f t="shared" si="36"/>
        <v>1.9599999999999999E-2</v>
      </c>
      <c r="AB17" s="7">
        <v>0.10081793453823511</v>
      </c>
      <c r="AC17" s="150">
        <f t="shared" si="37"/>
        <v>9.7029702970297005E-2</v>
      </c>
      <c r="AE17" s="168"/>
      <c r="AF17" s="19">
        <v>0</v>
      </c>
      <c r="AG17" s="19">
        <v>0.02</v>
      </c>
      <c r="AH17" s="19">
        <v>0.06</v>
      </c>
    </row>
    <row r="18" spans="1:34" x14ac:dyDescent="0.2">
      <c r="B18" s="18" t="s">
        <v>223</v>
      </c>
      <c r="C18" s="18">
        <v>14</v>
      </c>
      <c r="D18" s="147"/>
      <c r="E18" s="147"/>
      <c r="F18" s="147"/>
      <c r="G18" s="147"/>
      <c r="H18" s="147"/>
      <c r="I18" s="146">
        <f t="shared" si="19"/>
        <v>0</v>
      </c>
      <c r="J18" s="146">
        <f t="shared" si="20"/>
        <v>0</v>
      </c>
      <c r="K18" s="146">
        <f t="shared" si="21"/>
        <v>0</v>
      </c>
      <c r="L18" s="146">
        <f t="shared" si="22"/>
        <v>0</v>
      </c>
      <c r="M18" s="146">
        <f t="shared" si="23"/>
        <v>0</v>
      </c>
      <c r="N18" s="146">
        <f t="shared" si="23"/>
        <v>0</v>
      </c>
      <c r="O18" s="146">
        <f t="shared" si="24"/>
        <v>0</v>
      </c>
      <c r="Q18" s="13"/>
      <c r="R18" s="139"/>
      <c r="S18" s="138"/>
      <c r="T18" s="139"/>
      <c r="U18" s="139"/>
      <c r="V18" s="107">
        <v>0</v>
      </c>
      <c r="W18" s="150">
        <f t="shared" si="25"/>
        <v>0</v>
      </c>
      <c r="X18" s="19">
        <v>0</v>
      </c>
      <c r="Y18" s="19">
        <v>0</v>
      </c>
      <c r="Z18" s="20">
        <v>0</v>
      </c>
      <c r="AA18" s="150">
        <f t="shared" si="26"/>
        <v>0</v>
      </c>
      <c r="AB18" s="7">
        <v>2.8390581729766013E-2</v>
      </c>
      <c r="AC18" s="150">
        <f t="shared" si="27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223</v>
      </c>
      <c r="C19" s="18">
        <v>14</v>
      </c>
      <c r="D19" s="147"/>
      <c r="E19" s="147"/>
      <c r="F19" s="147"/>
      <c r="G19" s="147"/>
      <c r="H19" s="147"/>
      <c r="I19" s="146">
        <f t="shared" si="19"/>
        <v>0</v>
      </c>
      <c r="J19" s="146">
        <f t="shared" si="20"/>
        <v>0</v>
      </c>
      <c r="K19" s="146">
        <f t="shared" si="21"/>
        <v>0</v>
      </c>
      <c r="L19" s="146">
        <f t="shared" si="22"/>
        <v>0</v>
      </c>
      <c r="M19" s="146">
        <f t="shared" si="23"/>
        <v>0</v>
      </c>
      <c r="N19" s="146">
        <f t="shared" si="23"/>
        <v>0</v>
      </c>
      <c r="O19" s="146">
        <f t="shared" si="24"/>
        <v>0</v>
      </c>
      <c r="Q19" s="13"/>
      <c r="R19" s="139"/>
      <c r="S19" s="138"/>
      <c r="T19" s="139"/>
      <c r="U19" s="139"/>
      <c r="V19" s="107">
        <v>0</v>
      </c>
      <c r="W19" s="150">
        <f t="shared" si="25"/>
        <v>0</v>
      </c>
      <c r="X19" s="19">
        <v>0</v>
      </c>
      <c r="Y19" s="19">
        <v>0</v>
      </c>
      <c r="Z19" s="20">
        <v>0</v>
      </c>
      <c r="AA19" s="150">
        <f t="shared" si="26"/>
        <v>0</v>
      </c>
      <c r="AB19" s="7"/>
      <c r="AC19" s="150">
        <f t="shared" si="27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14</v>
      </c>
      <c r="D20" s="147"/>
      <c r="E20" s="147"/>
      <c r="F20" s="147"/>
      <c r="G20" s="147"/>
      <c r="H20" s="147"/>
      <c r="I20" s="146">
        <f t="shared" si="19"/>
        <v>0</v>
      </c>
      <c r="J20" s="146">
        <f t="shared" si="20"/>
        <v>0</v>
      </c>
      <c r="K20" s="146">
        <f t="shared" si="21"/>
        <v>0</v>
      </c>
      <c r="L20" s="146">
        <f t="shared" si="22"/>
        <v>0</v>
      </c>
      <c r="M20" s="146">
        <f t="shared" si="23"/>
        <v>0</v>
      </c>
      <c r="N20" s="146">
        <f t="shared" si="23"/>
        <v>0</v>
      </c>
      <c r="O20" s="146">
        <f t="shared" si="24"/>
        <v>0</v>
      </c>
      <c r="Q20" s="13"/>
      <c r="R20" s="139"/>
      <c r="S20" s="138"/>
      <c r="T20" s="139"/>
      <c r="U20" s="139"/>
      <c r="V20" s="107">
        <v>0</v>
      </c>
      <c r="W20" s="150">
        <f t="shared" si="25"/>
        <v>0</v>
      </c>
      <c r="X20" s="19">
        <v>0</v>
      </c>
      <c r="Y20" s="19">
        <v>0</v>
      </c>
      <c r="Z20" s="20">
        <v>0</v>
      </c>
      <c r="AA20" s="150">
        <f t="shared" si="26"/>
        <v>0</v>
      </c>
      <c r="AB20" s="7"/>
      <c r="AC20" s="150">
        <f t="shared" si="27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474</v>
      </c>
      <c r="B22" s="18" t="s">
        <v>10</v>
      </c>
      <c r="C22" s="18"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120.88655250000001</v>
      </c>
      <c r="M22" s="146">
        <f t="shared" ref="M22:N25" si="38">L22*Y22</f>
        <v>88.126296772499998</v>
      </c>
      <c r="N22" s="146">
        <f t="shared" si="38"/>
        <v>899.76949004722508</v>
      </c>
      <c r="O22" s="146">
        <f t="shared" ref="O22:O25" si="39">(M22*AH22)</f>
        <v>5.7282092902124999</v>
      </c>
      <c r="Q22" s="13"/>
      <c r="R22" s="139"/>
      <c r="S22" s="138"/>
      <c r="T22" s="139"/>
      <c r="U22" s="139"/>
      <c r="V22" s="140"/>
      <c r="W22" s="154"/>
      <c r="X22" s="139"/>
      <c r="Y22" s="19">
        <v>0.72899999999999998</v>
      </c>
      <c r="Z22" s="20">
        <v>10.210000000000001</v>
      </c>
      <c r="AA22" s="150">
        <f>(AG22/SUM(AG$6:AG$25))*0.98</f>
        <v>0.2009</v>
      </c>
      <c r="AB22" s="7">
        <v>4.7611960208794789E-2</v>
      </c>
      <c r="AC22" s="150">
        <f>(AH22/SUM(AH$6:AH$25))*0.98</f>
        <v>0.1051155115511551</v>
      </c>
      <c r="AE22" s="168"/>
      <c r="AF22" s="168"/>
      <c r="AG22" s="19">
        <v>0.20499999999999999</v>
      </c>
      <c r="AH22" s="19">
        <v>6.5000000000000002E-2</v>
      </c>
    </row>
    <row r="23" spans="1:34" x14ac:dyDescent="0.2">
      <c r="A23" s="17" t="s">
        <v>638</v>
      </c>
      <c r="B23" s="18" t="s">
        <v>10</v>
      </c>
      <c r="C23" s="18"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11.793810000000001</v>
      </c>
      <c r="M23" s="146">
        <f t="shared" si="38"/>
        <v>7.9372341300000011</v>
      </c>
      <c r="N23" s="146">
        <f t="shared" si="38"/>
        <v>79.213596617400015</v>
      </c>
      <c r="O23" s="146">
        <f t="shared" si="39"/>
        <v>0.47623404780000006</v>
      </c>
      <c r="Q23" s="13"/>
      <c r="R23" s="139"/>
      <c r="S23" s="138"/>
      <c r="T23" s="139"/>
      <c r="U23" s="139"/>
      <c r="V23" s="140"/>
      <c r="W23" s="154"/>
      <c r="X23" s="139"/>
      <c r="Y23" s="19">
        <v>0.67300000000000004</v>
      </c>
      <c r="Z23" s="20">
        <v>9.98</v>
      </c>
      <c r="AA23" s="150">
        <f>(AG23/SUM(AG$6:AG$25))*0.98</f>
        <v>1.9599999999999999E-2</v>
      </c>
      <c r="AB23" s="7">
        <v>2.8953817101297047E-2</v>
      </c>
      <c r="AC23" s="150">
        <f>(AH23/SUM(AH$6:AH$25))*0.98</f>
        <v>9.7029702970297005E-2</v>
      </c>
      <c r="AE23" s="168"/>
      <c r="AF23" s="168"/>
      <c r="AG23" s="19">
        <v>0.02</v>
      </c>
      <c r="AH23" s="19">
        <v>0.06</v>
      </c>
    </row>
    <row r="24" spans="1:34" x14ac:dyDescent="0.2">
      <c r="A24" s="17" t="s">
        <v>583</v>
      </c>
      <c r="B24" s="18" t="s">
        <v>10</v>
      </c>
      <c r="C24" s="18"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11.793810000000001</v>
      </c>
      <c r="M24" s="146">
        <f t="shared" ref="M24" si="40">L24*Y24</f>
        <v>7.901852700000001</v>
      </c>
      <c r="N24" s="146">
        <f t="shared" ref="N24" si="41">M24*Z24</f>
        <v>77.201100879000009</v>
      </c>
      <c r="O24" s="146">
        <f t="shared" ref="O24" si="42">(M24*AH24)</f>
        <v>0.39509263500000008</v>
      </c>
      <c r="Q24" s="13"/>
      <c r="R24" s="139"/>
      <c r="S24" s="138"/>
      <c r="T24" s="139"/>
      <c r="U24" s="139"/>
      <c r="V24" s="140"/>
      <c r="W24" s="154"/>
      <c r="X24" s="139"/>
      <c r="Y24" s="19">
        <v>0.67</v>
      </c>
      <c r="Z24" s="20">
        <v>9.77</v>
      </c>
      <c r="AA24" s="150">
        <f>(AG24/SUM(AG$6:AG$25))*0.98</f>
        <v>1.9599999999999999E-2</v>
      </c>
      <c r="AB24" s="7">
        <v>2.8953817101297047E-2</v>
      </c>
      <c r="AC24" s="150">
        <f>(AH24/SUM(AH$6:AH$25))*0.98</f>
        <v>8.0858085808580837E-2</v>
      </c>
      <c r="AE24" s="168"/>
      <c r="AF24" s="168"/>
      <c r="AG24" s="19">
        <v>0.02</v>
      </c>
      <c r="AH24" s="19">
        <v>0.05</v>
      </c>
    </row>
    <row r="25" spans="1:34" x14ac:dyDescent="0.2">
      <c r="B25" s="18" t="s">
        <v>10</v>
      </c>
      <c r="C25" s="18"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8"/>
        <v>0</v>
      </c>
      <c r="N25" s="146">
        <f t="shared" si="38"/>
        <v>0</v>
      </c>
      <c r="O25" s="146">
        <f t="shared" si="39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8" t="s">
        <v>279</v>
      </c>
      <c r="X27" s="30"/>
      <c r="Y27" s="30"/>
      <c r="Z27" s="31"/>
      <c r="AA27" s="8" t="s">
        <v>279</v>
      </c>
      <c r="AB27" s="8" t="s">
        <v>279</v>
      </c>
      <c r="AC27" s="8" t="s">
        <v>279</v>
      </c>
      <c r="AD27" s="32"/>
      <c r="AE27" s="8" t="s">
        <v>279</v>
      </c>
      <c r="AF27" s="8" t="s">
        <v>279</v>
      </c>
      <c r="AG27" s="8" t="s">
        <v>279</v>
      </c>
    </row>
    <row r="28" spans="1:34" s="27" customFormat="1" x14ac:dyDescent="0.2">
      <c r="A28" s="33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1.3331365850271231</v>
      </c>
      <c r="AC28" s="150">
        <f>SUM(AC6:AC25)</f>
        <v>0.97999999999999976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B29" s="28"/>
      <c r="C29" s="28"/>
      <c r="D29" s="46">
        <v>1065</v>
      </c>
      <c r="E29" s="47">
        <v>0.56499999999999995</v>
      </c>
      <c r="F29" s="2">
        <f>1-E29</f>
        <v>0.43500000000000005</v>
      </c>
      <c r="G29" s="106">
        <v>4.55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33" t="s">
        <v>280</v>
      </c>
      <c r="B31" s="28"/>
      <c r="C31" s="28"/>
      <c r="D31" s="155" t="s">
        <v>293</v>
      </c>
      <c r="E31" s="155" t="s">
        <v>1</v>
      </c>
      <c r="F31" s="155" t="s">
        <v>278</v>
      </c>
      <c r="G31" s="155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B32" s="28"/>
      <c r="C32" s="28"/>
      <c r="D32" s="156">
        <f>D29*E29</f>
        <v>601.72499999999991</v>
      </c>
      <c r="E32" s="156">
        <f>SUM(E2:E4)</f>
        <v>398.69095049999999</v>
      </c>
      <c r="F32" s="156">
        <f>SUM(F2:F4)</f>
        <v>4255.7442892874997</v>
      </c>
      <c r="G32" s="156">
        <f>SUM(G2:G4)</f>
        <v>24.1532415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33" t="s">
        <v>280</v>
      </c>
      <c r="B34" s="28"/>
      <c r="C34" s="28"/>
      <c r="D34" s="155" t="s">
        <v>285</v>
      </c>
      <c r="E34" s="155" t="s">
        <v>278</v>
      </c>
      <c r="F34" s="155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B35" s="28"/>
      <c r="C35" s="28"/>
      <c r="D35" s="156">
        <f>D29*F29</f>
        <v>463.27500000000003</v>
      </c>
      <c r="E35" s="156">
        <f>D35*G29</f>
        <v>2107.9012499999999</v>
      </c>
      <c r="F35" s="156">
        <f>D35*H29</f>
        <v>16.909537499999999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36" t="s">
        <v>294</v>
      </c>
      <c r="B37" s="37"/>
      <c r="C37" s="37"/>
      <c r="D37" s="145" t="s">
        <v>288</v>
      </c>
      <c r="E37" s="145" t="s">
        <v>289</v>
      </c>
      <c r="F37" s="145" t="s">
        <v>290</v>
      </c>
      <c r="G37" s="145" t="s">
        <v>286</v>
      </c>
      <c r="H37" s="145" t="s">
        <v>287</v>
      </c>
      <c r="I37" s="145" t="s">
        <v>291</v>
      </c>
      <c r="J37" s="145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454.0095</v>
      </c>
      <c r="E38" s="157">
        <f>SUM(J2:J4,J6:J11,J13:J20)</f>
        <v>2099.9755412999998</v>
      </c>
      <c r="F38" s="157">
        <f>SUM(K2:K4,K6:K11,K13:K20)</f>
        <v>16.880073210000006</v>
      </c>
      <c r="G38" s="157">
        <f>SUM(L6:L11,L13:L20,L22:L25)</f>
        <v>589.69050000000004</v>
      </c>
      <c r="H38" s="157">
        <f>SUM(M6:M11,M13:M20,M22:M25)</f>
        <v>395.64104716500003</v>
      </c>
      <c r="I38" s="157">
        <f>SUM(N6:N11,N13:N20,N22:N25)</f>
        <v>4253.3240315942239</v>
      </c>
      <c r="J38" s="157">
        <f>SUM(O6:O11,O13:O20,O22:O25)</f>
        <v>24.140814554955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9.2655000000000314</v>
      </c>
      <c r="E39" s="158">
        <f>E35-E38</f>
        <v>7.9257087000000865</v>
      </c>
      <c r="F39" s="158">
        <f>F35-F38</f>
        <v>2.9464289999992843E-2</v>
      </c>
      <c r="G39" s="158">
        <f>SUM(D2:D4)-G38</f>
        <v>12.03449999999998</v>
      </c>
      <c r="H39" s="158">
        <f>E32-H38</f>
        <v>3.0499033349999536</v>
      </c>
      <c r="I39" s="158">
        <f>F32-I38</f>
        <v>2.4202576932757438</v>
      </c>
      <c r="J39" s="158">
        <f>G32-J38</f>
        <v>1.2426945045000082E-2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95" priority="1" operator="lessThan">
      <formula>0</formula>
    </cfRule>
  </conditionalFormatting>
  <conditionalFormatting sqref="W28">
    <cfRule type="cellIs" dxfId="94" priority="2" operator="greaterThan">
      <formula>1</formula>
    </cfRule>
  </conditionalFormatting>
  <conditionalFormatting sqref="AA28:AG28">
    <cfRule type="cellIs" dxfId="93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CC0000"/>
  </sheetPr>
  <dimension ref="A1:AH76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8.796875" defaultRowHeight="14" x14ac:dyDescent="0.2"/>
  <cols>
    <col min="1" max="1" width="22.59765625" style="17" customWidth="1"/>
    <col min="2" max="3" width="8.796875" style="18"/>
    <col min="4" max="13" width="8.796875" style="23"/>
    <col min="14" max="15" width="8.796875" style="18"/>
    <col min="16" max="16" width="4.796875" style="18" customWidth="1"/>
    <col min="17" max="18" width="8.796875" style="26"/>
    <col min="19" max="19" width="8.796875" style="23"/>
    <col min="20" max="21" width="8.796875" style="26"/>
    <col min="22" max="23" width="8.796875" style="25"/>
    <col min="24" max="25" width="8.796875" style="26"/>
    <col min="26" max="26" width="8.796875" style="25"/>
    <col min="27" max="27" width="8.796875" style="18"/>
    <col min="28" max="28" width="0" style="18" hidden="1" customWidth="1"/>
    <col min="29" max="29" width="8.796875" style="26"/>
    <col min="30" max="30" width="4.796875" style="17" customWidth="1"/>
    <col min="31" max="32" width="8.796875" style="18"/>
    <col min="33" max="16384" width="8.796875" style="17"/>
  </cols>
  <sheetData>
    <row r="1" spans="1:34" s="15" customFormat="1" ht="25.5" customHeight="1" x14ac:dyDescent="0.2">
      <c r="A1" s="15" t="s">
        <v>0</v>
      </c>
      <c r="B1" s="15" t="s">
        <v>8</v>
      </c>
      <c r="C1" s="15" t="s">
        <v>128</v>
      </c>
      <c r="D1" s="159" t="s">
        <v>225</v>
      </c>
      <c r="E1" s="159" t="s">
        <v>1</v>
      </c>
      <c r="F1" s="159" t="s">
        <v>228</v>
      </c>
      <c r="G1" s="159" t="s">
        <v>243</v>
      </c>
      <c r="H1" s="159" t="s">
        <v>2</v>
      </c>
      <c r="I1" s="159" t="s">
        <v>244</v>
      </c>
      <c r="J1" s="159" t="s">
        <v>232</v>
      </c>
      <c r="K1" s="159" t="s">
        <v>245</v>
      </c>
      <c r="L1" s="159" t="s">
        <v>234</v>
      </c>
      <c r="M1" s="159" t="s">
        <v>4</v>
      </c>
      <c r="N1" s="159" t="s">
        <v>238</v>
      </c>
      <c r="O1" s="159" t="s">
        <v>246</v>
      </c>
      <c r="Q1" s="160" t="s">
        <v>296</v>
      </c>
      <c r="R1" s="133" t="s">
        <v>247</v>
      </c>
      <c r="S1" s="134" t="s">
        <v>477</v>
      </c>
      <c r="T1" s="133" t="s">
        <v>220</v>
      </c>
      <c r="U1" s="133" t="s">
        <v>224</v>
      </c>
      <c r="V1" s="135" t="s">
        <v>295</v>
      </c>
      <c r="W1" s="161" t="s">
        <v>297</v>
      </c>
      <c r="X1" s="133" t="s">
        <v>248</v>
      </c>
      <c r="Y1" s="179" t="s">
        <v>249</v>
      </c>
      <c r="Z1" s="135" t="s">
        <v>250</v>
      </c>
      <c r="AA1" s="160" t="s">
        <v>251</v>
      </c>
      <c r="AB1" s="160" t="s">
        <v>252</v>
      </c>
      <c r="AC1" s="10" t="s">
        <v>277</v>
      </c>
      <c r="AE1" s="136" t="s">
        <v>298</v>
      </c>
      <c r="AF1" s="137" t="s">
        <v>299</v>
      </c>
      <c r="AG1" s="136" t="s">
        <v>300</v>
      </c>
      <c r="AH1" s="136" t="s">
        <v>476</v>
      </c>
    </row>
    <row r="2" spans="1:34" x14ac:dyDescent="0.2">
      <c r="A2" s="17" t="s">
        <v>85</v>
      </c>
      <c r="B2" s="18" t="s">
        <v>9</v>
      </c>
      <c r="C2" s="18">
        <v>11</v>
      </c>
      <c r="D2" s="146">
        <f>D$32*Q2</f>
        <v>575.13455999999996</v>
      </c>
      <c r="E2" s="146">
        <f>D2*R2</f>
        <v>378.43854047999997</v>
      </c>
      <c r="F2" s="146">
        <f>E2*S2</f>
        <v>4257.4335803999993</v>
      </c>
      <c r="G2" s="146">
        <f>D2*T2</f>
        <v>29.331862559999998</v>
      </c>
      <c r="H2" s="146">
        <f>E2*U2</f>
        <v>7.1903322691199989</v>
      </c>
      <c r="I2" s="146">
        <f>D$35*W2</f>
        <v>25.820726400000002</v>
      </c>
      <c r="J2" s="146">
        <f>I2*V2</f>
        <v>72.298033919999995</v>
      </c>
      <c r="K2" s="146">
        <f>I2*X2</f>
        <v>1.4201399520000002</v>
      </c>
      <c r="L2" s="147"/>
      <c r="M2" s="147"/>
      <c r="N2" s="147"/>
      <c r="O2" s="147"/>
      <c r="Q2" s="150">
        <f>(AE2/SUM(AE$2:AE$25))</f>
        <v>0.98</v>
      </c>
      <c r="R2" s="19">
        <v>0.65800000000000003</v>
      </c>
      <c r="S2" s="107">
        <v>11.25</v>
      </c>
      <c r="T2" s="19">
        <v>5.0999999999999997E-2</v>
      </c>
      <c r="U2" s="19">
        <v>1.9E-2</v>
      </c>
      <c r="V2" s="107">
        <v>2.8</v>
      </c>
      <c r="W2" s="150">
        <f>(AF2/SUM(AF$2:AF$20))*0.98</f>
        <v>5.8799999999999998E-2</v>
      </c>
      <c r="X2" s="19">
        <v>5.5E-2</v>
      </c>
      <c r="Y2" s="21"/>
      <c r="Z2" s="22"/>
      <c r="AA2" s="1"/>
      <c r="AB2" s="1"/>
      <c r="AC2" s="1"/>
      <c r="AE2" s="19">
        <v>0.98</v>
      </c>
      <c r="AF2" s="19">
        <v>0.06</v>
      </c>
      <c r="AG2" s="168"/>
      <c r="AH2" s="168"/>
    </row>
    <row r="3" spans="1:34" x14ac:dyDescent="0.2">
      <c r="A3" s="17" t="s">
        <v>186</v>
      </c>
      <c r="B3" s="18" t="s">
        <v>9</v>
      </c>
      <c r="C3" s="18">
        <v>11</v>
      </c>
      <c r="D3" s="146">
        <f>D$32*Q3</f>
        <v>11.737439999999999</v>
      </c>
      <c r="E3" s="146">
        <f t="shared" ref="E3:F4" si="0">D3*R3</f>
        <v>7.3476374399999997</v>
      </c>
      <c r="F3" s="146">
        <f t="shared" si="0"/>
        <v>79.354484352</v>
      </c>
      <c r="G3" s="146">
        <f t="shared" ref="G3:G4" si="1">D3*T3</f>
        <v>0.51644735999999991</v>
      </c>
      <c r="H3" s="146">
        <f t="shared" ref="H3:H4" si="2">E3*U3</f>
        <v>0.183690936</v>
      </c>
      <c r="I3" s="146">
        <f>D$35*W3</f>
        <v>2.1517272000000003</v>
      </c>
      <c r="J3" s="146">
        <f>I3*V3</f>
        <v>12.221810496000002</v>
      </c>
      <c r="K3" s="146">
        <f>I3*X3</f>
        <v>2.3668999200000002E-2</v>
      </c>
      <c r="L3" s="147"/>
      <c r="M3" s="147"/>
      <c r="N3" s="147"/>
      <c r="O3" s="147"/>
      <c r="Q3" s="150">
        <f>(AE3/SUM(AE$2:AE$25))</f>
        <v>0.02</v>
      </c>
      <c r="R3" s="19">
        <v>0.626</v>
      </c>
      <c r="S3" s="107">
        <v>10.8</v>
      </c>
      <c r="T3" s="19">
        <v>4.3999999999999997E-2</v>
      </c>
      <c r="U3" s="19">
        <v>2.5000000000000001E-2</v>
      </c>
      <c r="V3" s="107">
        <v>5.68</v>
      </c>
      <c r="W3" s="150">
        <f>(AF3/SUM(AF$2:AF$20))*0.98</f>
        <v>4.8999999999999998E-3</v>
      </c>
      <c r="X3" s="19">
        <v>1.0999999999999999E-2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34" x14ac:dyDescent="0.2">
      <c r="A4" s="17" t="s">
        <v>623</v>
      </c>
      <c r="B4" s="18" t="s">
        <v>9</v>
      </c>
      <c r="C4" s="18"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0.60899999999999999</v>
      </c>
      <c r="S4" s="107">
        <v>11.03</v>
      </c>
      <c r="T4" s="19">
        <v>4.3999999999999997E-2</v>
      </c>
      <c r="U4" s="19">
        <v>2.5000000000000001E-2</v>
      </c>
      <c r="V4" s="107">
        <v>2.4</v>
      </c>
      <c r="W4" s="150">
        <f>(AF4/SUM(AF$2:AF$20))*0.98</f>
        <v>0</v>
      </c>
      <c r="X4" s="19">
        <v>0.02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34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34" x14ac:dyDescent="0.2">
      <c r="A6" s="17" t="s">
        <v>501</v>
      </c>
      <c r="B6" s="18" t="s">
        <v>222</v>
      </c>
      <c r="C6" s="18">
        <v>11</v>
      </c>
      <c r="D6" s="147"/>
      <c r="E6" s="147"/>
      <c r="F6" s="147"/>
      <c r="G6" s="147"/>
      <c r="H6" s="147"/>
      <c r="I6" s="146">
        <f t="shared" ref="I6:I11" si="3">D$35*W6</f>
        <v>262.51071840000003</v>
      </c>
      <c r="J6" s="146">
        <f>I6*V6</f>
        <v>1197.0488759039999</v>
      </c>
      <c r="K6" s="146">
        <f>I6*X6</f>
        <v>9.9754072992000005</v>
      </c>
      <c r="L6" s="146">
        <f>((D$2+D$3+D$4)*AA6)</f>
        <v>51.76211039999999</v>
      </c>
      <c r="M6" s="146">
        <f t="shared" ref="M6:N11" si="4">L6*Y6</f>
        <v>38.562772247999995</v>
      </c>
      <c r="N6" s="146">
        <f t="shared" si="4"/>
        <v>322.38477599327996</v>
      </c>
      <c r="O6" s="146">
        <f>M6*AH6</f>
        <v>2.3523291071279995</v>
      </c>
      <c r="Q6" s="13"/>
      <c r="R6" s="139"/>
      <c r="S6" s="138"/>
      <c r="T6" s="139"/>
      <c r="U6" s="139"/>
      <c r="V6" s="107">
        <v>4.5599999999999996</v>
      </c>
      <c r="W6" s="150">
        <f t="shared" ref="W6:W11" si="5">(AF6/SUM(AF$2:AF$20))*0.98</f>
        <v>0.5978</v>
      </c>
      <c r="X6" s="19">
        <v>3.7999999999999999E-2</v>
      </c>
      <c r="Y6" s="19">
        <v>0.745</v>
      </c>
      <c r="Z6" s="20">
        <v>8.36</v>
      </c>
      <c r="AA6" s="150">
        <f t="shared" ref="AA6:AA11" si="6">(AG6/SUM(AG$6:AG$25))*0.98</f>
        <v>8.8199999999999987E-2</v>
      </c>
      <c r="AB6" s="7">
        <v>0.10241586707245035</v>
      </c>
      <c r="AC6" s="150">
        <f t="shared" ref="AC6:AC11" si="7">(AH6/SUM(AH$6:AH$25))*0.98</f>
        <v>7.7435233160621758E-2</v>
      </c>
      <c r="AE6" s="168"/>
      <c r="AF6" s="19">
        <v>0.61</v>
      </c>
      <c r="AG6" s="19">
        <v>0.09</v>
      </c>
      <c r="AH6" s="19">
        <v>6.0999999999999999E-2</v>
      </c>
    </row>
    <row r="7" spans="1:34" x14ac:dyDescent="0.2">
      <c r="A7" s="172" t="s">
        <v>422</v>
      </c>
      <c r="B7" s="18" t="s">
        <v>222</v>
      </c>
      <c r="C7" s="18">
        <v>11</v>
      </c>
      <c r="D7" s="147"/>
      <c r="E7" s="147"/>
      <c r="F7" s="147"/>
      <c r="G7" s="147"/>
      <c r="H7" s="147"/>
      <c r="I7" s="146">
        <f t="shared" si="3"/>
        <v>116.19326880000001</v>
      </c>
      <c r="J7" s="146">
        <f>I7*V7</f>
        <v>488.01172896000008</v>
      </c>
      <c r="K7" s="146">
        <f>I7*X7</f>
        <v>4.0667644080000009</v>
      </c>
      <c r="L7" s="146">
        <f>((D$2+D$3+D$4)*AA7)</f>
        <v>34.508073599999989</v>
      </c>
      <c r="M7" s="146">
        <f t="shared" si="4"/>
        <v>27.571950806399993</v>
      </c>
      <c r="N7" s="146">
        <f t="shared" si="4"/>
        <v>220.02416743507194</v>
      </c>
      <c r="O7" s="146">
        <f t="shared" ref="O7:O11" si="8">M7*AH7</f>
        <v>1.3785975403199997</v>
      </c>
      <c r="Q7" s="13"/>
      <c r="R7" s="139"/>
      <c r="S7" s="138"/>
      <c r="T7" s="139"/>
      <c r="U7" s="139"/>
      <c r="V7" s="107">
        <v>4.2</v>
      </c>
      <c r="W7" s="150">
        <f t="shared" si="5"/>
        <v>0.2646</v>
      </c>
      <c r="X7" s="19">
        <v>3.5000000000000003E-2</v>
      </c>
      <c r="Y7" s="19">
        <v>0.79900000000000004</v>
      </c>
      <c r="Z7" s="20">
        <v>7.98</v>
      </c>
      <c r="AA7" s="150">
        <f t="shared" si="6"/>
        <v>5.8799999999999984E-2</v>
      </c>
      <c r="AB7" s="7">
        <v>1.6834405145425353E-2</v>
      </c>
      <c r="AC7" s="150">
        <f t="shared" si="7"/>
        <v>6.3471502590673579E-2</v>
      </c>
      <c r="AE7" s="168"/>
      <c r="AF7" s="19">
        <v>0.27</v>
      </c>
      <c r="AG7" s="19">
        <v>0.06</v>
      </c>
      <c r="AH7" s="19">
        <v>0.05</v>
      </c>
    </row>
    <row r="8" spans="1:34" x14ac:dyDescent="0.2">
      <c r="A8" s="176" t="s">
        <v>641</v>
      </c>
      <c r="B8" s="18" t="s">
        <v>222</v>
      </c>
      <c r="C8" s="18">
        <v>11</v>
      </c>
      <c r="D8" s="147"/>
      <c r="E8" s="147"/>
      <c r="F8" s="147"/>
      <c r="G8" s="147"/>
      <c r="H8" s="147"/>
      <c r="I8" s="146">
        <f t="shared" si="3"/>
        <v>23.668999200000002</v>
      </c>
      <c r="J8" s="146">
        <f>I8*V8</f>
        <v>98.22634668000002</v>
      </c>
      <c r="K8" s="146">
        <f>I8*X8</f>
        <v>0.75740797440000007</v>
      </c>
      <c r="L8" s="146">
        <f>((D$2+D$3+D$4)*AA8)</f>
        <v>23.005382399999995</v>
      </c>
      <c r="M8" s="146">
        <f t="shared" si="4"/>
        <v>19.163483539199994</v>
      </c>
      <c r="N8" s="146">
        <f t="shared" si="4"/>
        <v>141.42650851929596</v>
      </c>
      <c r="O8" s="146">
        <f t="shared" si="8"/>
        <v>0.76653934156799974</v>
      </c>
      <c r="Q8" s="13"/>
      <c r="R8" s="139"/>
      <c r="S8" s="138"/>
      <c r="T8" s="139"/>
      <c r="U8" s="139"/>
      <c r="V8" s="107">
        <v>4.1500000000000004</v>
      </c>
      <c r="W8" s="150">
        <f t="shared" si="5"/>
        <v>5.3899999999999997E-2</v>
      </c>
      <c r="X8" s="19">
        <v>3.2000000000000001E-2</v>
      </c>
      <c r="Y8" s="19">
        <v>0.83299999999999996</v>
      </c>
      <c r="Z8" s="20">
        <v>7.38</v>
      </c>
      <c r="AA8" s="150">
        <f t="shared" si="6"/>
        <v>3.9199999999999992E-2</v>
      </c>
      <c r="AB8" s="7">
        <v>3.4364046000666143E-2</v>
      </c>
      <c r="AC8" s="150">
        <f t="shared" si="7"/>
        <v>5.0777202072538871E-2</v>
      </c>
      <c r="AE8" s="168"/>
      <c r="AF8" s="19">
        <v>5.5E-2</v>
      </c>
      <c r="AG8" s="19">
        <v>0.04</v>
      </c>
      <c r="AH8" s="19">
        <v>0.04</v>
      </c>
    </row>
    <row r="9" spans="1:34" x14ac:dyDescent="0.2">
      <c r="A9" s="172"/>
      <c r="B9" s="18" t="s">
        <v>222</v>
      </c>
      <c r="C9" s="18"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9.0147436135723479E-3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34" x14ac:dyDescent="0.2">
      <c r="A10" s="172"/>
      <c r="B10" s="18" t="s">
        <v>222</v>
      </c>
      <c r="C10" s="18"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5.6836923515051971E-3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34" x14ac:dyDescent="0.2">
      <c r="A11" s="172"/>
      <c r="B11" s="18" t="s">
        <v>222</v>
      </c>
      <c r="C11" s="18"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34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34" x14ac:dyDescent="0.2">
      <c r="A13" s="17" t="s">
        <v>403</v>
      </c>
      <c r="B13" s="18" t="s">
        <v>223</v>
      </c>
      <c r="C13" s="18"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129.40527599999996</v>
      </c>
      <c r="M13" s="146">
        <f t="shared" ref="M13:N20" si="16">L13*Y13</f>
        <v>84.242834675999973</v>
      </c>
      <c r="N13" s="146">
        <f t="shared" si="16"/>
        <v>1078.3082838527996</v>
      </c>
      <c r="O13" s="146">
        <f t="shared" ref="O13:O20" si="17">M13*AH13</f>
        <v>7.7503407901919976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1.4999999999999999E-2</v>
      </c>
      <c r="Y13" s="19">
        <v>0.65100000000000002</v>
      </c>
      <c r="Z13" s="20">
        <v>12.8</v>
      </c>
      <c r="AA13" s="150">
        <f t="shared" ref="AA13:AA20" si="19">(AG13/SUM(AG$6:AG$25))*0.98</f>
        <v>0.22049999999999995</v>
      </c>
      <c r="AB13" s="7">
        <v>0.20587017634578869</v>
      </c>
      <c r="AC13" s="150">
        <f t="shared" ref="AC13:AC20" si="20">(AH13/SUM(AH$6:AH$25))*0.98</f>
        <v>0.11678756476683938</v>
      </c>
      <c r="AE13" s="168"/>
      <c r="AF13" s="19">
        <v>0</v>
      </c>
      <c r="AG13" s="19">
        <v>0.22500000000000001</v>
      </c>
      <c r="AH13" s="19">
        <v>9.1999999999999998E-2</v>
      </c>
    </row>
    <row r="14" spans="1:34" x14ac:dyDescent="0.2">
      <c r="A14" s="17" t="s">
        <v>206</v>
      </c>
      <c r="B14" s="18" t="s">
        <v>223</v>
      </c>
      <c r="C14" s="18">
        <v>11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92.02152959999998</v>
      </c>
      <c r="M14" s="146">
        <f t="shared" si="16"/>
        <v>55.581003878399983</v>
      </c>
      <c r="N14" s="146">
        <f t="shared" si="16"/>
        <v>772.57595390975973</v>
      </c>
      <c r="O14" s="146">
        <f t="shared" si="17"/>
        <v>5.5581003878399988</v>
      </c>
      <c r="Q14" s="13"/>
      <c r="R14" s="139"/>
      <c r="S14" s="138"/>
      <c r="T14" s="139"/>
      <c r="U14" s="139"/>
      <c r="V14" s="107">
        <v>3.51</v>
      </c>
      <c r="W14" s="150">
        <f t="shared" si="18"/>
        <v>0</v>
      </c>
      <c r="X14" s="19">
        <v>8.0000000000000002E-3</v>
      </c>
      <c r="Y14" s="19">
        <v>0.60399999999999998</v>
      </c>
      <c r="Z14" s="20">
        <v>13.9</v>
      </c>
      <c r="AA14" s="150">
        <f t="shared" si="19"/>
        <v>0.15679999999999997</v>
      </c>
      <c r="AB14" s="7">
        <v>0.15289666611219216</v>
      </c>
      <c r="AC14" s="150">
        <f t="shared" si="20"/>
        <v>0.12694300518134716</v>
      </c>
      <c r="AE14" s="168"/>
      <c r="AF14" s="19">
        <v>0</v>
      </c>
      <c r="AG14" s="19">
        <v>0.16</v>
      </c>
      <c r="AH14" s="19">
        <v>0.1</v>
      </c>
    </row>
    <row r="15" spans="1:34" x14ac:dyDescent="0.2">
      <c r="A15" s="17" t="s">
        <v>203</v>
      </c>
      <c r="B15" s="18" t="s">
        <v>223</v>
      </c>
      <c r="C15" s="18">
        <v>11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66.140474399999988</v>
      </c>
      <c r="M15" s="146">
        <f t="shared" si="16"/>
        <v>47.687282042399993</v>
      </c>
      <c r="N15" s="146">
        <f t="shared" si="16"/>
        <v>472.10409221975993</v>
      </c>
      <c r="O15" s="146">
        <f t="shared" si="17"/>
        <v>3.1950478968407996</v>
      </c>
      <c r="Q15" s="13"/>
      <c r="R15" s="139"/>
      <c r="S15" s="138"/>
      <c r="T15" s="139"/>
      <c r="U15" s="139"/>
      <c r="V15" s="107">
        <v>4.97</v>
      </c>
      <c r="W15" s="150">
        <f t="shared" si="18"/>
        <v>0</v>
      </c>
      <c r="X15" s="19">
        <v>2.4E-2</v>
      </c>
      <c r="Y15" s="19">
        <v>0.72099999999999997</v>
      </c>
      <c r="Z15" s="20">
        <v>9.9</v>
      </c>
      <c r="AA15" s="150">
        <f t="shared" si="19"/>
        <v>0.11269999999999998</v>
      </c>
      <c r="AB15" s="7">
        <v>0.10227292908389216</v>
      </c>
      <c r="AC15" s="150">
        <f t="shared" si="20"/>
        <v>8.5051813471502605E-2</v>
      </c>
      <c r="AE15" s="168"/>
      <c r="AF15" s="19">
        <v>0</v>
      </c>
      <c r="AG15" s="19">
        <v>0.115</v>
      </c>
      <c r="AH15" s="19">
        <v>6.7000000000000004E-2</v>
      </c>
    </row>
    <row r="16" spans="1:34" x14ac:dyDescent="0.2">
      <c r="A16" s="17" t="s">
        <v>584</v>
      </c>
      <c r="B16" s="18" t="s">
        <v>223</v>
      </c>
      <c r="C16" s="18">
        <v>11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17.254036799999994</v>
      </c>
      <c r="M16" s="146">
        <f t="shared" si="16"/>
        <v>12.233112091199995</v>
      </c>
      <c r="N16" s="146">
        <f t="shared" si="16"/>
        <v>125.02240557206396</v>
      </c>
      <c r="O16" s="146">
        <f t="shared" si="17"/>
        <v>0.85631784638399977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1.4999999999999999E-2</v>
      </c>
      <c r="Y16" s="19">
        <v>0.70899999999999996</v>
      </c>
      <c r="Z16" s="20">
        <v>10.220000000000001</v>
      </c>
      <c r="AA16" s="150">
        <f t="shared" si="19"/>
        <v>2.9399999999999992E-2</v>
      </c>
      <c r="AB16" s="7">
        <v>4.4906581143286987E-2</v>
      </c>
      <c r="AC16" s="150">
        <f t="shared" si="20"/>
        <v>8.8860103626943021E-2</v>
      </c>
      <c r="AE16" s="168"/>
      <c r="AF16" s="19">
        <v>0</v>
      </c>
      <c r="AG16" s="19">
        <v>0.03</v>
      </c>
      <c r="AH16" s="19">
        <v>7.0000000000000007E-2</v>
      </c>
    </row>
    <row r="17" spans="1:34" x14ac:dyDescent="0.2">
      <c r="A17" s="17" t="s">
        <v>404</v>
      </c>
      <c r="B17" s="18" t="s">
        <v>223</v>
      </c>
      <c r="C17" s="18">
        <v>11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17.254036799999994</v>
      </c>
      <c r="M17" s="146">
        <f t="shared" si="16"/>
        <v>10.593978595199996</v>
      </c>
      <c r="N17" s="146">
        <f t="shared" si="16"/>
        <v>106.57542466771196</v>
      </c>
      <c r="O17" s="146">
        <f t="shared" si="17"/>
        <v>0.74157850166399975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1.4999999999999999E-2</v>
      </c>
      <c r="Y17" s="19">
        <v>0.61399999999999999</v>
      </c>
      <c r="Z17" s="20">
        <v>10.06</v>
      </c>
      <c r="AA17" s="150">
        <f t="shared" si="19"/>
        <v>2.9399999999999992E-2</v>
      </c>
      <c r="AB17" s="7">
        <v>2.1429158079693849E-2</v>
      </c>
      <c r="AC17" s="150">
        <f t="shared" si="20"/>
        <v>8.8860103626943021E-2</v>
      </c>
      <c r="AE17" s="168"/>
      <c r="AF17" s="19">
        <v>0</v>
      </c>
      <c r="AG17" s="19">
        <v>0.03</v>
      </c>
      <c r="AH17" s="19">
        <v>7.0000000000000007E-2</v>
      </c>
    </row>
    <row r="18" spans="1:34" x14ac:dyDescent="0.2">
      <c r="A18" s="17" t="s">
        <v>640</v>
      </c>
      <c r="B18" s="18" t="s">
        <v>223</v>
      </c>
      <c r="C18" s="18"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5.7513455999999987</v>
      </c>
      <c r="M18" s="146">
        <f t="shared" si="16"/>
        <v>3.7556286767999993</v>
      </c>
      <c r="N18" s="146">
        <f t="shared" si="16"/>
        <v>36.429598164959991</v>
      </c>
      <c r="O18" s="146">
        <f t="shared" si="17"/>
        <v>0.24411586399199997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1.4999999999999999E-2</v>
      </c>
      <c r="Y18" s="19">
        <v>0.65300000000000002</v>
      </c>
      <c r="Z18" s="20">
        <v>9.6999999999999993</v>
      </c>
      <c r="AA18" s="150">
        <f t="shared" si="19"/>
        <v>9.7999999999999979E-3</v>
      </c>
      <c r="AB18" s="7">
        <v>1.115758719853931E-2</v>
      </c>
      <c r="AC18" s="150">
        <f t="shared" si="20"/>
        <v>8.251295336787566E-2</v>
      </c>
      <c r="AE18" s="168"/>
      <c r="AF18" s="19">
        <v>0</v>
      </c>
      <c r="AG18" s="19">
        <v>0.01</v>
      </c>
      <c r="AH18" s="19">
        <v>6.5000000000000002E-2</v>
      </c>
    </row>
    <row r="19" spans="1:34" x14ac:dyDescent="0.2">
      <c r="B19" s="18" t="s">
        <v>223</v>
      </c>
      <c r="C19" s="18"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223</v>
      </c>
      <c r="C20" s="18"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187</v>
      </c>
      <c r="B22" s="18" t="s">
        <v>10</v>
      </c>
      <c r="C22" s="18"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115.02691199999997</v>
      </c>
      <c r="M22" s="146">
        <f t="shared" ref="M22:N25" si="21">L22*Y22</f>
        <v>71.546739263999982</v>
      </c>
      <c r="N22" s="146">
        <f t="shared" si="21"/>
        <v>908.64358865279974</v>
      </c>
      <c r="O22" s="146">
        <f t="shared" ref="O22:O25" si="22">M22*AH22</f>
        <v>5.8668326196479983</v>
      </c>
      <c r="Q22" s="13"/>
      <c r="R22" s="139"/>
      <c r="S22" s="138"/>
      <c r="T22" s="139"/>
      <c r="U22" s="139"/>
      <c r="V22" s="140"/>
      <c r="W22" s="154"/>
      <c r="X22" s="139"/>
      <c r="Y22" s="19">
        <v>0.622</v>
      </c>
      <c r="Z22" s="20">
        <v>12.7</v>
      </c>
      <c r="AA22" s="150">
        <f>(AG22/SUM(AG$6:AG$25))*0.98</f>
        <v>0.19599999999999995</v>
      </c>
      <c r="AB22" s="7">
        <v>0.15309603149915491</v>
      </c>
      <c r="AC22" s="150">
        <f>(AH22/SUM(AH$6:AH$25))*0.98</f>
        <v>0.10409326424870467</v>
      </c>
      <c r="AE22" s="168"/>
      <c r="AF22" s="168"/>
      <c r="AG22" s="19">
        <v>0.2</v>
      </c>
      <c r="AH22" s="19">
        <v>8.2000000000000003E-2</v>
      </c>
    </row>
    <row r="23" spans="1:34" x14ac:dyDescent="0.2">
      <c r="A23" s="17" t="s">
        <v>193</v>
      </c>
      <c r="B23" s="18" t="s">
        <v>10</v>
      </c>
      <c r="C23" s="18"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23.005382399999995</v>
      </c>
      <c r="M23" s="146">
        <f t="shared" si="21"/>
        <v>14.723444735999998</v>
      </c>
      <c r="N23" s="146">
        <f t="shared" si="21"/>
        <v>133.98334709759996</v>
      </c>
      <c r="O23" s="146">
        <f t="shared" si="22"/>
        <v>1.1042583551999998</v>
      </c>
      <c r="Q23" s="13"/>
      <c r="R23" s="139"/>
      <c r="S23" s="138"/>
      <c r="T23" s="139"/>
      <c r="U23" s="139"/>
      <c r="V23" s="140"/>
      <c r="W23" s="154"/>
      <c r="X23" s="139"/>
      <c r="Y23" s="19">
        <v>0.64</v>
      </c>
      <c r="Z23" s="20">
        <v>9.1</v>
      </c>
      <c r="AA23" s="150">
        <f>(AG23/SUM(AG$6:AG$25))*0.98</f>
        <v>3.9199999999999992E-2</v>
      </c>
      <c r="AB23" s="7">
        <v>9.595419253822994E-2</v>
      </c>
      <c r="AC23" s="150">
        <f>(AH23/SUM(AH$6:AH$25))*0.98</f>
        <v>9.5207253886010368E-2</v>
      </c>
      <c r="AE23" s="168"/>
      <c r="AF23" s="168"/>
      <c r="AG23" s="19">
        <v>0.04</v>
      </c>
      <c r="AH23" s="19">
        <v>7.4999999999999997E-2</v>
      </c>
    </row>
    <row r="24" spans="1:34" x14ac:dyDescent="0.2">
      <c r="B24" s="18" t="s">
        <v>10</v>
      </c>
      <c r="C24" s="18"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8.8918704301745796E-3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1.0212053385428152E-2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279</v>
      </c>
      <c r="X27" s="30"/>
      <c r="Y27" s="30"/>
      <c r="Z27" s="31"/>
      <c r="AA27" s="9" t="s">
        <v>279</v>
      </c>
      <c r="AB27" s="9" t="s">
        <v>279</v>
      </c>
      <c r="AC27" s="9" t="s">
        <v>279</v>
      </c>
      <c r="AD27" s="44"/>
      <c r="AE27" s="9" t="s">
        <v>279</v>
      </c>
      <c r="AF27" s="9" t="s">
        <v>279</v>
      </c>
      <c r="AG27" s="9" t="s">
        <v>279</v>
      </c>
    </row>
    <row r="28" spans="1:34" s="27" customFormat="1" x14ac:dyDescent="0.2">
      <c r="A28" s="45" t="s">
        <v>280</v>
      </c>
      <c r="B28" s="28"/>
      <c r="C28" s="28"/>
      <c r="D28" s="34" t="s">
        <v>284</v>
      </c>
      <c r="E28" s="34" t="s">
        <v>281</v>
      </c>
      <c r="F28" s="155" t="s">
        <v>282</v>
      </c>
      <c r="G28" s="34" t="s">
        <v>301</v>
      </c>
      <c r="H28" s="34" t="s">
        <v>283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0.97500000000000009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1026</v>
      </c>
      <c r="E29" s="47">
        <v>0.57199999999999995</v>
      </c>
      <c r="F29" s="2">
        <f>1-E29</f>
        <v>0.42800000000000005</v>
      </c>
      <c r="G29" s="106">
        <v>4.3</v>
      </c>
      <c r="H29" s="126">
        <v>3.6999999999999998E-2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280</v>
      </c>
      <c r="B31" s="28"/>
      <c r="C31" s="28"/>
      <c r="D31" s="162" t="s">
        <v>293</v>
      </c>
      <c r="E31" s="162" t="s">
        <v>1</v>
      </c>
      <c r="F31" s="162" t="s">
        <v>278</v>
      </c>
      <c r="G31" s="162" t="s">
        <v>143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586.87199999999996</v>
      </c>
      <c r="E32" s="156">
        <f>SUM(E2:E4)</f>
        <v>385.78617792</v>
      </c>
      <c r="F32" s="156">
        <f>SUM(F2:F4)</f>
        <v>4336.7880647519996</v>
      </c>
      <c r="G32" s="156">
        <f>SUM(G2:G4)</f>
        <v>29.848309919999998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280</v>
      </c>
      <c r="B34" s="28"/>
      <c r="C34" s="28"/>
      <c r="D34" s="162" t="s">
        <v>285</v>
      </c>
      <c r="E34" s="162" t="s">
        <v>278</v>
      </c>
      <c r="F34" s="162" t="s">
        <v>143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439.12800000000004</v>
      </c>
      <c r="E35" s="156">
        <f>D35*G29</f>
        <v>1888.2504000000001</v>
      </c>
      <c r="F35" s="156">
        <f>D35*H29</f>
        <v>16.247736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294</v>
      </c>
      <c r="B37" s="37"/>
      <c r="C37" s="37"/>
      <c r="D37" s="164" t="s">
        <v>288</v>
      </c>
      <c r="E37" s="164" t="s">
        <v>289</v>
      </c>
      <c r="F37" s="164" t="s">
        <v>290</v>
      </c>
      <c r="G37" s="164" t="s">
        <v>286</v>
      </c>
      <c r="H37" s="164" t="s">
        <v>287</v>
      </c>
      <c r="I37" s="160" t="s">
        <v>291</v>
      </c>
      <c r="J37" s="160" t="s">
        <v>292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5" thickBot="1" x14ac:dyDescent="0.25">
      <c r="D38" s="157">
        <f>SUM(I2:I20)</f>
        <v>430.34544000000005</v>
      </c>
      <c r="E38" s="157">
        <f>SUM(J2:J4,J6:J11,J13:J20)</f>
        <v>1867.80679596</v>
      </c>
      <c r="F38" s="157">
        <f>SUM(K2:K4,K6:K11,K13:K20)</f>
        <v>16.243388632800002</v>
      </c>
      <c r="G38" s="157">
        <f>SUM(L6:L11,L13:L20,L22:L25)</f>
        <v>575.13455999999985</v>
      </c>
      <c r="H38" s="157">
        <f>SUM(M6:M11,M13:M20,M22:M25)</f>
        <v>385.66223055359984</v>
      </c>
      <c r="I38" s="157">
        <f>SUM(N6:N11,N13:N20,N22:N25)</f>
        <v>4317.4781460851027</v>
      </c>
      <c r="J38" s="157">
        <f>SUM(O6:O11,O13:O20,O22:O25)</f>
        <v>29.814058250776789</v>
      </c>
      <c r="V38" s="181"/>
      <c r="X38" s="30"/>
      <c r="Y38" s="30"/>
      <c r="Z38" s="181"/>
      <c r="AH38" s="30"/>
    </row>
    <row r="39" spans="1:34" ht="15" thickTop="1" x14ac:dyDescent="0.2">
      <c r="D39" s="158">
        <f>D35-D38</f>
        <v>8.7825599999999895</v>
      </c>
      <c r="E39" s="158">
        <f>E35-E38</f>
        <v>20.443604040000082</v>
      </c>
      <c r="F39" s="158">
        <f>F35-F38</f>
        <v>4.3473671999976204E-3</v>
      </c>
      <c r="G39" s="158">
        <f>SUM(D2:D4)-G38</f>
        <v>11.737440000000106</v>
      </c>
      <c r="H39" s="158">
        <f>E32-H38</f>
        <v>0.12394736640015935</v>
      </c>
      <c r="I39" s="158">
        <f>F32-I38</f>
        <v>19.30991866689692</v>
      </c>
      <c r="J39" s="158">
        <f>G32-J38</f>
        <v>3.4251669223209547E-2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A41" s="17"/>
      <c r="AB41" s="17"/>
      <c r="AC41" s="17"/>
      <c r="AE41" s="17"/>
      <c r="AF41" s="17"/>
      <c r="AH41" s="30"/>
    </row>
    <row r="42" spans="1:34" x14ac:dyDescent="0.2">
      <c r="V42" s="181"/>
      <c r="X42" s="30"/>
      <c r="Y42" s="30"/>
      <c r="Z42" s="181"/>
      <c r="AA42" s="17"/>
      <c r="AB42" s="17"/>
      <c r="AC42" s="17"/>
      <c r="AE42" s="17"/>
      <c r="AF42" s="17"/>
      <c r="AH42" s="30"/>
    </row>
    <row r="43" spans="1:34" x14ac:dyDescent="0.2">
      <c r="V43" s="181"/>
      <c r="X43" s="30"/>
      <c r="Y43" s="30"/>
      <c r="Z43" s="181"/>
      <c r="AA43" s="17"/>
      <c r="AB43" s="17"/>
      <c r="AC43" s="17"/>
      <c r="AE43" s="17"/>
      <c r="AF43" s="17"/>
      <c r="AH43" s="30"/>
    </row>
    <row r="44" spans="1:34" x14ac:dyDescent="0.2">
      <c r="V44" s="181"/>
      <c r="X44" s="30"/>
      <c r="Y44" s="30"/>
      <c r="Z44" s="181"/>
      <c r="AA44" s="17"/>
      <c r="AB44" s="17"/>
      <c r="AC44" s="17"/>
      <c r="AE44" s="17"/>
      <c r="AF44" s="17"/>
      <c r="AH44" s="30"/>
    </row>
    <row r="45" spans="1:34" x14ac:dyDescent="0.2">
      <c r="V45" s="181"/>
      <c r="X45" s="30"/>
      <c r="Y45" s="30"/>
      <c r="Z45" s="181"/>
      <c r="AA45" s="17"/>
      <c r="AB45" s="17"/>
      <c r="AC45" s="17"/>
      <c r="AE45" s="17"/>
      <c r="AF45" s="17"/>
      <c r="AH45" s="30"/>
    </row>
    <row r="46" spans="1:34" x14ac:dyDescent="0.2">
      <c r="V46" s="181"/>
      <c r="X46" s="30"/>
      <c r="Y46" s="30"/>
      <c r="Z46" s="181"/>
      <c r="AA46" s="17"/>
      <c r="AB46" s="17"/>
      <c r="AC46" s="17"/>
      <c r="AE46" s="17"/>
      <c r="AF46" s="17"/>
      <c r="AH46" s="30"/>
    </row>
    <row r="47" spans="1:34" x14ac:dyDescent="0.2">
      <c r="V47" s="181"/>
      <c r="X47" s="30"/>
      <c r="Y47" s="30"/>
      <c r="Z47" s="181"/>
      <c r="AA47" s="17"/>
      <c r="AB47" s="17"/>
      <c r="AC47" s="17"/>
      <c r="AE47" s="17"/>
      <c r="AF47" s="17"/>
      <c r="AH47" s="30"/>
    </row>
    <row r="48" spans="1:34" x14ac:dyDescent="0.2">
      <c r="V48" s="181"/>
      <c r="X48" s="30"/>
      <c r="Y48" s="30"/>
      <c r="Z48" s="181"/>
      <c r="AA48" s="17"/>
      <c r="AB48" s="17"/>
      <c r="AC48" s="17"/>
      <c r="AE48" s="17"/>
      <c r="AF48" s="17"/>
      <c r="AH48" s="30"/>
    </row>
    <row r="49" spans="22:34" x14ac:dyDescent="0.2">
      <c r="V49" s="181"/>
      <c r="X49" s="30"/>
      <c r="Y49" s="30"/>
      <c r="Z49" s="181"/>
      <c r="AA49" s="17"/>
      <c r="AB49" s="17"/>
      <c r="AC49" s="17"/>
      <c r="AE49" s="17"/>
      <c r="AF49" s="17"/>
      <c r="AH49" s="30"/>
    </row>
    <row r="50" spans="22:34" x14ac:dyDescent="0.2">
      <c r="V50" s="181"/>
      <c r="X50" s="30"/>
      <c r="Y50" s="30"/>
      <c r="Z50" s="181"/>
      <c r="AA50" s="17"/>
      <c r="AB50" s="17"/>
      <c r="AC50" s="17"/>
      <c r="AE50" s="17"/>
      <c r="AF50" s="17"/>
      <c r="AH50" s="30"/>
    </row>
    <row r="51" spans="22:34" x14ac:dyDescent="0.2">
      <c r="X51" s="25"/>
      <c r="Y51" s="30"/>
      <c r="Z51" s="181"/>
      <c r="AA51" s="17"/>
      <c r="AB51" s="17"/>
      <c r="AC51" s="17"/>
      <c r="AE51" s="17"/>
      <c r="AF51" s="17"/>
      <c r="AH51" s="30"/>
    </row>
    <row r="52" spans="22:34" x14ac:dyDescent="0.2">
      <c r="X52" s="25"/>
      <c r="Y52" s="30"/>
      <c r="Z52" s="181"/>
      <c r="AA52" s="17"/>
      <c r="AB52" s="17"/>
      <c r="AC52" s="17"/>
      <c r="AE52" s="17"/>
      <c r="AF52" s="17"/>
      <c r="AH52" s="30"/>
    </row>
    <row r="53" spans="22:34" x14ac:dyDescent="0.2">
      <c r="X53" s="25"/>
      <c r="Y53" s="30"/>
      <c r="Z53" s="181"/>
      <c r="AA53" s="17"/>
      <c r="AB53" s="17"/>
      <c r="AC53" s="17"/>
      <c r="AE53" s="17"/>
      <c r="AF53" s="17"/>
      <c r="AH53" s="30"/>
    </row>
    <row r="54" spans="22:34" x14ac:dyDescent="0.2">
      <c r="X54" s="25"/>
      <c r="Y54" s="30"/>
      <c r="Z54" s="181"/>
      <c r="AA54" s="17"/>
      <c r="AB54" s="17"/>
      <c r="AC54" s="17"/>
      <c r="AE54" s="17"/>
      <c r="AF54" s="17"/>
      <c r="AH54" s="30"/>
    </row>
    <row r="55" spans="22:34" x14ac:dyDescent="0.2">
      <c r="X55" s="25"/>
      <c r="Y55" s="30"/>
      <c r="Z55" s="181"/>
      <c r="AA55" s="17"/>
      <c r="AB55" s="17"/>
      <c r="AC55" s="17"/>
      <c r="AE55" s="17"/>
      <c r="AF55" s="17"/>
      <c r="AH55" s="30"/>
    </row>
    <row r="56" spans="22:34" x14ac:dyDescent="0.2">
      <c r="X56" s="25"/>
      <c r="Y56" s="25"/>
      <c r="AA56" s="17"/>
      <c r="AB56" s="17"/>
      <c r="AC56" s="17"/>
      <c r="AE56" s="17"/>
      <c r="AF56" s="17"/>
      <c r="AH56" s="25"/>
    </row>
    <row r="57" spans="22:34" x14ac:dyDescent="0.2">
      <c r="X57" s="25"/>
      <c r="Y57" s="25"/>
      <c r="AA57" s="17"/>
      <c r="AB57" s="17"/>
      <c r="AC57" s="17"/>
      <c r="AE57" s="17"/>
      <c r="AF57" s="17"/>
      <c r="AH57" s="25"/>
    </row>
    <row r="58" spans="22:34" x14ac:dyDescent="0.2">
      <c r="X58" s="25"/>
      <c r="Y58" s="25"/>
      <c r="AA58" s="17"/>
      <c r="AB58" s="17"/>
      <c r="AC58" s="17"/>
      <c r="AE58" s="17"/>
      <c r="AF58" s="17"/>
      <c r="AH58" s="25"/>
    </row>
    <row r="59" spans="22:34" x14ac:dyDescent="0.2">
      <c r="X59" s="25"/>
      <c r="Y59" s="25"/>
      <c r="AA59" s="17"/>
      <c r="AB59" s="17"/>
      <c r="AC59" s="17"/>
      <c r="AE59" s="17"/>
      <c r="AF59" s="17"/>
      <c r="AH59" s="25"/>
    </row>
    <row r="60" spans="22:34" x14ac:dyDescent="0.2">
      <c r="X60" s="17"/>
      <c r="Y60" s="25"/>
      <c r="AA60" s="17"/>
      <c r="AB60" s="17"/>
      <c r="AC60" s="17"/>
      <c r="AE60" s="17"/>
      <c r="AF60" s="17"/>
      <c r="AH60" s="25"/>
    </row>
    <row r="61" spans="22:34" x14ac:dyDescent="0.2">
      <c r="X61" s="17"/>
      <c r="Y61" s="25"/>
      <c r="AA61" s="17"/>
      <c r="AB61" s="17"/>
      <c r="AC61" s="17"/>
      <c r="AE61" s="17"/>
      <c r="AF61" s="17"/>
      <c r="AH61" s="25"/>
    </row>
    <row r="62" spans="22:34" x14ac:dyDescent="0.2">
      <c r="X62" s="17"/>
      <c r="Y62" s="25"/>
      <c r="AA62" s="17"/>
      <c r="AB62" s="17"/>
      <c r="AC62" s="17"/>
      <c r="AE62" s="17"/>
      <c r="AF62" s="17"/>
      <c r="AH62" s="25"/>
    </row>
    <row r="63" spans="22:34" x14ac:dyDescent="0.2">
      <c r="X63" s="17"/>
      <c r="Y63" s="25"/>
      <c r="AA63" s="17"/>
      <c r="AB63" s="17"/>
      <c r="AC63" s="17"/>
      <c r="AE63" s="17"/>
      <c r="AF63" s="17"/>
      <c r="AH63" s="25"/>
    </row>
    <row r="64" spans="22:34" x14ac:dyDescent="0.2">
      <c r="X64" s="17"/>
      <c r="Y64" s="25"/>
      <c r="AA64" s="17"/>
      <c r="AB64" s="17"/>
      <c r="AC64" s="17"/>
      <c r="AE64" s="17"/>
      <c r="AF64" s="17"/>
      <c r="AH64" s="25"/>
    </row>
    <row r="65" spans="24:32" x14ac:dyDescent="0.2">
      <c r="X65" s="17"/>
      <c r="Y65" s="18"/>
      <c r="Z65" s="18"/>
      <c r="AA65" s="17"/>
      <c r="AB65" s="17"/>
      <c r="AC65" s="17"/>
      <c r="AE65" s="17"/>
      <c r="AF65" s="17"/>
    </row>
    <row r="66" spans="24:32" x14ac:dyDescent="0.2">
      <c r="X66" s="17"/>
      <c r="Y66" s="18"/>
      <c r="Z66" s="18"/>
      <c r="AA66" s="17"/>
      <c r="AB66" s="17"/>
      <c r="AC66" s="17"/>
      <c r="AE66" s="17"/>
      <c r="AF66" s="17"/>
    </row>
    <row r="67" spans="24:32" x14ac:dyDescent="0.2">
      <c r="X67" s="17"/>
      <c r="Y67" s="18"/>
      <c r="Z67" s="18"/>
      <c r="AA67" s="17"/>
      <c r="AB67" s="17"/>
      <c r="AC67" s="17"/>
      <c r="AE67" s="17"/>
      <c r="AF67" s="17"/>
    </row>
    <row r="68" spans="24:32" x14ac:dyDescent="0.2">
      <c r="X68" s="17"/>
      <c r="Y68" s="18"/>
      <c r="Z68" s="18"/>
      <c r="AA68" s="17"/>
      <c r="AB68" s="17"/>
      <c r="AC68" s="17"/>
      <c r="AE68" s="17"/>
      <c r="AF68" s="17"/>
    </row>
    <row r="69" spans="24:32" x14ac:dyDescent="0.2">
      <c r="X69" s="17"/>
      <c r="Y69" s="18"/>
      <c r="Z69" s="18"/>
      <c r="AA69" s="17"/>
      <c r="AB69" s="17"/>
      <c r="AC69" s="17"/>
      <c r="AE69" s="17"/>
      <c r="AF69" s="17"/>
    </row>
    <row r="70" spans="24:32" x14ac:dyDescent="0.2">
      <c r="X70" s="17"/>
      <c r="Y70" s="18"/>
      <c r="Z70" s="18"/>
      <c r="AA70" s="17"/>
      <c r="AB70" s="17"/>
      <c r="AC70" s="17"/>
      <c r="AE70" s="17"/>
      <c r="AF70" s="17"/>
    </row>
    <row r="71" spans="24:32" x14ac:dyDescent="0.2">
      <c r="X71" s="17"/>
      <c r="Y71" s="18"/>
      <c r="Z71" s="18"/>
      <c r="AA71" s="17"/>
      <c r="AB71" s="17"/>
      <c r="AC71" s="17"/>
      <c r="AE71" s="17"/>
      <c r="AF71" s="17"/>
    </row>
    <row r="72" spans="24:32" x14ac:dyDescent="0.2">
      <c r="X72" s="17"/>
      <c r="Y72" s="18"/>
      <c r="Z72" s="18"/>
      <c r="AA72" s="17"/>
      <c r="AB72" s="17"/>
      <c r="AC72" s="17"/>
      <c r="AE72" s="17"/>
      <c r="AF72" s="17"/>
    </row>
    <row r="73" spans="24:32" x14ac:dyDescent="0.2">
      <c r="X73" s="17"/>
      <c r="Y73" s="18"/>
      <c r="Z73" s="18"/>
      <c r="AA73" s="17"/>
      <c r="AB73" s="17"/>
      <c r="AC73" s="17"/>
      <c r="AE73" s="17"/>
      <c r="AF73" s="17"/>
    </row>
    <row r="74" spans="24:32" x14ac:dyDescent="0.2">
      <c r="X74" s="17"/>
      <c r="Y74" s="18"/>
      <c r="Z74" s="18"/>
      <c r="AA74" s="17"/>
      <c r="AB74" s="17"/>
      <c r="AC74" s="17"/>
      <c r="AE74" s="17"/>
      <c r="AF74" s="17"/>
    </row>
    <row r="75" spans="24:32" x14ac:dyDescent="0.2">
      <c r="X75" s="17"/>
      <c r="Y75" s="18"/>
      <c r="Z75" s="18"/>
      <c r="AA75" s="17"/>
      <c r="AB75" s="17"/>
      <c r="AC75" s="17"/>
      <c r="AE75" s="17"/>
      <c r="AF75" s="17"/>
    </row>
    <row r="76" spans="24:32" x14ac:dyDescent="0.2">
      <c r="X76" s="17"/>
      <c r="Y76" s="18"/>
      <c r="Z76" s="18"/>
      <c r="AA76" s="17"/>
      <c r="AB76" s="17"/>
      <c r="AC76" s="17"/>
      <c r="AE76" s="17"/>
      <c r="AF76" s="17"/>
    </row>
  </sheetData>
  <sheetProtection selectLockedCells="1"/>
  <conditionalFormatting sqref="D39:J39">
    <cfRule type="cellIs" dxfId="92" priority="1" operator="lessThan">
      <formula>0</formula>
    </cfRule>
  </conditionalFormatting>
  <conditionalFormatting sqref="W28">
    <cfRule type="cellIs" dxfId="91" priority="2" operator="greaterThan">
      <formula>1</formula>
    </cfRule>
  </conditionalFormatting>
  <conditionalFormatting sqref="AA28:AG28">
    <cfRule type="cellIs" dxfId="9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42</vt:i4>
      </vt:variant>
    </vt:vector>
  </HeadingPairs>
  <TitlesOfParts>
    <vt:vector size="89" baseType="lpstr">
      <vt:lpstr>Instructions</vt:lpstr>
      <vt:lpstr>Settings</vt:lpstr>
      <vt:lpstr>POS Ranks</vt:lpstr>
      <vt:lpstr>POS Data</vt:lpstr>
      <vt:lpstr>OVR &amp; VORP Ranks</vt:lpstr>
      <vt:lpstr>Ranks w Proj</vt:lpstr>
      <vt:lpstr>Jake's Ranks</vt:lpstr>
      <vt:lpstr>ARI</vt:lpstr>
      <vt:lpstr>ATL</vt:lpstr>
      <vt:lpstr>BAL</vt:lpstr>
      <vt:lpstr>BUF</vt:lpstr>
      <vt:lpstr>CAR</vt:lpstr>
      <vt:lpstr>CHI</vt:lpstr>
      <vt:lpstr>CIN</vt:lpstr>
      <vt:lpstr>CLE</vt:lpstr>
      <vt:lpstr>DAL</vt:lpstr>
      <vt:lpstr>DEN</vt:lpstr>
      <vt:lpstr>DET</vt:lpstr>
      <vt:lpstr>GB</vt:lpstr>
      <vt:lpstr>HOU</vt:lpstr>
      <vt:lpstr>IND</vt:lpstr>
      <vt:lpstr>JAX</vt:lpstr>
      <vt:lpstr>KC</vt:lpstr>
      <vt:lpstr>LV</vt:lpstr>
      <vt:lpstr>LAC</vt:lpstr>
      <vt:lpstr>LAR</vt:lpstr>
      <vt:lpstr>MIA</vt:lpstr>
      <vt:lpstr>MIN</vt:lpstr>
      <vt:lpstr>NE</vt:lpstr>
      <vt:lpstr>NO</vt:lpstr>
      <vt:lpstr>NYG</vt:lpstr>
      <vt:lpstr>NYJ</vt:lpstr>
      <vt:lpstr>PHI</vt:lpstr>
      <vt:lpstr>PIT</vt:lpstr>
      <vt:lpstr>SF</vt:lpstr>
      <vt:lpstr>SEA</vt:lpstr>
      <vt:lpstr>TB</vt:lpstr>
      <vt:lpstr>TEN</vt:lpstr>
      <vt:lpstr>WSH</vt:lpstr>
      <vt:lpstr>DST</vt:lpstr>
      <vt:lpstr>Calculated Points</vt:lpstr>
      <vt:lpstr>Rankings</vt:lpstr>
      <vt:lpstr>QB</vt:lpstr>
      <vt:lpstr>RB</vt:lpstr>
      <vt:lpstr>WR</vt:lpstr>
      <vt:lpstr>TE</vt:lpstr>
      <vt:lpstr>DST1</vt:lpstr>
      <vt:lpstr>COMPLETIONS</vt:lpstr>
      <vt:lpstr>DEF_0_PTS_ALLOW</vt:lpstr>
      <vt:lpstr>DEF_1_6_PTS_ALLOW</vt:lpstr>
      <vt:lpstr>DEF_14_21_PTS_ALLOW</vt:lpstr>
      <vt:lpstr>DEF_22_27_PTS_ALLOW</vt:lpstr>
      <vt:lpstr>DEF_28_35_PTS_ALLOW</vt:lpstr>
      <vt:lpstr>DEF_35__PTS_ALLOW</vt:lpstr>
      <vt:lpstr>DEF_7_13_PTS_ALLOW</vt:lpstr>
      <vt:lpstr>DEF_FORCE_FUMBLE</vt:lpstr>
      <vt:lpstr>DEF_INT</vt:lpstr>
      <vt:lpstr>DEF_RECOVER_FUMBLE</vt:lpstr>
      <vt:lpstr>DEF_SACKS</vt:lpstr>
      <vt:lpstr>DEF_SAFETIES</vt:lpstr>
      <vt:lpstr>DEF_TOUCHDOWN</vt:lpstr>
      <vt:lpstr>FLEXVORPCalc</vt:lpstr>
      <vt:lpstr>INTERCEPTIONS</vt:lpstr>
      <vt:lpstr>PASS_ATTEMPTS</vt:lpstr>
      <vt:lpstr>PASS_TDS</vt:lpstr>
      <vt:lpstr>PASS_YARDS</vt:lpstr>
      <vt:lpstr>QBVORPCalc</vt:lpstr>
      <vt:lpstr>RBVORPCalc</vt:lpstr>
      <vt:lpstr>RECEPTIONS_RB</vt:lpstr>
      <vt:lpstr>RECEPTIONS_TE</vt:lpstr>
      <vt:lpstr>RECEPTIONS_WR</vt:lpstr>
      <vt:lpstr>RECV_TDS</vt:lpstr>
      <vt:lpstr>RECV_YARDS</vt:lpstr>
      <vt:lpstr>RUSH_ATTEMPTS</vt:lpstr>
      <vt:lpstr>RUSH_TDS</vt:lpstr>
      <vt:lpstr>RUSH_YARDS</vt:lpstr>
      <vt:lpstr>SFLEXVORPCalc</vt:lpstr>
      <vt:lpstr>STARTING_DST</vt:lpstr>
      <vt:lpstr>STARTING_FLEX</vt:lpstr>
      <vt:lpstr>STARTING_QB</vt:lpstr>
      <vt:lpstr>STARTING_RB</vt:lpstr>
      <vt:lpstr>STARTING_SUPERFLEX</vt:lpstr>
      <vt:lpstr>STARTING_TE</vt:lpstr>
      <vt:lpstr>STARTING_WR</vt:lpstr>
      <vt:lpstr>TARGETS</vt:lpstr>
      <vt:lpstr>TEAMS</vt:lpstr>
      <vt:lpstr>TEVORPCalc</vt:lpstr>
      <vt:lpstr>WRTEVORPCalc</vt:lpstr>
      <vt:lpstr>WRVORPCalc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Joe Wlos</cp:lastModifiedBy>
  <dcterms:created xsi:type="dcterms:W3CDTF">2019-06-07T20:23:38Z</dcterms:created>
  <dcterms:modified xsi:type="dcterms:W3CDTF">2024-05-12T18:17:45Z</dcterms:modified>
</cp:coreProperties>
</file>